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wageningenur4.sharepoint.com/sites/FLtochemicals/Gedeelde documenten/General/"/>
    </mc:Choice>
  </mc:AlternateContent>
  <xr:revisionPtr revIDLastSave="7826" documentId="14_{911DE7CF-690A-489C-87D5-EB17CCFE8510}" xr6:coauthVersionLast="47" xr6:coauthVersionMax="47" xr10:uidLastSave="{D99500DE-BF90-4245-92BB-D49E5F77F06A}"/>
  <bookViews>
    <workbookView minimized="1" xWindow="17565" yWindow="-10605" windowWidth="11070" windowHeight="5730" xr2:uid="{00000000-000D-0000-FFFF-FFFF00000000}"/>
  </bookViews>
  <sheets>
    <sheet name="rice" sheetId="1" r:id="rId1"/>
    <sheet name="apple" sheetId="2" r:id="rId2"/>
    <sheet name="orange" sheetId="3" r:id="rId3"/>
    <sheet name="banana" sheetId="4" r:id="rId4"/>
    <sheet name="potato" sheetId="5" r:id="rId5"/>
    <sheet name="sweet potato" sheetId="6" r:id="rId6"/>
    <sheet name="corn" sheetId="7" r:id="rId7"/>
    <sheet name="Wheat" sheetId="8" r:id="rId8"/>
    <sheet name="Tomato" sheetId="9" r:id="rId9"/>
    <sheet name="Sugarcane" sheetId="10" r:id="rId10"/>
    <sheet name="Sugar Beet" sheetId="11" r:id="rId11"/>
    <sheet name="rapeseed" sheetId="15" r:id="rId12"/>
    <sheet name="barley" sheetId="14" r:id="rId13"/>
  </sheets>
  <externalReferences>
    <externalReference r:id="rId14"/>
    <externalReference r:id="rId15"/>
  </externalReferences>
  <definedNames>
    <definedName name="bbib0345" localSheetId="3">banana!$G$262</definedName>
    <definedName name="bbib0350" localSheetId="3">banana!$G$263</definedName>
    <definedName name="bbib0355" localSheetId="3">banana!$G$264</definedName>
    <definedName name="bbib0360" localSheetId="3">banana!$G$265</definedName>
    <definedName name="bbib0365" localSheetId="3">banana!$G$266</definedName>
    <definedName name="bbib0370" localSheetId="3">banana!$G$267</definedName>
    <definedName name="bbib10">'Sugar Beet'!$D$257</definedName>
    <definedName name="bbib11">Sugarcane!$J$303</definedName>
    <definedName name="bbib22" localSheetId="4">potato!$K$244</definedName>
    <definedName name="bbib23">Sugarcane!$J$304</definedName>
    <definedName name="bbib24">Sugarcane!$J$305</definedName>
    <definedName name="bbib25">Sugarcane!$J$307</definedName>
    <definedName name="bbib26" localSheetId="2">orange!$G$287</definedName>
    <definedName name="bbib26">Sugarcane!$J$308</definedName>
    <definedName name="bbib27" localSheetId="2">orange!$I$285</definedName>
    <definedName name="bbib30" localSheetId="2">orange!$I$286</definedName>
    <definedName name="bbib34" localSheetId="2">orange!$I$287</definedName>
    <definedName name="bbib35">Tomato!$K$9</definedName>
    <definedName name="bbib36" localSheetId="2">orange!$G$285</definedName>
    <definedName name="bbib37" localSheetId="4">potato!$K$235</definedName>
    <definedName name="bbib38" localSheetId="4">potato!$K$238</definedName>
    <definedName name="bbib39" localSheetId="4">potato!$K$221</definedName>
    <definedName name="bbib40" localSheetId="4">potato!$K$219</definedName>
    <definedName name="bbib41" localSheetId="4">potato!$K$223</definedName>
    <definedName name="bbib42" localSheetId="2">orange!$G$286</definedName>
    <definedName name="bbib43" localSheetId="4">potato!$K$229</definedName>
    <definedName name="bbib44" localSheetId="4">potato!$K$240</definedName>
    <definedName name="bbib52" localSheetId="2">orange!$I$289</definedName>
    <definedName name="bbib54" localSheetId="2">orange!$G$283</definedName>
    <definedName name="bbib59" localSheetId="2">orange!$G$284</definedName>
    <definedName name="bbib6" localSheetId="2">orange!$G$288</definedName>
    <definedName name="bbib64">Tomato!$K$8</definedName>
    <definedName name="bbib9" localSheetId="2">orange!$I$284</definedName>
    <definedName name="bbib9">Tomato!$K$6</definedName>
    <definedName name="btbl1fna">Tomato!$D$7</definedName>
    <definedName name="btbl1fnb">Tomato!$D$8</definedName>
    <definedName name="btbl1fnd">Tomato!$I$4</definedName>
    <definedName name="btbl2fna" localSheetId="7">Wheat!$D$860</definedName>
    <definedName name="btbl4fna" localSheetId="1">apple!$J$164</definedName>
    <definedName name="btbl5fna" localSheetId="1">apple!$R$164</definedName>
    <definedName name="btbl6fna" localSheetId="5">'sweet potato'!$D$5</definedName>
    <definedName name="btblfn0005">'Sugar Beet'!$D$187</definedName>
    <definedName name="btblfn0010">Sugarcane!$D$272</definedName>
    <definedName name="btblfn0015" localSheetId="2">orange!$G$344</definedName>
    <definedName name="btblfn0015">Sugarcane!$J$270</definedName>
    <definedName name="btblfn0020" localSheetId="2">orange!$H$344</definedName>
    <definedName name="btblfn0025" localSheetId="2">orange!$I$344</definedName>
    <definedName name="btblfn0030" localSheetId="2">orange!$K$344</definedName>
    <definedName name="btblfn1" localSheetId="0">rice!$E$1045</definedName>
    <definedName name="btblfn1">corn!$D$69</definedName>
    <definedName name="btblfn2" localSheetId="3">banana!$G$186</definedName>
    <definedName name="btblfn2">corn!$D$172</definedName>
    <definedName name="btblfn3" localSheetId="1">apple!$M$418</definedName>
    <definedName name="btblfn3">Wheat!$M$187</definedName>
    <definedName name="btblfn4">corn!$F$334</definedName>
    <definedName name="btblfn4a" localSheetId="1">apple!$F$361</definedName>
    <definedName name="btblfn5">Wheat!$D$414</definedName>
    <definedName name="btblfn6" localSheetId="1">apple!$L$417</definedName>
    <definedName name="btblfn6">Wheat!$G$407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7" i="14" l="1"/>
  <c r="E248" i="14" s="1"/>
  <c r="E241" i="14"/>
  <c r="E242" i="14" s="1"/>
  <c r="E234" i="14"/>
  <c r="E235" i="14" s="1"/>
  <c r="E203" i="14"/>
  <c r="E204" i="14" s="1"/>
  <c r="E194" i="14"/>
  <c r="E195" i="14" s="1"/>
  <c r="E190" i="14"/>
  <c r="E191" i="14" s="1"/>
  <c r="E184" i="14"/>
  <c r="E185" i="14" s="1"/>
  <c r="E180" i="14"/>
  <c r="E181" i="14" s="1"/>
  <c r="E176" i="14"/>
  <c r="E172" i="14"/>
  <c r="E173" i="14" s="1"/>
  <c r="E166" i="14"/>
  <c r="E162" i="14"/>
  <c r="E157" i="14"/>
  <c r="E158" i="14" s="1"/>
  <c r="E150" i="14"/>
  <c r="E151" i="14" s="1"/>
  <c r="E144" i="14"/>
  <c r="E137" i="14"/>
  <c r="E143" i="14"/>
  <c r="E136" i="14"/>
  <c r="E130" i="14"/>
  <c r="E131" i="14" s="1"/>
  <c r="E120" i="14"/>
  <c r="E121" i="14" s="1"/>
  <c r="E145" i="14" l="1"/>
  <c r="E138" i="14"/>
  <c r="D291" i="14"/>
  <c r="D286" i="14"/>
  <c r="D281" i="14"/>
  <c r="D276" i="14"/>
  <c r="D269" i="14"/>
  <c r="D271" i="14" s="1"/>
  <c r="D229" i="14"/>
  <c r="D224" i="14"/>
  <c r="D215" i="14"/>
  <c r="E107" i="14"/>
  <c r="E13" i="14"/>
  <c r="I92" i="14"/>
  <c r="H92" i="14"/>
  <c r="E87" i="14"/>
  <c r="J92" i="14" l="1"/>
  <c r="K92" i="14" s="1"/>
  <c r="E98" i="14" s="1"/>
  <c r="E99" i="14" s="1"/>
  <c r="E101" i="14" s="1"/>
  <c r="E81" i="14" l="1"/>
  <c r="E75" i="14"/>
  <c r="E226" i="15" l="1"/>
  <c r="E227" i="15" s="1"/>
  <c r="E219" i="15"/>
  <c r="E220" i="15" s="1"/>
  <c r="E210" i="15"/>
  <c r="E211" i="15" s="1"/>
  <c r="E203" i="15"/>
  <c r="E204" i="15" s="1"/>
  <c r="E193" i="15"/>
  <c r="E194" i="15" s="1"/>
  <c r="E184" i="15"/>
  <c r="E185" i="15" s="1"/>
  <c r="E172" i="15"/>
  <c r="E173" i="15" s="1"/>
  <c r="E168" i="15"/>
  <c r="E169" i="15"/>
  <c r="E160" i="15"/>
  <c r="E161" i="15" s="1"/>
  <c r="E156" i="15"/>
  <c r="E157" i="15" s="1"/>
  <c r="E150" i="15"/>
  <c r="E149" i="15"/>
  <c r="E143" i="15"/>
  <c r="E144" i="15" s="1"/>
  <c r="E137" i="15"/>
  <c r="E138" i="15" s="1"/>
  <c r="E130" i="15"/>
  <c r="E126" i="15"/>
  <c r="E112" i="15"/>
  <c r="E113" i="15" s="1"/>
  <c r="E119" i="15"/>
  <c r="E120" i="15" s="1"/>
  <c r="E101" i="15"/>
  <c r="E102" i="15" s="1"/>
  <c r="E100" i="15"/>
  <c r="E94" i="15"/>
  <c r="E95" i="15" s="1"/>
  <c r="E86" i="15"/>
  <c r="E87" i="15" s="1"/>
  <c r="E79" i="15"/>
  <c r="E80" i="15" s="1"/>
  <c r="E93" i="15"/>
  <c r="F70" i="15"/>
  <c r="F71" i="15" s="1"/>
  <c r="F69" i="15"/>
  <c r="I52" i="15"/>
  <c r="J52" i="15" s="1"/>
  <c r="I51" i="15"/>
  <c r="J51" i="15" s="1"/>
  <c r="H28" i="15"/>
  <c r="H52" i="15"/>
  <c r="H51" i="15"/>
  <c r="G29" i="15"/>
  <c r="H29" i="15" s="1"/>
  <c r="G28" i="15"/>
  <c r="I29" i="15"/>
  <c r="I28" i="15"/>
  <c r="J53" i="15" l="1"/>
  <c r="J28" i="15"/>
  <c r="K28" i="15" s="1"/>
  <c r="J29" i="15"/>
  <c r="K29" i="15" s="1"/>
  <c r="I53" i="14"/>
  <c r="I54" i="14" s="1"/>
  <c r="I55" i="14" s="1"/>
  <c r="D43" i="14"/>
  <c r="I27" i="14"/>
  <c r="D44" i="14" s="1"/>
  <c r="I25" i="14"/>
  <c r="I29" i="14"/>
  <c r="F13" i="14"/>
  <c r="F14" i="14" s="1"/>
  <c r="F16" i="14" s="1"/>
  <c r="E14" i="14"/>
  <c r="E79" i="8"/>
  <c r="G6" i="7"/>
  <c r="E10" i="14"/>
  <c r="K30" i="15" l="1"/>
  <c r="D45" i="14"/>
  <c r="I28" i="14"/>
  <c r="I30" i="14" s="1"/>
  <c r="I31" i="14" s="1"/>
  <c r="E16" i="14"/>
  <c r="E17" i="14" s="1"/>
  <c r="H772" i="10" l="1"/>
  <c r="H773" i="10"/>
  <c r="H775" i="10"/>
  <c r="H776" i="10"/>
  <c r="H777" i="10"/>
  <c r="H778" i="10"/>
  <c r="H779" i="10"/>
  <c r="H780" i="10"/>
  <c r="H783" i="10"/>
  <c r="H784" i="10"/>
  <c r="H785" i="10"/>
  <c r="E696" i="11"/>
  <c r="E697" i="11" s="1"/>
  <c r="E688" i="11"/>
  <c r="E689" i="11" s="1"/>
  <c r="E680" i="11"/>
  <c r="E681" i="11" s="1"/>
  <c r="E674" i="11"/>
  <c r="E675" i="11" s="1"/>
  <c r="E666" i="11"/>
  <c r="E667" i="11" s="1"/>
  <c r="E658" i="11"/>
  <c r="E659" i="11" s="1"/>
  <c r="F648" i="11"/>
  <c r="G648" i="11"/>
  <c r="H648" i="11"/>
  <c r="E648" i="11"/>
  <c r="E640" i="11"/>
  <c r="E639" i="11"/>
  <c r="E628" i="11"/>
  <c r="O616" i="11"/>
  <c r="E627" i="11" s="1"/>
  <c r="E581" i="11"/>
  <c r="E592" i="11"/>
  <c r="E591" i="11"/>
  <c r="E580" i="11"/>
  <c r="E567" i="11"/>
  <c r="E547" i="11"/>
  <c r="E545" i="11"/>
  <c r="E546" i="11" s="1"/>
  <c r="E514" i="11"/>
  <c r="E513" i="11"/>
  <c r="H501" i="11"/>
  <c r="G501" i="11"/>
  <c r="F501" i="11"/>
  <c r="E501" i="11"/>
  <c r="F500" i="11"/>
  <c r="G500" i="11"/>
  <c r="H500" i="11"/>
  <c r="E500" i="11"/>
  <c r="E490" i="11"/>
  <c r="E489" i="11"/>
  <c r="E491" i="11" s="1"/>
  <c r="E469" i="11"/>
  <c r="E470" i="11" s="1"/>
  <c r="E462" i="11"/>
  <c r="E460" i="11"/>
  <c r="E461" i="11" s="1"/>
  <c r="E435" i="11"/>
  <c r="E436" i="11" s="1"/>
  <c r="E430" i="11"/>
  <c r="E431" i="11" s="1"/>
  <c r="E425" i="11"/>
  <c r="E426" i="11" s="1"/>
  <c r="E420" i="11"/>
  <c r="E421" i="11" s="1"/>
  <c r="E415" i="11"/>
  <c r="E416" i="11" s="1"/>
  <c r="E411" i="11"/>
  <c r="E410" i="11"/>
  <c r="E398" i="11"/>
  <c r="L395" i="11"/>
  <c r="E381" i="11"/>
  <c r="E382" i="11" s="1"/>
  <c r="E377" i="11"/>
  <c r="E374" i="11"/>
  <c r="E371" i="11"/>
  <c r="E368" i="11"/>
  <c r="E362" i="11"/>
  <c r="E363" i="11" s="1"/>
  <c r="E356" i="11"/>
  <c r="E348" i="11"/>
  <c r="E347" i="11"/>
  <c r="H309" i="11"/>
  <c r="H310" i="11"/>
  <c r="G309" i="11"/>
  <c r="G310" i="11"/>
  <c r="G308" i="11"/>
  <c r="H308" i="11"/>
  <c r="M294" i="11"/>
  <c r="M293" i="11"/>
  <c r="K294" i="11"/>
  <c r="L294" i="11" s="1"/>
  <c r="K293" i="11"/>
  <c r="L293" i="11" s="1"/>
  <c r="E237" i="11"/>
  <c r="E224" i="11"/>
  <c r="E223" i="11"/>
  <c r="K183" i="11"/>
  <c r="K182" i="11"/>
  <c r="L174" i="11"/>
  <c r="L175" i="11"/>
  <c r="L176" i="11"/>
  <c r="L177" i="11"/>
  <c r="L178" i="11"/>
  <c r="L179" i="11"/>
  <c r="L180" i="11"/>
  <c r="L181" i="11"/>
  <c r="L173" i="11"/>
  <c r="K206" i="11"/>
  <c r="F142" i="11"/>
  <c r="E115" i="11"/>
  <c r="E114" i="11"/>
  <c r="E116" i="11" s="1"/>
  <c r="E136" i="11"/>
  <c r="L89" i="11"/>
  <c r="L60" i="11"/>
  <c r="L59" i="11"/>
  <c r="E69" i="11"/>
  <c r="E70" i="11" s="1"/>
  <c r="I30" i="11"/>
  <c r="D23" i="11"/>
  <c r="E59" i="11"/>
  <c r="L58" i="11"/>
  <c r="E91" i="5"/>
  <c r="E63" i="9"/>
  <c r="E153" i="6"/>
  <c r="F738" i="8"/>
  <c r="F739" i="8"/>
  <c r="D740" i="8"/>
  <c r="F740" i="8" s="1"/>
  <c r="F741" i="8"/>
  <c r="F742" i="8"/>
  <c r="F743" i="8"/>
  <c r="E748" i="8"/>
  <c r="E749" i="8" s="1"/>
  <c r="E736" i="8"/>
  <c r="E718" i="8"/>
  <c r="E711" i="8"/>
  <c r="E704" i="8"/>
  <c r="E698" i="8"/>
  <c r="E691" i="8"/>
  <c r="E674" i="8"/>
  <c r="E641" i="8"/>
  <c r="E640" i="8"/>
  <c r="E652" i="8"/>
  <c r="E566" i="8"/>
  <c r="E565" i="8"/>
  <c r="E585" i="8"/>
  <c r="E599" i="8"/>
  <c r="E623" i="8"/>
  <c r="G615" i="8"/>
  <c r="G616" i="8"/>
  <c r="G617" i="8"/>
  <c r="G618" i="8"/>
  <c r="G614" i="8"/>
  <c r="E548" i="8"/>
  <c r="E544" i="8"/>
  <c r="E541" i="8"/>
  <c r="G534" i="8"/>
  <c r="E521" i="8"/>
  <c r="E517" i="8"/>
  <c r="E513" i="8"/>
  <c r="E509" i="8"/>
  <c r="E504" i="8"/>
  <c r="E474" i="8"/>
  <c r="E464" i="8"/>
  <c r="I408" i="8"/>
  <c r="K401" i="8"/>
  <c r="G379" i="8"/>
  <c r="E371" i="8"/>
  <c r="E368" i="8"/>
  <c r="E365" i="8"/>
  <c r="E366" i="8" s="1"/>
  <c r="E363" i="8"/>
  <c r="E357" i="8"/>
  <c r="E351" i="8"/>
  <c r="E345" i="8"/>
  <c r="E339" i="8"/>
  <c r="E330" i="8"/>
  <c r="E329" i="8"/>
  <c r="N287" i="8"/>
  <c r="E273" i="8"/>
  <c r="E274" i="8" s="1"/>
  <c r="E265" i="8"/>
  <c r="E266" i="8" s="1"/>
  <c r="E183" i="8"/>
  <c r="N189" i="8"/>
  <c r="O198" i="8" s="1"/>
  <c r="I217" i="8"/>
  <c r="I218" i="8"/>
  <c r="J227" i="8"/>
  <c r="L227" i="8" s="1"/>
  <c r="K227" i="8"/>
  <c r="J228" i="8"/>
  <c r="L228" i="8" s="1"/>
  <c r="J229" i="8"/>
  <c r="L229" i="8" s="1"/>
  <c r="J230" i="8"/>
  <c r="L230" i="8" s="1"/>
  <c r="J231" i="8"/>
  <c r="L231" i="8" s="1"/>
  <c r="J232" i="8"/>
  <c r="L232" i="8" s="1"/>
  <c r="J233" i="8"/>
  <c r="L233" i="8" s="1"/>
  <c r="H234" i="8"/>
  <c r="H235" i="8"/>
  <c r="K242" i="8"/>
  <c r="L249" i="8" s="1"/>
  <c r="J255" i="8"/>
  <c r="J256" i="8"/>
  <c r="E176" i="8"/>
  <c r="E164" i="8"/>
  <c r="E156" i="8"/>
  <c r="E122" i="8"/>
  <c r="F96" i="8"/>
  <c r="L23" i="8"/>
  <c r="M34" i="8" s="1"/>
  <c r="E66" i="8"/>
  <c r="E377" i="7"/>
  <c r="E306" i="7"/>
  <c r="E303" i="7"/>
  <c r="H632" i="7"/>
  <c r="E635" i="7"/>
  <c r="E644" i="7"/>
  <c r="E556" i="7"/>
  <c r="E553" i="7"/>
  <c r="E548" i="7"/>
  <c r="E520" i="7"/>
  <c r="E483" i="7"/>
  <c r="E451" i="7"/>
  <c r="E409" i="7"/>
  <c r="E391" i="7"/>
  <c r="E384" i="7"/>
  <c r="E367" i="7"/>
  <c r="E364" i="7"/>
  <c r="M359" i="7"/>
  <c r="E328" i="7"/>
  <c r="F312" i="7"/>
  <c r="E300" i="7"/>
  <c r="E296" i="7"/>
  <c r="E287" i="7"/>
  <c r="E270" i="7"/>
  <c r="E264" i="7"/>
  <c r="F238" i="7"/>
  <c r="E666" i="7"/>
  <c r="E680" i="7"/>
  <c r="E795" i="7"/>
  <c r="E787" i="7"/>
  <c r="E781" i="7"/>
  <c r="E777" i="7"/>
  <c r="E758" i="7"/>
  <c r="E747" i="7"/>
  <c r="E718" i="7"/>
  <c r="E688" i="7"/>
  <c r="L214" i="7"/>
  <c r="K201" i="7"/>
  <c r="E65" i="8"/>
  <c r="P20" i="7"/>
  <c r="K4" i="7"/>
  <c r="E121" i="7"/>
  <c r="N115" i="7"/>
  <c r="N114" i="7"/>
  <c r="N112" i="7"/>
  <c r="E117" i="7" s="1"/>
  <c r="F137" i="7"/>
  <c r="E139" i="7" s="1"/>
  <c r="E61" i="7"/>
  <c r="H53" i="7"/>
  <c r="H54" i="7" s="1"/>
  <c r="E463" i="11" l="1"/>
  <c r="E593" i="11"/>
  <c r="E399" i="11"/>
  <c r="E641" i="11"/>
  <c r="E515" i="11"/>
  <c r="E60" i="11"/>
  <c r="F502" i="11"/>
  <c r="G502" i="11"/>
  <c r="H502" i="11"/>
  <c r="I308" i="11"/>
  <c r="E349" i="11"/>
  <c r="E412" i="11"/>
  <c r="N293" i="11"/>
  <c r="N294" i="11"/>
  <c r="E225" i="11"/>
  <c r="I309" i="11"/>
  <c r="E548" i="11"/>
  <c r="I310" i="11"/>
  <c r="E582" i="11"/>
  <c r="E629" i="11"/>
  <c r="E502" i="11"/>
  <c r="M33" i="8"/>
  <c r="M32" i="8"/>
  <c r="M30" i="8"/>
  <c r="M29" i="8"/>
  <c r="M28" i="8"/>
  <c r="M31" i="8"/>
  <c r="M23" i="8"/>
  <c r="M27" i="8"/>
  <c r="M38" i="8"/>
  <c r="M26" i="8"/>
  <c r="M37" i="8"/>
  <c r="M25" i="8"/>
  <c r="M36" i="8"/>
  <c r="M24" i="8"/>
  <c r="M35" i="8"/>
  <c r="O212" i="8"/>
  <c r="E642" i="8"/>
  <c r="O206" i="8"/>
  <c r="E622" i="8"/>
  <c r="E624" i="8" s="1"/>
  <c r="O207" i="8"/>
  <c r="O202" i="8"/>
  <c r="O216" i="8"/>
  <c r="O201" i="8"/>
  <c r="O209" i="8"/>
  <c r="O215" i="8"/>
  <c r="O214" i="8"/>
  <c r="O199" i="8"/>
  <c r="O211" i="8"/>
  <c r="O200" i="8"/>
  <c r="O213" i="8"/>
  <c r="O197" i="8"/>
  <c r="O210" i="8"/>
  <c r="O208" i="8"/>
  <c r="O196" i="8"/>
  <c r="O195" i="8"/>
  <c r="O194" i="8"/>
  <c r="L252" i="8"/>
  <c r="O191" i="8"/>
  <c r="O205" i="8"/>
  <c r="O204" i="8"/>
  <c r="L254" i="8"/>
  <c r="L248" i="8"/>
  <c r="E331" i="8"/>
  <c r="L247" i="8"/>
  <c r="L244" i="8"/>
  <c r="O193" i="8"/>
  <c r="O203" i="8"/>
  <c r="M227" i="8"/>
  <c r="L246" i="8"/>
  <c r="L245" i="8"/>
  <c r="L243" i="8"/>
  <c r="O192" i="8"/>
  <c r="L253" i="8"/>
  <c r="L242" i="8"/>
  <c r="O190" i="8"/>
  <c r="L251" i="8"/>
  <c r="O189" i="8"/>
  <c r="L250" i="8"/>
  <c r="E80" i="8"/>
  <c r="E81" i="8" s="1"/>
  <c r="E46" i="8"/>
  <c r="E47" i="8" s="1"/>
  <c r="E122" i="7"/>
  <c r="I168" i="7"/>
  <c r="K182" i="7"/>
  <c r="E67" i="8"/>
  <c r="E1048" i="10"/>
  <c r="E1049" i="10" s="1"/>
  <c r="E1042" i="10"/>
  <c r="E1043" i="10" s="1"/>
  <c r="E1037" i="10"/>
  <c r="E1038" i="10" s="1"/>
  <c r="E1030" i="10"/>
  <c r="E1029" i="10"/>
  <c r="E1007" i="10"/>
  <c r="E1008" i="10" s="1"/>
  <c r="E998" i="10"/>
  <c r="E999" i="10" s="1"/>
  <c r="E989" i="10"/>
  <c r="E988" i="10"/>
  <c r="E972" i="10"/>
  <c r="E973" i="10"/>
  <c r="E965" i="10"/>
  <c r="E964" i="10"/>
  <c r="J964" i="10"/>
  <c r="J963" i="10"/>
  <c r="J962" i="10"/>
  <c r="E936" i="10"/>
  <c r="J932" i="10"/>
  <c r="J931" i="10"/>
  <c r="J930" i="10"/>
  <c r="E935" i="10" s="1"/>
  <c r="E902" i="10"/>
  <c r="E901" i="10"/>
  <c r="E885" i="10"/>
  <c r="E760" i="10"/>
  <c r="E761" i="10" s="1"/>
  <c r="E738" i="10"/>
  <c r="E705" i="10"/>
  <c r="F684" i="10"/>
  <c r="F685" i="10" s="1"/>
  <c r="H672" i="10"/>
  <c r="E673" i="10" s="1"/>
  <c r="F656" i="10"/>
  <c r="F657" i="10" s="1"/>
  <c r="E631" i="10"/>
  <c r="E632" i="10" s="1"/>
  <c r="E606" i="10"/>
  <c r="E607" i="10" s="1"/>
  <c r="E608" i="10" s="1"/>
  <c r="E598" i="10"/>
  <c r="E591" i="10"/>
  <c r="E580" i="10"/>
  <c r="E581" i="10" s="1"/>
  <c r="E575" i="10"/>
  <c r="E576" i="10" s="1"/>
  <c r="E571" i="10"/>
  <c r="E572" i="10" s="1"/>
  <c r="E559" i="10"/>
  <c r="E527" i="10"/>
  <c r="E506" i="10"/>
  <c r="E507" i="10"/>
  <c r="E491" i="10"/>
  <c r="F467" i="10"/>
  <c r="F466" i="10"/>
  <c r="E449" i="10"/>
  <c r="E446" i="10"/>
  <c r="E448" i="10" s="1"/>
  <c r="E436" i="10"/>
  <c r="E438" i="10" s="1"/>
  <c r="K243" i="10"/>
  <c r="K242" i="10"/>
  <c r="E246" i="10"/>
  <c r="E245" i="10"/>
  <c r="E105" i="10"/>
  <c r="E104" i="10"/>
  <c r="E85" i="10"/>
  <c r="E84" i="10"/>
  <c r="E169" i="9"/>
  <c r="E170" i="9" s="1"/>
  <c r="E162" i="9"/>
  <c r="E163" i="9" s="1"/>
  <c r="E156" i="9"/>
  <c r="E157" i="9" s="1"/>
  <c r="E137" i="9"/>
  <c r="E144" i="9" s="1"/>
  <c r="E125" i="9"/>
  <c r="E126" i="9" s="1"/>
  <c r="E89" i="9"/>
  <c r="E90" i="9" s="1"/>
  <c r="E81" i="9"/>
  <c r="E82" i="9" s="1"/>
  <c r="E77" i="9"/>
  <c r="E78" i="9" s="1"/>
  <c r="E73" i="9"/>
  <c r="E74" i="9" s="1"/>
  <c r="E142" i="5"/>
  <c r="E143" i="5" s="1"/>
  <c r="E131" i="5"/>
  <c r="E132" i="5"/>
  <c r="E299" i="5"/>
  <c r="E301" i="5" s="1"/>
  <c r="E289" i="5"/>
  <c r="E280" i="5"/>
  <c r="E281" i="5" s="1"/>
  <c r="E271" i="5"/>
  <c r="E270" i="5"/>
  <c r="E110" i="5"/>
  <c r="E111" i="5" s="1"/>
  <c r="E103" i="5"/>
  <c r="E104" i="5" s="1"/>
  <c r="E256" i="5"/>
  <c r="E255" i="5"/>
  <c r="E92" i="5"/>
  <c r="E93" i="5" s="1"/>
  <c r="E87" i="5"/>
  <c r="E88" i="5" s="1"/>
  <c r="E211" i="5"/>
  <c r="E67" i="5"/>
  <c r="E198" i="5"/>
  <c r="E196" i="5"/>
  <c r="E195" i="5"/>
  <c r="E197" i="5" s="1"/>
  <c r="E185" i="5"/>
  <c r="E186" i="5"/>
  <c r="E178" i="5"/>
  <c r="E177" i="5"/>
  <c r="E169" i="5"/>
  <c r="E170" i="5" s="1"/>
  <c r="E154" i="5"/>
  <c r="E153" i="5"/>
  <c r="K843" i="8"/>
  <c r="K842" i="8"/>
  <c r="E855" i="8"/>
  <c r="E854" i="8"/>
  <c r="E844" i="8"/>
  <c r="K841" i="8"/>
  <c r="E843" i="8" s="1"/>
  <c r="E820" i="8"/>
  <c r="E864" i="8"/>
  <c r="E735" i="8"/>
  <c r="E737" i="8" s="1"/>
  <c r="E719" i="8"/>
  <c r="E712" i="8"/>
  <c r="E705" i="8"/>
  <c r="E699" i="8"/>
  <c r="E692" i="8"/>
  <c r="E673" i="8"/>
  <c r="E675" i="8" s="1"/>
  <c r="E598" i="8"/>
  <c r="E600" i="8" s="1"/>
  <c r="E583" i="8"/>
  <c r="E584" i="8" s="1"/>
  <c r="E586" i="8" s="1"/>
  <c r="E568" i="8"/>
  <c r="E562" i="8"/>
  <c r="E549" i="8"/>
  <c r="E545" i="8"/>
  <c r="E522" i="8"/>
  <c r="E518" i="8"/>
  <c r="E514" i="8"/>
  <c r="I491" i="8"/>
  <c r="E503" i="8" s="1"/>
  <c r="E505" i="8" s="1"/>
  <c r="E510" i="8"/>
  <c r="E475" i="8"/>
  <c r="I451" i="8"/>
  <c r="E463" i="8" s="1"/>
  <c r="E465" i="8" s="1"/>
  <c r="E372" i="8"/>
  <c r="E364" i="8"/>
  <c r="E344" i="8"/>
  <c r="E346" i="8" s="1"/>
  <c r="E281" i="8"/>
  <c r="E163" i="8"/>
  <c r="E165" i="8" s="1"/>
  <c r="O151" i="8"/>
  <c r="O142" i="8"/>
  <c r="O133" i="8"/>
  <c r="J120" i="8"/>
  <c r="E121" i="8" s="1"/>
  <c r="E123" i="8" s="1"/>
  <c r="E769" i="10"/>
  <c r="E770" i="10" s="1"/>
  <c r="O6" i="8"/>
  <c r="E796" i="7"/>
  <c r="E788" i="7"/>
  <c r="E774" i="7"/>
  <c r="E780" i="7" s="1"/>
  <c r="E782" i="7" s="1"/>
  <c r="E773" i="7"/>
  <c r="E776" i="7" s="1"/>
  <c r="E778" i="7" s="1"/>
  <c r="E759" i="7"/>
  <c r="E746" i="7"/>
  <c r="E748" i="7" s="1"/>
  <c r="O293" i="11" l="1"/>
  <c r="E503" i="11"/>
  <c r="E903" i="10"/>
  <c r="J308" i="11"/>
  <c r="E1031" i="10"/>
  <c r="E966" i="10"/>
  <c r="E937" i="10"/>
  <c r="E990" i="10"/>
  <c r="E974" i="10"/>
  <c r="P189" i="8"/>
  <c r="M242" i="8"/>
  <c r="E845" i="8"/>
  <c r="E450" i="10"/>
  <c r="E508" i="10"/>
  <c r="F468" i="10"/>
  <c r="E247" i="10"/>
  <c r="E86" i="10"/>
  <c r="E106" i="10"/>
  <c r="E155" i="5"/>
  <c r="E272" i="5"/>
  <c r="E290" i="5"/>
  <c r="E291" i="5" s="1"/>
  <c r="E257" i="5"/>
  <c r="E199" i="5"/>
  <c r="E179" i="5"/>
  <c r="E187" i="5"/>
  <c r="E856" i="8"/>
  <c r="E569" i="8"/>
  <c r="E155" i="8"/>
  <c r="E157" i="8" s="1"/>
  <c r="E717" i="7" l="1"/>
  <c r="E719" i="7" s="1"/>
  <c r="E687" i="7"/>
  <c r="E689" i="7" s="1"/>
  <c r="E681" i="7"/>
  <c r="E674" i="7"/>
  <c r="E667" i="7"/>
  <c r="E660" i="7"/>
  <c r="E653" i="7"/>
  <c r="E579" i="7"/>
  <c r="E557" i="7"/>
  <c r="E554" i="7"/>
  <c r="N511" i="7"/>
  <c r="N510" i="7"/>
  <c r="I538" i="7"/>
  <c r="E546" i="7" s="1"/>
  <c r="E547" i="7" s="1"/>
  <c r="E549" i="7" s="1"/>
  <c r="N509" i="7"/>
  <c r="E518" i="7" s="1"/>
  <c r="E519" i="7" s="1"/>
  <c r="E521" i="7" s="1"/>
  <c r="E479" i="7"/>
  <c r="E482" i="7" s="1"/>
  <c r="E484" i="7" s="1"/>
  <c r="I446" i="7"/>
  <c r="I445" i="7"/>
  <c r="I444" i="7"/>
  <c r="E450" i="7" s="1"/>
  <c r="E452" i="7" s="1"/>
  <c r="G407" i="7"/>
  <c r="E408" i="7" s="1"/>
  <c r="E410" i="7" s="1"/>
  <c r="F376" i="7"/>
  <c r="F377" i="7" s="1"/>
  <c r="E390" i="7"/>
  <c r="E392" i="7" s="1"/>
  <c r="E383" i="7"/>
  <c r="E385" i="7" s="1"/>
  <c r="E368" i="7"/>
  <c r="E307" i="7"/>
  <c r="E288" i="7"/>
  <c r="E269" i="7"/>
  <c r="E271" i="7" s="1"/>
  <c r="E232" i="7"/>
  <c r="E177" i="8"/>
  <c r="J409" i="8"/>
  <c r="J410" i="8"/>
  <c r="J411" i="8"/>
  <c r="J412" i="8"/>
  <c r="J413" i="8"/>
  <c r="J414" i="8"/>
  <c r="J408" i="8"/>
  <c r="H416" i="8"/>
  <c r="H415" i="8"/>
  <c r="L401" i="8"/>
  <c r="E365" i="7"/>
  <c r="N360" i="7"/>
  <c r="N359" i="7"/>
  <c r="H354" i="7"/>
  <c r="H353" i="7"/>
  <c r="I347" i="7"/>
  <c r="H335" i="7"/>
  <c r="F342" i="7"/>
  <c r="F341" i="7"/>
  <c r="E329" i="7"/>
  <c r="E322" i="7"/>
  <c r="E321" i="7"/>
  <c r="G313" i="7"/>
  <c r="G314" i="7"/>
  <c r="G315" i="7"/>
  <c r="G316" i="7"/>
  <c r="G317" i="7"/>
  <c r="G318" i="7"/>
  <c r="G319" i="7"/>
  <c r="G320" i="7"/>
  <c r="G312" i="7"/>
  <c r="E378" i="11"/>
  <c r="E375" i="11"/>
  <c r="E372" i="11"/>
  <c r="E416" i="10"/>
  <c r="E413" i="10"/>
  <c r="E410" i="10"/>
  <c r="E66" i="9"/>
  <c r="E369" i="8"/>
  <c r="E304" i="7"/>
  <c r="E301" i="7"/>
  <c r="E369" i="11"/>
  <c r="E357" i="11"/>
  <c r="E407" i="10"/>
  <c r="E401" i="10"/>
  <c r="E395" i="10"/>
  <c r="E60" i="9"/>
  <c r="E54" i="9"/>
  <c r="E358" i="8"/>
  <c r="E352" i="8"/>
  <c r="E297" i="7"/>
  <c r="G282" i="7"/>
  <c r="J331" i="11"/>
  <c r="J330" i="11"/>
  <c r="L322" i="11"/>
  <c r="L323" i="11"/>
  <c r="L324" i="11"/>
  <c r="L325" i="11"/>
  <c r="L326" i="11"/>
  <c r="L327" i="11"/>
  <c r="L328" i="11"/>
  <c r="L329" i="11"/>
  <c r="L321" i="11"/>
  <c r="F312" i="11"/>
  <c r="F311" i="11"/>
  <c r="H388" i="10"/>
  <c r="H387" i="10"/>
  <c r="J373" i="10"/>
  <c r="L373" i="10" s="1"/>
  <c r="J374" i="10"/>
  <c r="L374" i="10" s="1"/>
  <c r="J375" i="10"/>
  <c r="L375" i="10" s="1"/>
  <c r="J372" i="10"/>
  <c r="M365" i="10"/>
  <c r="M364" i="10"/>
  <c r="E359" i="10"/>
  <c r="E353" i="10"/>
  <c r="K340" i="10"/>
  <c r="K339" i="10"/>
  <c r="L332" i="10"/>
  <c r="L333" i="10"/>
  <c r="L334" i="10"/>
  <c r="L335" i="10"/>
  <c r="L336" i="10"/>
  <c r="L337" i="10"/>
  <c r="L338" i="10"/>
  <c r="L331" i="10"/>
  <c r="E324" i="10"/>
  <c r="E46" i="9"/>
  <c r="E48" i="9" s="1"/>
  <c r="E39" i="9"/>
  <c r="E41" i="9" s="1"/>
  <c r="E338" i="8"/>
  <c r="E340" i="8" s="1"/>
  <c r="L324" i="8"/>
  <c r="O288" i="8"/>
  <c r="O289" i="8"/>
  <c r="O290" i="8"/>
  <c r="O291" i="8"/>
  <c r="O292" i="8"/>
  <c r="O293" i="8"/>
  <c r="O294" i="8"/>
  <c r="O295" i="8"/>
  <c r="O296" i="8"/>
  <c r="O297" i="8"/>
  <c r="O298" i="8"/>
  <c r="O299" i="8"/>
  <c r="O300" i="8"/>
  <c r="O301" i="8"/>
  <c r="O302" i="8"/>
  <c r="O303" i="8"/>
  <c r="O304" i="8"/>
  <c r="O305" i="8"/>
  <c r="O306" i="8"/>
  <c r="O307" i="8"/>
  <c r="O308" i="8"/>
  <c r="O309" i="8"/>
  <c r="O310" i="8"/>
  <c r="O311" i="8"/>
  <c r="O312" i="8"/>
  <c r="O313" i="8"/>
  <c r="O314" i="8"/>
  <c r="O287" i="8"/>
  <c r="J316" i="8"/>
  <c r="J315" i="8"/>
  <c r="E263" i="7"/>
  <c r="E265" i="7" s="1"/>
  <c r="H257" i="7"/>
  <c r="H256" i="7"/>
  <c r="E251" i="7"/>
  <c r="G239" i="7"/>
  <c r="G240" i="7"/>
  <c r="G241" i="7"/>
  <c r="G242" i="7"/>
  <c r="G243" i="7"/>
  <c r="G238" i="7"/>
  <c r="E245" i="7"/>
  <c r="E244" i="7"/>
  <c r="E288" i="11"/>
  <c r="E275" i="11"/>
  <c r="E274" i="11"/>
  <c r="F269" i="11" s="1"/>
  <c r="F261" i="11"/>
  <c r="F260" i="11"/>
  <c r="G260" i="11" s="1"/>
  <c r="G252" i="11"/>
  <c r="H252" i="11"/>
  <c r="I252" i="11"/>
  <c r="J252" i="11"/>
  <c r="K252" i="11"/>
  <c r="F252" i="11"/>
  <c r="M251" i="11"/>
  <c r="L251" i="11"/>
  <c r="E238" i="11"/>
  <c r="E318" i="10"/>
  <c r="L306" i="10"/>
  <c r="K308" i="10"/>
  <c r="E298" i="10"/>
  <c r="E288" i="10"/>
  <c r="N270" i="10"/>
  <c r="M283" i="10"/>
  <c r="M282" i="10"/>
  <c r="G257" i="10"/>
  <c r="E33" i="9"/>
  <c r="E34" i="9"/>
  <c r="E26" i="9"/>
  <c r="E27" i="9"/>
  <c r="E228" i="7"/>
  <c r="J222" i="7"/>
  <c r="J221" i="7"/>
  <c r="K215" i="7"/>
  <c r="M215" i="7" s="1"/>
  <c r="K216" i="7"/>
  <c r="M216" i="7" s="1"/>
  <c r="K217" i="7"/>
  <c r="M217" i="7" s="1"/>
  <c r="K218" i="7"/>
  <c r="M218" i="7" s="1"/>
  <c r="K219" i="7"/>
  <c r="M219" i="7" s="1"/>
  <c r="K220" i="7"/>
  <c r="M220" i="7" s="1"/>
  <c r="K214" i="7"/>
  <c r="M214" i="7" s="1"/>
  <c r="I209" i="7"/>
  <c r="I208" i="7"/>
  <c r="J202" i="7"/>
  <c r="L202" i="7" s="1"/>
  <c r="J203" i="7"/>
  <c r="L203" i="7" s="1"/>
  <c r="J204" i="7"/>
  <c r="L204" i="7" s="1"/>
  <c r="J205" i="7"/>
  <c r="L205" i="7" s="1"/>
  <c r="J206" i="7"/>
  <c r="L206" i="7" s="1"/>
  <c r="J207" i="7"/>
  <c r="L207" i="7" s="1"/>
  <c r="J201" i="7"/>
  <c r="L201" i="7" s="1"/>
  <c r="J183" i="7"/>
  <c r="L183" i="7" s="1"/>
  <c r="J184" i="7"/>
  <c r="L184" i="7" s="1"/>
  <c r="J185" i="7"/>
  <c r="L185" i="7" s="1"/>
  <c r="J186" i="7"/>
  <c r="L186" i="7" s="1"/>
  <c r="J187" i="7"/>
  <c r="L187" i="7" s="1"/>
  <c r="J188" i="7"/>
  <c r="L188" i="7" s="1"/>
  <c r="J189" i="7"/>
  <c r="L189" i="7" s="1"/>
  <c r="J190" i="7"/>
  <c r="L190" i="7" s="1"/>
  <c r="J191" i="7"/>
  <c r="L191" i="7" s="1"/>
  <c r="J192" i="7"/>
  <c r="L192" i="7" s="1"/>
  <c r="J193" i="7"/>
  <c r="L193" i="7" s="1"/>
  <c r="J182" i="7"/>
  <c r="L182" i="7" s="1"/>
  <c r="G195" i="7"/>
  <c r="G194" i="7"/>
  <c r="F176" i="7"/>
  <c r="F175" i="7"/>
  <c r="H173" i="7"/>
  <c r="J173" i="7" s="1"/>
  <c r="H174" i="7"/>
  <c r="J174" i="7" s="1"/>
  <c r="H169" i="7"/>
  <c r="J169" i="7" s="1"/>
  <c r="H170" i="7"/>
  <c r="J170" i="7" s="1"/>
  <c r="H171" i="7"/>
  <c r="J171" i="7" s="1"/>
  <c r="H172" i="7"/>
  <c r="J172" i="7" s="1"/>
  <c r="H168" i="7"/>
  <c r="J168" i="7" s="1"/>
  <c r="H160" i="7"/>
  <c r="H159" i="7"/>
  <c r="J154" i="7"/>
  <c r="L154" i="7" s="1"/>
  <c r="J155" i="7"/>
  <c r="L155" i="7" s="1"/>
  <c r="J156" i="7"/>
  <c r="L156" i="7" s="1"/>
  <c r="J157" i="7"/>
  <c r="L157" i="7" s="1"/>
  <c r="F195" i="11"/>
  <c r="G195" i="11"/>
  <c r="H195" i="11"/>
  <c r="I195" i="11"/>
  <c r="E195" i="11"/>
  <c r="I183" i="11"/>
  <c r="I182" i="11"/>
  <c r="J174" i="11"/>
  <c r="J175" i="11"/>
  <c r="J176" i="11"/>
  <c r="J177" i="11"/>
  <c r="J178" i="11"/>
  <c r="J179" i="11"/>
  <c r="J180" i="11"/>
  <c r="J181" i="11"/>
  <c r="J173" i="11"/>
  <c r="E164" i="11"/>
  <c r="F163" i="11"/>
  <c r="E163" i="11"/>
  <c r="G143" i="11"/>
  <c r="G144" i="11"/>
  <c r="G145" i="11"/>
  <c r="G146" i="11"/>
  <c r="G147" i="11"/>
  <c r="G148" i="11"/>
  <c r="G149" i="11"/>
  <c r="G142" i="11"/>
  <c r="E151" i="11"/>
  <c r="E150" i="11"/>
  <c r="E137" i="11"/>
  <c r="M130" i="11"/>
  <c r="M129" i="11"/>
  <c r="O124" i="11"/>
  <c r="K106" i="11"/>
  <c r="K105" i="11"/>
  <c r="L90" i="11"/>
  <c r="L91" i="11"/>
  <c r="L93" i="11"/>
  <c r="L94" i="11"/>
  <c r="L95" i="11"/>
  <c r="L98" i="11"/>
  <c r="L99" i="11"/>
  <c r="L100" i="11"/>
  <c r="L102" i="11"/>
  <c r="L103" i="11"/>
  <c r="L104" i="11"/>
  <c r="E80" i="11"/>
  <c r="H81" i="11" s="1"/>
  <c r="D24" i="11"/>
  <c r="H20" i="11"/>
  <c r="H19" i="11"/>
  <c r="L13" i="11"/>
  <c r="L14" i="11"/>
  <c r="L15" i="11"/>
  <c r="L16" i="11"/>
  <c r="L17" i="11"/>
  <c r="L18" i="11"/>
  <c r="L12" i="11"/>
  <c r="E5" i="11"/>
  <c r="E7" i="11" s="1"/>
  <c r="O213" i="10"/>
  <c r="N213" i="10"/>
  <c r="E216" i="10"/>
  <c r="D199" i="10"/>
  <c r="D198" i="10"/>
  <c r="F193" i="10"/>
  <c r="G224" i="10" s="1"/>
  <c r="G187" i="10"/>
  <c r="G186" i="10"/>
  <c r="K181" i="10"/>
  <c r="K180" i="10"/>
  <c r="L166" i="10"/>
  <c r="L167" i="10"/>
  <c r="L168" i="10"/>
  <c r="L172" i="10"/>
  <c r="L173" i="10"/>
  <c r="L174" i="10"/>
  <c r="L175" i="10"/>
  <c r="L176" i="10"/>
  <c r="L177" i="10"/>
  <c r="L178" i="10"/>
  <c r="L179" i="10"/>
  <c r="L165" i="10"/>
  <c r="F160" i="10"/>
  <c r="F159" i="10"/>
  <c r="H151" i="10"/>
  <c r="H152" i="10"/>
  <c r="H153" i="10"/>
  <c r="H154" i="10"/>
  <c r="H155" i="10"/>
  <c r="H156" i="10"/>
  <c r="H157" i="10"/>
  <c r="H158" i="10"/>
  <c r="H159" i="10"/>
  <c r="H150" i="10"/>
  <c r="E144" i="10"/>
  <c r="K138" i="10"/>
  <c r="K137" i="10"/>
  <c r="P131" i="10"/>
  <c r="P132" i="10"/>
  <c r="P133" i="10"/>
  <c r="P134" i="10"/>
  <c r="P135" i="10"/>
  <c r="P136" i="10"/>
  <c r="P130" i="10"/>
  <c r="J119" i="10"/>
  <c r="J116" i="10"/>
  <c r="J113" i="10"/>
  <c r="G124" i="10"/>
  <c r="G123" i="10"/>
  <c r="E64" i="10"/>
  <c r="J57" i="10"/>
  <c r="J56" i="10"/>
  <c r="N26" i="10"/>
  <c r="N27" i="10"/>
  <c r="N28" i="10"/>
  <c r="N29" i="10"/>
  <c r="N32" i="10"/>
  <c r="N33" i="10"/>
  <c r="N34" i="10"/>
  <c r="N35" i="10"/>
  <c r="N38" i="10"/>
  <c r="N39" i="10"/>
  <c r="N40" i="10"/>
  <c r="N41" i="10"/>
  <c r="N44" i="10"/>
  <c r="N45" i="10"/>
  <c r="N46" i="10"/>
  <c r="N47" i="10"/>
  <c r="N48" i="10"/>
  <c r="N49" i="10"/>
  <c r="N52" i="10"/>
  <c r="N53" i="10"/>
  <c r="N54" i="10"/>
  <c r="N55" i="10"/>
  <c r="N25" i="10"/>
  <c r="M26" i="10"/>
  <c r="M27" i="10"/>
  <c r="M28" i="10"/>
  <c r="M29" i="10"/>
  <c r="M32" i="10"/>
  <c r="M33" i="10"/>
  <c r="M34" i="10"/>
  <c r="M35" i="10"/>
  <c r="M38" i="10"/>
  <c r="M39" i="10"/>
  <c r="M40" i="10"/>
  <c r="M41" i="10"/>
  <c r="M44" i="10"/>
  <c r="M45" i="10"/>
  <c r="M46" i="10"/>
  <c r="M47" i="10"/>
  <c r="M48" i="10"/>
  <c r="M49" i="10"/>
  <c r="M52" i="10"/>
  <c r="M53" i="10"/>
  <c r="M54" i="10"/>
  <c r="M55" i="10"/>
  <c r="M25" i="10"/>
  <c r="G18" i="10"/>
  <c r="G17" i="10"/>
  <c r="J6" i="10"/>
  <c r="J8" i="10"/>
  <c r="J9" i="10"/>
  <c r="J11" i="10"/>
  <c r="J12" i="10"/>
  <c r="J14" i="10"/>
  <c r="J15" i="10"/>
  <c r="J5" i="10"/>
  <c r="E18" i="9"/>
  <c r="L11" i="9"/>
  <c r="G97" i="8"/>
  <c r="G96" i="8"/>
  <c r="P7" i="8"/>
  <c r="P8" i="8"/>
  <c r="P9" i="8"/>
  <c r="P10" i="8"/>
  <c r="P11" i="8"/>
  <c r="P12" i="8"/>
  <c r="P13" i="8"/>
  <c r="P14" i="8"/>
  <c r="P15" i="8"/>
  <c r="P16" i="8"/>
  <c r="P6" i="8"/>
  <c r="I40" i="8"/>
  <c r="I39" i="8"/>
  <c r="M18" i="8"/>
  <c r="M17" i="8"/>
  <c r="F144" i="7"/>
  <c r="E148" i="7"/>
  <c r="E147" i="7"/>
  <c r="E86" i="7"/>
  <c r="E85" i="7"/>
  <c r="G83" i="7"/>
  <c r="I83" i="7" s="1"/>
  <c r="K83" i="7" s="1"/>
  <c r="G84" i="7"/>
  <c r="I84" i="7" s="1"/>
  <c r="K84" i="7" s="1"/>
  <c r="G82" i="7"/>
  <c r="I82" i="7" s="1"/>
  <c r="K82" i="7" s="1"/>
  <c r="G77" i="7"/>
  <c r="G76" i="7"/>
  <c r="K69" i="7"/>
  <c r="K70" i="7"/>
  <c r="K71" i="7"/>
  <c r="K72" i="7"/>
  <c r="K73" i="7"/>
  <c r="K74" i="7"/>
  <c r="K75" i="7"/>
  <c r="K68" i="7"/>
  <c r="M37" i="7"/>
  <c r="M36" i="7"/>
  <c r="M21" i="7"/>
  <c r="P21" i="7" s="1"/>
  <c r="E15" i="7"/>
  <c r="E14" i="7"/>
  <c r="G7" i="7"/>
  <c r="G8" i="7"/>
  <c r="G9" i="7"/>
  <c r="G10" i="7"/>
  <c r="G11" i="7"/>
  <c r="G12" i="7"/>
  <c r="G13" i="7"/>
  <c r="G5" i="7"/>
  <c r="E244" i="4"/>
  <c r="E246" i="4" s="1"/>
  <c r="E313" i="6"/>
  <c r="E306" i="6"/>
  <c r="E431" i="4"/>
  <c r="E138" i="5"/>
  <c r="E406" i="4"/>
  <c r="E479" i="3"/>
  <c r="E473" i="3"/>
  <c r="E477" i="2"/>
  <c r="E470" i="2"/>
  <c r="E1238" i="1"/>
  <c r="E423" i="4"/>
  <c r="E425" i="4" s="1"/>
  <c r="E1230" i="1"/>
  <c r="E1232" i="1" s="1"/>
  <c r="E1210" i="1"/>
  <c r="E1212" i="1" s="1"/>
  <c r="E1183" i="1"/>
  <c r="E1176" i="1"/>
  <c r="M87" i="11" l="1"/>
  <c r="M321" i="11"/>
  <c r="L183" i="11"/>
  <c r="H142" i="11"/>
  <c r="M12" i="11"/>
  <c r="E253" i="11"/>
  <c r="F165" i="11"/>
  <c r="N364" i="10"/>
  <c r="I387" i="10"/>
  <c r="I150" i="10"/>
  <c r="J150" i="10" s="1"/>
  <c r="K111" i="10"/>
  <c r="M165" i="10"/>
  <c r="Q130" i="10"/>
  <c r="H186" i="10"/>
  <c r="M331" i="10"/>
  <c r="O24" i="10"/>
  <c r="K5" i="10"/>
  <c r="K408" i="8"/>
  <c r="H312" i="7"/>
  <c r="O359" i="7"/>
  <c r="N214" i="7"/>
  <c r="H238" i="7"/>
  <c r="H5" i="7"/>
  <c r="K5" i="7" s="1"/>
  <c r="I256" i="7"/>
  <c r="L82" i="7"/>
  <c r="M182" i="7"/>
  <c r="M201" i="7"/>
  <c r="L68" i="7"/>
  <c r="K168" i="7"/>
  <c r="P287" i="8"/>
  <c r="H96" i="8"/>
  <c r="Q6" i="8"/>
  <c r="J377" i="10"/>
  <c r="J376" i="10"/>
  <c r="L372" i="10"/>
  <c r="N372" i="10" s="1"/>
  <c r="K309" i="10"/>
  <c r="L308" i="10"/>
  <c r="E196" i="11"/>
  <c r="F197" i="11" s="1"/>
  <c r="E165" i="11"/>
  <c r="K195" i="11"/>
  <c r="J195" i="11"/>
  <c r="M153" i="7"/>
  <c r="F217" i="10"/>
  <c r="G217" i="10"/>
  <c r="H217" i="10"/>
  <c r="I217" i="10"/>
  <c r="J217" i="10"/>
  <c r="K217" i="10"/>
  <c r="L217" i="10"/>
  <c r="E217" i="10"/>
  <c r="G194" i="10"/>
  <c r="G195" i="10"/>
  <c r="G196" i="10"/>
  <c r="G197" i="10"/>
  <c r="G193" i="10"/>
  <c r="E299" i="6"/>
  <c r="E291" i="6"/>
  <c r="E126" i="5"/>
  <c r="E397" i="4"/>
  <c r="E390" i="4"/>
  <c r="E466" i="3"/>
  <c r="E458" i="3"/>
  <c r="E464" i="2"/>
  <c r="E457" i="2"/>
  <c r="E1144" i="1"/>
  <c r="E1137" i="1"/>
  <c r="E1129" i="1"/>
  <c r="E1120" i="1"/>
  <c r="E1121" i="1" s="1"/>
  <c r="E270" i="6"/>
  <c r="E272" i="6" s="1"/>
  <c r="E274" i="6" s="1"/>
  <c r="E260" i="6"/>
  <c r="E262" i="6" s="1"/>
  <c r="E204" i="6"/>
  <c r="E205" i="6" s="1"/>
  <c r="E207" i="6" s="1"/>
  <c r="E282" i="6"/>
  <c r="E119" i="5"/>
  <c r="E379" i="4"/>
  <c r="E381" i="4" s="1"/>
  <c r="E361" i="4"/>
  <c r="E363" i="4" s="1"/>
  <c r="E346" i="4"/>
  <c r="E448" i="3"/>
  <c r="E450" i="3" s="1"/>
  <c r="E435" i="3"/>
  <c r="E437" i="3" s="1"/>
  <c r="E390" i="3"/>
  <c r="E392" i="3" s="1"/>
  <c r="E367" i="3"/>
  <c r="E357" i="3"/>
  <c r="E359" i="3" s="1"/>
  <c r="E338" i="3"/>
  <c r="E450" i="2"/>
  <c r="E442" i="2"/>
  <c r="E434" i="2"/>
  <c r="K396" i="2"/>
  <c r="E370" i="2"/>
  <c r="E371" i="2" s="1"/>
  <c r="E373" i="2" s="1"/>
  <c r="E416" i="2"/>
  <c r="E398" i="2"/>
  <c r="E1073" i="1"/>
  <c r="E1064" i="1"/>
  <c r="J1052" i="1"/>
  <c r="E1033" i="1"/>
  <c r="E1025" i="1"/>
  <c r="E1013" i="1"/>
  <c r="E1016" i="1" s="1"/>
  <c r="E355" i="2"/>
  <c r="E967" i="1"/>
  <c r="E860" i="1"/>
  <c r="E951" i="1"/>
  <c r="E936" i="1"/>
  <c r="E910" i="1"/>
  <c r="E911" i="1" s="1"/>
  <c r="E881" i="1"/>
  <c r="E882" i="1" s="1"/>
  <c r="E317" i="3"/>
  <c r="E329" i="3"/>
  <c r="E330" i="3" s="1"/>
  <c r="E323" i="3"/>
  <c r="E298" i="3"/>
  <c r="E275" i="3"/>
  <c r="E277" i="3" s="1"/>
  <c r="E196" i="6"/>
  <c r="E191" i="6"/>
  <c r="E108" i="5"/>
  <c r="E339" i="4"/>
  <c r="E335" i="4"/>
  <c r="E312" i="3"/>
  <c r="E346" i="2"/>
  <c r="E342" i="2"/>
  <c r="E851" i="1"/>
  <c r="E773" i="1"/>
  <c r="E758" i="1"/>
  <c r="E760" i="1" s="1"/>
  <c r="E846" i="1"/>
  <c r="E841" i="1"/>
  <c r="E824" i="1"/>
  <c r="E828" i="1" s="1"/>
  <c r="E809" i="1"/>
  <c r="E807" i="1"/>
  <c r="E788" i="1"/>
  <c r="E186" i="6"/>
  <c r="E182" i="6"/>
  <c r="E101" i="5"/>
  <c r="E331" i="4"/>
  <c r="E327" i="4"/>
  <c r="E307" i="3"/>
  <c r="E303" i="3"/>
  <c r="E336" i="2"/>
  <c r="E332" i="2"/>
  <c r="E736" i="1"/>
  <c r="E740" i="1"/>
  <c r="E733" i="1"/>
  <c r="I725" i="1"/>
  <c r="I726" i="1"/>
  <c r="I727" i="1"/>
  <c r="E178" i="6"/>
  <c r="E174" i="6"/>
  <c r="E96" i="5"/>
  <c r="E322" i="4"/>
  <c r="E318" i="4"/>
  <c r="E252" i="3"/>
  <c r="E254" i="3" s="1"/>
  <c r="E228" i="3"/>
  <c r="E328" i="2"/>
  <c r="E322" i="2"/>
  <c r="E695" i="1"/>
  <c r="E683" i="1"/>
  <c r="E679" i="1"/>
  <c r="G197" i="11" l="1"/>
  <c r="I197" i="11"/>
  <c r="H197" i="11"/>
  <c r="E197" i="11"/>
  <c r="E166" i="11"/>
  <c r="M303" i="10"/>
  <c r="H193" i="10"/>
  <c r="E218" i="10"/>
  <c r="N24" i="8"/>
  <c r="I729" i="1"/>
  <c r="E810" i="1"/>
  <c r="E170" i="6"/>
  <c r="E166" i="6"/>
  <c r="E314" i="4"/>
  <c r="E311" i="4"/>
  <c r="E224" i="3"/>
  <c r="E220" i="3"/>
  <c r="E318" i="2"/>
  <c r="E314" i="2"/>
  <c r="E657" i="1"/>
  <c r="E653" i="1"/>
  <c r="E649" i="1"/>
  <c r="E610" i="1"/>
  <c r="E645" i="1" s="1"/>
  <c r="E160" i="6"/>
  <c r="E309" i="2"/>
  <c r="E83" i="5"/>
  <c r="E307" i="4"/>
  <c r="E300" i="4"/>
  <c r="E216" i="3"/>
  <c r="E209" i="3"/>
  <c r="E302" i="2"/>
  <c r="E588" i="1"/>
  <c r="E582" i="1"/>
  <c r="E511" i="1"/>
  <c r="E533" i="1"/>
  <c r="E536" i="1"/>
  <c r="E537" i="1" s="1"/>
  <c r="E538" i="1" s="1"/>
  <c r="E575" i="1"/>
  <c r="E145" i="6"/>
  <c r="E147" i="6" s="1"/>
  <c r="E137" i="6"/>
  <c r="E139" i="6" s="1"/>
  <c r="E73" i="5"/>
  <c r="E75" i="5" s="1"/>
  <c r="E237" i="4"/>
  <c r="E239" i="4" s="1"/>
  <c r="E291" i="4"/>
  <c r="E289" i="4"/>
  <c r="E200" i="3"/>
  <c r="E202" i="3" s="1"/>
  <c r="E192" i="3"/>
  <c r="E194" i="3" s="1"/>
  <c r="E114" i="6"/>
  <c r="E293" i="2"/>
  <c r="E295" i="2" s="1"/>
  <c r="E282" i="2"/>
  <c r="E284" i="2" s="1"/>
  <c r="E497" i="1"/>
  <c r="E499" i="1" s="1"/>
  <c r="E488" i="1"/>
  <c r="E489" i="1" s="1"/>
  <c r="E490" i="1" s="1"/>
  <c r="E408" i="1"/>
  <c r="E409" i="1" s="1"/>
  <c r="E410" i="1" s="1"/>
  <c r="E454" i="1"/>
  <c r="E442" i="1"/>
  <c r="I428" i="1"/>
  <c r="E361" i="1"/>
  <c r="E382" i="1"/>
  <c r="E383" i="1" s="1"/>
  <c r="E384" i="1" s="1"/>
  <c r="E380" i="1"/>
  <c r="E131" i="6"/>
  <c r="E123" i="6"/>
  <c r="E61" i="5"/>
  <c r="E231" i="4"/>
  <c r="E223" i="4"/>
  <c r="E186" i="3"/>
  <c r="E178" i="3"/>
  <c r="E276" i="2"/>
  <c r="E269" i="2"/>
  <c r="E353" i="1"/>
  <c r="E280" i="1"/>
  <c r="E323" i="1"/>
  <c r="E325" i="1" s="1"/>
  <c r="E313" i="1"/>
  <c r="E315" i="1" s="1"/>
  <c r="E301" i="1"/>
  <c r="E105" i="6"/>
  <c r="E107" i="6" s="1"/>
  <c r="E82" i="6"/>
  <c r="E85" i="6" s="1"/>
  <c r="H71" i="6"/>
  <c r="V65" i="6"/>
  <c r="V60" i="6"/>
  <c r="V64" i="6"/>
  <c r="V63" i="6"/>
  <c r="V59" i="6"/>
  <c r="V58" i="6"/>
  <c r="V55" i="6"/>
  <c r="V54" i="6"/>
  <c r="V53" i="6"/>
  <c r="H40" i="6"/>
  <c r="H39" i="6"/>
  <c r="H38" i="6"/>
  <c r="E13" i="6"/>
  <c r="E14" i="6" s="1"/>
  <c r="E45" i="5"/>
  <c r="E47" i="5" s="1"/>
  <c r="G28" i="5"/>
  <c r="G27" i="5"/>
  <c r="O9" i="5"/>
  <c r="O8" i="5"/>
  <c r="N9" i="5"/>
  <c r="N8" i="5"/>
  <c r="E180" i="4"/>
  <c r="L129" i="4"/>
  <c r="L130" i="4"/>
  <c r="L131" i="4"/>
  <c r="L128" i="4"/>
  <c r="E214" i="4"/>
  <c r="E216" i="4" s="1"/>
  <c r="E195" i="4"/>
  <c r="E197" i="4" s="1"/>
  <c r="S158" i="4"/>
  <c r="S159" i="4"/>
  <c r="S160" i="4"/>
  <c r="S161" i="4"/>
  <c r="S157" i="4"/>
  <c r="V148" i="4"/>
  <c r="P160" i="4" s="1"/>
  <c r="N115" i="4"/>
  <c r="O115" i="4"/>
  <c r="P115" i="4"/>
  <c r="M115" i="4"/>
  <c r="E100" i="4"/>
  <c r="E102" i="4" s="1"/>
  <c r="E83" i="4"/>
  <c r="E60" i="4"/>
  <c r="E62" i="4" s="1"/>
  <c r="E42" i="4"/>
  <c r="E43" i="4" s="1"/>
  <c r="E23" i="4"/>
  <c r="E25" i="4" s="1"/>
  <c r="E198" i="11" l="1"/>
  <c r="G29" i="5"/>
  <c r="E292" i="4"/>
  <c r="E293" i="4" s="1"/>
  <c r="O12" i="5"/>
  <c r="F70" i="6"/>
  <c r="E512" i="1"/>
  <c r="E513" i="1" s="1"/>
  <c r="E134" i="4"/>
  <c r="E136" i="4" s="1"/>
  <c r="E443" i="1"/>
  <c r="E444" i="1" s="1"/>
  <c r="E446" i="1" s="1"/>
  <c r="H41" i="6"/>
  <c r="H42" i="6" s="1"/>
  <c r="H44" i="6" s="1"/>
  <c r="E70" i="6"/>
  <c r="G70" i="6"/>
  <c r="N12" i="5"/>
  <c r="T160" i="4"/>
  <c r="U160" i="4" s="1"/>
  <c r="P159" i="4"/>
  <c r="T159" i="4" s="1"/>
  <c r="U159" i="4" s="1"/>
  <c r="P155" i="4"/>
  <c r="T157" i="4" s="1"/>
  <c r="U157" i="4" s="1"/>
  <c r="P158" i="4"/>
  <c r="T158" i="4" s="1"/>
  <c r="U158" i="4" s="1"/>
  <c r="P161" i="4"/>
  <c r="T161" i="4" s="1"/>
  <c r="U161" i="4" s="1"/>
  <c r="H70" i="6" l="1"/>
  <c r="H72" i="6" s="1"/>
  <c r="H74" i="6" s="1"/>
  <c r="U162" i="4"/>
  <c r="G166" i="3"/>
  <c r="G168" i="3" s="1"/>
  <c r="G157" i="3"/>
  <c r="G159" i="3" s="1"/>
  <c r="L134" i="3"/>
  <c r="O134" i="3" s="1"/>
  <c r="J134" i="3"/>
  <c r="I134" i="3"/>
  <c r="H134" i="3"/>
  <c r="G134" i="3"/>
  <c r="G122" i="3"/>
  <c r="G123" i="3" s="1"/>
  <c r="G124" i="3" s="1"/>
  <c r="H99" i="3"/>
  <c r="H100" i="3" s="1"/>
  <c r="G78" i="3"/>
  <c r="G79" i="3" s="1"/>
  <c r="G81" i="3" s="1"/>
  <c r="G62" i="3"/>
  <c r="G63" i="3" s="1"/>
  <c r="G65" i="3" s="1"/>
  <c r="G42" i="3"/>
  <c r="G44" i="3" s="1"/>
  <c r="J13" i="3"/>
  <c r="J14" i="3" s="1"/>
  <c r="F258" i="2"/>
  <c r="F260" i="2" s="1"/>
  <c r="G258" i="2"/>
  <c r="AC210" i="2"/>
  <c r="AC211" i="2" s="1"/>
  <c r="AC190" i="2"/>
  <c r="AC192" i="2" s="1"/>
  <c r="W190" i="2"/>
  <c r="V190" i="2"/>
  <c r="E258" i="2"/>
  <c r="L167" i="2"/>
  <c r="L168" i="2"/>
  <c r="L169" i="2"/>
  <c r="L170" i="2"/>
  <c r="L171" i="2"/>
  <c r="L172" i="2"/>
  <c r="L173" i="2"/>
  <c r="L174" i="2"/>
  <c r="L175" i="2"/>
  <c r="L176" i="2"/>
  <c r="L177" i="2"/>
  <c r="L178" i="2"/>
  <c r="L179" i="2"/>
  <c r="L180" i="2"/>
  <c r="L181" i="2"/>
  <c r="L182" i="2"/>
  <c r="L183" i="2"/>
  <c r="L184" i="2"/>
  <c r="L185" i="2"/>
  <c r="L186" i="2"/>
  <c r="L187" i="2"/>
  <c r="L188" i="2"/>
  <c r="L189" i="2"/>
  <c r="L190" i="2"/>
  <c r="L166" i="2"/>
  <c r="K157" i="2"/>
  <c r="K159" i="2" s="1"/>
  <c r="J137" i="2"/>
  <c r="J139" i="2" s="1"/>
  <c r="E110" i="2"/>
  <c r="E112" i="2" s="1"/>
  <c r="E95" i="2"/>
  <c r="E97" i="2" s="1"/>
  <c r="E81" i="2"/>
  <c r="J37" i="2"/>
  <c r="J39" i="2" s="1"/>
  <c r="E24" i="2"/>
  <c r="E26" i="2" s="1"/>
  <c r="J271" i="1"/>
  <c r="J273" i="1" s="1"/>
  <c r="K239" i="1"/>
  <c r="M239" i="1" s="1"/>
  <c r="H228" i="1"/>
  <c r="M134" i="3" l="1"/>
  <c r="N134" i="3"/>
  <c r="F83" i="3"/>
  <c r="W192" i="2"/>
  <c r="L193" i="2"/>
  <c r="K215" i="1"/>
  <c r="K217" i="1" s="1"/>
  <c r="K189" i="1"/>
  <c r="L189" i="1" s="1"/>
  <c r="M189" i="1" s="1"/>
  <c r="N189" i="1" s="1"/>
  <c r="K191" i="1"/>
  <c r="L191" i="1" s="1"/>
  <c r="M191" i="1" s="1"/>
  <c r="N191" i="1" s="1"/>
  <c r="K192" i="1"/>
  <c r="L192" i="1" s="1"/>
  <c r="M192" i="1" s="1"/>
  <c r="N192" i="1" s="1"/>
  <c r="K188" i="1"/>
  <c r="L188" i="1" s="1"/>
  <c r="M188" i="1" s="1"/>
  <c r="N188" i="1" s="1"/>
  <c r="K180" i="1"/>
  <c r="K179" i="1"/>
  <c r="E167" i="1"/>
  <c r="J161" i="1"/>
  <c r="K159" i="1"/>
  <c r="K161" i="1" s="1"/>
  <c r="M140" i="1"/>
  <c r="M124" i="1"/>
  <c r="E106" i="1"/>
  <c r="J83" i="1"/>
  <c r="J84" i="1" s="1"/>
  <c r="J85" i="1" s="1"/>
  <c r="J86" i="1" s="1"/>
  <c r="I83" i="1"/>
  <c r="I84" i="1" s="1"/>
  <c r="I85" i="1" s="1"/>
  <c r="I86" i="1" s="1"/>
  <c r="H83" i="1"/>
  <c r="H84" i="1" s="1"/>
  <c r="H85" i="1" s="1"/>
  <c r="H86" i="1" s="1"/>
  <c r="G83" i="1"/>
  <c r="G84" i="1" s="1"/>
  <c r="G85" i="1" s="1"/>
  <c r="G86" i="1" s="1"/>
  <c r="F83" i="1"/>
  <c r="F84" i="1" s="1"/>
  <c r="F85" i="1" s="1"/>
  <c r="F86" i="1" s="1"/>
  <c r="E83" i="1"/>
  <c r="E84" i="1" s="1"/>
  <c r="E85" i="1" s="1"/>
  <c r="E86" i="1" s="1"/>
  <c r="F64" i="1"/>
  <c r="F65" i="1" s="1"/>
  <c r="F66" i="1" s="1"/>
  <c r="F67" i="1" s="1"/>
  <c r="G64" i="1"/>
  <c r="G65" i="1" s="1"/>
  <c r="G66" i="1" s="1"/>
  <c r="G67" i="1" s="1"/>
  <c r="H64" i="1"/>
  <c r="H65" i="1" s="1"/>
  <c r="H66" i="1" s="1"/>
  <c r="H67" i="1" s="1"/>
  <c r="I64" i="1"/>
  <c r="I65" i="1" s="1"/>
  <c r="I66" i="1" s="1"/>
  <c r="I67" i="1" s="1"/>
  <c r="J64" i="1"/>
  <c r="J65" i="1" s="1"/>
  <c r="J66" i="1" s="1"/>
  <c r="J67" i="1" s="1"/>
  <c r="E64" i="1"/>
  <c r="E65" i="1" s="1"/>
  <c r="E66" i="1" s="1"/>
  <c r="E67" i="1" s="1"/>
  <c r="Q42" i="1"/>
  <c r="K26" i="1"/>
  <c r="K27" i="1"/>
  <c r="K28" i="1"/>
  <c r="K29" i="1"/>
  <c r="K30" i="1"/>
  <c r="K25" i="1"/>
  <c r="J31" i="1"/>
  <c r="J8" i="1"/>
  <c r="K8" i="1" s="1"/>
  <c r="L8" i="1" s="1"/>
  <c r="M8" i="1" s="1"/>
  <c r="J9" i="1"/>
  <c r="K9" i="1" s="1"/>
  <c r="L9" i="1" s="1"/>
  <c r="M9" i="1" s="1"/>
  <c r="J10" i="1"/>
  <c r="K10" i="1" s="1"/>
  <c r="L10" i="1" s="1"/>
  <c r="M10" i="1" s="1"/>
  <c r="J11" i="1"/>
  <c r="K11" i="1" s="1"/>
  <c r="L11" i="1" s="1"/>
  <c r="M11" i="1" s="1"/>
  <c r="J12" i="1"/>
  <c r="K12" i="1" s="1"/>
  <c r="L12" i="1" s="1"/>
  <c r="M12" i="1" s="1"/>
  <c r="J13" i="1"/>
  <c r="K13" i="1" s="1"/>
  <c r="L13" i="1" s="1"/>
  <c r="M13" i="1" s="1"/>
  <c r="J14" i="1"/>
  <c r="K14" i="1" s="1"/>
  <c r="L14" i="1" s="1"/>
  <c r="M14" i="1" s="1"/>
  <c r="J15" i="1"/>
  <c r="K15" i="1" s="1"/>
  <c r="L15" i="1" s="1"/>
  <c r="M15" i="1" s="1"/>
  <c r="J16" i="1"/>
  <c r="K16" i="1" s="1"/>
  <c r="L16" i="1" s="1"/>
  <c r="M16" i="1" s="1"/>
  <c r="J17" i="1"/>
  <c r="K17" i="1" s="1"/>
  <c r="L17" i="1" s="1"/>
  <c r="M17" i="1" s="1"/>
  <c r="J18" i="1"/>
  <c r="K18" i="1" s="1"/>
  <c r="L18" i="1" s="1"/>
  <c r="M18" i="1" s="1"/>
  <c r="J7" i="1"/>
  <c r="G136" i="3" l="1"/>
  <c r="G137" i="3" s="1"/>
  <c r="L194" i="2"/>
  <c r="K181" i="1"/>
  <c r="N193" i="1"/>
  <c r="E68" i="1"/>
  <c r="E87" i="1"/>
  <c r="R42" i="1"/>
  <c r="K7" i="1"/>
  <c r="L7" i="1" s="1"/>
  <c r="M7" i="1" s="1"/>
  <c r="M19" i="1" s="1"/>
  <c r="K31" i="1"/>
  <c r="S42" i="1" l="1"/>
  <c r="T42" i="1" s="1"/>
  <c r="E860" i="10" l="1"/>
  <c r="E861" i="10" s="1"/>
  <c r="E886" i="10" l="1"/>
  <c r="E887" i="10" s="1"/>
  <c r="E846" i="10"/>
  <c r="E847" i="10" s="1"/>
  <c r="E567" i="10"/>
  <c r="E568" i="10" s="1"/>
  <c r="E837" i="10" l="1"/>
  <c r="E838" i="10" s="1"/>
  <c r="E829" i="10"/>
  <c r="E830" i="10" s="1"/>
  <c r="E815" i="10"/>
  <c r="E816" i="10" s="1"/>
  <c r="E560" i="10"/>
  <c r="E561" i="10" s="1"/>
  <c r="E808" i="10"/>
  <c r="E809" i="10" s="1"/>
  <c r="E492" i="10"/>
  <c r="E493" i="10" s="1"/>
  <c r="E536" i="10"/>
  <c r="E537" i="10" s="1"/>
  <c r="E746" i="10"/>
  <c r="E747" i="10" s="1"/>
  <c r="E528" i="10"/>
  <c r="E529" i="10" s="1"/>
  <c r="E516" i="10"/>
  <c r="E517" i="10" s="1"/>
  <c r="E728" i="10"/>
  <c r="E729" i="10" s="1"/>
  <c r="E853" i="10" l="1"/>
  <c r="E854" i="10" s="1"/>
  <c r="E584" i="10"/>
  <c r="E585" i="10" s="1"/>
  <c r="E674" i="10"/>
  <c r="E675" i="10" s="1"/>
  <c r="E718" i="10"/>
  <c r="E719" i="10" s="1"/>
  <c r="E706" i="10"/>
  <c r="E707" i="10" s="1"/>
  <c r="E692" i="10"/>
  <c r="E149" i="9"/>
  <c r="E150" i="9" s="1"/>
  <c r="E85" i="9"/>
  <c r="E86" i="9" s="1"/>
  <c r="E96" i="9"/>
  <c r="E97" i="9" s="1"/>
  <c r="E69" i="9"/>
  <c r="E70" i="9" s="1"/>
  <c r="F692" i="10" l="1"/>
  <c r="F693" i="10" s="1"/>
  <c r="E693" i="10"/>
  <c r="E694"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Wei, Yujun</author>
  </authors>
  <commentList>
    <comment ref="D2" authorId="0" shapeId="0" xr:uid="{DC6A9B34-8F66-4F34-AC4D-41041B2273F4}">
      <text>
        <r>
          <rPr>
            <b/>
            <sz val="9"/>
            <color indexed="81"/>
            <rFont val="Tahoma"/>
            <family val="2"/>
          </rPr>
          <t>Wei, Yujun:</t>
        </r>
        <r>
          <rPr>
            <sz val="9"/>
            <color indexed="81"/>
            <rFont val="Tahoma"/>
            <family val="2"/>
          </rPr>
          <t xml:space="preserve">
Application of industrial amylolytic yeast strains for the production of bioethanol from broken rice</t>
        </r>
      </text>
    </comment>
    <comment ref="D21" authorId="0" shapeId="0" xr:uid="{94714A6B-4F51-46DC-8B04-CAD681FFAF3D}">
      <text>
        <r>
          <rPr>
            <b/>
            <sz val="9"/>
            <color indexed="81"/>
            <rFont val="Tahoma"/>
            <family val="2"/>
          </rPr>
          <t>Wei, Yujun:</t>
        </r>
        <r>
          <rPr>
            <sz val="9"/>
            <color indexed="81"/>
            <rFont val="Tahoma"/>
            <family val="2"/>
          </rPr>
          <t xml:space="preserve">
Improving alkaline pretreatment method for preparation of whole rice waste biomass feedstock and bioethanol production</t>
        </r>
      </text>
    </comment>
  </commentList>
</comments>
</file>

<file path=xl/sharedStrings.xml><?xml version="1.0" encoding="utf-8"?>
<sst xmlns="http://schemas.openxmlformats.org/spreadsheetml/2006/main" count="22043" uniqueCount="7201">
  <si>
    <t>Chemical</t>
  </si>
  <si>
    <t>FL</t>
  </si>
  <si>
    <t>Ethanol</t>
  </si>
  <si>
    <t>Rice</t>
  </si>
  <si>
    <t>Ref 1</t>
  </si>
  <si>
    <t>https://www.sciencedirect.com/science/article/pii/S096085241931452X?pes=vor#s0010</t>
  </si>
  <si>
    <t>Table 2</t>
  </si>
  <si>
    <t>Application of industrial amylolytic yeast strains for the production of bioethanol from broken rice</t>
  </si>
  <si>
    <t>C6H12O6 = 2 C2H5OH + 2 CO2</t>
  </si>
  <si>
    <t>The glucose in Rice: 82.67% (g/g)</t>
  </si>
  <si>
    <t>Strain (fermentation configuration)</t>
  </si>
  <si>
    <t>Ethanol (g/L)</t>
  </si>
  <si>
    <t>Q (g/L/h) b</t>
  </si>
  <si>
    <t>Carbon conversion (mol C)c</t>
  </si>
  <si>
    <t>Empty Cell</t>
  </si>
  <si>
    <t>Theoretical yield g ethanol /L</t>
  </si>
  <si>
    <t>Glucose needed to produce theoretical ethanol  yield (g/L)</t>
  </si>
  <si>
    <t>Rice needed (g)</t>
  </si>
  <si>
    <t>Yield (g ethanol/g rice)</t>
  </si>
  <si>
    <t>(%)</t>
  </si>
  <si>
    <t>ER (SSF)d</t>
  </si>
  <si>
    <t>96 h</t>
  </si>
  <si>
    <t>ER T12 (supplemented CBP)e</t>
  </si>
  <si>
    <t>ER T12 (CBP)</t>
  </si>
  <si>
    <t>M2n (SSF)d</t>
  </si>
  <si>
    <t>M2n T1 (supplemented CBP)e</t>
  </si>
  <si>
    <t>M2n T1 (CBP)</t>
  </si>
  <si>
    <t>168 h</t>
  </si>
  <si>
    <t>AVRG</t>
  </si>
  <si>
    <t xml:space="preserve">Ref 2 </t>
  </si>
  <si>
    <t>https://pubs.rsc.org/en/content/articlelanding/2015/ra/c5ra17797a</t>
  </si>
  <si>
    <t>Table 4</t>
  </si>
  <si>
    <t>Improving alkaline pretreatment method for preparation of whole rice waste biomass feedstock and bioethanol production</t>
  </si>
  <si>
    <t>RWB hydrolysates</t>
  </si>
  <si>
    <r>
      <t>Initial sugar concentration (g L</t>
    </r>
    <r>
      <rPr>
        <b/>
        <vertAlign val="superscript"/>
        <sz val="12"/>
        <color theme="1"/>
        <rFont val="Source Sans Pro"/>
        <family val="2"/>
      </rPr>
      <t>−1</t>
    </r>
    <r>
      <rPr>
        <b/>
        <sz val="12"/>
        <color theme="1"/>
        <rFont val="Source Sans Pro"/>
        <family val="2"/>
      </rPr>
      <t>)</t>
    </r>
  </si>
  <si>
    <t>Sugar consumption (%)</t>
  </si>
  <si>
    <r>
      <t>Ethanol (g L</t>
    </r>
    <r>
      <rPr>
        <b/>
        <vertAlign val="superscript"/>
        <sz val="12"/>
        <color theme="1"/>
        <rFont val="Source Sans Pro"/>
        <family val="2"/>
      </rPr>
      <t>−1</t>
    </r>
    <r>
      <rPr>
        <b/>
        <sz val="12"/>
        <color theme="1"/>
        <rFont val="Source Sans Pro"/>
        <family val="2"/>
      </rPr>
      <t>)</t>
    </r>
  </si>
  <si>
    <r>
      <t>Volumetric ethanol production (g L</t>
    </r>
    <r>
      <rPr>
        <b/>
        <vertAlign val="superscript"/>
        <sz val="12"/>
        <color theme="1"/>
        <rFont val="Source Sans Pro"/>
        <family val="2"/>
      </rPr>
      <t>−1</t>
    </r>
    <r>
      <rPr>
        <b/>
        <sz val="12"/>
        <color theme="1"/>
        <rFont val="Source Sans Pro"/>
        <family val="2"/>
      </rPr>
      <t> h</t>
    </r>
    <r>
      <rPr>
        <b/>
        <vertAlign val="superscript"/>
        <sz val="12"/>
        <color theme="1"/>
        <rFont val="Source Sans Pro"/>
        <family val="2"/>
      </rPr>
      <t>−1</t>
    </r>
    <r>
      <rPr>
        <b/>
        <sz val="12"/>
        <color theme="1"/>
        <rFont val="Source Sans Pro"/>
        <family val="2"/>
      </rPr>
      <t>)</t>
    </r>
  </si>
  <si>
    <r>
      <t>Ethanol yield (g g</t>
    </r>
    <r>
      <rPr>
        <b/>
        <vertAlign val="superscript"/>
        <sz val="12"/>
        <color theme="1"/>
        <rFont val="Source Sans Pro"/>
        <family val="2"/>
      </rPr>
      <t>−1</t>
    </r>
    <r>
      <rPr>
        <b/>
        <sz val="12"/>
        <color theme="1"/>
        <rFont val="Source Sans Pro"/>
        <family val="2"/>
      </rPr>
      <t>)</t>
    </r>
  </si>
  <si>
    <t>Ethanol yield (g g−1sugar )</t>
  </si>
  <si>
    <t>Ethanol yield (g g−1 rice )</t>
  </si>
  <si>
    <t>NaOH</t>
  </si>
  <si>
    <t>90 ± 0.85</t>
  </si>
  <si>
    <t>8.35 ± 0.55</t>
  </si>
  <si>
    <t>0.23 ± 0.01</t>
  </si>
  <si>
    <t>0.463 ± 0.01</t>
  </si>
  <si>
    <r>
      <t>NaOH + H</t>
    </r>
    <r>
      <rPr>
        <vertAlign val="subscript"/>
        <sz val="12"/>
        <color theme="1"/>
        <rFont val="Source Sans Pro"/>
        <family val="2"/>
      </rPr>
      <t>2</t>
    </r>
    <r>
      <rPr>
        <sz val="12"/>
        <color theme="1"/>
        <rFont val="Source Sans Pro"/>
        <family val="2"/>
      </rPr>
      <t>O</t>
    </r>
    <r>
      <rPr>
        <vertAlign val="subscript"/>
        <sz val="12"/>
        <color theme="1"/>
        <rFont val="Source Sans Pro"/>
        <family val="2"/>
      </rPr>
      <t>2</t>
    </r>
  </si>
  <si>
    <t>94 ± 0.92</t>
  </si>
  <si>
    <t>8.65 ± 0.54</t>
  </si>
  <si>
    <t>0.24 ± 0.02</t>
  </si>
  <si>
    <t>0.460 ± 0.02</t>
  </si>
  <si>
    <t>NaOH + ASC</t>
  </si>
  <si>
    <t>95 ± 0.88</t>
  </si>
  <si>
    <t>8.82 ± 0.61</t>
  </si>
  <si>
    <t>0.25 ± 0.01</t>
  </si>
  <si>
    <t>0.464 ± 0.02</t>
  </si>
  <si>
    <t>NaOH + SB</t>
  </si>
  <si>
    <t>8.75 ± 0.64</t>
  </si>
  <si>
    <t>0.24 ± 0.01</t>
  </si>
  <si>
    <t>0.465 ± 0.02</t>
  </si>
  <si>
    <t>NaOH + ASC + SB</t>
  </si>
  <si>
    <t>95 ± 0.85</t>
  </si>
  <si>
    <t>8.85 ± 0.63</t>
  </si>
  <si>
    <t>0.25 ± 0.02</t>
  </si>
  <si>
    <t>0.465 ± 0.03</t>
  </si>
  <si>
    <t>Mixture of sugars</t>
  </si>
  <si>
    <t>94 ± 0.85</t>
  </si>
  <si>
    <t>8.84 ± 0.55</t>
  </si>
  <si>
    <t>0.470 ± 0.03</t>
  </si>
  <si>
    <t>Ref 3</t>
  </si>
  <si>
    <t>https://www.sciencedirect.com/science/article/pii/S0196890424000463?pes=vor#b0250</t>
  </si>
  <si>
    <t>Consolidated bioprocessing of the organic fraction of municipal solid waste into bioethanol</t>
  </si>
  <si>
    <r>
      <t>Table 2. Conversion of OFMSW, BP and DR to ethanol and other byproducts, separately or in combination, using </t>
    </r>
    <r>
      <rPr>
        <i/>
        <sz val="11"/>
        <color rgb="FF1F1F1F"/>
        <rFont val="Georgia"/>
        <family val="1"/>
      </rPr>
      <t>S. cerevisiae</t>
    </r>
    <r>
      <rPr>
        <sz val="11"/>
        <color rgb="FF1F1F1F"/>
        <rFont val="Georgia"/>
        <family val="1"/>
      </rPr>
      <t> parental strain ER V1 and its recombinant ER T12.7, after 72 or 96 h.</t>
    </r>
  </si>
  <si>
    <t>Time (h)</t>
  </si>
  <si>
    <t>Product (g/L)</t>
  </si>
  <si>
    <t>OFMSW</t>
  </si>
  <si>
    <t>BP</t>
  </si>
  <si>
    <r>
      <t>Enriched OFMSW </t>
    </r>
    <r>
      <rPr>
        <b/>
        <sz val="8"/>
        <color theme="1"/>
        <rFont val="Georgia"/>
        <family val="1"/>
      </rPr>
      <t>a</t>
    </r>
  </si>
  <si>
    <t>DR (discolored rice)</t>
  </si>
  <si>
    <t>Enriched OFMSW + DR</t>
  </si>
  <si>
    <t>Ethanol production (g/L)</t>
  </si>
  <si>
    <t>Ethanol yield (% of the theoretical yield)</t>
  </si>
  <si>
    <t>ER V1</t>
  </si>
  <si>
    <t>ER T12.7</t>
  </si>
  <si>
    <t>Glucose</t>
  </si>
  <si>
    <t>0.07 ± 0.02</t>
  </si>
  <si>
    <t>0.38 ± 0.09</t>
  </si>
  <si>
    <t>0.12 ± 0.01</t>
  </si>
  <si>
    <t>0.19 ± 0.01</t>
  </si>
  <si>
    <t>0.18 ± 0.01</t>
  </si>
  <si>
    <t>0.30 ± 0.02</t>
  </si>
  <si>
    <t>0.27 ± 0.02</t>
  </si>
  <si>
    <t>2.39 ± 0.16</t>
  </si>
  <si>
    <t>Maltose</t>
  </si>
  <si>
    <t>0.07 ± 0.01</t>
  </si>
  <si>
    <t>0.24 ± 0.05</t>
  </si>
  <si>
    <t>0.11 ± 0.02</t>
  </si>
  <si>
    <t>0.65 ± 0.01</t>
  </si>
  <si>
    <t>0.78 ± 0.04</t>
  </si>
  <si>
    <t>0.08 ± 0.005</t>
  </si>
  <si>
    <t>0.87 ± 0.05</t>
  </si>
  <si>
    <t>0.22 ± 0.01</t>
  </si>
  <si>
    <t>0.64 ± 0.04</t>
  </si>
  <si>
    <t>Glycerol</t>
  </si>
  <si>
    <t>0.38 ± 0.03</t>
  </si>
  <si>
    <t>0.49 ± 0.02</t>
  </si>
  <si>
    <t>0.20 ± 0.18</t>
  </si>
  <si>
    <t>2.62 ± 0.04</t>
  </si>
  <si>
    <t>0.92 ± 0.06</t>
  </si>
  <si>
    <t>1.07 ± 0.07</t>
  </si>
  <si>
    <t>1.21 ± 0.07</t>
  </si>
  <si>
    <t>4.02 ± 0.23</t>
  </si>
  <si>
    <t>0.97 ± 0.07</t>
  </si>
  <si>
    <t>4.85 ± 0.31</t>
  </si>
  <si>
    <t>3.95 ± 0.15</t>
  </si>
  <si>
    <t>6.39 ± 0.45</t>
  </si>
  <si>
    <t>6.68 ± 0.44</t>
  </si>
  <si>
    <t>23.30 ± 0.55</t>
  </si>
  <si>
    <t>5.58 ± 0.31</t>
  </si>
  <si>
    <t>11.28 ± 0.76</t>
  </si>
  <si>
    <t>7.10 ± 0.47</t>
  </si>
  <si>
    <t>53.18 ± 2.56</t>
  </si>
  <si>
    <t>12.05 ± 0.47</t>
  </si>
  <si>
    <t>66.22 ± 3.43</t>
  </si>
  <si>
    <r>
      <t>Ethanol yield </t>
    </r>
    <r>
      <rPr>
        <b/>
        <sz val="8"/>
        <color theme="1"/>
        <rFont val="Georgia"/>
        <family val="1"/>
      </rPr>
      <t>a</t>
    </r>
  </si>
  <si>
    <t>100 ± 7</t>
  </si>
  <si>
    <t>100 ± 1</t>
  </si>
  <si>
    <t>97 ± 3</t>
  </si>
  <si>
    <t>96 ± 3</t>
  </si>
  <si>
    <r>
      <t>Q</t>
    </r>
    <r>
      <rPr>
        <b/>
        <sz val="11"/>
        <color theme="1"/>
        <rFont val="Georgia"/>
        <family val="1"/>
      </rPr>
      <t> (g/L/h)</t>
    </r>
  </si>
  <si>
    <r>
      <t>Q</t>
    </r>
    <r>
      <rPr>
        <b/>
        <i/>
        <sz val="8"/>
        <color theme="1"/>
        <rFont val="Georgia"/>
        <family val="1"/>
      </rPr>
      <t>max</t>
    </r>
    <r>
      <rPr>
        <b/>
        <sz val="11"/>
        <color theme="1"/>
        <rFont val="Georgia"/>
        <family val="1"/>
      </rPr>
      <t> (g/L/h)</t>
    </r>
    <r>
      <rPr>
        <b/>
        <sz val="8"/>
        <color theme="1"/>
        <rFont val="Georgia"/>
        <family val="1"/>
      </rPr>
      <t>b</t>
    </r>
  </si>
  <si>
    <t>Ethanol yield (% of the theoretical yield) was calculated as the amount of ethanol produced per gram of available glucose</t>
  </si>
  <si>
    <t>Ref 4</t>
  </si>
  <si>
    <t>https://www.nature.com/articles/s41598-022-06245-0/tables/2</t>
  </si>
  <si>
    <t>Evaluation of different strains of Saccharomyces cerevisiae for ethanol production from high-amylopectin BRS AG rice (Oryza sativa L.)</t>
  </si>
  <si>
    <r>
      <t>Table 2 BRS AG rice fermentation with different strains of </t>
    </r>
    <r>
      <rPr>
        <i/>
        <sz val="10"/>
        <color theme="1"/>
        <rFont val="Segoe UI"/>
        <family val="2"/>
      </rPr>
      <t>Saccharomyces cerevisiae</t>
    </r>
    <r>
      <rPr>
        <sz val="10"/>
        <color theme="1"/>
        <rFont val="Segoe UI"/>
        <family val="2"/>
      </rPr>
      <t> parameters (N.B. standard deviation was determined from the essays carried out in triplicate).</t>
    </r>
  </si>
  <si>
    <t>BG-1</t>
  </si>
  <si>
    <t>CAT-1</t>
  </si>
  <si>
    <t>FT-858</t>
  </si>
  <si>
    <t>JP-1</t>
  </si>
  <si>
    <t>PE-2</t>
  </si>
  <si>
    <t>SA-1</t>
  </si>
  <si>
    <r>
      <t>Ethanol (g L</t>
    </r>
    <r>
      <rPr>
        <sz val="9"/>
        <color theme="1"/>
        <rFont val="Segoe UI"/>
        <family val="2"/>
      </rPr>
      <t>−1</t>
    </r>
    <r>
      <rPr>
        <sz val="11"/>
        <color theme="1"/>
        <rFont val="Segoe UI"/>
        <family val="2"/>
      </rPr>
      <t>)</t>
    </r>
  </si>
  <si>
    <t>54.67 ± 4.36</t>
  </si>
  <si>
    <t>61.25 ± 9.02</t>
  </si>
  <si>
    <t>62.45 ± 6.43</t>
  </si>
  <si>
    <t>58.56 ± 11.52</t>
  </si>
  <si>
    <t>54.10 ± 6.67</t>
  </si>
  <si>
    <t>57.80 ± 12.61</t>
  </si>
  <si>
    <r>
      <t>Glycerol (g L</t>
    </r>
    <r>
      <rPr>
        <sz val="9"/>
        <color theme="1"/>
        <rFont val="Segoe UI"/>
        <family val="2"/>
      </rPr>
      <t>−1</t>
    </r>
    <r>
      <rPr>
        <sz val="11"/>
        <color theme="1"/>
        <rFont val="Segoe UI"/>
        <family val="2"/>
      </rPr>
      <t>)</t>
    </r>
  </si>
  <si>
    <t>5.21 ± 1.03</t>
  </si>
  <si>
    <t>5.82 ± 0.80</t>
  </si>
  <si>
    <t>5.34 ± 0.68</t>
  </si>
  <si>
    <t>4.15 ± 0.59</t>
  </si>
  <si>
    <t>3.31 ± 0.21</t>
  </si>
  <si>
    <t>7.20 ± 0.54</t>
  </si>
  <si>
    <t>Yield (%)</t>
  </si>
  <si>
    <r>
      <t>Y</t>
    </r>
    <r>
      <rPr>
        <sz val="9"/>
        <color theme="1"/>
        <rFont val="Segoe UI"/>
        <family val="2"/>
      </rPr>
      <t>E/S</t>
    </r>
  </si>
  <si>
    <r>
      <t>Y</t>
    </r>
    <r>
      <rPr>
        <sz val="9"/>
        <color theme="1"/>
        <rFont val="Segoe UI"/>
        <family val="2"/>
      </rPr>
      <t>G/S</t>
    </r>
  </si>
  <si>
    <r>
      <t>Productivity (g</t>
    </r>
    <r>
      <rPr>
        <sz val="9"/>
        <color theme="1"/>
        <rFont val="Segoe UI"/>
        <family val="2"/>
      </rPr>
      <t>ethanol</t>
    </r>
    <r>
      <rPr>
        <sz val="11"/>
        <color theme="1"/>
        <rFont val="Segoe UI"/>
        <family val="2"/>
      </rPr>
      <t> L</t>
    </r>
    <r>
      <rPr>
        <sz val="9"/>
        <color theme="1"/>
        <rFont val="Segoe UI"/>
        <family val="2"/>
      </rPr>
      <t>−1</t>
    </r>
    <r>
      <rPr>
        <sz val="11"/>
        <color theme="1"/>
        <rFont val="Segoe UI"/>
        <family val="2"/>
      </rPr>
      <t> h</t>
    </r>
    <r>
      <rPr>
        <sz val="9"/>
        <color theme="1"/>
        <rFont val="Segoe UI"/>
        <family val="2"/>
      </rPr>
      <t>−1</t>
    </r>
    <r>
      <rPr>
        <sz val="11"/>
        <color theme="1"/>
        <rFont val="Segoe UI"/>
        <family val="2"/>
      </rPr>
      <t>)</t>
    </r>
  </si>
  <si>
    <r>
      <t>Substrate consumption rates (g</t>
    </r>
    <r>
      <rPr>
        <sz val="9"/>
        <color theme="1"/>
        <rFont val="Segoe UI"/>
        <family val="2"/>
      </rPr>
      <t>glucose</t>
    </r>
    <r>
      <rPr>
        <sz val="11"/>
        <color theme="1"/>
        <rFont val="Segoe UI"/>
        <family val="2"/>
      </rPr>
      <t> L</t>
    </r>
    <r>
      <rPr>
        <sz val="9"/>
        <color theme="1"/>
        <rFont val="Segoe UI"/>
        <family val="2"/>
      </rPr>
      <t>−1</t>
    </r>
    <r>
      <rPr>
        <sz val="11"/>
        <color theme="1"/>
        <rFont val="Segoe UI"/>
        <family val="2"/>
      </rPr>
      <t> h</t>
    </r>
    <r>
      <rPr>
        <sz val="9"/>
        <color theme="1"/>
        <rFont val="Segoe UI"/>
        <family val="2"/>
      </rPr>
      <t>−1</t>
    </r>
    <r>
      <rPr>
        <sz val="11"/>
        <color theme="1"/>
        <rFont val="Segoe UI"/>
        <family val="2"/>
      </rPr>
      <t>)</t>
    </r>
  </si>
  <si>
    <r>
      <t>Residual glucose (g L</t>
    </r>
    <r>
      <rPr>
        <sz val="9"/>
        <color theme="1"/>
        <rFont val="Segoe UI"/>
        <family val="2"/>
      </rPr>
      <t>−1</t>
    </r>
    <r>
      <rPr>
        <sz val="11"/>
        <color theme="1"/>
        <rFont val="Segoe UI"/>
        <family val="2"/>
      </rPr>
      <t>)</t>
    </r>
  </si>
  <si>
    <t>1.03 ± 1.79</t>
  </si>
  <si>
    <t>0.06 ± 0.11</t>
  </si>
  <si>
    <t>0.53 ± 0.09</t>
  </si>
  <si>
    <t>12.26 ± 2.02</t>
  </si>
  <si>
    <t>0.72 ± 0.21</t>
  </si>
  <si>
    <t>Ethanol (g L−1)</t>
  </si>
  <si>
    <t>glucose (substrate) conversion factors in ethanol (YE/S)</t>
  </si>
  <si>
    <t>Residual glucose (g L−1)</t>
  </si>
  <si>
    <t>Glucose needed to Ethanol (g L−1)</t>
  </si>
  <si>
    <t>total glucose (g L−1)</t>
  </si>
  <si>
    <t>Rice needed (g/L)</t>
  </si>
  <si>
    <t>Table 1 BRS PAMPA rice fermentation parameters with different strains of Saccharomyces cerevisiae (N.B. standard deviation was determined from the essays carried out in triplicate).</t>
  </si>
  <si>
    <r>
      <t>Ethanol (g L</t>
    </r>
    <r>
      <rPr>
        <sz val="9"/>
        <color rgb="FF222222"/>
        <rFont val="Segoe UI"/>
        <family val="2"/>
      </rPr>
      <t>−1</t>
    </r>
    <r>
      <rPr>
        <sz val="11"/>
        <color rgb="FF222222"/>
        <rFont val="Segoe UI"/>
        <family val="2"/>
      </rPr>
      <t>)</t>
    </r>
  </si>
  <si>
    <t>49.96 ± 9.67</t>
  </si>
  <si>
    <t>58.93 ± 12.85</t>
  </si>
  <si>
    <t>54.22 ± 4.12</t>
  </si>
  <si>
    <t>53.43 ± 2.57</t>
  </si>
  <si>
    <t>55.01 ± 2.67</t>
  </si>
  <si>
    <t>58.92 ± 10.83</t>
  </si>
  <si>
    <r>
      <t>Glycerol (g L</t>
    </r>
    <r>
      <rPr>
        <sz val="9"/>
        <color rgb="FF222222"/>
        <rFont val="Segoe UI"/>
        <family val="2"/>
      </rPr>
      <t>−1</t>
    </r>
    <r>
      <rPr>
        <sz val="11"/>
        <color rgb="FF222222"/>
        <rFont val="Segoe UI"/>
        <family val="2"/>
      </rPr>
      <t>)</t>
    </r>
  </si>
  <si>
    <t>3.91 ± 0.76</t>
  </si>
  <si>
    <t>5.17 ± 1.04</t>
  </si>
  <si>
    <t>4.84 ± 0.62</t>
  </si>
  <si>
    <t>4.33 ± 0.27</t>
  </si>
  <si>
    <t>3.12 ± 0.24</t>
  </si>
  <si>
    <t>6.67 ± 0.72</t>
  </si>
  <si>
    <r>
      <t>Y</t>
    </r>
    <r>
      <rPr>
        <sz val="9"/>
        <color rgb="FF222222"/>
        <rFont val="Segoe UI"/>
        <family val="2"/>
      </rPr>
      <t>E/S</t>
    </r>
  </si>
  <si>
    <r>
      <t>Y</t>
    </r>
    <r>
      <rPr>
        <sz val="9"/>
        <color rgb="FF222222"/>
        <rFont val="Segoe UI"/>
        <family val="2"/>
      </rPr>
      <t>G/S</t>
    </r>
  </si>
  <si>
    <r>
      <t>Productivity (g</t>
    </r>
    <r>
      <rPr>
        <sz val="9"/>
        <color rgb="FF222222"/>
        <rFont val="Segoe UI"/>
        <family val="2"/>
      </rPr>
      <t>ethanol</t>
    </r>
    <r>
      <rPr>
        <sz val="11"/>
        <color rgb="FF222222"/>
        <rFont val="Segoe UI"/>
        <family val="2"/>
      </rPr>
      <t> L</t>
    </r>
    <r>
      <rPr>
        <sz val="9"/>
        <color rgb="FF222222"/>
        <rFont val="Segoe UI"/>
        <family val="2"/>
      </rPr>
      <t>−1</t>
    </r>
    <r>
      <rPr>
        <sz val="11"/>
        <color rgb="FF222222"/>
        <rFont val="Segoe UI"/>
        <family val="2"/>
      </rPr>
      <t> h</t>
    </r>
    <r>
      <rPr>
        <sz val="9"/>
        <color rgb="FF222222"/>
        <rFont val="Segoe UI"/>
        <family val="2"/>
      </rPr>
      <t>−1</t>
    </r>
    <r>
      <rPr>
        <sz val="11"/>
        <color rgb="FF222222"/>
        <rFont val="Segoe UI"/>
        <family val="2"/>
      </rPr>
      <t>)</t>
    </r>
  </si>
  <si>
    <r>
      <t>Substrate consumption rates (g</t>
    </r>
    <r>
      <rPr>
        <sz val="9"/>
        <color rgb="FF222222"/>
        <rFont val="Segoe UI"/>
        <family val="2"/>
      </rPr>
      <t>glucose</t>
    </r>
    <r>
      <rPr>
        <sz val="11"/>
        <color rgb="FF222222"/>
        <rFont val="Segoe UI"/>
        <family val="2"/>
      </rPr>
      <t> L</t>
    </r>
    <r>
      <rPr>
        <sz val="9"/>
        <color rgb="FF222222"/>
        <rFont val="Segoe UI"/>
        <family val="2"/>
      </rPr>
      <t>−1</t>
    </r>
    <r>
      <rPr>
        <sz val="11"/>
        <color rgb="FF222222"/>
        <rFont val="Segoe UI"/>
        <family val="2"/>
      </rPr>
      <t> h</t>
    </r>
    <r>
      <rPr>
        <sz val="9"/>
        <color rgb="FF222222"/>
        <rFont val="Segoe UI"/>
        <family val="2"/>
      </rPr>
      <t>−1</t>
    </r>
    <r>
      <rPr>
        <sz val="11"/>
        <color rgb="FF222222"/>
        <rFont val="Segoe UI"/>
        <family val="2"/>
      </rPr>
      <t>)</t>
    </r>
  </si>
  <si>
    <r>
      <t>Residual glucose (g L</t>
    </r>
    <r>
      <rPr>
        <sz val="9"/>
        <color rgb="FF222222"/>
        <rFont val="Segoe UI"/>
        <family val="2"/>
      </rPr>
      <t>−1</t>
    </r>
    <r>
      <rPr>
        <sz val="11"/>
        <color rgb="FF222222"/>
        <rFont val="Segoe UI"/>
        <family val="2"/>
      </rPr>
      <t>)</t>
    </r>
  </si>
  <si>
    <t>0.17 ± 0.30</t>
  </si>
  <si>
    <t>0.20 ± 0.35</t>
  </si>
  <si>
    <t>0.51 ± 0.23</t>
  </si>
  <si>
    <t>Rice hull</t>
  </si>
  <si>
    <t>ref 1</t>
  </si>
  <si>
    <t>https://www.scopus.com/record/display.uri?eid=2-s2.0-84859838302&amp;origin=resultslist&amp;sort=plf-f&amp;src=s&amp;sid=770bdfea32c2728de40361b11b940c79&amp;sot=a&amp;sdt=a&amp;s=TITLE-ABS-KEY%28%28%22rice+hull%22%29+AND+%28%22ethanol+production%22%29%29&amp;sl=55&amp;sessionSearchId=770bdfea32c2728de40361b11b940c79&amp;relpos=13</t>
  </si>
  <si>
    <t>Bioethanol production from acid-pretreated rice hull</t>
  </si>
  <si>
    <t>ethanol yield (0.47 g-ethanol/g-glucose) of rice-hull hydrolysate </t>
  </si>
  <si>
    <t>Table 2. Composition of media for ethanol fermentation.</t>
  </si>
  <si>
    <t>Medium</t>
  </si>
  <si>
    <t>Glucose (g/L)</t>
  </si>
  <si>
    <t>HMF (mg/L)</t>
  </si>
  <si>
    <t>Furfural (mg/L)</t>
  </si>
  <si>
    <t>Acetic acid (mg/L)</t>
  </si>
  <si>
    <t>Reference</t>
  </si>
  <si>
    <t>20.2±1.0</t>
  </si>
  <si>
    <t>-</t>
  </si>
  <si>
    <r>
      <t>Rice hull</t>
    </r>
    <r>
      <rPr>
        <vertAlign val="superscript"/>
        <sz val="11"/>
        <color theme="1"/>
        <rFont val="Calibri"/>
        <family val="2"/>
        <scheme val="minor"/>
      </rPr>
      <t>a</t>
    </r>
  </si>
  <si>
    <t>19.8±0.8</t>
  </si>
  <si>
    <t>50±1.3</t>
  </si>
  <si>
    <t>204±1.7</t>
  </si>
  <si>
    <t>1469±2.1</t>
  </si>
  <si>
    <r>
      <rPr>
        <vertAlign val="superscript"/>
        <sz val="11"/>
        <color theme="1"/>
        <rFont val="Calibri"/>
        <family val="2"/>
        <scheme val="minor"/>
      </rPr>
      <t>a</t>
    </r>
    <r>
      <rPr>
        <sz val="11"/>
        <color theme="1"/>
        <rFont val="Calibri"/>
        <family val="2"/>
        <scheme val="minor"/>
      </rPr>
      <t>Rice  hull  hydrolysate  was  prepared  under  the  conditions  of  5-h  impregnation  and  2-h  hydrolysis  with  a  2 : 1  acid-to-biomass  ratio.  Valuesare given as the mean±standard deviation of three replicates.</t>
    </r>
  </si>
  <si>
    <t>Table 3. Effect of inhibitors on ethanol fermentation.</t>
  </si>
  <si>
    <t>Glucose consumption(%)</t>
  </si>
  <si>
    <r>
      <t>Ethanol yield(g/g glucose)</t>
    </r>
    <r>
      <rPr>
        <vertAlign val="superscript"/>
        <sz val="11"/>
        <color theme="1"/>
        <rFont val="Calibri"/>
        <family val="2"/>
        <scheme val="minor"/>
      </rPr>
      <t>a</t>
    </r>
  </si>
  <si>
    <t>Specific growthrate (h−1)</t>
  </si>
  <si>
    <t>CFU(cells/mL)</t>
  </si>
  <si>
    <r>
      <t>1.4×10</t>
    </r>
    <r>
      <rPr>
        <vertAlign val="superscript"/>
        <sz val="11"/>
        <color theme="1"/>
        <rFont val="Calibri"/>
        <family val="2"/>
        <scheme val="minor"/>
      </rPr>
      <t>8</t>
    </r>
  </si>
  <si>
    <r>
      <t>9.0×10</t>
    </r>
    <r>
      <rPr>
        <vertAlign val="superscript"/>
        <sz val="11"/>
        <color theme="1"/>
        <rFont val="Calibri"/>
        <family val="2"/>
        <scheme val="minor"/>
      </rPr>
      <t>7</t>
    </r>
  </si>
  <si>
    <r>
      <rPr>
        <vertAlign val="superscript"/>
        <sz val="11"/>
        <color theme="1"/>
        <rFont val="Calibri"/>
        <family val="2"/>
        <scheme val="minor"/>
      </rPr>
      <t>a</t>
    </r>
    <r>
      <rPr>
        <sz val="11"/>
        <color theme="1"/>
        <rFont val="Calibri"/>
        <family val="2"/>
        <scheme val="minor"/>
      </rPr>
      <t>Ethanol yield based on consumed glucose in each medium. All data were obtained after ethanol fermentation for 18 h</t>
    </r>
  </si>
  <si>
    <t>glucose content (g/g rice hull)</t>
  </si>
  <si>
    <t>Ethanol yield(g/g glucose)</t>
  </si>
  <si>
    <t>ref 2</t>
  </si>
  <si>
    <t>https://aiche.onlinelibrary.wiley.com/doi/10.1002/btpr.2275</t>
  </si>
  <si>
    <t>Ethanol production from rice hull using Pichia stipitis and optimization of acid pretreatment and detoxification processes</t>
  </si>
  <si>
    <r>
      <t>Table 5. </t>
    </r>
    <r>
      <rPr>
        <sz val="11"/>
        <color theme="1"/>
        <rFont val="Calibri"/>
        <family val="2"/>
        <scheme val="minor"/>
      </rPr>
      <t>Ethanol Production from Base-line Mediums and Nondetoxified and Detoxified Hydrolysates by Using </t>
    </r>
    <r>
      <rPr>
        <i/>
        <sz val="11"/>
        <color theme="1"/>
        <rFont val="Calibri"/>
        <family val="2"/>
        <scheme val="minor"/>
      </rPr>
      <t>Pichia stipis</t>
    </r>
    <r>
      <rPr>
        <sz val="11"/>
        <color theme="1"/>
        <rFont val="Calibri"/>
        <family val="2"/>
        <scheme val="minor"/>
      </rPr>
      <t> ATCC 58784</t>
    </r>
  </si>
  <si>
    <t>Process</t>
  </si>
  <si>
    <t>Kinetic Parameters</t>
  </si>
  <si>
    <r>
      <t>S</t>
    </r>
    <r>
      <rPr>
        <sz val="11"/>
        <color rgb="FF000000"/>
        <rFont val="Open Sans"/>
        <family val="2"/>
      </rPr>
      <t> (g/L)</t>
    </r>
    <r>
      <rPr>
        <i/>
        <sz val="11"/>
        <color rgb="FF000000"/>
        <rFont val="Open Sans"/>
        <family val="2"/>
      </rPr>
      <t xml:space="preserve"> sugar consumed</t>
    </r>
  </si>
  <si>
    <r>
      <t>P</t>
    </r>
    <r>
      <rPr>
        <sz val="11"/>
        <color rgb="FF000000"/>
        <rFont val="Open Sans"/>
        <family val="2"/>
      </rPr>
      <t> (g/L) ethanol produced</t>
    </r>
  </si>
  <si>
    <r>
      <t>X</t>
    </r>
    <r>
      <rPr>
        <sz val="11"/>
        <color rgb="FF000000"/>
        <rFont val="Open Sans"/>
        <family val="2"/>
      </rPr>
      <t> (g/L)biomass produced </t>
    </r>
  </si>
  <si>
    <r>
      <t>Y</t>
    </r>
    <r>
      <rPr>
        <i/>
        <sz val="8"/>
        <color rgb="FF000000"/>
        <rFont val="Open Sans"/>
        <family val="2"/>
      </rPr>
      <t>P/S</t>
    </r>
    <r>
      <rPr>
        <sz val="11"/>
        <color rgb="FF000000"/>
        <rFont val="Open Sans"/>
        <family val="2"/>
      </rPr>
      <t> (%) yield </t>
    </r>
  </si>
  <si>
    <r>
      <t>Q</t>
    </r>
    <r>
      <rPr>
        <i/>
        <sz val="8"/>
        <color rgb="FF000000"/>
        <rFont val="Open Sans"/>
        <family val="2"/>
      </rPr>
      <t>S</t>
    </r>
    <r>
      <rPr>
        <sz val="11"/>
        <color rgb="FF000000"/>
        <rFont val="Open Sans"/>
        <family val="2"/>
      </rPr>
      <t> (g/L/h)</t>
    </r>
  </si>
  <si>
    <r>
      <t>Q</t>
    </r>
    <r>
      <rPr>
        <i/>
        <sz val="8"/>
        <color rgb="FF000000"/>
        <rFont val="Open Sans"/>
        <family val="2"/>
      </rPr>
      <t>P</t>
    </r>
    <r>
      <rPr>
        <sz val="11"/>
        <color rgb="FF000000"/>
        <rFont val="Open Sans"/>
        <family val="2"/>
      </rPr>
      <t> (g/L/h)</t>
    </r>
  </si>
  <si>
    <r>
      <t>Q</t>
    </r>
    <r>
      <rPr>
        <i/>
        <sz val="8"/>
        <color rgb="FF000000"/>
        <rFont val="Open Sans"/>
        <family val="2"/>
      </rPr>
      <t>X</t>
    </r>
    <r>
      <rPr>
        <sz val="11"/>
        <color rgb="FF000000"/>
        <rFont val="Open Sans"/>
        <family val="2"/>
      </rPr>
      <t> (g/L/h)</t>
    </r>
  </si>
  <si>
    <t>SUY (%)</t>
  </si>
  <si>
    <t>YP/S (%) yield </t>
  </si>
  <si>
    <t>Control (glucose)</t>
  </si>
  <si>
    <t>10.38 ± 0.42</t>
  </si>
  <si>
    <r>
      <t>4.84</t>
    </r>
    <r>
      <rPr>
        <sz val="8"/>
        <color rgb="FF000000"/>
        <rFont val="Open Sans"/>
        <family val="2"/>
      </rPr>
      <t>b</t>
    </r>
    <r>
      <rPr>
        <sz val="11"/>
        <color rgb="FF000000"/>
        <rFont val="Open Sans"/>
        <family val="2"/>
      </rPr>
      <t> ± 0.05</t>
    </r>
  </si>
  <si>
    <r>
      <t>5.31</t>
    </r>
    <r>
      <rPr>
        <sz val="8"/>
        <color rgb="FF000000"/>
        <rFont val="Open Sans"/>
        <family val="2"/>
      </rPr>
      <t>a</t>
    </r>
    <r>
      <rPr>
        <sz val="11"/>
        <color rgb="FF000000"/>
        <rFont val="Open Sans"/>
        <family val="2"/>
      </rPr>
      <t> ± 0.01</t>
    </r>
  </si>
  <si>
    <r>
      <t>46.57</t>
    </r>
    <r>
      <rPr>
        <sz val="8"/>
        <color rgb="FF000000"/>
        <rFont val="Open Sans"/>
        <family val="2"/>
      </rPr>
      <t>a</t>
    </r>
    <r>
      <rPr>
        <sz val="11"/>
        <color rgb="FF000000"/>
        <rFont val="Open Sans"/>
        <family val="2"/>
      </rPr>
      <t> ± 1.26</t>
    </r>
  </si>
  <si>
    <r>
      <t>0.32</t>
    </r>
    <r>
      <rPr>
        <sz val="8"/>
        <color rgb="FF000000"/>
        <rFont val="Open Sans"/>
        <family val="2"/>
      </rPr>
      <t>cd</t>
    </r>
    <r>
      <rPr>
        <sz val="11"/>
        <color rgb="FF000000"/>
        <rFont val="Open Sans"/>
        <family val="2"/>
      </rPr>
      <t> ± 0.02</t>
    </r>
  </si>
  <si>
    <r>
      <t>0.24</t>
    </r>
    <r>
      <rPr>
        <sz val="8"/>
        <color rgb="FF000000"/>
        <rFont val="Open Sans"/>
        <family val="2"/>
      </rPr>
      <t>a</t>
    </r>
    <r>
      <rPr>
        <sz val="11"/>
        <color rgb="FF000000"/>
        <rFont val="Open Sans"/>
        <family val="2"/>
      </rPr>
      <t> ± 0.01</t>
    </r>
  </si>
  <si>
    <r>
      <t>0.13</t>
    </r>
    <r>
      <rPr>
        <sz val="8"/>
        <color rgb="FF000000"/>
        <rFont val="Open Sans"/>
        <family val="2"/>
      </rPr>
      <t>a</t>
    </r>
    <r>
      <rPr>
        <sz val="11"/>
        <color rgb="FF000000"/>
        <rFont val="Open Sans"/>
        <family val="2"/>
      </rPr>
      <t> ± 0.02</t>
    </r>
  </si>
  <si>
    <r>
      <t>84.69</t>
    </r>
    <r>
      <rPr>
        <sz val="8"/>
        <color rgb="FF000000"/>
        <rFont val="Open Sans"/>
        <family val="2"/>
      </rPr>
      <t>a</t>
    </r>
    <r>
      <rPr>
        <sz val="11"/>
        <color rgb="FF000000"/>
        <rFont val="Open Sans"/>
        <family val="2"/>
      </rPr>
      <t> ± 3.32</t>
    </r>
  </si>
  <si>
    <t>Control (xylose)</t>
  </si>
  <si>
    <t>10.88 ± 0.34</t>
  </si>
  <si>
    <r>
      <t>5.37</t>
    </r>
    <r>
      <rPr>
        <sz val="8"/>
        <color rgb="FF000000"/>
        <rFont val="Open Sans"/>
        <family val="2"/>
      </rPr>
      <t>a</t>
    </r>
    <r>
      <rPr>
        <sz val="11"/>
        <color rgb="FF000000"/>
        <rFont val="Open Sans"/>
        <family val="2"/>
      </rPr>
      <t> ± 0.09</t>
    </r>
  </si>
  <si>
    <r>
      <t>3.87</t>
    </r>
    <r>
      <rPr>
        <sz val="8"/>
        <color rgb="FF000000"/>
        <rFont val="Open Sans"/>
        <family val="2"/>
      </rPr>
      <t>b</t>
    </r>
    <r>
      <rPr>
        <sz val="11"/>
        <color rgb="FF000000"/>
        <rFont val="Open Sans"/>
        <family val="2"/>
      </rPr>
      <t> ± 0.06</t>
    </r>
  </si>
  <si>
    <r>
      <t>49.41</t>
    </r>
    <r>
      <rPr>
        <sz val="8"/>
        <color rgb="FF000000"/>
        <rFont val="Open Sans"/>
        <family val="2"/>
      </rPr>
      <t>a</t>
    </r>
    <r>
      <rPr>
        <sz val="11"/>
        <color rgb="FF000000"/>
        <rFont val="Open Sans"/>
        <family val="2"/>
      </rPr>
      <t> ± 0.65</t>
    </r>
  </si>
  <si>
    <r>
      <t>0.41</t>
    </r>
    <r>
      <rPr>
        <sz val="8"/>
        <color rgb="FF000000"/>
        <rFont val="Open Sans"/>
        <family val="2"/>
      </rPr>
      <t>b</t>
    </r>
    <r>
      <rPr>
        <sz val="11"/>
        <color rgb="FF000000"/>
        <rFont val="Open Sans"/>
        <family val="2"/>
      </rPr>
      <t> ± 0.01</t>
    </r>
  </si>
  <si>
    <r>
      <t>0.20</t>
    </r>
    <r>
      <rPr>
        <sz val="8"/>
        <color rgb="FF000000"/>
        <rFont val="Open Sans"/>
        <family val="2"/>
      </rPr>
      <t>b</t>
    </r>
    <r>
      <rPr>
        <sz val="11"/>
        <color rgb="FF000000"/>
        <rFont val="Open Sans"/>
        <family val="2"/>
      </rPr>
      <t> ± 0.00</t>
    </r>
  </si>
  <si>
    <r>
      <t>0.07</t>
    </r>
    <r>
      <rPr>
        <sz val="8"/>
        <color rgb="FF000000"/>
        <rFont val="Open Sans"/>
        <family val="2"/>
      </rPr>
      <t>ab</t>
    </r>
    <r>
      <rPr>
        <sz val="11"/>
        <color rgb="FF000000"/>
        <rFont val="Open Sans"/>
        <family val="2"/>
      </rPr>
      <t> ± 0.00</t>
    </r>
  </si>
  <si>
    <r>
      <t>82.37</t>
    </r>
    <r>
      <rPr>
        <sz val="8"/>
        <color rgb="FF000000"/>
        <rFont val="Open Sans"/>
        <family val="2"/>
      </rPr>
      <t>a</t>
    </r>
    <r>
      <rPr>
        <sz val="11"/>
        <color rgb="FF000000"/>
        <rFont val="Open Sans"/>
        <family val="2"/>
      </rPr>
      <t> ± 0.80</t>
    </r>
  </si>
  <si>
    <t>Nondetoxified RHH</t>
  </si>
  <si>
    <t>15.37 ± 0.28</t>
  </si>
  <si>
    <r>
      <t>1.16</t>
    </r>
    <r>
      <rPr>
        <sz val="8"/>
        <color rgb="FF000000"/>
        <rFont val="Open Sans"/>
        <family val="2"/>
      </rPr>
      <t>f</t>
    </r>
    <r>
      <rPr>
        <sz val="11"/>
        <color rgb="FF000000"/>
        <rFont val="Open Sans"/>
        <family val="2"/>
      </rPr>
      <t> ± 0.02</t>
    </r>
  </si>
  <si>
    <r>
      <t>3.54</t>
    </r>
    <r>
      <rPr>
        <sz val="8"/>
        <color rgb="FF000000"/>
        <rFont val="Open Sans"/>
        <family val="2"/>
      </rPr>
      <t>bc</t>
    </r>
    <r>
      <rPr>
        <sz val="11"/>
        <color rgb="FF000000"/>
        <rFont val="Open Sans"/>
        <family val="2"/>
      </rPr>
      <t> ± 0.45</t>
    </r>
  </si>
  <si>
    <r>
      <t>7.55</t>
    </r>
    <r>
      <rPr>
        <sz val="8"/>
        <color rgb="FF000000"/>
        <rFont val="Open Sans"/>
        <family val="2"/>
      </rPr>
      <t>d</t>
    </r>
    <r>
      <rPr>
        <sz val="11"/>
        <color rgb="FF000000"/>
        <rFont val="Open Sans"/>
        <family val="2"/>
      </rPr>
      <t> ± 0.04</t>
    </r>
  </si>
  <si>
    <r>
      <t>0.11</t>
    </r>
    <r>
      <rPr>
        <sz val="8"/>
        <color rgb="FF000000"/>
        <rFont val="Open Sans"/>
        <family val="2"/>
      </rPr>
      <t>f</t>
    </r>
    <r>
      <rPr>
        <sz val="11"/>
        <color rgb="FF000000"/>
        <rFont val="Open Sans"/>
        <family val="2"/>
      </rPr>
      <t> ± 0.02</t>
    </r>
  </si>
  <si>
    <r>
      <t>0.02</t>
    </r>
    <r>
      <rPr>
        <sz val="8"/>
        <color rgb="FF000000"/>
        <rFont val="Open Sans"/>
        <family val="2"/>
      </rPr>
      <t>g</t>
    </r>
    <r>
      <rPr>
        <sz val="11"/>
        <color rgb="FF000000"/>
        <rFont val="Open Sans"/>
        <family val="2"/>
      </rPr>
      <t> ± 0.01</t>
    </r>
  </si>
  <si>
    <r>
      <t>0.05</t>
    </r>
    <r>
      <rPr>
        <sz val="8"/>
        <color rgb="FF000000"/>
        <rFont val="Open Sans"/>
        <family val="2"/>
      </rPr>
      <t>b</t>
    </r>
    <r>
      <rPr>
        <sz val="11"/>
        <color rgb="FF000000"/>
        <rFont val="Open Sans"/>
        <family val="2"/>
      </rPr>
      <t> ± 0.02</t>
    </r>
  </si>
  <si>
    <r>
      <t>69.89</t>
    </r>
    <r>
      <rPr>
        <sz val="8"/>
        <color rgb="FF000000"/>
        <rFont val="Open Sans"/>
        <family val="2"/>
      </rPr>
      <t>b</t>
    </r>
    <r>
      <rPr>
        <sz val="11"/>
        <color rgb="FF000000"/>
        <rFont val="Open Sans"/>
        <family val="2"/>
      </rPr>
      <t> ± 1.29</t>
    </r>
  </si>
  <si>
    <t>Process-1 (CaO)</t>
  </si>
  <si>
    <t>12.85 ± 0.90</t>
  </si>
  <si>
    <r>
      <t>2.85</t>
    </r>
    <r>
      <rPr>
        <sz val="8"/>
        <color rgb="FF000000"/>
        <rFont val="Open Sans"/>
        <family val="2"/>
      </rPr>
      <t>e</t>
    </r>
    <r>
      <rPr>
        <sz val="11"/>
        <color rgb="FF000000"/>
        <rFont val="Open Sans"/>
        <family val="2"/>
      </rPr>
      <t> ± 0.05</t>
    </r>
  </si>
  <si>
    <r>
      <t>2.71</t>
    </r>
    <r>
      <rPr>
        <sz val="8"/>
        <color rgb="FF000000"/>
        <rFont val="Open Sans"/>
        <family val="2"/>
      </rPr>
      <t>c</t>
    </r>
    <r>
      <rPr>
        <sz val="11"/>
        <color rgb="FF000000"/>
        <rFont val="Open Sans"/>
        <family val="2"/>
      </rPr>
      <t> ± 0.34</t>
    </r>
  </si>
  <si>
    <r>
      <t>22.16</t>
    </r>
    <r>
      <rPr>
        <sz val="8"/>
        <color rgb="FF000000"/>
        <rFont val="Open Sans"/>
        <family val="2"/>
      </rPr>
      <t>c</t>
    </r>
    <r>
      <rPr>
        <sz val="11"/>
        <color rgb="FF000000"/>
        <rFont val="Open Sans"/>
        <family val="2"/>
      </rPr>
      <t> ± 1.95</t>
    </r>
  </si>
  <si>
    <r>
      <t>0.35</t>
    </r>
    <r>
      <rPr>
        <sz val="8"/>
        <color rgb="FF000000"/>
        <rFont val="Open Sans"/>
        <family val="2"/>
      </rPr>
      <t>bc</t>
    </r>
    <r>
      <rPr>
        <sz val="11"/>
        <color rgb="FF000000"/>
        <rFont val="Open Sans"/>
        <family val="2"/>
      </rPr>
      <t> ± 0.03</t>
    </r>
  </si>
  <si>
    <r>
      <t>0.09</t>
    </r>
    <r>
      <rPr>
        <sz val="8"/>
        <color rgb="FF000000"/>
        <rFont val="Open Sans"/>
        <family val="2"/>
      </rPr>
      <t>e</t>
    </r>
    <r>
      <rPr>
        <sz val="11"/>
        <color rgb="FF000000"/>
        <rFont val="Open Sans"/>
        <family val="2"/>
      </rPr>
      <t> ± 0.00</t>
    </r>
  </si>
  <si>
    <r>
      <t>0.07</t>
    </r>
    <r>
      <rPr>
        <sz val="8"/>
        <color rgb="FF000000"/>
        <rFont val="Open Sans"/>
        <family val="2"/>
      </rPr>
      <t>ab</t>
    </r>
    <r>
      <rPr>
        <sz val="11"/>
        <color rgb="FF000000"/>
        <rFont val="Open Sans"/>
        <family val="2"/>
      </rPr>
      <t> ± 0.01</t>
    </r>
  </si>
  <si>
    <r>
      <t>73.68</t>
    </r>
    <r>
      <rPr>
        <sz val="8"/>
        <color rgb="FF000000"/>
        <rFont val="Open Sans"/>
        <family val="2"/>
      </rPr>
      <t>b</t>
    </r>
    <r>
      <rPr>
        <sz val="11"/>
        <color rgb="FF000000"/>
        <rFont val="Open Sans"/>
        <family val="2"/>
      </rPr>
      <t> ± 0.19</t>
    </r>
  </si>
  <si>
    <t>Process-2 (CaO)</t>
  </si>
  <si>
    <t>15.58 ± 1.11</t>
  </si>
  <si>
    <r>
      <t>5.56</t>
    </r>
    <r>
      <rPr>
        <sz val="8"/>
        <color rgb="FF000000"/>
        <rFont val="Open Sans"/>
        <family val="2"/>
      </rPr>
      <t>a</t>
    </r>
    <r>
      <rPr>
        <sz val="11"/>
        <color rgb="FF000000"/>
        <rFont val="Open Sans"/>
        <family val="2"/>
      </rPr>
      <t> ± 0.02</t>
    </r>
  </si>
  <si>
    <r>
      <t>3.20</t>
    </r>
    <r>
      <rPr>
        <sz val="8"/>
        <color rgb="FF000000"/>
        <rFont val="Open Sans"/>
        <family val="2"/>
      </rPr>
      <t>bc</t>
    </r>
    <r>
      <rPr>
        <sz val="11"/>
        <color rgb="FF000000"/>
        <rFont val="Open Sans"/>
        <family val="2"/>
      </rPr>
      <t> ± 0.37</t>
    </r>
  </si>
  <si>
    <r>
      <t>35.69</t>
    </r>
    <r>
      <rPr>
        <sz val="8"/>
        <color rgb="FF000000"/>
        <rFont val="Open Sans"/>
        <family val="2"/>
      </rPr>
      <t>b</t>
    </r>
    <r>
      <rPr>
        <sz val="11"/>
        <color rgb="FF000000"/>
        <rFont val="Open Sans"/>
        <family val="2"/>
      </rPr>
      <t> ± 2.41</t>
    </r>
  </si>
  <si>
    <r>
      <t>0.66</t>
    </r>
    <r>
      <rPr>
        <sz val="8"/>
        <color rgb="FF000000"/>
        <rFont val="Open Sans"/>
        <family val="2"/>
      </rPr>
      <t>a</t>
    </r>
    <r>
      <rPr>
        <sz val="11"/>
        <color rgb="FF000000"/>
        <rFont val="Open Sans"/>
        <family val="2"/>
      </rPr>
      <t> ± 0.04</t>
    </r>
  </si>
  <si>
    <r>
      <t>0.18</t>
    </r>
    <r>
      <rPr>
        <sz val="8"/>
        <color rgb="FF000000"/>
        <rFont val="Open Sans"/>
        <family val="2"/>
      </rPr>
      <t>c</t>
    </r>
    <r>
      <rPr>
        <sz val="11"/>
        <color rgb="FF000000"/>
        <rFont val="Open Sans"/>
        <family val="2"/>
      </rPr>
      <t> ± 0.00</t>
    </r>
  </si>
  <si>
    <r>
      <t>0.12</t>
    </r>
    <r>
      <rPr>
        <sz val="8"/>
        <color rgb="FF000000"/>
        <rFont val="Open Sans"/>
        <family val="2"/>
      </rPr>
      <t>a</t>
    </r>
    <r>
      <rPr>
        <sz val="11"/>
        <color rgb="FF000000"/>
        <rFont val="Open Sans"/>
        <family val="2"/>
      </rPr>
      <t> ± 0.03</t>
    </r>
  </si>
  <si>
    <r>
      <t>79.65</t>
    </r>
    <r>
      <rPr>
        <sz val="8"/>
        <color rgb="FF000000"/>
        <rFont val="Open Sans"/>
        <family val="2"/>
      </rPr>
      <t>a</t>
    </r>
    <r>
      <rPr>
        <sz val="11"/>
        <color rgb="FF000000"/>
        <rFont val="Open Sans"/>
        <family val="2"/>
      </rPr>
      <t> ± 0.18</t>
    </r>
  </si>
  <si>
    <t>Process-3 (NaOH)</t>
  </si>
  <si>
    <t>12.43 ± 0.38</t>
  </si>
  <si>
    <r>
      <t>4.15</t>
    </r>
    <r>
      <rPr>
        <sz val="8"/>
        <color rgb="FF000000"/>
        <rFont val="Open Sans"/>
        <family val="2"/>
      </rPr>
      <t>c</t>
    </r>
    <r>
      <rPr>
        <sz val="11"/>
        <color rgb="FF000000"/>
        <rFont val="Open Sans"/>
        <family val="2"/>
      </rPr>
      <t> ± 0.07</t>
    </r>
  </si>
  <si>
    <r>
      <t>3.53</t>
    </r>
    <r>
      <rPr>
        <sz val="8"/>
        <color rgb="FF000000"/>
        <rFont val="Open Sans"/>
        <family val="2"/>
      </rPr>
      <t>bc</t>
    </r>
    <r>
      <rPr>
        <sz val="11"/>
        <color rgb="FF000000"/>
        <rFont val="Open Sans"/>
        <family val="2"/>
      </rPr>
      <t> ± 0.42</t>
    </r>
  </si>
  <si>
    <r>
      <t>33.43</t>
    </r>
    <r>
      <rPr>
        <sz val="8"/>
        <color rgb="FF000000"/>
        <rFont val="Open Sans"/>
        <family val="2"/>
      </rPr>
      <t>b</t>
    </r>
    <r>
      <rPr>
        <sz val="11"/>
        <color rgb="FF000000"/>
        <rFont val="Open Sans"/>
        <family val="2"/>
      </rPr>
      <t> ± 0.55</t>
    </r>
  </si>
  <si>
    <r>
      <t>0.24</t>
    </r>
    <r>
      <rPr>
        <sz val="8"/>
        <color rgb="FF000000"/>
        <rFont val="Open Sans"/>
        <family val="2"/>
      </rPr>
      <t>de</t>
    </r>
    <r>
      <rPr>
        <sz val="11"/>
        <color rgb="FF000000"/>
        <rFont val="Open Sans"/>
        <family val="2"/>
      </rPr>
      <t> ± 0.02</t>
    </r>
  </si>
  <si>
    <r>
      <t>0.11</t>
    </r>
    <r>
      <rPr>
        <sz val="8"/>
        <color rgb="FF000000"/>
        <rFont val="Open Sans"/>
        <family val="2"/>
      </rPr>
      <t>d</t>
    </r>
    <r>
      <rPr>
        <sz val="11"/>
        <color rgb="FF000000"/>
        <rFont val="Open Sans"/>
        <family val="2"/>
      </rPr>
      <t> ± 0.00</t>
    </r>
  </si>
  <si>
    <r>
      <t>0.08</t>
    </r>
    <r>
      <rPr>
        <sz val="8"/>
        <color rgb="FF000000"/>
        <rFont val="Open Sans"/>
        <family val="2"/>
      </rPr>
      <t>ab</t>
    </r>
    <r>
      <rPr>
        <sz val="11"/>
        <color rgb="FF000000"/>
        <rFont val="Open Sans"/>
        <family val="2"/>
      </rPr>
      <t> ± 0.02</t>
    </r>
  </si>
  <si>
    <r>
      <t>59.66</t>
    </r>
    <r>
      <rPr>
        <sz val="8"/>
        <color rgb="FF000000"/>
        <rFont val="Open Sans"/>
        <family val="2"/>
      </rPr>
      <t>c</t>
    </r>
    <r>
      <rPr>
        <sz val="11"/>
        <color rgb="FF000000"/>
        <rFont val="Open Sans"/>
        <family val="2"/>
      </rPr>
      <t> ± 2.64</t>
    </r>
  </si>
  <si>
    <t>Process-4 (NaOH)</t>
  </si>
  <si>
    <t>12.17 ± 0.86</t>
  </si>
  <si>
    <r>
      <t>3.93</t>
    </r>
    <r>
      <rPr>
        <sz val="8"/>
        <color rgb="FF000000"/>
        <rFont val="Open Sans"/>
        <family val="2"/>
      </rPr>
      <t>c</t>
    </r>
    <r>
      <rPr>
        <sz val="11"/>
        <color rgb="FF000000"/>
        <rFont val="Open Sans"/>
        <family val="2"/>
      </rPr>
      <t> ± 0.07</t>
    </r>
  </si>
  <si>
    <r>
      <t>2.69</t>
    </r>
    <r>
      <rPr>
        <sz val="8"/>
        <color rgb="FF000000"/>
        <rFont val="Open Sans"/>
        <family val="2"/>
      </rPr>
      <t>c</t>
    </r>
    <r>
      <rPr>
        <sz val="11"/>
        <color rgb="FF000000"/>
        <rFont val="Open Sans"/>
        <family val="2"/>
      </rPr>
      <t> ± 0.31</t>
    </r>
  </si>
  <si>
    <r>
      <t>32.32</t>
    </r>
    <r>
      <rPr>
        <sz val="8"/>
        <color rgb="FF000000"/>
        <rFont val="Open Sans"/>
        <family val="2"/>
      </rPr>
      <t>b</t>
    </r>
    <r>
      <rPr>
        <sz val="11"/>
        <color rgb="FF000000"/>
        <rFont val="Open Sans"/>
        <family val="2"/>
      </rPr>
      <t> ± 1.74</t>
    </r>
  </si>
  <si>
    <r>
      <t>0.29</t>
    </r>
    <r>
      <rPr>
        <sz val="8"/>
        <color rgb="FF000000"/>
        <rFont val="Open Sans"/>
        <family val="2"/>
      </rPr>
      <t>cd</t>
    </r>
    <r>
      <rPr>
        <sz val="11"/>
        <color rgb="FF000000"/>
        <rFont val="Open Sans"/>
        <family val="2"/>
      </rPr>
      <t> ± 0.02</t>
    </r>
  </si>
  <si>
    <r>
      <t>0.07</t>
    </r>
    <r>
      <rPr>
        <sz val="8"/>
        <color rgb="FF000000"/>
        <rFont val="Open Sans"/>
        <family val="2"/>
      </rPr>
      <t>f</t>
    </r>
    <r>
      <rPr>
        <sz val="11"/>
        <color rgb="FF000000"/>
        <rFont val="Open Sans"/>
        <family val="2"/>
      </rPr>
      <t> ± 0.00</t>
    </r>
  </si>
  <si>
    <r>
      <t>59.65</t>
    </r>
    <r>
      <rPr>
        <sz val="8"/>
        <color rgb="FF000000"/>
        <rFont val="Open Sans"/>
        <family val="2"/>
      </rPr>
      <t>c</t>
    </r>
    <r>
      <rPr>
        <sz val="11"/>
        <color rgb="FF000000"/>
        <rFont val="Open Sans"/>
        <family val="2"/>
      </rPr>
      <t> ± 0.13</t>
    </r>
  </si>
  <si>
    <t>Process-5 (NaOH)</t>
  </si>
  <si>
    <t>12.56 ± 0.25</t>
  </si>
  <si>
    <r>
      <t>3.21</t>
    </r>
    <r>
      <rPr>
        <sz val="8"/>
        <color rgb="FF000000"/>
        <rFont val="Open Sans"/>
        <family val="2"/>
      </rPr>
      <t>d</t>
    </r>
    <r>
      <rPr>
        <sz val="11"/>
        <color rgb="FF000000"/>
        <rFont val="Open Sans"/>
        <family val="2"/>
      </rPr>
      <t> ± 0.10</t>
    </r>
  </si>
  <si>
    <r>
      <t>3.21</t>
    </r>
    <r>
      <rPr>
        <sz val="8"/>
        <color rgb="FF000000"/>
        <rFont val="Open Sans"/>
        <family val="2"/>
      </rPr>
      <t>bc</t>
    </r>
    <r>
      <rPr>
        <sz val="11"/>
        <color rgb="FF000000"/>
        <rFont val="Open Sans"/>
        <family val="2"/>
      </rPr>
      <t> ± 0.36</t>
    </r>
  </si>
  <si>
    <r>
      <t>25.53</t>
    </r>
    <r>
      <rPr>
        <sz val="8"/>
        <color rgb="FF000000"/>
        <rFont val="Open Sans"/>
        <family val="2"/>
      </rPr>
      <t>c</t>
    </r>
    <r>
      <rPr>
        <sz val="11"/>
        <color rgb="FF000000"/>
        <rFont val="Open Sans"/>
        <family val="2"/>
      </rPr>
      <t> ± 0.30</t>
    </r>
  </si>
  <si>
    <r>
      <t>0.28</t>
    </r>
    <r>
      <rPr>
        <sz val="8"/>
        <color rgb="FF000000"/>
        <rFont val="Open Sans"/>
        <family val="2"/>
      </rPr>
      <t>cde</t>
    </r>
    <r>
      <rPr>
        <sz val="11"/>
        <color rgb="FF000000"/>
        <rFont val="Open Sans"/>
        <family val="2"/>
      </rPr>
      <t> ± 0.03</t>
    </r>
  </si>
  <si>
    <r>
      <t>0.07</t>
    </r>
    <r>
      <rPr>
        <sz val="8"/>
        <color rgb="FF000000"/>
        <rFont val="Open Sans"/>
        <family val="2"/>
      </rPr>
      <t>ab</t>
    </r>
    <r>
      <rPr>
        <sz val="11"/>
        <color rgb="FF000000"/>
        <rFont val="Open Sans"/>
        <family val="2"/>
      </rPr>
      <t> ± 0.02</t>
    </r>
  </si>
  <si>
    <r>
      <t>63.07</t>
    </r>
    <r>
      <rPr>
        <sz val="8"/>
        <color rgb="FF000000"/>
        <rFont val="Open Sans"/>
        <family val="2"/>
      </rPr>
      <t>c</t>
    </r>
    <r>
      <rPr>
        <sz val="11"/>
        <color rgb="FF000000"/>
        <rFont val="Open Sans"/>
        <family val="2"/>
      </rPr>
      <t> ± 1.32</t>
    </r>
  </si>
  <si>
    <t>Process-6 (Charcoal)</t>
  </si>
  <si>
    <t>12.72 ± 0.99</t>
  </si>
  <si>
    <r>
      <t>4.05</t>
    </r>
    <r>
      <rPr>
        <sz val="8"/>
        <color rgb="FF000000"/>
        <rFont val="Open Sans"/>
        <family val="2"/>
      </rPr>
      <t>c</t>
    </r>
    <r>
      <rPr>
        <sz val="11"/>
        <color rgb="FF000000"/>
        <rFont val="Open Sans"/>
        <family val="2"/>
      </rPr>
      <t> ± 0.10</t>
    </r>
  </si>
  <si>
    <r>
      <t>2.84</t>
    </r>
    <r>
      <rPr>
        <sz val="8"/>
        <color rgb="FF000000"/>
        <rFont val="Open Sans"/>
        <family val="2"/>
      </rPr>
      <t>bc</t>
    </r>
    <r>
      <rPr>
        <sz val="11"/>
        <color rgb="FF000000"/>
        <rFont val="Open Sans"/>
        <family val="2"/>
      </rPr>
      <t> ± 0.30</t>
    </r>
  </si>
  <si>
    <r>
      <t>31.80</t>
    </r>
    <r>
      <rPr>
        <sz val="8"/>
        <color rgb="FF000000"/>
        <rFont val="Open Sans"/>
        <family val="2"/>
      </rPr>
      <t>b</t>
    </r>
    <r>
      <rPr>
        <sz val="11"/>
        <color rgb="FF000000"/>
        <rFont val="Open Sans"/>
        <family val="2"/>
      </rPr>
      <t> ± 1.39</t>
    </r>
  </si>
  <si>
    <r>
      <t>0.20</t>
    </r>
    <r>
      <rPr>
        <sz val="8"/>
        <color rgb="FF000000"/>
        <rFont val="Open Sans"/>
        <family val="2"/>
      </rPr>
      <t>e</t>
    </r>
    <r>
      <rPr>
        <sz val="11"/>
        <color rgb="FF000000"/>
        <rFont val="Open Sans"/>
        <family val="2"/>
      </rPr>
      <t> ± 0.03</t>
    </r>
  </si>
  <si>
    <r>
      <t>0.08</t>
    </r>
    <r>
      <rPr>
        <sz val="8"/>
        <color rgb="FF000000"/>
        <rFont val="Open Sans"/>
        <family val="2"/>
      </rPr>
      <t>ef</t>
    </r>
    <r>
      <rPr>
        <sz val="11"/>
        <color rgb="FF000000"/>
        <rFont val="Open Sans"/>
        <family val="2"/>
      </rPr>
      <t> ± 0.01</t>
    </r>
  </si>
  <si>
    <r>
      <t>72.09</t>
    </r>
    <r>
      <rPr>
        <sz val="8"/>
        <color rgb="FF000000"/>
        <rFont val="Open Sans"/>
        <family val="2"/>
      </rPr>
      <t>b</t>
    </r>
    <r>
      <rPr>
        <sz val="11"/>
        <color rgb="FF000000"/>
        <rFont val="Open Sans"/>
        <family val="2"/>
      </rPr>
      <t> ± 0.18</t>
    </r>
  </si>
  <si>
    <r>
      <t>Values are given as the mean ± standard deviation of two replicates. Different letters in the same column indicate statistically significance between mean values (</t>
    </r>
    <r>
      <rPr>
        <i/>
        <sz val="9"/>
        <color rgb="FF1C1D1E"/>
        <rFont val="Open Sans"/>
        <family val="2"/>
      </rPr>
      <t>P</t>
    </r>
    <r>
      <rPr>
        <sz val="9"/>
        <color rgb="FF1C1D1E"/>
        <rFont val="Open Sans"/>
        <family val="2"/>
      </rPr>
      <t> &lt; 0.05).</t>
    </r>
  </si>
  <si>
    <r>
      <t>sugar consumed </t>
    </r>
    <r>
      <rPr>
        <b/>
        <sz val="12"/>
        <color rgb="FF000000"/>
        <rFont val="Open Sans"/>
        <family val="2"/>
      </rPr>
      <t>(</t>
    </r>
    <r>
      <rPr>
        <b/>
        <i/>
        <sz val="12"/>
        <color rgb="FF000000"/>
        <rFont val="Open Sans"/>
        <family val="2"/>
      </rPr>
      <t>S</t>
    </r>
    <r>
      <rPr>
        <b/>
        <sz val="12"/>
        <color rgb="FF000000"/>
        <rFont val="Open Sans"/>
        <family val="2"/>
      </rPr>
      <t>)</t>
    </r>
    <r>
      <rPr>
        <sz val="12"/>
        <color rgb="FF000000"/>
        <rFont val="Open Sans"/>
        <family val="2"/>
      </rPr>
      <t>, ethanol produced </t>
    </r>
    <r>
      <rPr>
        <b/>
        <sz val="12"/>
        <color rgb="FF000000"/>
        <rFont val="Open Sans"/>
        <family val="2"/>
      </rPr>
      <t>(</t>
    </r>
    <r>
      <rPr>
        <b/>
        <i/>
        <sz val="12"/>
        <color rgb="FF000000"/>
        <rFont val="Open Sans"/>
        <family val="2"/>
      </rPr>
      <t>P</t>
    </r>
    <r>
      <rPr>
        <b/>
        <sz val="12"/>
        <color rgb="FF000000"/>
        <rFont val="Open Sans"/>
        <family val="2"/>
      </rPr>
      <t>)</t>
    </r>
    <r>
      <rPr>
        <sz val="12"/>
        <color rgb="FF000000"/>
        <rFont val="Open Sans"/>
        <family val="2"/>
      </rPr>
      <t>, biomass produced </t>
    </r>
    <r>
      <rPr>
        <b/>
        <sz val="12"/>
        <color rgb="FF000000"/>
        <rFont val="Open Sans"/>
        <family val="2"/>
      </rPr>
      <t>(</t>
    </r>
    <r>
      <rPr>
        <b/>
        <i/>
        <sz val="12"/>
        <color rgb="FF000000"/>
        <rFont val="Open Sans"/>
        <family val="2"/>
      </rPr>
      <t>X</t>
    </r>
    <r>
      <rPr>
        <b/>
        <sz val="12"/>
        <color rgb="FF000000"/>
        <rFont val="Open Sans"/>
        <family val="2"/>
      </rPr>
      <t>)</t>
    </r>
    <r>
      <rPr>
        <sz val="12"/>
        <color rgb="FF000000"/>
        <rFont val="Open Sans"/>
        <family val="2"/>
      </rPr>
      <t>, yield </t>
    </r>
    <r>
      <rPr>
        <b/>
        <sz val="12"/>
        <color rgb="FF000000"/>
        <rFont val="Open Sans"/>
        <family val="2"/>
      </rPr>
      <t>(</t>
    </r>
    <r>
      <rPr>
        <b/>
        <i/>
        <sz val="12"/>
        <color rgb="FF000000"/>
        <rFont val="Open Sans"/>
        <family val="2"/>
      </rPr>
      <t>Y</t>
    </r>
    <r>
      <rPr>
        <b/>
        <i/>
        <sz val="9"/>
        <color rgb="FF000000"/>
        <rFont val="Open Sans"/>
        <family val="2"/>
      </rPr>
      <t>P/S</t>
    </r>
    <r>
      <rPr>
        <b/>
        <sz val="12"/>
        <color rgb="FF000000"/>
        <rFont val="Open Sans"/>
        <family val="2"/>
      </rPr>
      <t>)</t>
    </r>
    <r>
      <rPr>
        <sz val="12"/>
        <color rgb="FF000000"/>
        <rFont val="Open Sans"/>
        <family val="2"/>
      </rPr>
      <t>, maximum substrate consumption rate </t>
    </r>
    <r>
      <rPr>
        <b/>
        <sz val="12"/>
        <color rgb="FF000000"/>
        <rFont val="Open Sans"/>
        <family val="2"/>
      </rPr>
      <t>(</t>
    </r>
    <r>
      <rPr>
        <b/>
        <i/>
        <sz val="12"/>
        <color rgb="FF000000"/>
        <rFont val="Open Sans"/>
        <family val="2"/>
      </rPr>
      <t>Q</t>
    </r>
    <r>
      <rPr>
        <b/>
        <i/>
        <sz val="9"/>
        <color rgb="FF000000"/>
        <rFont val="Open Sans"/>
        <family val="2"/>
      </rPr>
      <t>S</t>
    </r>
    <r>
      <rPr>
        <b/>
        <sz val="12"/>
        <color rgb="FF000000"/>
        <rFont val="Open Sans"/>
        <family val="2"/>
      </rPr>
      <t>)</t>
    </r>
    <r>
      <rPr>
        <sz val="12"/>
        <color rgb="FF000000"/>
        <rFont val="Open Sans"/>
        <family val="2"/>
      </rPr>
      <t>, maximum ethanol production rate </t>
    </r>
    <r>
      <rPr>
        <b/>
        <sz val="12"/>
        <color rgb="FF000000"/>
        <rFont val="Open Sans"/>
        <family val="2"/>
      </rPr>
      <t>(</t>
    </r>
    <r>
      <rPr>
        <b/>
        <i/>
        <sz val="12"/>
        <color rgb="FF000000"/>
        <rFont val="Open Sans"/>
        <family val="2"/>
      </rPr>
      <t>Q</t>
    </r>
    <r>
      <rPr>
        <b/>
        <i/>
        <sz val="9"/>
        <color rgb="FF000000"/>
        <rFont val="Open Sans"/>
        <family val="2"/>
      </rPr>
      <t>P</t>
    </r>
    <r>
      <rPr>
        <b/>
        <sz val="12"/>
        <color rgb="FF000000"/>
        <rFont val="Open Sans"/>
        <family val="2"/>
      </rPr>
      <t>)</t>
    </r>
    <r>
      <rPr>
        <sz val="12"/>
        <color rgb="FF000000"/>
        <rFont val="Open Sans"/>
        <family val="2"/>
      </rPr>
      <t>, maximum biomass growth rate </t>
    </r>
    <r>
      <rPr>
        <b/>
        <sz val="12"/>
        <color rgb="FF000000"/>
        <rFont val="Open Sans"/>
        <family val="2"/>
      </rPr>
      <t>(</t>
    </r>
    <r>
      <rPr>
        <b/>
        <i/>
        <sz val="12"/>
        <color rgb="FF000000"/>
        <rFont val="Open Sans"/>
        <family val="2"/>
      </rPr>
      <t>Q</t>
    </r>
    <r>
      <rPr>
        <b/>
        <i/>
        <sz val="9"/>
        <color rgb="FF000000"/>
        <rFont val="Open Sans"/>
        <family val="2"/>
      </rPr>
      <t>X</t>
    </r>
    <r>
      <rPr>
        <b/>
        <sz val="12"/>
        <color rgb="FF000000"/>
        <rFont val="Open Sans"/>
        <family val="2"/>
      </rPr>
      <t>)</t>
    </r>
    <r>
      <rPr>
        <sz val="12"/>
        <color rgb="FF000000"/>
        <rFont val="Open Sans"/>
        <family val="2"/>
      </rPr>
      <t>, and sugar utilization yield </t>
    </r>
    <r>
      <rPr>
        <b/>
        <sz val="12"/>
        <color rgb="FF000000"/>
        <rFont val="Open Sans"/>
        <family val="2"/>
      </rPr>
      <t>(SUY)</t>
    </r>
  </si>
  <si>
    <r>
      <t>Table 6. </t>
    </r>
    <r>
      <rPr>
        <sz val="11"/>
        <color theme="1"/>
        <rFont val="Calibri"/>
        <family val="2"/>
        <scheme val="minor"/>
      </rPr>
      <t>Ethanol Production from Base-line Mediums and Nondetoxified and Detoxified Hydrolysates by Using </t>
    </r>
    <r>
      <rPr>
        <i/>
        <sz val="11"/>
        <color theme="1"/>
        <rFont val="Calibri"/>
        <family val="2"/>
        <scheme val="minor"/>
      </rPr>
      <t>Pichia stipis</t>
    </r>
    <r>
      <rPr>
        <sz val="11"/>
        <color theme="1"/>
        <rFont val="Calibri"/>
        <family val="2"/>
        <scheme val="minor"/>
      </rPr>
      <t> ATCC 58785</t>
    </r>
  </si>
  <si>
    <r>
      <t>S</t>
    </r>
    <r>
      <rPr>
        <sz val="11"/>
        <color rgb="FF000000"/>
        <rFont val="Open Sans"/>
        <family val="2"/>
      </rPr>
      <t> (g/L)</t>
    </r>
  </si>
  <si>
    <r>
      <t>P</t>
    </r>
    <r>
      <rPr>
        <sz val="11"/>
        <color rgb="FF000000"/>
        <rFont val="Open Sans"/>
        <family val="2"/>
      </rPr>
      <t> (g/L)</t>
    </r>
  </si>
  <si>
    <r>
      <t>X</t>
    </r>
    <r>
      <rPr>
        <sz val="11"/>
        <color rgb="FF000000"/>
        <rFont val="Open Sans"/>
        <family val="2"/>
      </rPr>
      <t> (g/L)</t>
    </r>
  </si>
  <si>
    <r>
      <t>Y</t>
    </r>
    <r>
      <rPr>
        <i/>
        <sz val="8"/>
        <color rgb="FF000000"/>
        <rFont val="Open Sans"/>
        <family val="2"/>
      </rPr>
      <t>P/S</t>
    </r>
    <r>
      <rPr>
        <sz val="11"/>
        <color rgb="FF000000"/>
        <rFont val="Open Sans"/>
        <family val="2"/>
      </rPr>
      <t> (%)</t>
    </r>
  </si>
  <si>
    <t>15.60 ± 0.21</t>
  </si>
  <si>
    <r>
      <t>7.32</t>
    </r>
    <r>
      <rPr>
        <sz val="8"/>
        <color rgb="FF000000"/>
        <rFont val="Open Sans"/>
        <family val="2"/>
      </rPr>
      <t>a</t>
    </r>
    <r>
      <rPr>
        <sz val="11"/>
        <color rgb="FF000000"/>
        <rFont val="Open Sans"/>
        <family val="2"/>
      </rPr>
      <t> ± 0.04</t>
    </r>
  </si>
  <si>
    <r>
      <t>5.08</t>
    </r>
    <r>
      <rPr>
        <sz val="8"/>
        <color rgb="FF000000"/>
        <rFont val="Open Sans"/>
        <family val="2"/>
      </rPr>
      <t>abc</t>
    </r>
    <r>
      <rPr>
        <sz val="11"/>
        <color rgb="FF000000"/>
        <rFont val="Open Sans"/>
        <family val="2"/>
      </rPr>
      <t> ± 0.11</t>
    </r>
  </si>
  <si>
    <r>
      <t>46.90</t>
    </r>
    <r>
      <rPr>
        <sz val="8"/>
        <color rgb="FF000000"/>
        <rFont val="Open Sans"/>
        <family val="2"/>
      </rPr>
      <t>a</t>
    </r>
    <r>
      <rPr>
        <sz val="11"/>
        <color rgb="FF000000"/>
        <rFont val="Open Sans"/>
        <family val="2"/>
      </rPr>
      <t> ± 0.84</t>
    </r>
  </si>
  <si>
    <r>
      <t>1.50</t>
    </r>
    <r>
      <rPr>
        <sz val="8"/>
        <color rgb="FF000000"/>
        <rFont val="Open Sans"/>
        <family val="2"/>
      </rPr>
      <t>a</t>
    </r>
    <r>
      <rPr>
        <sz val="11"/>
        <color rgb="FF000000"/>
        <rFont val="Open Sans"/>
        <family val="2"/>
      </rPr>
      <t> ± 0.06</t>
    </r>
  </si>
  <si>
    <r>
      <t>0.30</t>
    </r>
    <r>
      <rPr>
        <sz val="8"/>
        <color rgb="FF000000"/>
        <rFont val="Open Sans"/>
        <family val="2"/>
      </rPr>
      <t>a</t>
    </r>
    <r>
      <rPr>
        <sz val="11"/>
        <color rgb="FF000000"/>
        <rFont val="Open Sans"/>
        <family val="2"/>
      </rPr>
      <t> ± 0.00</t>
    </r>
  </si>
  <si>
    <r>
      <t>0.16</t>
    </r>
    <r>
      <rPr>
        <sz val="8"/>
        <color rgb="FF000000"/>
        <rFont val="Open Sans"/>
        <family val="2"/>
      </rPr>
      <t>a</t>
    </r>
    <r>
      <rPr>
        <sz val="11"/>
        <color rgb="FF000000"/>
        <rFont val="Open Sans"/>
        <family val="2"/>
      </rPr>
      <t> ± 0.02</t>
    </r>
  </si>
  <si>
    <r>
      <t>89.87</t>
    </r>
    <r>
      <rPr>
        <sz val="8"/>
        <color rgb="FF000000"/>
        <rFont val="Open Sans"/>
        <family val="2"/>
      </rPr>
      <t>a</t>
    </r>
    <r>
      <rPr>
        <sz val="11"/>
        <color rgb="FF000000"/>
        <rFont val="Open Sans"/>
        <family val="2"/>
      </rPr>
      <t> ± 0.18</t>
    </r>
  </si>
  <si>
    <t>20.25 ± 0.31</t>
  </si>
  <si>
    <r>
      <t>5.54</t>
    </r>
    <r>
      <rPr>
        <sz val="8"/>
        <color rgb="FF000000"/>
        <rFont val="Open Sans"/>
        <family val="2"/>
      </rPr>
      <t>b</t>
    </r>
    <r>
      <rPr>
        <sz val="11"/>
        <color rgb="FF000000"/>
        <rFont val="Open Sans"/>
        <family val="2"/>
      </rPr>
      <t> ± 0.03</t>
    </r>
  </si>
  <si>
    <r>
      <t>4.38</t>
    </r>
    <r>
      <rPr>
        <sz val="8"/>
        <color rgb="FF000000"/>
        <rFont val="Open Sans"/>
        <family val="2"/>
      </rPr>
      <t>abc</t>
    </r>
    <r>
      <rPr>
        <sz val="11"/>
        <color rgb="FF000000"/>
        <rFont val="Open Sans"/>
        <family val="2"/>
      </rPr>
      <t> ± 0.02</t>
    </r>
  </si>
  <si>
    <r>
      <t>27.37</t>
    </r>
    <r>
      <rPr>
        <sz val="8"/>
        <color rgb="FF000000"/>
        <rFont val="Open Sans"/>
        <family val="2"/>
      </rPr>
      <t>cd</t>
    </r>
    <r>
      <rPr>
        <sz val="11"/>
        <color rgb="FF000000"/>
        <rFont val="Open Sans"/>
        <family val="2"/>
      </rPr>
      <t> ± 0.54</t>
    </r>
  </si>
  <si>
    <r>
      <t>0.40</t>
    </r>
    <r>
      <rPr>
        <sz val="8"/>
        <color rgb="FF000000"/>
        <rFont val="Open Sans"/>
        <family val="2"/>
      </rPr>
      <t>b</t>
    </r>
    <r>
      <rPr>
        <sz val="11"/>
        <color rgb="FF000000"/>
        <rFont val="Open Sans"/>
        <family val="2"/>
      </rPr>
      <t> ± 0.01</t>
    </r>
  </si>
  <si>
    <r>
      <t>0.13</t>
    </r>
    <r>
      <rPr>
        <sz val="8"/>
        <color rgb="FF000000"/>
        <rFont val="Open Sans"/>
        <family val="2"/>
      </rPr>
      <t>bc</t>
    </r>
    <r>
      <rPr>
        <sz val="11"/>
        <color rgb="FF000000"/>
        <rFont val="Open Sans"/>
        <family val="2"/>
      </rPr>
      <t> ± 0.00</t>
    </r>
  </si>
  <si>
    <r>
      <t>0.06</t>
    </r>
    <r>
      <rPr>
        <sz val="8"/>
        <color rgb="FF000000"/>
        <rFont val="Open Sans"/>
        <family val="2"/>
      </rPr>
      <t>ab</t>
    </r>
    <r>
      <rPr>
        <sz val="11"/>
        <color rgb="FF000000"/>
        <rFont val="Open Sans"/>
        <family val="2"/>
      </rPr>
      <t> ± 0.00</t>
    </r>
  </si>
  <si>
    <r>
      <t>87.83</t>
    </r>
    <r>
      <rPr>
        <sz val="8"/>
        <color rgb="FF000000"/>
        <rFont val="Open Sans"/>
        <family val="2"/>
      </rPr>
      <t>b</t>
    </r>
    <r>
      <rPr>
        <sz val="11"/>
        <color rgb="FF000000"/>
        <rFont val="Open Sans"/>
        <family val="2"/>
      </rPr>
      <t> ± 0.16</t>
    </r>
  </si>
  <si>
    <t>14.41 ± 1.15</t>
  </si>
  <si>
    <r>
      <t>4.31</t>
    </r>
    <r>
      <rPr>
        <sz val="8"/>
        <color rgb="FF000000"/>
        <rFont val="Open Sans"/>
        <family val="2"/>
      </rPr>
      <t>d</t>
    </r>
    <r>
      <rPr>
        <sz val="11"/>
        <color rgb="FF000000"/>
        <rFont val="Open Sans"/>
        <family val="2"/>
      </rPr>
      <t> ± 0.04</t>
    </r>
  </si>
  <si>
    <r>
      <t>2.97</t>
    </r>
    <r>
      <rPr>
        <sz val="8"/>
        <color rgb="FF000000"/>
        <rFont val="Open Sans"/>
        <family val="2"/>
      </rPr>
      <t>c</t>
    </r>
    <r>
      <rPr>
        <sz val="11"/>
        <color rgb="FF000000"/>
        <rFont val="Open Sans"/>
        <family val="2"/>
      </rPr>
      <t> ± 0.62</t>
    </r>
  </si>
  <si>
    <r>
      <t>29.89</t>
    </r>
    <r>
      <rPr>
        <sz val="8"/>
        <color rgb="FF000000"/>
        <rFont val="Open Sans"/>
        <family val="2"/>
      </rPr>
      <t>c</t>
    </r>
    <r>
      <rPr>
        <sz val="11"/>
        <color rgb="FF000000"/>
        <rFont val="Open Sans"/>
        <family val="2"/>
      </rPr>
      <t> ± 2.05</t>
    </r>
  </si>
  <si>
    <r>
      <t>0.21</t>
    </r>
    <r>
      <rPr>
        <sz val="8"/>
        <color rgb="FF000000"/>
        <rFont val="Open Sans"/>
        <family val="2"/>
      </rPr>
      <t>d</t>
    </r>
    <r>
      <rPr>
        <sz val="11"/>
        <color rgb="FF000000"/>
        <rFont val="Open Sans"/>
        <family val="2"/>
      </rPr>
      <t> ± 0.02</t>
    </r>
  </si>
  <si>
    <r>
      <t>0.08</t>
    </r>
    <r>
      <rPr>
        <sz val="8"/>
        <color rgb="FF000000"/>
        <rFont val="Open Sans"/>
        <family val="2"/>
      </rPr>
      <t>d</t>
    </r>
    <r>
      <rPr>
        <sz val="11"/>
        <color rgb="FF000000"/>
        <rFont val="Open Sans"/>
        <family val="2"/>
      </rPr>
      <t> ± 0.00</t>
    </r>
  </si>
  <si>
    <r>
      <t>0.04</t>
    </r>
    <r>
      <rPr>
        <sz val="8"/>
        <color rgb="FF000000"/>
        <rFont val="Open Sans"/>
        <family val="2"/>
      </rPr>
      <t>b</t>
    </r>
    <r>
      <rPr>
        <sz val="11"/>
        <color rgb="FF000000"/>
        <rFont val="Open Sans"/>
        <family val="2"/>
      </rPr>
      <t> ± 0.02</t>
    </r>
  </si>
  <si>
    <r>
      <t>69.80</t>
    </r>
    <r>
      <rPr>
        <sz val="8"/>
        <color rgb="FF000000"/>
        <rFont val="Open Sans"/>
        <family val="2"/>
      </rPr>
      <t>g</t>
    </r>
    <r>
      <rPr>
        <sz val="11"/>
        <color rgb="FF000000"/>
        <rFont val="Open Sans"/>
        <family val="2"/>
      </rPr>
      <t> ± 0.23</t>
    </r>
  </si>
  <si>
    <t>9.43 ± 0.65</t>
  </si>
  <si>
    <r>
      <t>2.84</t>
    </r>
    <r>
      <rPr>
        <sz val="8"/>
        <color rgb="FF000000"/>
        <rFont val="Open Sans"/>
        <family val="2"/>
      </rPr>
      <t>h</t>
    </r>
    <r>
      <rPr>
        <sz val="11"/>
        <color rgb="FF000000"/>
        <rFont val="Open Sans"/>
        <family val="2"/>
      </rPr>
      <t> ± 0.10</t>
    </r>
  </si>
  <si>
    <r>
      <t>3.12</t>
    </r>
    <r>
      <rPr>
        <sz val="8"/>
        <color rgb="FF000000"/>
        <rFont val="Open Sans"/>
        <family val="2"/>
      </rPr>
      <t>bc</t>
    </r>
    <r>
      <rPr>
        <sz val="11"/>
        <color rgb="FF000000"/>
        <rFont val="Open Sans"/>
        <family val="2"/>
      </rPr>
      <t> ± 0.65</t>
    </r>
  </si>
  <si>
    <r>
      <t>30.10</t>
    </r>
    <r>
      <rPr>
        <sz val="8"/>
        <color rgb="FF000000"/>
        <rFont val="Open Sans"/>
        <family val="2"/>
      </rPr>
      <t>c</t>
    </r>
    <r>
      <rPr>
        <sz val="11"/>
        <color rgb="FF000000"/>
        <rFont val="Open Sans"/>
        <family val="2"/>
      </rPr>
      <t> ± 0.79</t>
    </r>
  </si>
  <si>
    <r>
      <t>0.24</t>
    </r>
    <r>
      <rPr>
        <sz val="8"/>
        <color rgb="FF000000"/>
        <rFont val="Open Sans"/>
        <family val="2"/>
      </rPr>
      <t>cd</t>
    </r>
    <r>
      <rPr>
        <sz val="11"/>
        <color rgb="FF000000"/>
        <rFont val="Open Sans"/>
        <family val="2"/>
      </rPr>
      <t> ± 0.01</t>
    </r>
  </si>
  <si>
    <r>
      <t>0.12</t>
    </r>
    <r>
      <rPr>
        <sz val="8"/>
        <color rgb="FF000000"/>
        <rFont val="Open Sans"/>
        <family val="2"/>
      </rPr>
      <t>cd</t>
    </r>
    <r>
      <rPr>
        <sz val="11"/>
        <color rgb="FF000000"/>
        <rFont val="Open Sans"/>
        <family val="2"/>
      </rPr>
      <t> ± 0.01</t>
    </r>
  </si>
  <si>
    <r>
      <t>0.11</t>
    </r>
    <r>
      <rPr>
        <sz val="8"/>
        <color rgb="FF000000"/>
        <rFont val="Open Sans"/>
        <family val="2"/>
      </rPr>
      <t>ab</t>
    </r>
    <r>
      <rPr>
        <sz val="11"/>
        <color rgb="FF000000"/>
        <rFont val="Open Sans"/>
        <family val="2"/>
      </rPr>
      <t> ± 0.04</t>
    </r>
  </si>
  <si>
    <r>
      <t>63.27</t>
    </r>
    <r>
      <rPr>
        <sz val="8"/>
        <color rgb="FF000000"/>
        <rFont val="Open Sans"/>
        <family val="2"/>
      </rPr>
      <t>h</t>
    </r>
    <r>
      <rPr>
        <sz val="11"/>
        <color rgb="FF000000"/>
        <rFont val="Open Sans"/>
        <family val="2"/>
      </rPr>
      <t> ± 0.94</t>
    </r>
  </si>
  <si>
    <t>10.57 ± 0.76</t>
  </si>
  <si>
    <r>
      <t>4.05</t>
    </r>
    <r>
      <rPr>
        <sz val="8"/>
        <color rgb="FF000000"/>
        <rFont val="Open Sans"/>
        <family val="2"/>
      </rPr>
      <t>de</t>
    </r>
    <r>
      <rPr>
        <sz val="11"/>
        <color rgb="FF000000"/>
        <rFont val="Open Sans"/>
        <family val="2"/>
      </rPr>
      <t> ± 0.09</t>
    </r>
  </si>
  <si>
    <r>
      <t>2.97</t>
    </r>
    <r>
      <rPr>
        <sz val="8"/>
        <color rgb="FF000000"/>
        <rFont val="Open Sans"/>
        <family val="2"/>
      </rPr>
      <t>c</t>
    </r>
    <r>
      <rPr>
        <sz val="11"/>
        <color rgb="FF000000"/>
        <rFont val="Open Sans"/>
        <family val="2"/>
      </rPr>
      <t> ± 0.06</t>
    </r>
  </si>
  <si>
    <r>
      <t>38.33</t>
    </r>
    <r>
      <rPr>
        <sz val="8"/>
        <color rgb="FF000000"/>
        <rFont val="Open Sans"/>
        <family val="2"/>
      </rPr>
      <t>b</t>
    </r>
    <r>
      <rPr>
        <sz val="11"/>
        <color rgb="FF000000"/>
        <rFont val="Open Sans"/>
        <family val="2"/>
      </rPr>
      <t> ± 1.89</t>
    </r>
  </si>
  <si>
    <r>
      <t>0.34</t>
    </r>
    <r>
      <rPr>
        <sz val="8"/>
        <color rgb="FF000000"/>
        <rFont val="Open Sans"/>
        <family val="2"/>
      </rPr>
      <t>bc</t>
    </r>
    <r>
      <rPr>
        <sz val="11"/>
        <color rgb="FF000000"/>
        <rFont val="Open Sans"/>
        <family val="2"/>
      </rPr>
      <t> ± 0.02</t>
    </r>
  </si>
  <si>
    <r>
      <t>0.17</t>
    </r>
    <r>
      <rPr>
        <sz val="8"/>
        <color rgb="FF000000"/>
        <rFont val="Open Sans"/>
        <family val="2"/>
      </rPr>
      <t>b</t>
    </r>
    <r>
      <rPr>
        <sz val="11"/>
        <color rgb="FF000000"/>
        <rFont val="Open Sans"/>
        <family val="2"/>
      </rPr>
      <t> ± 0.01</t>
    </r>
  </si>
  <si>
    <r>
      <t>71.22</t>
    </r>
    <r>
      <rPr>
        <sz val="8"/>
        <color rgb="FF000000"/>
        <rFont val="Open Sans"/>
        <family val="2"/>
      </rPr>
      <t>f</t>
    </r>
    <r>
      <rPr>
        <sz val="11"/>
        <color rgb="FF000000"/>
        <rFont val="Open Sans"/>
        <family val="2"/>
      </rPr>
      <t> ± 0.21</t>
    </r>
  </si>
  <si>
    <t>14.67 ± 1.07</t>
  </si>
  <si>
    <r>
      <t>3.81</t>
    </r>
    <r>
      <rPr>
        <sz val="8"/>
        <color rgb="FF000000"/>
        <rFont val="Open Sans"/>
        <family val="2"/>
      </rPr>
      <t>ef</t>
    </r>
    <r>
      <rPr>
        <sz val="11"/>
        <color rgb="FF000000"/>
        <rFont val="Open Sans"/>
        <family val="2"/>
      </rPr>
      <t> ± 0.06</t>
    </r>
  </si>
  <si>
    <r>
      <t>5.60</t>
    </r>
    <r>
      <rPr>
        <sz val="8"/>
        <color rgb="FF000000"/>
        <rFont val="Open Sans"/>
        <family val="2"/>
      </rPr>
      <t>ab</t>
    </r>
    <r>
      <rPr>
        <sz val="11"/>
        <color rgb="FF000000"/>
        <rFont val="Open Sans"/>
        <family val="2"/>
      </rPr>
      <t> ± 0.71</t>
    </r>
  </si>
  <si>
    <r>
      <t>25.97</t>
    </r>
    <r>
      <rPr>
        <sz val="8"/>
        <color rgb="FF000000"/>
        <rFont val="Open Sans"/>
        <family val="2"/>
      </rPr>
      <t>cd</t>
    </r>
    <r>
      <rPr>
        <sz val="11"/>
        <color rgb="FF000000"/>
        <rFont val="Open Sans"/>
        <family val="2"/>
      </rPr>
      <t> ± 1.47</t>
    </r>
  </si>
  <si>
    <r>
      <t>0.33</t>
    </r>
    <r>
      <rPr>
        <sz val="8"/>
        <color rgb="FF000000"/>
        <rFont val="Open Sans"/>
        <family val="2"/>
      </rPr>
      <t>bc</t>
    </r>
    <r>
      <rPr>
        <sz val="11"/>
        <color rgb="FF000000"/>
        <rFont val="Open Sans"/>
        <family val="2"/>
      </rPr>
      <t> ± 0.03</t>
    </r>
  </si>
  <si>
    <r>
      <t>0.10</t>
    </r>
    <r>
      <rPr>
        <sz val="8"/>
        <color rgb="FF000000"/>
        <rFont val="Open Sans"/>
        <family val="2"/>
      </rPr>
      <t>cd</t>
    </r>
    <r>
      <rPr>
        <sz val="11"/>
        <color rgb="FF000000"/>
        <rFont val="Open Sans"/>
        <family val="2"/>
      </rPr>
      <t> ± 0.03</t>
    </r>
  </si>
  <si>
    <r>
      <t>0.10</t>
    </r>
    <r>
      <rPr>
        <sz val="8"/>
        <color rgb="FF000000"/>
        <rFont val="Open Sans"/>
        <family val="2"/>
      </rPr>
      <t>ab</t>
    </r>
    <r>
      <rPr>
        <sz val="11"/>
        <color rgb="FF000000"/>
        <rFont val="Open Sans"/>
        <family val="2"/>
      </rPr>
      <t> ± 0.04</t>
    </r>
  </si>
  <si>
    <r>
      <t>74.86</t>
    </r>
    <r>
      <rPr>
        <sz val="8"/>
        <color rgb="FF000000"/>
        <rFont val="Open Sans"/>
        <family val="2"/>
      </rPr>
      <t>e</t>
    </r>
    <r>
      <rPr>
        <sz val="11"/>
        <color rgb="FF000000"/>
        <rFont val="Open Sans"/>
        <family val="2"/>
      </rPr>
      <t> ± 0.17</t>
    </r>
  </si>
  <si>
    <t>14.02 ± 1.00</t>
  </si>
  <si>
    <r>
      <t>3.45</t>
    </r>
    <r>
      <rPr>
        <sz val="8"/>
        <color rgb="FF000000"/>
        <rFont val="Open Sans"/>
        <family val="2"/>
      </rPr>
      <t>fg</t>
    </r>
    <r>
      <rPr>
        <sz val="11"/>
        <color rgb="FF000000"/>
        <rFont val="Open Sans"/>
        <family val="2"/>
      </rPr>
      <t> ± 0.09</t>
    </r>
  </si>
  <si>
    <r>
      <t>5.02</t>
    </r>
    <r>
      <rPr>
        <sz val="8"/>
        <color rgb="FF000000"/>
        <rFont val="Open Sans"/>
        <family val="2"/>
      </rPr>
      <t>abc</t>
    </r>
    <r>
      <rPr>
        <sz val="11"/>
        <color rgb="FF000000"/>
        <rFont val="Open Sans"/>
        <family val="2"/>
      </rPr>
      <t> ± 1.23</t>
    </r>
  </si>
  <si>
    <r>
      <t>24.60</t>
    </r>
    <r>
      <rPr>
        <sz val="8"/>
        <color rgb="FF000000"/>
        <rFont val="Open Sans"/>
        <family val="2"/>
      </rPr>
      <t>d</t>
    </r>
    <r>
      <rPr>
        <sz val="11"/>
        <color rgb="FF000000"/>
        <rFont val="Open Sans"/>
        <family val="2"/>
      </rPr>
      <t> ± 1.13</t>
    </r>
  </si>
  <si>
    <r>
      <t>0.30</t>
    </r>
    <r>
      <rPr>
        <sz val="8"/>
        <color rgb="FF000000"/>
        <rFont val="Open Sans"/>
        <family val="2"/>
      </rPr>
      <t>bcd</t>
    </r>
    <r>
      <rPr>
        <sz val="11"/>
        <color rgb="FF000000"/>
        <rFont val="Open Sans"/>
        <family val="2"/>
      </rPr>
      <t> ± 0.03</t>
    </r>
  </si>
  <si>
    <r>
      <t>0.08</t>
    </r>
    <r>
      <rPr>
        <sz val="8"/>
        <color rgb="FF000000"/>
        <rFont val="Open Sans"/>
        <family val="2"/>
      </rPr>
      <t>d</t>
    </r>
    <r>
      <rPr>
        <sz val="11"/>
        <color rgb="FF000000"/>
        <rFont val="Open Sans"/>
        <family val="2"/>
      </rPr>
      <t> ± 0.01</t>
    </r>
  </si>
  <si>
    <r>
      <t>77.59</t>
    </r>
    <r>
      <rPr>
        <sz val="8"/>
        <color rgb="FF000000"/>
        <rFont val="Open Sans"/>
        <family val="2"/>
      </rPr>
      <t>c</t>
    </r>
    <r>
      <rPr>
        <sz val="11"/>
        <color rgb="FF000000"/>
        <rFont val="Open Sans"/>
        <family val="2"/>
      </rPr>
      <t> ± 0.19</t>
    </r>
  </si>
  <si>
    <t>12.60 ± 1.07</t>
  </si>
  <si>
    <r>
      <t>3.35</t>
    </r>
    <r>
      <rPr>
        <sz val="8"/>
        <color rgb="FF000000"/>
        <rFont val="Open Sans"/>
        <family val="2"/>
      </rPr>
      <t>g</t>
    </r>
    <r>
      <rPr>
        <sz val="11"/>
        <color rgb="FF000000"/>
        <rFont val="Open Sans"/>
        <family val="2"/>
      </rPr>
      <t> ± 0.17</t>
    </r>
  </si>
  <si>
    <r>
      <t>5.64</t>
    </r>
    <r>
      <rPr>
        <sz val="8"/>
        <color rgb="FF000000"/>
        <rFont val="Open Sans"/>
        <family val="2"/>
      </rPr>
      <t>ab</t>
    </r>
    <r>
      <rPr>
        <sz val="11"/>
        <color rgb="FF000000"/>
        <rFont val="Open Sans"/>
        <family val="2"/>
      </rPr>
      <t> ± 0.71</t>
    </r>
  </si>
  <si>
    <r>
      <t>26.59</t>
    </r>
    <r>
      <rPr>
        <sz val="8"/>
        <color rgb="FF000000"/>
        <rFont val="Open Sans"/>
        <family val="2"/>
      </rPr>
      <t>cd</t>
    </r>
    <r>
      <rPr>
        <sz val="11"/>
        <color rgb="FF000000"/>
        <rFont val="Open Sans"/>
        <family val="2"/>
      </rPr>
      <t> ± 0.59</t>
    </r>
  </si>
  <si>
    <r>
      <t>0.29</t>
    </r>
    <r>
      <rPr>
        <sz val="8"/>
        <color rgb="FF000000"/>
        <rFont val="Open Sans"/>
        <family val="2"/>
      </rPr>
      <t>cd</t>
    </r>
    <r>
      <rPr>
        <sz val="11"/>
        <color rgb="FF000000"/>
        <rFont val="Open Sans"/>
        <family val="2"/>
      </rPr>
      <t> ± 0.03</t>
    </r>
  </si>
  <si>
    <r>
      <t>0.08</t>
    </r>
    <r>
      <rPr>
        <sz val="8"/>
        <color rgb="FF000000"/>
        <rFont val="Open Sans"/>
        <family val="2"/>
      </rPr>
      <t>d</t>
    </r>
    <r>
      <rPr>
        <sz val="11"/>
        <color rgb="FF000000"/>
        <rFont val="Open Sans"/>
        <family val="2"/>
      </rPr>
      <t> ± 0.02</t>
    </r>
  </si>
  <si>
    <r>
      <t>0.14</t>
    </r>
    <r>
      <rPr>
        <sz val="8"/>
        <color rgb="FF000000"/>
        <rFont val="Open Sans"/>
        <family val="2"/>
      </rPr>
      <t>ab</t>
    </r>
    <r>
      <rPr>
        <sz val="11"/>
        <color rgb="FF000000"/>
        <rFont val="Open Sans"/>
        <family val="2"/>
      </rPr>
      <t> ± 0.05</t>
    </r>
  </si>
  <si>
    <r>
      <t>76.04</t>
    </r>
    <r>
      <rPr>
        <sz val="8"/>
        <color rgb="FF000000"/>
        <rFont val="Open Sans"/>
        <family val="2"/>
      </rPr>
      <t>d</t>
    </r>
    <r>
      <rPr>
        <sz val="11"/>
        <color rgb="FF000000"/>
        <rFont val="Open Sans"/>
        <family val="2"/>
      </rPr>
      <t> ± 0.19</t>
    </r>
  </si>
  <si>
    <t>12.96 ± 0.92</t>
  </si>
  <si>
    <r>
      <t>4.87</t>
    </r>
    <r>
      <rPr>
        <sz val="8"/>
        <color rgb="FF000000"/>
        <rFont val="Open Sans"/>
        <family val="2"/>
      </rPr>
      <t>c</t>
    </r>
    <r>
      <rPr>
        <sz val="11"/>
        <color rgb="FF000000"/>
        <rFont val="Open Sans"/>
        <family val="2"/>
      </rPr>
      <t> ± 0.24</t>
    </r>
  </si>
  <si>
    <r>
      <t>6.03</t>
    </r>
    <r>
      <rPr>
        <sz val="8"/>
        <color rgb="FF000000"/>
        <rFont val="Open Sans"/>
        <family val="2"/>
      </rPr>
      <t>a</t>
    </r>
    <r>
      <rPr>
        <sz val="11"/>
        <color rgb="FF000000"/>
        <rFont val="Open Sans"/>
        <family val="2"/>
      </rPr>
      <t> ± 1.24</t>
    </r>
  </si>
  <si>
    <r>
      <t>37.55</t>
    </r>
    <r>
      <rPr>
        <sz val="8"/>
        <color rgb="FF000000"/>
        <rFont val="Open Sans"/>
        <family val="2"/>
      </rPr>
      <t>b</t>
    </r>
    <r>
      <rPr>
        <sz val="11"/>
        <color rgb="FF000000"/>
        <rFont val="Open Sans"/>
        <family val="2"/>
      </rPr>
      <t> ± 0.98</t>
    </r>
  </si>
  <si>
    <r>
      <t>0.24</t>
    </r>
    <r>
      <rPr>
        <sz val="8"/>
        <color rgb="FF000000"/>
        <rFont val="Open Sans"/>
        <family val="2"/>
      </rPr>
      <t>cd</t>
    </r>
    <r>
      <rPr>
        <sz val="11"/>
        <color rgb="FF000000"/>
        <rFont val="Open Sans"/>
        <family val="2"/>
      </rPr>
      <t> ± 0.03</t>
    </r>
  </si>
  <si>
    <r>
      <t>0.10</t>
    </r>
    <r>
      <rPr>
        <sz val="8"/>
        <color rgb="FF000000"/>
        <rFont val="Open Sans"/>
        <family val="2"/>
      </rPr>
      <t>cd</t>
    </r>
    <r>
      <rPr>
        <sz val="11"/>
        <color rgb="FF000000"/>
        <rFont val="Open Sans"/>
        <family val="2"/>
      </rPr>
      <t> ± 0.01</t>
    </r>
  </si>
  <si>
    <r>
      <t>77.96</t>
    </r>
    <r>
      <rPr>
        <sz val="8"/>
        <color rgb="FF000000"/>
        <rFont val="Open Sans"/>
        <family val="2"/>
      </rPr>
      <t>c</t>
    </r>
    <r>
      <rPr>
        <sz val="11"/>
        <color rgb="FF000000"/>
        <rFont val="Open Sans"/>
        <family val="2"/>
      </rPr>
      <t> ± 0.21</t>
    </r>
  </si>
  <si>
    <r>
      <t>Values are given as the mean ± standard deviation of two replicates. Different letters in the same column indicate statistically significance between mean values (</t>
    </r>
    <r>
      <rPr>
        <i/>
        <sz val="11"/>
        <color rgb="FF1C1D1E"/>
        <rFont val="Open Sans"/>
        <family val="2"/>
      </rPr>
      <t>P</t>
    </r>
    <r>
      <rPr>
        <sz val="11"/>
        <color rgb="FF1C1D1E"/>
        <rFont val="Open Sans"/>
        <family val="2"/>
      </rPr>
      <t> &lt; 0.05).</t>
    </r>
  </si>
  <si>
    <t>ref 3</t>
  </si>
  <si>
    <t>https://www.sciencedirect.com/science/article/pii/S0960852410020237?pes=vor#t0005</t>
  </si>
  <si>
    <t>Conversion of sugars present in rice hull hydrolysates into ethanol by Spathaspora arborariae, Saccharomyces cerevisiae, and their co-fermentations</t>
  </si>
  <si>
    <r>
      <t>Table 1. Kinetic parameters for </t>
    </r>
    <r>
      <rPr>
        <i/>
        <sz val="11"/>
        <color rgb="FF1F1F1F"/>
        <rFont val="Georgia"/>
        <family val="1"/>
      </rPr>
      <t>Saccharomyces cerevisiae</t>
    </r>
    <r>
      <rPr>
        <sz val="11"/>
        <color rgb="FF1F1F1F"/>
        <rFont val="Georgia"/>
        <family val="1"/>
      </rPr>
      <t> ICV 254D, </t>
    </r>
    <r>
      <rPr>
        <i/>
        <sz val="11"/>
        <color rgb="FF1F1F1F"/>
        <rFont val="Georgia"/>
        <family val="1"/>
      </rPr>
      <t>Spathaspora arborariae</t>
    </r>
    <r>
      <rPr>
        <sz val="11"/>
        <color rgb="FF1F1F1F"/>
        <rFont val="Georgia"/>
        <family val="1"/>
      </rPr>
      <t> UFMG-HM19.1A, and for the co-culture of both yeasts in synthetic medium (G</t>
    </r>
    <r>
      <rPr>
        <sz val="9"/>
        <color rgb="FF1F1F1F"/>
        <rFont val="Georgia"/>
        <family val="1"/>
      </rPr>
      <t>20</t>
    </r>
    <r>
      <rPr>
        <sz val="11"/>
        <color rgb="FF1F1F1F"/>
        <rFont val="Georgia"/>
        <family val="1"/>
      </rPr>
      <t>X</t>
    </r>
    <r>
      <rPr>
        <sz val="9"/>
        <color rgb="FF1F1F1F"/>
        <rFont val="Georgia"/>
        <family val="1"/>
      </rPr>
      <t>20</t>
    </r>
    <r>
      <rPr>
        <sz val="11"/>
        <color rgb="FF1F1F1F"/>
        <rFont val="Georgia"/>
        <family val="1"/>
      </rPr>
      <t>A</t>
    </r>
    <r>
      <rPr>
        <sz val="9"/>
        <color rgb="FF1F1F1F"/>
        <rFont val="Georgia"/>
        <family val="1"/>
      </rPr>
      <t>10</t>
    </r>
    <r>
      <rPr>
        <sz val="11"/>
        <color rgb="FF1F1F1F"/>
        <rFont val="Georgia"/>
        <family val="1"/>
      </rPr>
      <t>) or rice hull hydrolysate (RHH).</t>
    </r>
  </si>
  <si>
    <t>Microorganism</t>
  </si>
  <si>
    <t>Xylitol</t>
  </si>
  <si>
    <r>
      <t>Y</t>
    </r>
    <r>
      <rPr>
        <vertAlign val="subscript"/>
        <sz val="10"/>
        <color theme="1"/>
        <rFont val="Georgia"/>
        <family val="1"/>
      </rPr>
      <t>P/S</t>
    </r>
    <r>
      <rPr>
        <vertAlign val="superscript"/>
        <sz val="10"/>
        <color theme="1"/>
        <rFont val="Georgia"/>
        <family val="1"/>
      </rPr>
      <t>e.g.</t>
    </r>
    <r>
      <rPr>
        <b/>
        <sz val="11"/>
        <color theme="1"/>
        <rFont val="Georgia"/>
        <family val="1"/>
      </rPr>
      <t> (g g</t>
    </r>
    <r>
      <rPr>
        <b/>
        <sz val="8"/>
        <color theme="1"/>
        <rFont val="Georgia"/>
        <family val="1"/>
      </rPr>
      <t>−1</t>
    </r>
    <r>
      <rPr>
        <b/>
        <sz val="11"/>
        <color theme="1"/>
        <rFont val="Georgia"/>
        <family val="1"/>
      </rPr>
      <t>)</t>
    </r>
  </si>
  <si>
    <r>
      <t>Y</t>
    </r>
    <r>
      <rPr>
        <vertAlign val="subscript"/>
        <sz val="10"/>
        <color theme="1"/>
        <rFont val="Georgia"/>
        <family val="1"/>
      </rPr>
      <t>P/S</t>
    </r>
    <r>
      <rPr>
        <vertAlign val="superscript"/>
        <sz val="10"/>
        <color theme="1"/>
        <rFont val="Georgia"/>
        <family val="1"/>
      </rPr>
      <t>et</t>
    </r>
    <r>
      <rPr>
        <b/>
        <sz val="11"/>
        <color theme="1"/>
        <rFont val="Georgia"/>
        <family val="1"/>
      </rPr>
      <t> (g g</t>
    </r>
    <r>
      <rPr>
        <b/>
        <sz val="8"/>
        <color theme="1"/>
        <rFont val="Georgia"/>
        <family val="1"/>
      </rPr>
      <t>−1</t>
    </r>
    <r>
      <rPr>
        <b/>
        <sz val="11"/>
        <color theme="1"/>
        <rFont val="Georgia"/>
        <family val="1"/>
      </rPr>
      <t>)</t>
    </r>
  </si>
  <si>
    <r>
      <t>Q</t>
    </r>
    <r>
      <rPr>
        <b/>
        <sz val="8"/>
        <color theme="1"/>
        <rFont val="Georgia"/>
        <family val="1"/>
      </rPr>
      <t>p</t>
    </r>
    <r>
      <rPr>
        <b/>
        <sz val="11"/>
        <color theme="1"/>
        <rFont val="Georgia"/>
        <family val="1"/>
      </rPr>
      <t> (g L</t>
    </r>
    <r>
      <rPr>
        <b/>
        <sz val="8"/>
        <color theme="1"/>
        <rFont val="Georgia"/>
        <family val="1"/>
      </rPr>
      <t>−1</t>
    </r>
    <r>
      <rPr>
        <b/>
        <sz val="11"/>
        <color theme="1"/>
        <rFont val="Georgia"/>
        <family val="1"/>
      </rPr>
      <t> h</t>
    </r>
    <r>
      <rPr>
        <b/>
        <sz val="8"/>
        <color theme="1"/>
        <rFont val="Georgia"/>
        <family val="1"/>
      </rPr>
      <t>−1</t>
    </r>
    <r>
      <rPr>
        <b/>
        <sz val="11"/>
        <color theme="1"/>
        <rFont val="Georgia"/>
        <family val="1"/>
      </rPr>
      <t>)</t>
    </r>
  </si>
  <si>
    <r>
      <t>Y</t>
    </r>
    <r>
      <rPr>
        <vertAlign val="subscript"/>
        <sz val="10"/>
        <color theme="1"/>
        <rFont val="Georgia"/>
        <family val="1"/>
      </rPr>
      <t>P/S</t>
    </r>
    <r>
      <rPr>
        <vertAlign val="superscript"/>
        <sz val="10"/>
        <color theme="1"/>
        <rFont val="Georgia"/>
        <family val="1"/>
      </rPr>
      <t>xy</t>
    </r>
    <r>
      <rPr>
        <b/>
        <sz val="11"/>
        <color theme="1"/>
        <rFont val="Georgia"/>
        <family val="1"/>
      </rPr>
      <t> (g g</t>
    </r>
    <r>
      <rPr>
        <b/>
        <sz val="8"/>
        <color theme="1"/>
        <rFont val="Georgia"/>
        <family val="1"/>
      </rPr>
      <t>−1</t>
    </r>
    <r>
      <rPr>
        <b/>
        <sz val="11"/>
        <color theme="1"/>
        <rFont val="Georgia"/>
        <family val="1"/>
      </rPr>
      <t>)</t>
    </r>
  </si>
  <si>
    <t>yield (g ethanol/ a gulose)</t>
  </si>
  <si>
    <t>yield (g ethanol/ a sugar)</t>
  </si>
  <si>
    <r>
      <t>G</t>
    </r>
    <r>
      <rPr>
        <i/>
        <sz val="8"/>
        <color theme="1"/>
        <rFont val="Georgia"/>
        <family val="1"/>
      </rPr>
      <t>20</t>
    </r>
    <r>
      <rPr>
        <i/>
        <sz val="11"/>
        <color theme="1"/>
        <rFont val="Georgia"/>
        <family val="1"/>
      </rPr>
      <t>X</t>
    </r>
    <r>
      <rPr>
        <i/>
        <sz val="8"/>
        <color theme="1"/>
        <rFont val="Georgia"/>
        <family val="1"/>
      </rPr>
      <t>20</t>
    </r>
    <r>
      <rPr>
        <i/>
        <sz val="11"/>
        <color theme="1"/>
        <rFont val="Georgia"/>
        <family val="1"/>
      </rPr>
      <t>A</t>
    </r>
    <r>
      <rPr>
        <i/>
        <sz val="8"/>
        <color theme="1"/>
        <rFont val="Georgia"/>
        <family val="1"/>
      </rPr>
      <t>10</t>
    </r>
  </si>
  <si>
    <t>S. cerevisiae</t>
  </si>
  <si>
    <t>–</t>
  </si>
  <si>
    <t>S. arborariae</t>
  </si>
  <si>
    <t>Co-culture</t>
  </si>
  <si>
    <t>RHH</t>
  </si>
  <si>
    <r>
      <t>�P/Seg</t>
    </r>
    <r>
      <rPr>
        <sz val="11"/>
        <color theme="1"/>
        <rFont val="Calibri"/>
        <family val="2"/>
        <scheme val="minor"/>
      </rPr>
      <t>: Ethanol coefficient yield (g ethanol per g glucose consumed);</t>
    </r>
  </si>
  <si>
    <r>
      <t>�P/Set</t>
    </r>
    <r>
      <rPr>
        <sz val="11"/>
        <color theme="1"/>
        <rFont val="Calibri"/>
        <family val="2"/>
        <scheme val="minor"/>
      </rPr>
      <t>: Ethanol coefficient yield (g ethanol per g total sugar consumed);</t>
    </r>
  </si>
  <si>
    <r>
      <t>�P/Sxy</t>
    </r>
    <r>
      <rPr>
        <sz val="11"/>
        <color theme="1"/>
        <rFont val="Calibri"/>
        <family val="2"/>
        <scheme val="minor"/>
      </rPr>
      <t>: Xylitol coefficient yield (g xylitol per g xylose consumed).</t>
    </r>
  </si>
  <si>
    <t>sugar content</t>
  </si>
  <si>
    <t>glucose ocntent</t>
  </si>
  <si>
    <t>yield (g ethanol/ a rice hull)</t>
  </si>
  <si>
    <t>ref 4</t>
  </si>
  <si>
    <t>https://www.scopus.com/record/display.uri?eid=2-s2.0-79955907236&amp;origin=resultslist&amp;sort=plf-f&amp;src=s&amp;sid=770bdfea32c2728de40361b11b940c79&amp;sot=a&amp;sdt=a&amp;s=TITLE-ABS-KEY%28%28%22rice+hull%22%29+AND+%28%22ethanol+production%22%29%29&amp;sl=55&amp;sessionSearchId=770bdfea32c2728de40361b11b940c79&amp;relpos=15</t>
  </si>
  <si>
    <t>Process simulation of fuel ethanol production from lignocellulosics using aspen plus</t>
  </si>
  <si>
    <t>It was found that the dilute acid pretreatment had a higher ethanol yield (347.25 L/t) and lower energy consumption (86.75 MJ/L) than liquid hot water pretreatment. </t>
  </si>
  <si>
    <t>yield (L ethanol /ton rice hull)</t>
  </si>
  <si>
    <t>ref 5</t>
  </si>
  <si>
    <t>https://www.sciencedirect.com/science/article/pii/S0960852412019931?pes=vor</t>
  </si>
  <si>
    <t>Ethanogenic fermentation of co-cultures of Candida shehatae HM 52.2 and Saccharomyces cerevisiae ICV D254 in synthetic medium and rice hull hydrolysate</t>
  </si>
  <si>
    <r>
      <t>Table 2. Kinetic parameters obtained for pure cultures of </t>
    </r>
    <r>
      <rPr>
        <i/>
        <sz val="11"/>
        <color rgb="FF1F1F1F"/>
        <rFont val="Georgia"/>
        <family val="1"/>
      </rPr>
      <t>C. shehatae</t>
    </r>
    <r>
      <rPr>
        <sz val="11"/>
        <color rgb="FF1F1F1F"/>
        <rFont val="Georgia"/>
        <family val="1"/>
      </rPr>
      <t> HM 52.2, and for the co-cultivations of </t>
    </r>
    <r>
      <rPr>
        <i/>
        <sz val="11"/>
        <color rgb="FF1F1F1F"/>
        <rFont val="Georgia"/>
        <family val="1"/>
      </rPr>
      <t>C. shehatae</t>
    </r>
    <r>
      <rPr>
        <sz val="11"/>
        <color rgb="FF1F1F1F"/>
        <rFont val="Georgia"/>
        <family val="1"/>
      </rPr>
      <t> HM 52.2 and </t>
    </r>
    <r>
      <rPr>
        <i/>
        <sz val="11"/>
        <color rgb="FF1F1F1F"/>
        <rFont val="Georgia"/>
        <family val="1"/>
      </rPr>
      <t>S. cerevisiae</t>
    </r>
    <r>
      <rPr>
        <sz val="11"/>
        <color rgb="FF1F1F1F"/>
        <rFont val="Georgia"/>
        <family val="1"/>
      </rPr>
      <t> ICV 254D in synthetic medium and rice hull hydrolysate (RHH).</t>
    </r>
  </si>
  <si>
    <t>Yeast</t>
  </si>
  <si>
    <t>Conditions</t>
  </si>
  <si>
    <r>
      <t>G</t>
    </r>
    <r>
      <rPr>
        <b/>
        <sz val="8"/>
        <color theme="1"/>
        <rFont val="Georgia"/>
        <family val="1"/>
      </rPr>
      <t>20</t>
    </r>
    <r>
      <rPr>
        <b/>
        <sz val="11"/>
        <color theme="1"/>
        <rFont val="Georgia"/>
        <family val="1"/>
      </rPr>
      <t>X</t>
    </r>
    <r>
      <rPr>
        <b/>
        <sz val="8"/>
        <color theme="1"/>
        <rFont val="Georgia"/>
        <family val="1"/>
      </rPr>
      <t>20</t>
    </r>
    <r>
      <rPr>
        <b/>
        <sz val="11"/>
        <color theme="1"/>
        <rFont val="Georgia"/>
        <family val="1"/>
      </rPr>
      <t>A</t>
    </r>
    <r>
      <rPr>
        <b/>
        <sz val="8"/>
        <color theme="1"/>
        <rFont val="Georgia"/>
        <family val="1"/>
      </rPr>
      <t>10</t>
    </r>
  </si>
  <si>
    <r>
      <t>G</t>
    </r>
    <r>
      <rPr>
        <b/>
        <sz val="8"/>
        <color theme="1"/>
        <rFont val="Georgia"/>
        <family val="1"/>
      </rPr>
      <t>30</t>
    </r>
    <r>
      <rPr>
        <b/>
        <sz val="11"/>
        <color theme="1"/>
        <rFont val="Georgia"/>
        <family val="1"/>
      </rPr>
      <t>X</t>
    </r>
    <r>
      <rPr>
        <b/>
        <sz val="8"/>
        <color theme="1"/>
        <rFont val="Georgia"/>
        <family val="1"/>
      </rPr>
      <t>15</t>
    </r>
    <r>
      <rPr>
        <b/>
        <sz val="11"/>
        <color theme="1"/>
        <rFont val="Georgia"/>
        <family val="1"/>
      </rPr>
      <t>A</t>
    </r>
    <r>
      <rPr>
        <b/>
        <sz val="8"/>
        <color theme="1"/>
        <rFont val="Georgia"/>
        <family val="1"/>
      </rPr>
      <t>5</t>
    </r>
  </si>
  <si>
    <r>
      <t>Y</t>
    </r>
    <r>
      <rPr>
        <b/>
        <sz val="8"/>
        <color theme="1"/>
        <rFont val="Georgia"/>
        <family val="1"/>
      </rPr>
      <t>P/S</t>
    </r>
    <r>
      <rPr>
        <b/>
        <sz val="11"/>
        <color theme="1"/>
        <rFont val="Georgia"/>
        <family val="1"/>
      </rPr>
      <t> (g g</t>
    </r>
    <r>
      <rPr>
        <b/>
        <sz val="8"/>
        <color theme="1"/>
        <rFont val="Georgia"/>
        <family val="1"/>
      </rPr>
      <t>−1</t>
    </r>
    <r>
      <rPr>
        <b/>
        <sz val="11"/>
        <color theme="1"/>
        <rFont val="Georgia"/>
        <family val="1"/>
      </rPr>
      <t>)</t>
    </r>
  </si>
  <si>
    <r>
      <t>Y</t>
    </r>
    <r>
      <rPr>
        <b/>
        <sz val="8"/>
        <color theme="1"/>
        <rFont val="Georgia"/>
        <family val="1"/>
      </rPr>
      <t>X/X</t>
    </r>
    <r>
      <rPr>
        <b/>
        <sz val="11"/>
        <color theme="1"/>
        <rFont val="Georgia"/>
        <family val="1"/>
      </rPr>
      <t> (g g</t>
    </r>
    <r>
      <rPr>
        <b/>
        <sz val="8"/>
        <color theme="1"/>
        <rFont val="Georgia"/>
        <family val="1"/>
      </rPr>
      <t>−1</t>
    </r>
    <r>
      <rPr>
        <b/>
        <sz val="11"/>
        <color theme="1"/>
        <rFont val="Georgia"/>
        <family val="1"/>
      </rPr>
      <t>)</t>
    </r>
  </si>
  <si>
    <t>C. shehatae</t>
  </si>
  <si>
    <t>Orbital shaker</t>
  </si>
  <si>
    <r>
      <t>S. cerevisiae</t>
    </r>
    <r>
      <rPr>
        <sz val="11"/>
        <color theme="1"/>
        <rFont val="Georgia"/>
        <family val="1"/>
      </rPr>
      <t> + </t>
    </r>
    <r>
      <rPr>
        <i/>
        <sz val="11"/>
        <color theme="1"/>
        <rFont val="Georgia"/>
        <family val="1"/>
      </rPr>
      <t>C. shehatae</t>
    </r>
  </si>
  <si>
    <t>Bioreactor</t>
  </si>
  <si>
    <t>Anaerobic</t>
  </si>
  <si>
    <t>Oxygen limitation</t>
  </si>
  <si>
    <r>
      <t>Y</t>
    </r>
    <r>
      <rPr>
        <sz val="8"/>
        <color theme="1"/>
        <rFont val="Calibri"/>
        <family val="2"/>
        <scheme val="minor"/>
      </rPr>
      <t>P/S</t>
    </r>
    <r>
      <rPr>
        <sz val="11"/>
        <color theme="1"/>
        <rFont val="Calibri"/>
        <family val="2"/>
        <scheme val="minor"/>
      </rPr>
      <t>, ethanol coefficient yield (g ethanol per g total sugar consumed); </t>
    </r>
    <r>
      <rPr>
        <i/>
        <sz val="11"/>
        <color theme="1"/>
        <rFont val="Calibri"/>
        <family val="2"/>
        <scheme val="minor"/>
      </rPr>
      <t>Y</t>
    </r>
    <r>
      <rPr>
        <sz val="8"/>
        <color theme="1"/>
        <rFont val="Calibri"/>
        <family val="2"/>
        <scheme val="minor"/>
      </rPr>
      <t>X/X</t>
    </r>
    <r>
      <rPr>
        <sz val="11"/>
        <color theme="1"/>
        <rFont val="Calibri"/>
        <family val="2"/>
        <scheme val="minor"/>
      </rPr>
      <t>, xylitol coefficient yield (g xylitol per g xylose consumed).</t>
    </r>
  </si>
  <si>
    <t>Avrg yied</t>
  </si>
  <si>
    <t>rice bran</t>
  </si>
  <si>
    <t xml:space="preserve">ref 1 </t>
  </si>
  <si>
    <t>https://www-sciencedirect-com.ezproxy.library.wur.nl/science/article/pii/S1871678414006736#sec0065</t>
  </si>
  <si>
    <t>Biofilm production by Zymomonas mobilis enhances ethanol production and tolerance to toxic inhibitors from rice bran hydrolysate</t>
  </si>
  <si>
    <r>
      <t>Table 2. Concentrations of ethanol produced by </t>
    </r>
    <r>
      <rPr>
        <i/>
        <sz val="11"/>
        <color rgb="FF1F1F1F"/>
        <rFont val="Georgia"/>
        <family val="1"/>
      </rPr>
      <t>Z. mobilis</t>
    </r>
    <r>
      <rPr>
        <sz val="11"/>
        <color rgb="FF1F1F1F"/>
        <rFont val="Georgia"/>
        <family val="1"/>
      </rPr>
      <t> ZM4, TISTR 405, 548, 550 and 551 biofilms and planktonic cells after 4 days of fermentation in rice bran hydrolysate (standard deviation </t>
    </r>
    <r>
      <rPr>
        <i/>
        <sz val="11"/>
        <color rgb="FF1F1F1F"/>
        <rFont val="Georgia"/>
        <family val="1"/>
      </rPr>
      <t>n</t>
    </r>
    <r>
      <rPr>
        <sz val="11"/>
        <color rgb="FF1F1F1F"/>
        <rFont val="Georgia"/>
        <family val="1"/>
      </rPr>
      <t> = 3).</t>
    </r>
  </si>
  <si>
    <r>
      <t>Z. mobilis</t>
    </r>
    <r>
      <rPr>
        <b/>
        <sz val="11"/>
        <color theme="1"/>
        <rFont val="Georgia"/>
        <family val="1"/>
      </rPr>
      <t> strain</t>
    </r>
  </si>
  <si>
    <t>Biofilm</t>
  </si>
  <si>
    <t>Planktonic</t>
  </si>
  <si>
    <t>%Theoretical yield</t>
  </si>
  <si>
    <t>Theoretical Ethanol production (g/L)</t>
  </si>
  <si>
    <t>Rice bran needed (g/L)</t>
  </si>
  <si>
    <t>ZM4</t>
  </si>
  <si>
    <t>13.40 ± 2.43</t>
  </si>
  <si>
    <t>72.47 ± 6.13%</t>
  </si>
  <si>
    <t>0.432 ± 0.29</t>
  </si>
  <si>
    <t>3.71 ± 5.24</t>
  </si>
  <si>
    <t>6.34 ± 3.46</t>
  </si>
  <si>
    <t>40.05 ± 99.24%</t>
  </si>
  <si>
    <t>0.0154 ± 0.0134</t>
  </si>
  <si>
    <t>2.43 ± 2.11</t>
  </si>
  <si>
    <t>0.0304 ± 0.0527</t>
  </si>
  <si>
    <t>0.67 ± 1.160</t>
  </si>
  <si>
    <t>3.498 ± 5.41</t>
  </si>
  <si>
    <t>20.45 ± 34.74%</t>
  </si>
  <si>
    <t>0.031 ± 0.0545</t>
  </si>
  <si>
    <t>0.654 ± 1.133</t>
  </si>
  <si>
    <t>8.956 ± 4.06</t>
  </si>
  <si>
    <t>48.37 ± 16.64%</t>
  </si>
  <si>
    <t>0.0846 ± 0.064</t>
  </si>
  <si>
    <t>2.046 ± 1.58</t>
  </si>
  <si>
    <t>Ref 2</t>
  </si>
  <si>
    <r>
      <t>Table 4 Alcohol yields after fermentation of the hydrolysates of various pretreated deoiled rice bran residues after bioconversion with crude enzyme preparation from </t>
    </r>
    <r>
      <rPr>
        <b/>
        <i/>
        <sz val="14"/>
        <color theme="1"/>
        <rFont val="Calibri"/>
        <family val="2"/>
        <scheme val="minor"/>
      </rPr>
      <t>Aspergillus niger</t>
    </r>
    <r>
      <rPr>
        <b/>
        <sz val="14"/>
        <color theme="1"/>
        <rFont val="Calibri"/>
        <family val="2"/>
        <scheme val="minor"/>
      </rPr>
      <t> P-19</t>
    </r>
  </si>
  <si>
    <t>From: A low-cost process for efficient hydrolysis of deoiled rice bran and ethanol production using an inhouse produced multi-enzyme preparation from Aspergillus niger P-19</t>
  </si>
  <si>
    <t>Treatment</t>
  </si>
  <si>
    <t>Alcohol yields in the enzymatic hydrolysate</t>
  </si>
  <si>
    <t>Initial sugar</t>
  </si>
  <si>
    <t>Residual</t>
  </si>
  <si>
    <t>Sugars utilized</t>
  </si>
  <si>
    <t>Maximum alcohol obtainable (g/l)</t>
  </si>
  <si>
    <t>Alcohol obtained (ml/l)</t>
  </si>
  <si>
    <t>Alcohol obtained (g/l)</t>
  </si>
  <si>
    <t>Alcohol yield</t>
  </si>
  <si>
    <t>Fermentation efficiency (%)</t>
  </si>
  <si>
    <t>(g/g of sugar)</t>
  </si>
  <si>
    <t>(mg/ml)</t>
  </si>
  <si>
    <t>sugar (mg/ml)</t>
  </si>
  <si>
    <t>Control (Steam at</t>
  </si>
  <si>
    <t>22.66 ± 0.13</t>
  </si>
  <si>
    <t>15 psi for 15 min)</t>
  </si>
  <si>
    <r>
      <t>H</t>
    </r>
    <r>
      <rPr>
        <sz val="9"/>
        <color theme="1"/>
        <rFont val="Merriweather Sans"/>
      </rPr>
      <t>2</t>
    </r>
    <r>
      <rPr>
        <sz val="11"/>
        <color theme="1"/>
        <rFont val="Merriweather Sans"/>
      </rPr>
      <t>SO</t>
    </r>
    <r>
      <rPr>
        <sz val="9"/>
        <color theme="1"/>
        <rFont val="Merriweather Sans"/>
      </rPr>
      <t>4</t>
    </r>
    <r>
      <rPr>
        <sz val="11"/>
        <color theme="1"/>
        <rFont val="Merriweather Sans"/>
      </rPr>
      <t> + steam</t>
    </r>
  </si>
  <si>
    <t>18.55 ± 0.12</t>
  </si>
  <si>
    <t>HCl + steam</t>
  </si>
  <si>
    <t>16.37 ± 0.08</t>
  </si>
  <si>
    <r>
      <t>CH</t>
    </r>
    <r>
      <rPr>
        <sz val="9"/>
        <color theme="1"/>
        <rFont val="Merriweather Sans"/>
      </rPr>
      <t>3</t>
    </r>
    <r>
      <rPr>
        <sz val="11"/>
        <color theme="1"/>
        <rFont val="Merriweather Sans"/>
      </rPr>
      <t>COOH + steam</t>
    </r>
  </si>
  <si>
    <t>15.81 ± 0.09</t>
  </si>
  <si>
    <r>
      <t>HNO</t>
    </r>
    <r>
      <rPr>
        <sz val="9"/>
        <color theme="1"/>
        <rFont val="Merriweather Sans"/>
      </rPr>
      <t>3</t>
    </r>
    <r>
      <rPr>
        <sz val="11"/>
        <color theme="1"/>
        <rFont val="Merriweather Sans"/>
      </rPr>
      <t> + steam</t>
    </r>
  </si>
  <si>
    <t>15.91 ± 0.06</t>
  </si>
  <si>
    <r>
      <t>H</t>
    </r>
    <r>
      <rPr>
        <sz val="9"/>
        <color theme="1"/>
        <rFont val="Merriweather Sans"/>
      </rPr>
      <t>3</t>
    </r>
    <r>
      <rPr>
        <sz val="11"/>
        <color theme="1"/>
        <rFont val="Merriweather Sans"/>
      </rPr>
      <t>PO</t>
    </r>
    <r>
      <rPr>
        <sz val="9"/>
        <color theme="1"/>
        <rFont val="Merriweather Sans"/>
      </rPr>
      <t>4</t>
    </r>
    <r>
      <rPr>
        <sz val="11"/>
        <color theme="1"/>
        <rFont val="Merriweather Sans"/>
      </rPr>
      <t> + steam</t>
    </r>
  </si>
  <si>
    <t>15.71 ± 0.08</t>
  </si>
  <si>
    <t>NaOH + steam</t>
  </si>
  <si>
    <t>14.64 ± 0.10</t>
  </si>
  <si>
    <r>
      <t>NH</t>
    </r>
    <r>
      <rPr>
        <sz val="9"/>
        <color theme="1"/>
        <rFont val="Merriweather Sans"/>
      </rPr>
      <t>3</t>
    </r>
    <r>
      <rPr>
        <sz val="11"/>
        <color theme="1"/>
        <rFont val="Merriweather Sans"/>
      </rPr>
      <t> + steam</t>
    </r>
  </si>
  <si>
    <t>9.15 ± 0.03</t>
  </si>
  <si>
    <t>KOH + steam</t>
  </si>
  <si>
    <t>9.62 ± 0.06</t>
  </si>
  <si>
    <r>
      <t>Ca(OH)</t>
    </r>
    <r>
      <rPr>
        <sz val="9"/>
        <color theme="1"/>
        <rFont val="Merriweather Sans"/>
      </rPr>
      <t>2</t>
    </r>
    <r>
      <rPr>
        <sz val="11"/>
        <color theme="1"/>
        <rFont val="Merriweather Sans"/>
      </rPr>
      <t> + steam</t>
    </r>
  </si>
  <si>
    <t>9.85 ± 0.08</t>
  </si>
  <si>
    <t>avrg</t>
  </si>
  <si>
    <t>total sugar (g/g of rice bran)</t>
  </si>
  <si>
    <t>Alcohol yield (g/g of rice bran)</t>
  </si>
  <si>
    <t>https://www.degruyter.com/document/doi/10.2202/1556-3758.1453/html</t>
  </si>
  <si>
    <t>Bioconversion of De-Oiled Rice Bran (DORB) Hemicellulosic Hydrolysate into Ethanol by Pichia stipitis NCM3499 under Optimized Conditions</t>
  </si>
  <si>
    <r>
      <t>Table 2: Fermentation profile of DORB hydrolysate (3.5% H</t>
    </r>
    <r>
      <rPr>
        <sz val="6"/>
        <color theme="1"/>
        <rFont val="Times New Roman"/>
        <family val="1"/>
      </rPr>
      <t>2</t>
    </r>
    <r>
      <rPr>
        <sz val="9"/>
        <color theme="1"/>
        <rFont val="Times New Roman"/>
        <family val="1"/>
      </rPr>
      <t>SO</t>
    </r>
    <r>
      <rPr>
        <sz val="6"/>
        <color theme="1"/>
        <rFont val="Times New Roman"/>
        <family val="1"/>
      </rPr>
      <t xml:space="preserve">4 </t>
    </r>
    <r>
      <rPr>
        <sz val="9"/>
        <color theme="1"/>
        <rFont val="Times New Roman"/>
        <family val="1"/>
      </rPr>
      <t xml:space="preserve">v/v) after overliming by P. stipitis NCIM3499 at 30 </t>
    </r>
    <r>
      <rPr>
        <sz val="6"/>
        <color theme="1"/>
        <rFont val="Times New Roman"/>
        <family val="1"/>
      </rPr>
      <t>o</t>
    </r>
    <r>
      <rPr>
        <sz val="9"/>
        <color theme="1"/>
        <rFont val="Times New Roman"/>
        <family val="1"/>
      </rPr>
      <t>C, 200 rpm and pH-5.5 after 72 h of incubation</t>
    </r>
  </si>
  <si>
    <t xml:space="preserve">Parameters </t>
  </si>
  <si>
    <t xml:space="preserve">Values </t>
  </si>
  <si>
    <t>Values</t>
  </si>
  <si>
    <t>total sugar (g/g rice bran)</t>
  </si>
  <si>
    <t xml:space="preserve">Initial sugars (gs/l) </t>
  </si>
  <si>
    <t>33.55±0.44</t>
  </si>
  <si>
    <t xml:space="preserve">Sugars utilized (%) </t>
  </si>
  <si>
    <t>88.50±0.56</t>
  </si>
  <si>
    <t xml:space="preserve">Ethanol produced (gp/l) </t>
  </si>
  <si>
    <t xml:space="preserve">12.47±0.26 </t>
  </si>
  <si>
    <t xml:space="preserve">Biomass (gx/l) </t>
  </si>
  <si>
    <t xml:space="preserve">6.25±0.40 </t>
  </si>
  <si>
    <t xml:space="preserve">Ethanol yield (gp/gs) </t>
  </si>
  <si>
    <t>0.42±0.021</t>
  </si>
  <si>
    <t xml:space="preserve">Biomass yield (gx/gs)  </t>
  </si>
  <si>
    <t>0.21±0.01</t>
  </si>
  <si>
    <t xml:space="preserve">Ethanol productivity (gp/l/h) </t>
  </si>
  <si>
    <t>0.173±0.002</t>
  </si>
  <si>
    <t xml:space="preserve">Ethanol fermentation efficiency (%) </t>
  </si>
  <si>
    <t>81.74±0.55</t>
  </si>
  <si>
    <t>https://link.springer.com/article/10.1007/s12355-013-0219-8</t>
  </si>
  <si>
    <t>Evaluation of Rice Bran Extract as a Nitrogen Source for Improved Hemicellulosic Ethanol Production from Sugarcane Bagasse by New Xylose-Fermenting Yeast Strains Isolated from Brazilian Forests</t>
  </si>
  <si>
    <t>Table 1 Fermentation profile of Scheffersomyces shehatae CG8-8BY and Spathaspora arborariae UFMG-HM19.1A in sugarcane bagasse hemicellulosic hydrolysate supplemented with 3 g/l yeast extract (medium#1) and 20 g/l rice bran extract, 2 g/l (NH4)2SO4 and 0.1 g/l CaCl2 (medium#2)</t>
  </si>
  <si>
    <r>
      <t>S. shehatae</t>
    </r>
    <r>
      <rPr>
        <b/>
        <sz val="11"/>
        <color theme="1"/>
        <rFont val="Merriweather Sans"/>
      </rPr>
      <t> CG8-8BY</t>
    </r>
  </si>
  <si>
    <r>
      <t>S. arborariae</t>
    </r>
    <r>
      <rPr>
        <b/>
        <sz val="11"/>
        <color theme="1"/>
        <rFont val="Merriweather Sans"/>
      </rPr>
      <t> UFMG-HM 19.1A</t>
    </r>
  </si>
  <si>
    <t>S. shehatae CG8-8BY</t>
  </si>
  <si>
    <t>S. arborariae UFMG-HM 19.1A</t>
  </si>
  <si>
    <t>Medium#1</t>
  </si>
  <si>
    <t>Medium#2</t>
  </si>
  <si>
    <r>
      <t>Y</t>
    </r>
    <r>
      <rPr>
        <sz val="9"/>
        <color theme="1"/>
        <rFont val="Merriweather Sans"/>
      </rPr>
      <t>P/S</t>
    </r>
    <r>
      <rPr>
        <sz val="11"/>
        <color theme="1"/>
        <rFont val="Merriweather Sans"/>
      </rPr>
      <t> (g/g)</t>
    </r>
    <r>
      <rPr>
        <vertAlign val="superscript"/>
        <sz val="11"/>
        <color theme="1"/>
        <rFont val="Merriweather Sans"/>
      </rPr>
      <t>a</t>
    </r>
  </si>
  <si>
    <t>0.20 ± 0.0359</t>
  </si>
  <si>
    <t>0.33 ± 0.0201</t>
  </si>
  <si>
    <t>0.14 ± 0.0187</t>
  </si>
  <si>
    <r>
      <t>Q</t>
    </r>
    <r>
      <rPr>
        <sz val="9"/>
        <color theme="1"/>
        <rFont val="Merriweather Sans"/>
      </rPr>
      <t>P</t>
    </r>
    <r>
      <rPr>
        <sz val="11"/>
        <color theme="1"/>
        <rFont val="Merriweather Sans"/>
      </rPr>
      <t> (g/l h)</t>
    </r>
    <r>
      <rPr>
        <vertAlign val="superscript"/>
        <sz val="11"/>
        <color theme="1"/>
        <rFont val="Merriweather Sans"/>
      </rPr>
      <t>b</t>
    </r>
  </si>
  <si>
    <t>0.12 ± 0.00961</t>
  </si>
  <si>
    <t>0.21 ± 0.005</t>
  </si>
  <si>
    <t>0.04 ± 0.002</t>
  </si>
  <si>
    <r>
      <t>η (%)</t>
    </r>
    <r>
      <rPr>
        <vertAlign val="superscript"/>
        <sz val="11"/>
        <color theme="1"/>
        <rFont val="Merriweather Sans"/>
      </rPr>
      <t>c</t>
    </r>
  </si>
  <si>
    <t>39.40 ± 7.04</t>
  </si>
  <si>
    <t>64 ± 3.95</t>
  </si>
  <si>
    <t>21.20 ± 3.67</t>
  </si>
  <si>
    <r>
      <t>Xylose consumption (%)</t>
    </r>
    <r>
      <rPr>
        <vertAlign val="superscript"/>
        <sz val="11"/>
        <color theme="1"/>
        <rFont val="Merriweather Sans"/>
      </rPr>
      <t>d</t>
    </r>
  </si>
  <si>
    <t>68 ± 5.76</t>
  </si>
  <si>
    <t>99 ± 0.002</t>
  </si>
  <si>
    <t>60.23 ± 0.51</t>
  </si>
  <si>
    <t>Cells concentration (g/l)</t>
  </si>
  <si>
    <t>1.81 ± 0.25</t>
  </si>
  <si>
    <t>2.27 ± 0.19</t>
  </si>
  <si>
    <t>7.27 ± 0.08</t>
  </si>
  <si>
    <t>Ethanol concentration (g/l)</t>
  </si>
  <si>
    <t>9.27 ± 0.16</t>
  </si>
  <si>
    <t>17 ± 3.43</t>
  </si>
  <si>
    <t>5.38 ± 0.35</t>
  </si>
  <si>
    <t>Xylitol concentration (g/l)</t>
  </si>
  <si>
    <t>0.28 ± 0.12</t>
  </si>
  <si>
    <t>0.87 ± 0.09</t>
  </si>
  <si>
    <r>
      <t>Fermentation time (h)</t>
    </r>
    <r>
      <rPr>
        <vertAlign val="superscript"/>
        <sz val="11"/>
        <color theme="1"/>
        <rFont val="Merriweather Sans"/>
      </rPr>
      <t>e</t>
    </r>
  </si>
  <si>
    <t>Ethanol yield [YP/S (g/g)], ethanol productivity [QP (g/l h)], fermentation efficiency [η (%)], xylose consumption (%), cell concentration (g/l), ethanol concentration (g/l) and xylitol concentration (g/l)</t>
  </si>
  <si>
    <r>
      <t>a</t>
    </r>
    <r>
      <rPr>
        <sz val="8"/>
        <color rgb="FF222222"/>
        <rFont val="Merriweather"/>
      </rPr>
      <t>Correlation between ethanol (ΔPethanol) produced and xylose and glucose (ΔSsugars) consumed</t>
    </r>
  </si>
  <si>
    <r>
      <t>b</t>
    </r>
    <r>
      <rPr>
        <sz val="8"/>
        <color rgb="FF222222"/>
        <rFont val="Merriweather"/>
      </rPr>
      <t>Ratio of ethanol concentration (g/l) and fermentation time (h)</t>
    </r>
  </si>
  <si>
    <r>
      <t>c</t>
    </r>
    <r>
      <rPr>
        <sz val="8"/>
        <color rgb="FF222222"/>
        <rFont val="Merriweather"/>
      </rPr>
      <t>Percentage of the maximum theoretical ethanol yield (0.51 g ethanol/g xylose and glucose)</t>
    </r>
  </si>
  <si>
    <r>
      <t>d</t>
    </r>
    <r>
      <rPr>
        <sz val="8"/>
        <color rgb="FF222222"/>
        <rFont val="Merriweather"/>
      </rPr>
      <t>Percentage of initial xylose consumed</t>
    </r>
  </si>
  <si>
    <r>
      <t>e</t>
    </r>
    <r>
      <rPr>
        <sz val="8"/>
        <color rgb="FF222222"/>
        <rFont val="Merriweather"/>
      </rPr>
      <t>Time which show the maximum ethanol production (g/l) value</t>
    </r>
  </si>
  <si>
    <t>https://link.springer.com/article/10.1007/s13399-022-03252-z</t>
  </si>
  <si>
    <t>Rice bran extract as an alternative nutritional supplement for Kluyveromyces marxianus</t>
  </si>
  <si>
    <r>
      <t>Table 1 Fermentative parameters and maximum ethanol concentrations during the cultivation of </t>
    </r>
    <r>
      <rPr>
        <b/>
        <i/>
        <sz val="11"/>
        <color theme="1"/>
        <rFont val="Calibri"/>
        <family val="2"/>
        <scheme val="minor"/>
      </rPr>
      <t>K.</t>
    </r>
    <r>
      <rPr>
        <b/>
        <sz val="11"/>
        <color theme="1"/>
        <rFont val="Calibri"/>
        <family val="2"/>
        <scheme val="minor"/>
      </rPr>
      <t> </t>
    </r>
    <r>
      <rPr>
        <b/>
        <i/>
        <sz val="11"/>
        <color theme="1"/>
        <rFont val="Calibri"/>
        <family val="2"/>
        <scheme val="minor"/>
      </rPr>
      <t>marxianus</t>
    </r>
    <r>
      <rPr>
        <b/>
        <sz val="11"/>
        <color theme="1"/>
        <rFont val="Calibri"/>
        <family val="2"/>
        <scheme val="minor"/>
      </rPr>
      <t> ATCC 36,907 in different nutritional fermentation conditions</t>
    </r>
  </si>
  <si>
    <t>From: Rice bran extract as an alternative nutritional supplement for Kluyveromyces marxianus</t>
  </si>
  <si>
    <r>
      <t>Ethanol </t>
    </r>
    <r>
      <rPr>
        <b/>
        <vertAlign val="superscript"/>
        <sz val="11"/>
        <color theme="1"/>
        <rFont val="Merriweather Sans"/>
      </rPr>
      <t>a</t>
    </r>
  </si>
  <si>
    <r>
      <t>Y</t>
    </r>
    <r>
      <rPr>
        <b/>
        <sz val="9"/>
        <color theme="1"/>
        <rFont val="Merriweather Sans"/>
      </rPr>
      <t>P/S</t>
    </r>
  </si>
  <si>
    <r>
      <t>Y</t>
    </r>
    <r>
      <rPr>
        <b/>
        <sz val="9"/>
        <color theme="1"/>
        <rFont val="Merriweather Sans"/>
      </rPr>
      <t>X/S</t>
    </r>
  </si>
  <si>
    <r>
      <t>Q</t>
    </r>
    <r>
      <rPr>
        <b/>
        <sz val="9"/>
        <color theme="1"/>
        <rFont val="Merriweather Sans"/>
      </rPr>
      <t>X</t>
    </r>
  </si>
  <si>
    <r>
      <t>Q</t>
    </r>
    <r>
      <rPr>
        <b/>
        <sz val="9"/>
        <color theme="1"/>
        <rFont val="Merriweather Sans"/>
      </rPr>
      <t>P</t>
    </r>
  </si>
  <si>
    <t>(g/L)</t>
  </si>
  <si>
    <t>(g/g)</t>
  </si>
  <si>
    <r>
      <t>(g/L.h</t>
    </r>
    <r>
      <rPr>
        <vertAlign val="superscript"/>
        <sz val="11"/>
        <color theme="1"/>
        <rFont val="Merriweather Sans"/>
      </rPr>
      <t>−1</t>
    </r>
    <r>
      <rPr>
        <sz val="11"/>
        <color theme="1"/>
        <rFont val="Merriweather Sans"/>
      </rPr>
      <t>)</t>
    </r>
  </si>
  <si>
    <t>T1 (24 h)</t>
  </si>
  <si>
    <r>
      <t>2.11 ± 0.08</t>
    </r>
    <r>
      <rPr>
        <vertAlign val="superscript"/>
        <sz val="11"/>
        <color theme="1"/>
        <rFont val="Merriweather Sans"/>
      </rPr>
      <t> g</t>
    </r>
  </si>
  <si>
    <r>
      <t>0.38 ± 0.01</t>
    </r>
    <r>
      <rPr>
        <vertAlign val="superscript"/>
        <sz val="11"/>
        <color theme="1"/>
        <rFont val="Merriweather Sans"/>
      </rPr>
      <t>c</t>
    </r>
  </si>
  <si>
    <r>
      <t>0.12 ± 0.004</t>
    </r>
    <r>
      <rPr>
        <vertAlign val="superscript"/>
        <sz val="11"/>
        <color theme="1"/>
        <rFont val="Merriweather Sans"/>
      </rPr>
      <t>f</t>
    </r>
  </si>
  <si>
    <r>
      <t>0.15 ± 0.001</t>
    </r>
    <r>
      <rPr>
        <vertAlign val="superscript"/>
        <sz val="11"/>
        <color theme="1"/>
        <rFont val="Merriweather Sans"/>
      </rPr>
      <t>d</t>
    </r>
  </si>
  <si>
    <r>
      <t>0.09 ± 0.003</t>
    </r>
    <r>
      <rPr>
        <vertAlign val="superscript"/>
        <sz val="11"/>
        <color theme="1"/>
        <rFont val="Merriweather Sans"/>
      </rPr>
      <t> g</t>
    </r>
  </si>
  <si>
    <t>T2 (24 h)</t>
  </si>
  <si>
    <r>
      <t>25.59 ± 0.77</t>
    </r>
    <r>
      <rPr>
        <vertAlign val="superscript"/>
        <sz val="11"/>
        <color theme="1"/>
        <rFont val="Merriweather Sans"/>
      </rPr>
      <t>a</t>
    </r>
  </si>
  <si>
    <r>
      <t>0.50 ± 0.02</t>
    </r>
    <r>
      <rPr>
        <vertAlign val="superscript"/>
        <sz val="11"/>
        <color theme="1"/>
        <rFont val="Merriweather Sans"/>
      </rPr>
      <t>a</t>
    </r>
  </si>
  <si>
    <r>
      <t>1.16 ± 0.03</t>
    </r>
    <r>
      <rPr>
        <vertAlign val="superscript"/>
        <sz val="11"/>
        <color theme="1"/>
        <rFont val="Merriweather Sans"/>
      </rPr>
      <t>c</t>
    </r>
  </si>
  <si>
    <r>
      <t>0.50 ± 0.02</t>
    </r>
    <r>
      <rPr>
        <vertAlign val="superscript"/>
        <sz val="11"/>
        <color theme="1"/>
        <rFont val="Merriweather Sans"/>
      </rPr>
      <t>b</t>
    </r>
  </si>
  <si>
    <r>
      <t>1.16 ± 0.03</t>
    </r>
    <r>
      <rPr>
        <vertAlign val="superscript"/>
        <sz val="11"/>
        <color theme="1"/>
        <rFont val="Merriweather Sans"/>
      </rPr>
      <t>c,b</t>
    </r>
  </si>
  <si>
    <t>T3 (12 h)</t>
  </si>
  <si>
    <r>
      <t>25.50 ± 0.80</t>
    </r>
    <r>
      <rPr>
        <vertAlign val="superscript"/>
        <sz val="11"/>
        <color theme="1"/>
        <rFont val="Merriweather Sans"/>
      </rPr>
      <t>b</t>
    </r>
  </si>
  <si>
    <r>
      <t>0.49 ± 0.01</t>
    </r>
    <r>
      <rPr>
        <vertAlign val="superscript"/>
        <sz val="11"/>
        <color theme="1"/>
        <rFont val="Merriweather Sans"/>
      </rPr>
      <t>a</t>
    </r>
  </si>
  <si>
    <r>
      <t>2.13 ± 0.06</t>
    </r>
    <r>
      <rPr>
        <vertAlign val="superscript"/>
        <sz val="11"/>
        <color theme="1"/>
        <rFont val="Merriweather Sans"/>
      </rPr>
      <t>a</t>
    </r>
  </si>
  <si>
    <r>
      <t>0.67 ± 0.02</t>
    </r>
    <r>
      <rPr>
        <vertAlign val="superscript"/>
        <sz val="11"/>
        <color theme="1"/>
        <rFont val="Merriweather Sans"/>
      </rPr>
      <t>a</t>
    </r>
  </si>
  <si>
    <t>T4 (36 h)</t>
  </si>
  <si>
    <r>
      <t>16.34 ± 0.51</t>
    </r>
    <r>
      <rPr>
        <vertAlign val="superscript"/>
        <sz val="11"/>
        <color theme="1"/>
        <rFont val="Merriweather Sans"/>
      </rPr>
      <t>e</t>
    </r>
  </si>
  <si>
    <r>
      <t>0.29 ± 0.007</t>
    </r>
    <r>
      <rPr>
        <vertAlign val="superscript"/>
        <sz val="11"/>
        <color theme="1"/>
        <rFont val="Merriweather Sans"/>
      </rPr>
      <t>d,f,g</t>
    </r>
  </si>
  <si>
    <r>
      <t>1.06 ± 0.03</t>
    </r>
    <r>
      <rPr>
        <vertAlign val="superscript"/>
        <sz val="11"/>
        <color theme="1"/>
        <rFont val="Merriweather Sans"/>
      </rPr>
      <t>d</t>
    </r>
  </si>
  <si>
    <r>
      <t>0.12 ± 0.003</t>
    </r>
    <r>
      <rPr>
        <vertAlign val="superscript"/>
        <sz val="11"/>
        <color theme="1"/>
        <rFont val="Merriweather Sans"/>
      </rPr>
      <t>e</t>
    </r>
  </si>
  <si>
    <r>
      <t>0.45 ± 0.01</t>
    </r>
    <r>
      <rPr>
        <vertAlign val="superscript"/>
        <sz val="11"/>
        <color theme="1"/>
        <rFont val="Merriweather Sans"/>
      </rPr>
      <t>f</t>
    </r>
  </si>
  <si>
    <t>T5 (24 h)</t>
  </si>
  <si>
    <r>
      <t>14.28 ± 0.41</t>
    </r>
    <r>
      <rPr>
        <vertAlign val="superscript"/>
        <sz val="11"/>
        <color theme="1"/>
        <rFont val="Merriweather Sans"/>
      </rPr>
      <t>f</t>
    </r>
  </si>
  <si>
    <r>
      <t>0.32 ± 0.009</t>
    </r>
    <r>
      <rPr>
        <vertAlign val="superscript"/>
        <sz val="11"/>
        <color theme="1"/>
        <rFont val="Merriweather Sans"/>
      </rPr>
      <t>b,f</t>
    </r>
  </si>
  <si>
    <r>
      <t>0.83 ± 0.03</t>
    </r>
    <r>
      <rPr>
        <vertAlign val="superscript"/>
        <sz val="11"/>
        <color theme="1"/>
        <rFont val="Merriweather Sans"/>
      </rPr>
      <t>e</t>
    </r>
  </si>
  <si>
    <r>
      <t>0.20 ± 0.006</t>
    </r>
    <r>
      <rPr>
        <vertAlign val="superscript"/>
        <sz val="11"/>
        <color theme="1"/>
        <rFont val="Merriweather Sans"/>
      </rPr>
      <t>c</t>
    </r>
  </si>
  <si>
    <r>
      <t>0.59 ± 0.018</t>
    </r>
    <r>
      <rPr>
        <vertAlign val="superscript"/>
        <sz val="11"/>
        <color theme="1"/>
        <rFont val="Merriweather Sans"/>
      </rPr>
      <t>e</t>
    </r>
  </si>
  <si>
    <t>T6 (24 h)</t>
  </si>
  <si>
    <r>
      <t>16.51 ± 0.49</t>
    </r>
    <r>
      <rPr>
        <vertAlign val="superscript"/>
        <sz val="11"/>
        <color theme="1"/>
        <rFont val="Merriweather Sans"/>
      </rPr>
      <t>d</t>
    </r>
  </si>
  <si>
    <r>
      <t>0.28 ± 0.008</t>
    </r>
    <r>
      <rPr>
        <vertAlign val="superscript"/>
        <sz val="11"/>
        <color theme="1"/>
        <rFont val="Merriweather Sans"/>
      </rPr>
      <t>e,g</t>
    </r>
  </si>
  <si>
    <r>
      <t>0.82 ± 0.025</t>
    </r>
    <r>
      <rPr>
        <vertAlign val="superscript"/>
        <sz val="11"/>
        <color theme="1"/>
        <rFont val="Merriweather Sans"/>
      </rPr>
      <t>e</t>
    </r>
  </si>
  <si>
    <r>
      <t>0.21 ± 0.011</t>
    </r>
    <r>
      <rPr>
        <vertAlign val="superscript"/>
        <sz val="11"/>
        <color theme="1"/>
        <rFont val="Merriweather Sans"/>
      </rPr>
      <t>c</t>
    </r>
  </si>
  <si>
    <r>
      <t>0.69 ± 0.02</t>
    </r>
    <r>
      <rPr>
        <vertAlign val="superscript"/>
        <sz val="11"/>
        <color theme="1"/>
        <rFont val="Merriweather Sans"/>
      </rPr>
      <t>d</t>
    </r>
  </si>
  <si>
    <t>T7 (12 h)</t>
  </si>
  <si>
    <r>
      <t>24.88 ± 0.75</t>
    </r>
    <r>
      <rPr>
        <vertAlign val="superscript"/>
        <sz val="11"/>
        <color theme="1"/>
        <rFont val="Merriweather Sans"/>
      </rPr>
      <t>c</t>
    </r>
  </si>
  <si>
    <r>
      <t>2.06 ± 0.05</t>
    </r>
    <r>
      <rPr>
        <vertAlign val="superscript"/>
        <sz val="11"/>
        <color theme="1"/>
        <rFont val="Merriweather Sans"/>
      </rPr>
      <t>b</t>
    </r>
  </si>
  <si>
    <r>
      <t>0.50 ± 0.01</t>
    </r>
    <r>
      <rPr>
        <vertAlign val="superscript"/>
        <sz val="11"/>
        <color theme="1"/>
        <rFont val="Merriweather Sans"/>
      </rPr>
      <t>b</t>
    </r>
  </si>
  <si>
    <r>
      <t>2.06 ± 0.06</t>
    </r>
    <r>
      <rPr>
        <vertAlign val="superscript"/>
        <sz val="11"/>
        <color theme="1"/>
        <rFont val="Merriweather Sans"/>
      </rPr>
      <t>b</t>
    </r>
  </si>
  <si>
    <t>Fermentation media: T1 (non-supplemented medium), T2 (medium supplemented with RBE), T3 (medium supplemented with RBE, calcium chloride, and ammonium sulfate), T4 (medium supplemented with malt extract), T5 (medium supplemented with yeast extract), T6 (medium supplemented with peptone); T7 (control-YMP medium)</t>
  </si>
  <si>
    <r>
      <t>a</t>
    </r>
    <r>
      <rPr>
        <sz val="8"/>
        <color rgb="FF222222"/>
        <rFont val="Merriweather"/>
      </rPr>
      <t>Maximum ethanol concentration, YP/S: yield of glucose to ethanol (g/g), YX/S: yield of glucose to cells (g/g), QP: volumetric ethanol productivity (g/L.h</t>
    </r>
    <r>
      <rPr>
        <vertAlign val="superscript"/>
        <sz val="8"/>
        <color rgb="FF222222"/>
        <rFont val="Merriweather"/>
      </rPr>
      <t>−1</t>
    </r>
    <r>
      <rPr>
        <sz val="8"/>
        <color rgb="FF222222"/>
        <rFont val="Merriweather"/>
      </rPr>
      <t>), QX: volumetric cell productivity (g/L.h</t>
    </r>
    <r>
      <rPr>
        <vertAlign val="superscript"/>
        <sz val="8"/>
        <color rgb="FF222222"/>
        <rFont val="Merriweather"/>
      </rPr>
      <t>−1</t>
    </r>
    <r>
      <rPr>
        <sz val="8"/>
        <color rgb="FF222222"/>
        <rFont val="Merriweather"/>
      </rPr>
      <t>)</t>
    </r>
  </si>
  <si>
    <r>
      <t>Averages followed by distinct lowercase letters differ statistically in the column by the Tukey test at 5% significance (</t>
    </r>
    <r>
      <rPr>
        <i/>
        <sz val="8"/>
        <color rgb="FF222222"/>
        <rFont val="Merriweather"/>
      </rPr>
      <t>p</t>
    </r>
    <r>
      <rPr>
        <sz val="8"/>
        <color rgb="FF222222"/>
        <rFont val="Merriweather"/>
      </rPr>
      <t> &lt; 0.05)</t>
    </r>
  </si>
  <si>
    <t>AVRG yield (g ethanol/ a gulose)</t>
  </si>
  <si>
    <t>total glucose (g/g of rice bran)</t>
  </si>
  <si>
    <t>furfural</t>
  </si>
  <si>
    <t>rice</t>
  </si>
  <si>
    <t>theoretical</t>
  </si>
  <si>
    <t>https://ift.co.za/media/mediafiles/archive/SAIChE%20Congress%202003%20Arnold%20and%20Buzzard%20paper.pdf</t>
  </si>
  <si>
    <t>A NOVEL PROCESS FOR FURFURAL PRODUCTION</t>
  </si>
  <si>
    <t xml:space="preserve">𝒀_(𝒇𝒖𝒓𝒇𝒖𝒓𝒂𝒍/𝒙𝒚𝒍𝒐𝒔𝒆 ) </t>
  </si>
  <si>
    <t>xylose content</t>
  </si>
  <si>
    <t>Y furfural / biomass</t>
  </si>
  <si>
    <t>rice husk</t>
  </si>
  <si>
    <t>https://doi.org/10.1016/S0960-8524(98)00088-1</t>
  </si>
  <si>
    <t>Acid-catalysed hydrolysis of rice hull: Evaluation of furfural production</t>
  </si>
  <si>
    <t>Furfural yield* of  rice husk</t>
  </si>
  <si>
    <t>Water rice husk g/100g</t>
  </si>
  <si>
    <t>Furfural yield of fresh rice husk</t>
  </si>
  <si>
    <t>https://link.springer.com/article/10.1007/s11814-007-0101-z</t>
  </si>
  <si>
    <t>Furfural production by acid hydrolysis and supercritical carbon dioxide extraction from rice husk</t>
  </si>
  <si>
    <t>Moreover, furfural production by two-stage process (pre-hydrolysis and dehydration) can improve furfural yield further to be around 90% of theoretical maximum.</t>
  </si>
  <si>
    <t>Stoichiometric yield of furfural is 72.72 g per 100 g of pentosan [2]</t>
  </si>
  <si>
    <t>theoretical yield g/g pentosan</t>
  </si>
  <si>
    <t>90% of theoretical maximum.</t>
  </si>
  <si>
    <t>yield g/g pentosan</t>
  </si>
  <si>
    <t>g pentosan/g rice husk</t>
  </si>
  <si>
    <t>g Furfural/g rice husk</t>
  </si>
  <si>
    <t>https://link.springer.com/article/10.1007/s13399-020-00810-1</t>
  </si>
  <si>
    <t>Furfural production from rice husks within a biorefinery framework</t>
  </si>
  <si>
    <t xml:space="preserve"> The results obtained for furfural yield, ..., which generated a furfural production amounting to 6.0% (w/w) of the oven-dried rice husk weight (55% of the theoretical yield) and a 60% solid yield.</t>
  </si>
  <si>
    <t>theoretical yield</t>
  </si>
  <si>
    <t>https://www.sciencedirect.com/science/article/pii/S0008621512002984?via=ihub#t0025</t>
  </si>
  <si>
    <t>Furfural production from rice husk using sulfuric acid and a solid acid catalyst through a two-stage process</t>
  </si>
  <si>
    <r>
      <t>Table 5</t>
    </r>
    <r>
      <rPr>
        <sz val="11"/>
        <color rgb="FF1F1F1F"/>
        <rFont val="Georgia"/>
        <family val="1"/>
      </rPr>
      <t>. Comparison of furfural yield produced from various substrates using a two-stage process</t>
    </r>
  </si>
  <si>
    <t>Raw material</t>
  </si>
  <si>
    <t>Investigator</t>
  </si>
  <si>
    <t>Yield based on weight of raw material (%)</t>
  </si>
  <si>
    <t>Mansilla et al.14</t>
  </si>
  <si>
    <t>∼10.5</t>
  </si>
  <si>
    <t>Hemicellulose (xylose) of bagasse</t>
  </si>
  <si>
    <t>Punsuvon et al.15</t>
  </si>
  <si>
    <t>∼10.3</t>
  </si>
  <si>
    <t>Hemicellulose of dPPF</t>
  </si>
  <si>
    <t>Wiboon Riansa-ngawong et al.16</t>
  </si>
  <si>
    <t>Rice husk</t>
  </si>
  <si>
    <t>This study</t>
  </si>
  <si>
    <t>https://www.sciencedirect.com/science/article/pii/S0960852498000881</t>
  </si>
  <si>
    <t>HMF</t>
  </si>
  <si>
    <t>HMF formation reactions (i.e., glucan hydrolysis, glucose isomerization, and fructose dehydration)</t>
  </si>
  <si>
    <r>
      <t>C6H12O6 (Fructose) → C5H4O2CHO (Furfural) + 2H2O</t>
    </r>
    <r>
      <rPr>
        <sz val="11"/>
        <color rgb="FF4D5156"/>
        <rFont val="Arial"/>
        <family val="2"/>
      </rPr>
      <t>.</t>
    </r>
  </si>
  <si>
    <t>theoretical yield g/g fructose</t>
  </si>
  <si>
    <t>https://pubs.acs.org/doi/10.1021/acssuschemeng.8b05141</t>
  </si>
  <si>
    <t>Organic Acid-Regulated Lewis Acidity for Selective Catalytic Hydroxymethylfurfural Production from Rice Waste: An Experimental–Computational Study</t>
  </si>
  <si>
    <r>
      <t>P</t>
    </r>
    <r>
      <rPr>
        <vertAlign val="subscript"/>
        <sz val="11"/>
        <color theme="1"/>
        <rFont val="Calibri"/>
        <family val="2"/>
        <scheme val="minor"/>
      </rPr>
      <t>f</t>
    </r>
    <r>
      <rPr>
        <sz val="11"/>
        <color theme="1"/>
        <rFont val="Calibri"/>
        <family val="2"/>
        <scheme val="minor"/>
      </rPr>
      <t xml:space="preserve"> is the concentration of the product (disaccharide, glucose, fructose, HMF, levoglucosan, LA, FA, and furfural)</t>
    </r>
  </si>
  <si>
    <r>
      <t>n</t>
    </r>
    <r>
      <rPr>
        <vertAlign val="subscript"/>
        <sz val="11"/>
        <color theme="1"/>
        <rFont val="Calibri"/>
        <family val="2"/>
        <scheme val="minor"/>
      </rPr>
      <t>p</t>
    </r>
    <r>
      <rPr>
        <sz val="11"/>
        <color theme="1"/>
        <rFont val="Calibri"/>
        <family val="2"/>
        <scheme val="minor"/>
      </rPr>
      <t xml:space="preserve"> and n</t>
    </r>
    <r>
      <rPr>
        <vertAlign val="subscript"/>
        <sz val="11"/>
        <color theme="1"/>
        <rFont val="Calibri"/>
        <family val="2"/>
        <scheme val="minor"/>
      </rPr>
      <t>Glu</t>
    </r>
    <r>
      <rPr>
        <sz val="11"/>
        <color theme="1"/>
        <rFont val="Calibri"/>
        <family val="2"/>
        <scheme val="minor"/>
      </rPr>
      <t xml:space="preserve"> are the number of carbons in the corresponding product and glucose, respectively</t>
    </r>
  </si>
  <si>
    <r>
      <t>MW</t>
    </r>
    <r>
      <rPr>
        <vertAlign val="subscript"/>
        <sz val="11"/>
        <color theme="1"/>
        <rFont val="Calibri"/>
        <family val="2"/>
        <scheme val="minor"/>
      </rPr>
      <t>p</t>
    </r>
    <r>
      <rPr>
        <sz val="11"/>
        <color theme="1"/>
        <rFont val="Calibri"/>
        <family val="2"/>
        <scheme val="minor"/>
      </rPr>
      <t xml:space="preserve"> and MW</t>
    </r>
    <r>
      <rPr>
        <vertAlign val="subscript"/>
        <sz val="11"/>
        <color theme="1"/>
        <rFont val="Calibri"/>
        <family val="2"/>
        <scheme val="minor"/>
      </rPr>
      <t>Glu</t>
    </r>
    <r>
      <rPr>
        <sz val="11"/>
        <color theme="1"/>
        <rFont val="Calibri"/>
        <family val="2"/>
        <scheme val="minor"/>
      </rPr>
      <t xml:space="preserve"> are the molecular masses of the corresponding product and glucose, respectively</t>
    </r>
  </si>
  <si>
    <r>
      <t>Glu</t>
    </r>
    <r>
      <rPr>
        <vertAlign val="subscript"/>
        <sz val="11"/>
        <color theme="1"/>
        <rFont val="Calibri"/>
        <family val="2"/>
        <scheme val="minor"/>
      </rPr>
      <t>i</t>
    </r>
    <r>
      <rPr>
        <sz val="11"/>
        <color theme="1"/>
        <rFont val="Calibri"/>
        <family val="2"/>
        <scheme val="minor"/>
      </rPr>
      <t xml:space="preserve"> and Glu</t>
    </r>
    <r>
      <rPr>
        <vertAlign val="subscript"/>
        <sz val="11"/>
        <color theme="1"/>
        <rFont val="Calibri"/>
        <family val="2"/>
        <scheme val="minor"/>
      </rPr>
      <t>f</t>
    </r>
    <r>
      <rPr>
        <sz val="11"/>
        <color theme="1"/>
        <rFont val="Calibri"/>
        <family val="2"/>
        <scheme val="minor"/>
      </rPr>
      <t xml:space="preserve"> refer to the initial and final concentration of glucose, respectively</t>
    </r>
  </si>
  <si>
    <t>The HMF yields of 35.2 and 17.3 mol % were obtained from rice waste in the Al(III) and Al/maleicA systems, respectively.</t>
  </si>
  <si>
    <t xml:space="preserve"> yields (mol %)</t>
  </si>
  <si>
    <t>avrg  yields (mol %)</t>
  </si>
  <si>
    <t>glucose in rice g/g</t>
  </si>
  <si>
    <t>glucose in rice mol/g</t>
  </si>
  <si>
    <t>HMF mol /g</t>
  </si>
  <si>
    <t xml:space="preserve">HMF from rice  g/g </t>
  </si>
  <si>
    <t>https://onlinelibrary.wiley.com/doi/10.1002/ente.202000597</t>
  </si>
  <si>
    <t>Aqueous Choline Chloride/γ-Valerolactone as Ternary Green Solvent Enhance Al(III)-Catalyzed Hydroxymethylfurfural Production from Rice Waste</t>
  </si>
  <si>
    <r>
      <t>Table 4. </t>
    </r>
    <r>
      <rPr>
        <sz val="11"/>
        <color theme="1"/>
        <rFont val="Calibri"/>
        <family val="2"/>
        <scheme val="minor"/>
      </rPr>
      <t>Comparison of reaction conditions and HMF yield of the biomass waste or model carbohydrates to HMF</t>
    </r>
  </si>
  <si>
    <t>Substrate</t>
  </si>
  <si>
    <t>Reaction system</t>
  </si>
  <si>
    <t>Heating</t>
  </si>
  <si>
    <t>HMF yield</t>
  </si>
  <si>
    <t>Starch</t>
  </si>
  <si>
    <t>40 mg cellulose-derived carbonaceous catalyst (CCC)</t>
  </si>
  <si>
    <t>160 °C, 15 min</t>
  </si>
  <si>
    <t>Oil bath</t>
  </si>
  <si>
    <t>[46]</t>
  </si>
  <si>
    <r>
      <t>5 mol% CrCl</t>
    </r>
    <r>
      <rPr>
        <sz val="6"/>
        <color rgb="FF000000"/>
        <rFont val="Open Sans"/>
        <family val="2"/>
      </rPr>
      <t>3</t>
    </r>
    <r>
      <rPr>
        <sz val="11"/>
        <color rgb="FF000000"/>
        <rFont val="Open Sans"/>
        <family val="2"/>
      </rPr>
      <t>·6H</t>
    </r>
    <r>
      <rPr>
        <sz val="6"/>
        <color rgb="FF000000"/>
        <rFont val="Open Sans"/>
        <family val="2"/>
      </rPr>
      <t>2</t>
    </r>
    <r>
      <rPr>
        <sz val="11"/>
        <color rgb="FF000000"/>
        <rFont val="Open Sans"/>
        <family val="2"/>
      </rPr>
      <t>O, 1 mL DMSO/H</t>
    </r>
    <r>
      <rPr>
        <sz val="6"/>
        <color rgb="FF000000"/>
        <rFont val="Open Sans"/>
        <family val="2"/>
      </rPr>
      <t>2</t>
    </r>
    <r>
      <rPr>
        <sz val="11"/>
        <color rgb="FF000000"/>
        <rFont val="Open Sans"/>
        <family val="2"/>
      </rPr>
      <t>O</t>
    </r>
  </si>
  <si>
    <t>120 °C, 3 h</t>
  </si>
  <si>
    <t>Autoclave</t>
  </si>
  <si>
    <t>[45]</t>
  </si>
  <si>
    <r>
      <t>0.42 mM AlCl3·6H</t>
    </r>
    <r>
      <rPr>
        <sz val="6"/>
        <color rgb="FF000000"/>
        <rFont val="Open Sans"/>
        <family val="2"/>
      </rPr>
      <t>2</t>
    </r>
    <r>
      <rPr>
        <sz val="11"/>
        <color rgb="FF000000"/>
        <rFont val="Open Sans"/>
        <family val="2"/>
      </rPr>
      <t>O, GVL/ChCl-H</t>
    </r>
    <r>
      <rPr>
        <sz val="6"/>
        <color rgb="FF000000"/>
        <rFont val="Open Sans"/>
        <family val="2"/>
      </rPr>
      <t>2</t>
    </r>
    <r>
      <rPr>
        <sz val="11"/>
        <color rgb="FF000000"/>
        <rFont val="Open Sans"/>
        <family val="2"/>
      </rPr>
      <t>O (1:1 wt/wt)</t>
    </r>
  </si>
  <si>
    <t>140 °C, 1 h</t>
  </si>
  <si>
    <t>29.7 mol%</t>
  </si>
  <si>
    <t>Cellulose</t>
  </si>
  <si>
    <r>
      <t>HCl (pH 3), 30 mL H</t>
    </r>
    <r>
      <rPr>
        <sz val="6"/>
        <color rgb="FF000000"/>
        <rFont val="Open Sans"/>
        <family val="2"/>
      </rPr>
      <t>2</t>
    </r>
    <r>
      <rPr>
        <sz val="11"/>
        <color rgb="FF000000"/>
        <rFont val="Open Sans"/>
        <family val="2"/>
      </rPr>
      <t>O</t>
    </r>
  </si>
  <si>
    <t>300 °C, 0 min</t>
  </si>
  <si>
    <t>Muffle furnace</t>
  </si>
  <si>
    <t>20.7 mol%</t>
  </si>
  <si>
    <t>[47]</t>
  </si>
  <si>
    <r>
      <t>55.5 mm SnCl</t>
    </r>
    <r>
      <rPr>
        <sz val="6"/>
        <color rgb="FF000000"/>
        <rFont val="Open Sans"/>
        <family val="2"/>
      </rPr>
      <t>4</t>
    </r>
    <r>
      <rPr>
        <sz val="11"/>
        <color rgb="FF000000"/>
        <rFont val="Open Sans"/>
        <family val="2"/>
      </rPr>
      <t>, PC/H</t>
    </r>
    <r>
      <rPr>
        <sz val="6"/>
        <color rgb="FF000000"/>
        <rFont val="Open Sans"/>
        <family val="2"/>
      </rPr>
      <t>2</t>
    </r>
    <r>
      <rPr>
        <sz val="11"/>
        <color rgb="FF000000"/>
        <rFont val="Open Sans"/>
        <family val="2"/>
      </rPr>
      <t>O (1:1 v/v)</t>
    </r>
  </si>
  <si>
    <t>120 °C, 10 min</t>
  </si>
  <si>
    <t>Microwave</t>
  </si>
  <si>
    <t>27.8 mol%</t>
  </si>
  <si>
    <t>[20]</t>
  </si>
  <si>
    <r>
      <t>55.5 mm SnCl</t>
    </r>
    <r>
      <rPr>
        <sz val="6"/>
        <color rgb="FF000000"/>
        <rFont val="Open Sans"/>
        <family val="2"/>
      </rPr>
      <t>4</t>
    </r>
    <r>
      <rPr>
        <sz val="11"/>
        <color rgb="FF000000"/>
        <rFont val="Open Sans"/>
        <family val="2"/>
      </rPr>
      <t>, GVL/H</t>
    </r>
    <r>
      <rPr>
        <sz val="6"/>
        <color rgb="FF000000"/>
        <rFont val="Open Sans"/>
        <family val="2"/>
      </rPr>
      <t>2</t>
    </r>
    <r>
      <rPr>
        <sz val="11"/>
        <color rgb="FF000000"/>
        <rFont val="Open Sans"/>
        <family val="2"/>
      </rPr>
      <t>O (1:1 v/v)</t>
    </r>
  </si>
  <si>
    <t>19.7 mol%</t>
  </si>
  <si>
    <r>
      <t>55.5 mm SnCl</t>
    </r>
    <r>
      <rPr>
        <sz val="6"/>
        <color rgb="FF000000"/>
        <rFont val="Open Sans"/>
        <family val="2"/>
      </rPr>
      <t>4</t>
    </r>
    <r>
      <rPr>
        <sz val="11"/>
        <color rgb="FF000000"/>
        <rFont val="Open Sans"/>
        <family val="2"/>
      </rPr>
      <t>, acetone/H</t>
    </r>
    <r>
      <rPr>
        <sz val="6"/>
        <color rgb="FF000000"/>
        <rFont val="Open Sans"/>
        <family val="2"/>
      </rPr>
      <t>2</t>
    </r>
    <r>
      <rPr>
        <sz val="11"/>
        <color rgb="FF000000"/>
        <rFont val="Open Sans"/>
        <family val="2"/>
      </rPr>
      <t>O (1:1 v/v)</t>
    </r>
  </si>
  <si>
    <t>10.2 mol%</t>
  </si>
  <si>
    <t>0.42 mm AlCl3·6H2O, GVL/ChCl–H2O (1:1 wt/wt)</t>
  </si>
  <si>
    <t>31.2 mol%</t>
  </si>
  <si>
    <t>Bread waste</t>
  </si>
  <si>
    <r>
      <t>55.5 mm SnCl</t>
    </r>
    <r>
      <rPr>
        <sz val="6"/>
        <color rgb="FF000000"/>
        <rFont val="Open Sans"/>
        <family val="2"/>
      </rPr>
      <t>4</t>
    </r>
    <r>
      <rPr>
        <sz val="11"/>
        <color rgb="FF000000"/>
        <rFont val="Open Sans"/>
        <family val="2"/>
      </rPr>
      <t>; 20 mL DMSO/H</t>
    </r>
    <r>
      <rPr>
        <sz val="6"/>
        <color rgb="FF000000"/>
        <rFont val="Open Sans"/>
        <family val="2"/>
      </rPr>
      <t>2</t>
    </r>
    <r>
      <rPr>
        <sz val="11"/>
        <color rgb="FF000000"/>
        <rFont val="Open Sans"/>
        <family val="2"/>
      </rPr>
      <t>O(1:1 v/v)</t>
    </r>
  </si>
  <si>
    <t>160 °C, 20 min</t>
  </si>
  <si>
    <t>21.4 wt%</t>
  </si>
  <si>
    <t>[13]</t>
  </si>
  <si>
    <t>Cooked rice</t>
  </si>
  <si>
    <r>
      <t>55.5 mm FeCl</t>
    </r>
    <r>
      <rPr>
        <sz val="6"/>
        <color rgb="FF000000"/>
        <rFont val="Open Sans"/>
        <family val="2"/>
      </rPr>
      <t>3</t>
    </r>
    <r>
      <rPr>
        <sz val="11"/>
        <color rgb="FF000000"/>
        <rFont val="Open Sans"/>
        <family val="2"/>
      </rPr>
      <t>; 20 mL DMSO/H</t>
    </r>
    <r>
      <rPr>
        <sz val="6"/>
        <color rgb="FF000000"/>
        <rFont val="Open Sans"/>
        <family val="2"/>
      </rPr>
      <t>2</t>
    </r>
    <r>
      <rPr>
        <sz val="11"/>
        <color rgb="FF000000"/>
        <rFont val="Open Sans"/>
        <family val="2"/>
      </rPr>
      <t>O(1:1 v/v)</t>
    </r>
  </si>
  <si>
    <t>18.1 wt%</t>
  </si>
  <si>
    <t>[12]</t>
  </si>
  <si>
    <t>140 °C, 40 min</t>
  </si>
  <si>
    <t>22.6 wt%</t>
  </si>
  <si>
    <t>[44]</t>
  </si>
  <si>
    <r>
      <t>55.5 mm Lewis acid, DMSO/H</t>
    </r>
    <r>
      <rPr>
        <sz val="6"/>
        <color rgb="FF000000"/>
        <rFont val="Open Sans"/>
        <family val="2"/>
      </rPr>
      <t>2</t>
    </r>
    <r>
      <rPr>
        <sz val="11"/>
        <color rgb="FF000000"/>
        <rFont val="Open Sans"/>
        <family val="2"/>
      </rPr>
      <t>O (1:1 v/v)</t>
    </r>
  </si>
  <si>
    <t>140 °C, 20 min</t>
  </si>
  <si>
    <t>8.1-9.5 mol%</t>
  </si>
  <si>
    <t>18.60 mol%</t>
  </si>
  <si>
    <t>HMF mol /g rice</t>
  </si>
  <si>
    <t>https://www.sciencedirect.com/science/article/pii/S0960852416311233?casa_token=4MKCRwh2jWMAAAAA:PYz3qUZ70Ua7bTGG4fC9Ru3BkctfZX8LzcZVXeU6ndRrygTWFdUvUDtM_LzgeLyrZNh3xFU#m0005</t>
  </si>
  <si>
    <t>Valorization of food waste into hydroxymethylfurfural: Dual role of metal ions in successive conversion steps</t>
  </si>
  <si>
    <t>HMF yield g/g substrate</t>
  </si>
  <si>
    <r>
      <t>P</t>
    </r>
    <r>
      <rPr>
        <sz val="7"/>
        <color rgb="FF1F1F1F"/>
        <rFont val="Georgia"/>
        <family val="1"/>
      </rPr>
      <t>f</t>
    </r>
    <r>
      <rPr>
        <sz val="10"/>
        <color rgb="FF1F1F1F"/>
        <rFont val="Georgia"/>
        <family val="1"/>
      </rPr>
      <t> was referred to the final product concentration as above while S</t>
    </r>
    <r>
      <rPr>
        <sz val="7"/>
        <color rgb="FF1F1F1F"/>
        <rFont val="Georgia"/>
        <family val="1"/>
      </rPr>
      <t>i</t>
    </r>
    <r>
      <rPr>
        <sz val="10"/>
        <color rgb="FF1F1F1F"/>
        <rFont val="Georgia"/>
        <family val="1"/>
      </rPr>
      <t> represented the mass of cooked rice, bread crust or starch added.</t>
    </r>
  </si>
  <si>
    <r>
      <t>where P</t>
    </r>
    <r>
      <rPr>
        <sz val="7"/>
        <color rgb="FF1F1F1F"/>
        <rFont val="Georgia"/>
        <family val="1"/>
      </rPr>
      <t>f</t>
    </r>
    <r>
      <rPr>
        <sz val="10"/>
        <color rgb="FF1F1F1F"/>
        <rFont val="Georgia"/>
        <family val="1"/>
      </rPr>
      <t xml:space="preserve"> was referred to the concentration of final product i.e., fructose, glucose, HMF, levoglucosan, levulinic acid and formic acid; </t>
    </r>
  </si>
  <si>
    <t xml:space="preserve">Si and Sf represented initial and final concentration of sugars i.e., fructose and glucose; np and ns were the numbers of carbon in the corresponding product and substrate; </t>
  </si>
  <si>
    <t>and MW was referred to molecular mass of the corresponding compound.</t>
  </si>
  <si>
    <t>https://chemistry-europe.onlinelibrary.wiley.com/doi/10.1002/cssc.202101889</t>
  </si>
  <si>
    <t>Aqueous-Natural Deep Eutectic Solvent-Enhanced 5-Hydroxymethylfurfural Production from Glucose, Starch, and Food Wastes</t>
  </si>
  <si>
    <r>
      <t>Table 3. </t>
    </r>
    <r>
      <rPr>
        <sz val="11"/>
        <color theme="1"/>
        <rFont val="Calibri"/>
        <family val="2"/>
        <scheme val="minor"/>
      </rPr>
      <t>Typical SnCl</t>
    </r>
    <r>
      <rPr>
        <sz val="7"/>
        <color theme="1"/>
        <rFont val="Calibri"/>
        <family val="2"/>
        <scheme val="minor"/>
      </rPr>
      <t>4</t>
    </r>
    <r>
      <rPr>
        <sz val="11"/>
        <color theme="1"/>
        <rFont val="Calibri"/>
        <family val="2"/>
        <scheme val="minor"/>
      </rPr>
      <t> catalytic conversion methods and results from biomass to HMF.</t>
    </r>
  </si>
  <si>
    <t>Entry</t>
  </si>
  <si>
    <t>Solvent</t>
  </si>
  <si>
    <r>
      <t>SnCl</t>
    </r>
    <r>
      <rPr>
        <sz val="7"/>
        <color rgb="FF000000"/>
        <rFont val="Open Sans"/>
        <family val="2"/>
      </rPr>
      <t>4</t>
    </r>
  </si>
  <si>
    <t>HMF yield [%]</t>
  </si>
  <si>
    <t>Ref.</t>
  </si>
  <si>
    <t>glucose (0.56 mmol)</t>
  </si>
  <si>
    <r>
      <t>[BMIM][BF</t>
    </r>
    <r>
      <rPr>
        <sz val="5"/>
        <color rgb="FF000000"/>
        <rFont val="Open Sans"/>
        <family val="2"/>
      </rPr>
      <t>4</t>
    </r>
    <r>
      <rPr>
        <sz val="11"/>
        <color rgb="FF000000"/>
        <rFont val="Open Sans"/>
        <family val="2"/>
      </rPr>
      <t>] (1 g)</t>
    </r>
  </si>
  <si>
    <t>0.056 mmol</t>
  </si>
  <si>
    <t>100 °C, 3 h</t>
  </si>
  <si>
    <t>[19a]</t>
  </si>
  <si>
    <t>starch (0.62 mmol)</t>
  </si>
  <si>
    <t>0.062 mmol</t>
  </si>
  <si>
    <t>100 °C, 24 h</t>
  </si>
  <si>
    <t>glucose (10 wt%)</t>
  </si>
  <si>
    <t>[EMIM]Br</t>
  </si>
  <si>
    <t>10 mol%</t>
  </si>
  <si>
    <t>[26]</t>
  </si>
  <si>
    <t>glucose (40 wt%)</t>
  </si>
  <si>
    <t>40 mol%</t>
  </si>
  <si>
    <t>100 °C, 1 h</t>
  </si>
  <si>
    <r>
      <t>[EMIM]Br/GDE (1 : 4 </t>
    </r>
    <r>
      <rPr>
        <i/>
        <sz val="11"/>
        <color rgb="FF000000"/>
        <rFont val="Open Sans"/>
        <family val="2"/>
      </rPr>
      <t>w</t>
    </r>
    <r>
      <rPr>
        <sz val="11"/>
        <color rgb="FF000000"/>
        <rFont val="Open Sans"/>
        <family val="2"/>
      </rPr>
      <t>/</t>
    </r>
    <r>
      <rPr>
        <i/>
        <sz val="11"/>
        <color rgb="FF000000"/>
        <rFont val="Open Sans"/>
        <family val="2"/>
      </rPr>
      <t>w</t>
    </r>
    <r>
      <rPr>
        <sz val="11"/>
        <color rgb="FF000000"/>
        <rFont val="Open Sans"/>
        <family val="2"/>
      </rPr>
      <t>)</t>
    </r>
  </si>
  <si>
    <t>cooked rice (5 wt%)</t>
  </si>
  <si>
    <r>
      <t>DMSO/H</t>
    </r>
    <r>
      <rPr>
        <sz val="5"/>
        <color rgb="FF000000"/>
        <rFont val="Open Sans"/>
        <family val="2"/>
      </rPr>
      <t>2</t>
    </r>
    <r>
      <rPr>
        <sz val="11"/>
        <color rgb="FF000000"/>
        <rFont val="Open Sans"/>
        <family val="2"/>
      </rPr>
      <t>O (1 : 1 </t>
    </r>
    <r>
      <rPr>
        <i/>
        <sz val="11"/>
        <color rgb="FF000000"/>
        <rFont val="Open Sans"/>
        <family val="2"/>
      </rPr>
      <t>v</t>
    </r>
    <r>
      <rPr>
        <sz val="11"/>
        <color rgb="FF000000"/>
        <rFont val="Open Sans"/>
        <family val="2"/>
      </rPr>
      <t>/</t>
    </r>
    <r>
      <rPr>
        <i/>
        <sz val="11"/>
        <color rgb="FF000000"/>
        <rFont val="Open Sans"/>
        <family val="2"/>
      </rPr>
      <t>v</t>
    </r>
    <r>
      <rPr>
        <sz val="11"/>
        <color rgb="FF000000"/>
        <rFont val="Open Sans"/>
        <family val="2"/>
      </rPr>
      <t>, 10 mL)</t>
    </r>
  </si>
  <si>
    <t>0.056 m</t>
  </si>
  <si>
    <t>microwave, 140 °C, 40 min</t>
  </si>
  <si>
    <t>22.7 wt %</t>
  </si>
  <si>
    <t>[27]</t>
  </si>
  <si>
    <t>bread waste (5 wt%)</t>
  </si>
  <si>
    <r>
      <t>acetonitrile/H</t>
    </r>
    <r>
      <rPr>
        <sz val="5"/>
        <color rgb="FF000000"/>
        <rFont val="Open Sans"/>
        <family val="2"/>
      </rPr>
      <t>2</t>
    </r>
    <r>
      <rPr>
        <sz val="11"/>
        <color rgb="FF000000"/>
        <rFont val="Open Sans"/>
        <family val="2"/>
      </rPr>
      <t>O (1 : 1 </t>
    </r>
    <r>
      <rPr>
        <i/>
        <sz val="11"/>
        <color rgb="FF000000"/>
        <rFont val="Open Sans"/>
        <family val="2"/>
      </rPr>
      <t>v</t>
    </r>
    <r>
      <rPr>
        <sz val="11"/>
        <color rgb="FF000000"/>
        <rFont val="Open Sans"/>
        <family val="2"/>
      </rPr>
      <t>/</t>
    </r>
    <r>
      <rPr>
        <i/>
        <sz val="11"/>
        <color rgb="FF000000"/>
        <rFont val="Open Sans"/>
        <family val="2"/>
      </rPr>
      <t>v</t>
    </r>
    <r>
      <rPr>
        <sz val="11"/>
        <color rgb="FF000000"/>
        <rFont val="Open Sans"/>
        <family val="2"/>
      </rPr>
      <t>, 10 mL)</t>
    </r>
  </si>
  <si>
    <t>55.5 mm</t>
  </si>
  <si>
    <t>microwave, 140 °C, 25 min</t>
  </si>
  <si>
    <t>[9]</t>
  </si>
  <si>
    <r>
      <t>propylene carbonate/H</t>
    </r>
    <r>
      <rPr>
        <sz val="5"/>
        <color rgb="FF000000"/>
        <rFont val="Open Sans"/>
        <family val="2"/>
      </rPr>
      <t>2</t>
    </r>
    <r>
      <rPr>
        <sz val="11"/>
        <color rgb="FF000000"/>
        <rFont val="Open Sans"/>
        <family val="2"/>
      </rPr>
      <t>O (1 : 1 </t>
    </r>
    <r>
      <rPr>
        <i/>
        <sz val="11"/>
        <color rgb="FF000000"/>
        <rFont val="Open Sans"/>
        <family val="2"/>
      </rPr>
      <t>v</t>
    </r>
    <r>
      <rPr>
        <sz val="11"/>
        <color rgb="FF000000"/>
        <rFont val="Open Sans"/>
        <family val="2"/>
      </rPr>
      <t>/</t>
    </r>
    <r>
      <rPr>
        <i/>
        <sz val="11"/>
        <color rgb="FF000000"/>
        <rFont val="Open Sans"/>
        <family val="2"/>
      </rPr>
      <t>v</t>
    </r>
    <r>
      <rPr>
        <sz val="11"/>
        <color rgb="FF000000"/>
        <rFont val="Open Sans"/>
        <family val="2"/>
      </rPr>
      <t>, 10 mL)</t>
    </r>
  </si>
  <si>
    <t>microwave, 120 °C, 7.5 min</t>
  </si>
  <si>
    <t>[19b]</t>
  </si>
  <si>
    <r>
      <t>GVL/H</t>
    </r>
    <r>
      <rPr>
        <sz val="5"/>
        <color rgb="FF000000"/>
        <rFont val="Open Sans"/>
        <family val="2"/>
      </rPr>
      <t>2</t>
    </r>
    <r>
      <rPr>
        <sz val="11"/>
        <color rgb="FF000000"/>
        <rFont val="Open Sans"/>
        <family val="2"/>
      </rPr>
      <t>O (1 : 1 </t>
    </r>
    <r>
      <rPr>
        <i/>
        <sz val="11"/>
        <color rgb="FF000000"/>
        <rFont val="Open Sans"/>
        <family val="2"/>
      </rPr>
      <t>v</t>
    </r>
    <r>
      <rPr>
        <sz val="11"/>
        <color rgb="FF000000"/>
        <rFont val="Open Sans"/>
        <family val="2"/>
      </rPr>
      <t>/</t>
    </r>
    <r>
      <rPr>
        <i/>
        <sz val="11"/>
        <color rgb="FF000000"/>
        <rFont val="Open Sans"/>
        <family val="2"/>
      </rPr>
      <t>v</t>
    </r>
    <r>
      <rPr>
        <sz val="11"/>
        <color rgb="FF000000"/>
        <rFont val="Open Sans"/>
        <family val="2"/>
      </rPr>
      <t>, 10 mL)</t>
    </r>
  </si>
  <si>
    <t>microwave, 120 °C, 40 min</t>
  </si>
  <si>
    <t>glucose (30 wt%)</t>
  </si>
  <si>
    <t>ChCl/MIBK</t>
  </si>
  <si>
    <t>5 mol%</t>
  </si>
  <si>
    <t>120 °C, 2 h</t>
  </si>
  <si>
    <t>this work</t>
  </si>
  <si>
    <t>water-ChCl/MIBK</t>
  </si>
  <si>
    <t>130 °C, 2 h</t>
  </si>
  <si>
    <t>starch (10 wt%)</t>
  </si>
  <si>
    <t>25 mol%</t>
  </si>
  <si>
    <t>rice waste (10 wt%)</t>
  </si>
  <si>
    <t>bread waste (10 wt%)</t>
  </si>
  <si>
    <t xml:space="preserve">HMF mol /g rice </t>
  </si>
  <si>
    <t>rice hull</t>
  </si>
  <si>
    <t>theoretical yield g/g fructose+glucose</t>
  </si>
  <si>
    <t>fructose+glucose in rice hull %</t>
  </si>
  <si>
    <t>theoretical yield g/ g rice</t>
  </si>
  <si>
    <t>https://www.scielo.br/j/cta/a/qSNF38K7nB3zhwwWHKYWdpm/?lang=en</t>
  </si>
  <si>
    <t>ustainable production of furfural and 5-hidroximetilfurfural from rice husks and soybean peel by using ionic liquid</t>
  </si>
  <si>
    <t>glucose in hull g/g</t>
  </si>
  <si>
    <t>abnormal value</t>
  </si>
  <si>
    <t>https://pubs.rsc.org/en/content/articlelanding/2016/cy/c6cy00820h</t>
  </si>
  <si>
    <t>High yield conversion of cellulosic biomass into 5-hydroxymethylfurfural and a study of the reaction kinetics of cellulose to HMF conversion in a biphasic system</t>
  </si>
  <si>
    <t>Using an external standard method and calibration curves of commercially available standard substrates, conversion (mol%) and product yield (mol%) were calculated according to:</t>
  </si>
  <si>
    <t>where nC6 and nCo 6 denote the number of moles of C6 sugar in the product and feed, respectively, and ni is the number of moles of identified products (HMF, furfural etc.)</t>
  </si>
  <si>
    <t xml:space="preserve">Another desirable attribute of our process is the significant conversion of real biomass to both HMF and furfural. </t>
  </si>
  <si>
    <t xml:space="preserve">A combined furan yield of about 76% (49–52% HMF and 23–28% furfural) is achievable.  </t>
  </si>
  <si>
    <t xml:space="preserve">Catalytic conversion of the cellulose rich pulp after biomass fractionation led to an increased production in HMF to about 72% (bagasse) and 65% (husk). </t>
  </si>
  <si>
    <t>FDCA</t>
  </si>
  <si>
    <t>https://www.researchgate.net/figure/Theoretical-and-Overall-Yield-for-the-Conversion-of-Pure-Sugars-to-Ethylene-via-Ethanol_tbl6_259752935</t>
  </si>
  <si>
    <t>Chemocatalytic Processes for the Production of Bio-Based Chemicals from Carbohydrates</t>
  </si>
  <si>
    <t>hydroxymethyl furfural</t>
  </si>
  <si>
    <t>MMF</t>
  </si>
  <si>
    <t>5-methoxymethylfurfural</t>
  </si>
  <si>
    <t>CMF</t>
  </si>
  <si>
    <t>chloromethyl furfural</t>
  </si>
  <si>
    <t>Combined Theoretical Yield on Fructose</t>
  </si>
  <si>
    <t>HMF step FDCA</t>
  </si>
  <si>
    <t>w/w%</t>
  </si>
  <si>
    <t>MMF step FDCA</t>
  </si>
  <si>
    <t>CMF step FDCA</t>
  </si>
  <si>
    <t>theoretical yield FDCA from sugar g/g</t>
  </si>
  <si>
    <t>fru+glu in rice %</t>
  </si>
  <si>
    <t>theoretical yield FDCA from rice g/g</t>
  </si>
  <si>
    <t>fru+glu in rice hull  %</t>
  </si>
  <si>
    <t>theoretical yield FDCA from rice hull g/g</t>
  </si>
  <si>
    <t>fru+glu in rice bran  %</t>
  </si>
  <si>
    <t>theoretical yield FDCA from rice bran g/g</t>
  </si>
  <si>
    <t>Isoprene</t>
  </si>
  <si>
    <t>there is no study on rice to isoprene. In most glucose-to-isoprene studies,  cell engineering or genetic engineering are applied to drive certain metabolic pathways. Two pathways of glucose - isoprene are employed to calculate the yield.</t>
  </si>
  <si>
    <t>https://pubs.acs.org/doi/full/10.1021/acssuschemeng.9b00362?casa_token=HvjJqUzNJ3gAAAAA%3AqPow9-3aI3LfvV-B7hDyx6juRhnat1RX_8uo7MjurBrUUK4dB0gOuXGteXtUyjs7ZdvE0UnSxKqZ</t>
  </si>
  <si>
    <r>
      <t xml:space="preserve">Process Design and Economic Analysis of Renewable Isoprene from Biomass via </t>
    </r>
    <r>
      <rPr>
        <sz val="11"/>
        <color rgb="FFFF0000"/>
        <rFont val="Calibri"/>
        <family val="2"/>
        <scheme val="minor"/>
      </rPr>
      <t>Mesaconic Acid</t>
    </r>
  </si>
  <si>
    <t>from glucose to isoprene</t>
  </si>
  <si>
    <r>
      <t>In later work, further metabolic engineering by driving carbon flux and overexpressing sugar transporters led to the production of mesaconic acid with a titer of 23.18 g·L</t>
    </r>
    <r>
      <rPr>
        <sz val="8"/>
        <color rgb="FF000000"/>
        <rFont val="Roboto"/>
      </rPr>
      <t>–1</t>
    </r>
    <r>
      <rPr>
        <sz val="10"/>
        <color rgb="FF000000"/>
        <rFont val="Roboto"/>
      </rPr>
      <t> and a yield of 0.465 g·g</t>
    </r>
    <r>
      <rPr>
        <sz val="8"/>
        <color rgb="FF000000"/>
        <rFont val="Roboto"/>
      </rPr>
      <t>–1</t>
    </r>
    <r>
      <rPr>
        <sz val="10"/>
        <color rgb="FF000000"/>
        <rFont val="Roboto"/>
      </rPr>
      <t> glucose (64.4% of the theoretical maximum).</t>
    </r>
  </si>
  <si>
    <t>mesaconic acid / glucose (g/g)</t>
  </si>
  <si>
    <t>isoprene /mesaconic acid (g/g)</t>
  </si>
  <si>
    <t>isoprene/glucose (g/g)</t>
  </si>
  <si>
    <t>https://journals.plos.org/plosone/article/file?id=10.1371/journal.pone.0033509&amp;type=printable</t>
  </si>
  <si>
    <r>
      <t xml:space="preserve">Enhancing Production of Bio-Isoprene Using </t>
    </r>
    <r>
      <rPr>
        <sz val="11"/>
        <color rgb="FFFF0000"/>
        <rFont val="Calibri"/>
        <family val="2"/>
        <scheme val="minor"/>
      </rPr>
      <t>Hybrid MVA Pathway</t>
    </r>
    <r>
      <rPr>
        <sz val="11"/>
        <color theme="1"/>
        <rFont val="Calibri"/>
        <family val="2"/>
        <scheme val="minor"/>
      </rPr>
      <t xml:space="preserve"> and Isoprene Synthase in E. coli</t>
    </r>
  </si>
  <si>
    <t>The theoretical yield was calculated according to the following formula:</t>
  </si>
  <si>
    <r>
      <t>1.5</t>
    </r>
    <r>
      <rPr>
        <b/>
        <sz val="11"/>
        <color theme="9"/>
        <rFont val="Calibri"/>
        <family val="2"/>
        <scheme val="minor"/>
      </rPr>
      <t>C6H12O6</t>
    </r>
    <r>
      <rPr>
        <sz val="11"/>
        <color theme="1"/>
        <rFont val="Calibri"/>
        <family val="2"/>
        <scheme val="minor"/>
      </rPr>
      <t>+2NADPH+6NAD</t>
    </r>
    <r>
      <rPr>
        <vertAlign val="superscript"/>
        <sz val="11"/>
        <color theme="1"/>
        <rFont val="Calibri"/>
        <family val="2"/>
        <scheme val="minor"/>
      </rPr>
      <t>+</t>
    </r>
    <r>
      <rPr>
        <sz val="11"/>
        <color theme="1"/>
        <rFont val="Calibri"/>
        <family val="2"/>
        <scheme val="minor"/>
      </rPr>
      <t xml:space="preserve"> -&gt; </t>
    </r>
    <r>
      <rPr>
        <sz val="11"/>
        <color theme="9"/>
        <rFont val="Calibri"/>
        <family val="2"/>
        <scheme val="minor"/>
      </rPr>
      <t>C5H8</t>
    </r>
    <r>
      <rPr>
        <sz val="11"/>
        <color theme="1"/>
        <rFont val="Calibri"/>
        <family val="2"/>
        <scheme val="minor"/>
      </rPr>
      <t>+4CO2+6NADH+2- NADP</t>
    </r>
    <r>
      <rPr>
        <vertAlign val="superscript"/>
        <sz val="11"/>
        <color theme="1"/>
        <rFont val="Calibri"/>
        <family val="2"/>
        <scheme val="minor"/>
      </rPr>
      <t>+</t>
    </r>
    <r>
      <rPr>
        <sz val="11"/>
        <color theme="1"/>
        <rFont val="Calibri"/>
        <family val="2"/>
        <scheme val="minor"/>
      </rPr>
      <t xml:space="preserve"> +H2O+4[H].</t>
    </r>
  </si>
  <si>
    <t>The conversion efficiency of glucose to isoprene in the metabolically engineered strain has attained 7%, reaching 28% of the theoretical limit (25.2%).</t>
  </si>
  <si>
    <t>theoretical yield (isoprene/glucose)</t>
  </si>
  <si>
    <t>yield (isoprene/glucose)</t>
  </si>
  <si>
    <t>https://www.sciencedirect.com/science/article/pii/S109671761630012X?casa_token=_ZL6J9GMtdkAAAAA:SDjfCEWkxSyipae_dy_ZnRUnJaDI9ZbAMVbYyVO_garMhhKEKk7KpJP8hYkZhtKG5IwftWY</t>
  </si>
  <si>
    <t>Synergy between methylerythritol phosphate pathway and mevalonate pathway for isoprene production in Escherichia coli</t>
  </si>
  <si>
    <r>
      <t xml:space="preserve">Fed-batch cultivation of the engineered strain overexpressing the </t>
    </r>
    <r>
      <rPr>
        <sz val="10"/>
        <color rgb="FFFF0000"/>
        <rFont val="Georgia"/>
        <family val="1"/>
      </rPr>
      <t>dual pathway</t>
    </r>
    <r>
      <rPr>
        <sz val="10"/>
        <color rgb="FF1F1F1F"/>
        <rFont val="Georgia"/>
        <family val="1"/>
      </rPr>
      <t xml:space="preserve"> resulted in production of 24.0 g/L isoprene with a yield of </t>
    </r>
  </si>
  <si>
    <t>g/g of glucose</t>
  </si>
  <si>
    <t>0.267 </t>
  </si>
  <si>
    <t>https://www.sciencedirect.com/science/article/pii/S135951131100184X?casa_token=cZEXdPXFc3MAAAAA:ZGkN6n8wTTflwRfAIcMgJ5nmuk7mzncDpI2ujqCfFCUtAFCWwojGuqSSGjtv2SVAB0cuNwo</t>
  </si>
  <si>
    <t>Microbial production of isoprenoids</t>
  </si>
  <si>
    <r>
      <t xml:space="preserve">heir </t>
    </r>
    <r>
      <rPr>
        <sz val="10"/>
        <color rgb="FFFF0000"/>
        <rFont val="Georgia"/>
        <family val="1"/>
      </rPr>
      <t>Bioisoprene™</t>
    </r>
    <r>
      <rPr>
        <sz val="10"/>
        <color rgb="FF1F1F1F"/>
        <rFont val="Georgia"/>
        <family val="1"/>
      </rPr>
      <t xml:space="preserve"> was used to produce tires, showing it was equivalent to petroleum-derived isoprene. They report a titer of over 60 g/L, a volumetric productivity of 2 g/L/h and a yield of 11% isoprene from glucose.</t>
    </r>
  </si>
  <si>
    <r>
      <t xml:space="preserve">This project is continuing with the goal of reaching a yield as close to the theoretical maximum stoichiometric yield as possible, which is 24% using the </t>
    </r>
    <r>
      <rPr>
        <sz val="10"/>
        <color rgb="FFFF0000"/>
        <rFont val="Georgia"/>
        <family val="1"/>
      </rPr>
      <t>mevalonate pathway</t>
    </r>
    <r>
      <rPr>
        <sz val="10"/>
        <color rgb="FF1F1F1F"/>
        <rFont val="Georgia"/>
        <family val="1"/>
      </rPr>
      <t xml:space="preserve"> or 29% if the </t>
    </r>
    <r>
      <rPr>
        <sz val="10"/>
        <color rgb="FFFF0000"/>
        <rFont val="Georgia"/>
        <family val="1"/>
      </rPr>
      <t>MEP pathway</t>
    </r>
    <r>
      <rPr>
        <sz val="10"/>
        <color rgb="FF1F1F1F"/>
        <rFont val="Georgia"/>
        <family val="1"/>
      </rPr>
      <t xml:space="preserve"> can be used.</t>
    </r>
  </si>
  <si>
    <t>avrg yield  (g isoprene/g glucose)</t>
  </si>
  <si>
    <t>glucose in rice</t>
  </si>
  <si>
    <t>yield (isoprene/rice)</t>
  </si>
  <si>
    <t xml:space="preserve">rice hull </t>
  </si>
  <si>
    <t>glucose in rice hull</t>
  </si>
  <si>
    <t>yield (isoprene/rice hull )</t>
  </si>
  <si>
    <t>glucose in rice bran</t>
  </si>
  <si>
    <t>yield (isoprene/rice bran )</t>
  </si>
  <si>
    <t>succinic acid</t>
  </si>
  <si>
    <t>https://link.springer.com/article/10.1186/s13068-016-0425-1</t>
  </si>
  <si>
    <t>Succinic acid production on xylose-enriched biorefinery streams by Actinobacillus succinogenes in batch fermentation</t>
  </si>
  <si>
    <t>We note that the overall maximum theoretical yield of succinate from glucose is 1.12 g/g [61].</t>
  </si>
  <si>
    <t xml:space="preserve"> Succinate yields ranged between glucose is 1.12 g/g [61]. Succinate yields ranged between</t>
  </si>
  <si>
    <t>succinate yield</t>
  </si>
  <si>
    <t>avrg yield g/g sugar</t>
  </si>
  <si>
    <t xml:space="preserve"> yield g/g sugar</t>
  </si>
  <si>
    <t xml:space="preserve">glu+fru+xyl in rice </t>
  </si>
  <si>
    <t>succinate yield g/g rice</t>
  </si>
  <si>
    <t>https://www.sciencedirect.com/science/article/pii/S2352554115300073?via%3Dihub</t>
  </si>
  <si>
    <t>Sustainable succinic acid production from rice husks</t>
  </si>
  <si>
    <t>The PAH hydrolysate, containing 18.5 g L−1 glucose and 2.97 g L−1 xylose, produced 12.6  g L−1 SA in 54 h fermentation, which corresponds to a production rate of 0.23 g L−1 h−1 and a yield of 59.9% of SA, equivalent to 0.125 g of SA g−1 of RH.</t>
  </si>
  <si>
    <t>yield g SA/g rice husk</t>
  </si>
  <si>
    <t>glu+fru+xyl in rice bran</t>
  </si>
  <si>
    <t>succinate yield g/g rice bran</t>
  </si>
  <si>
    <t>3-HP</t>
  </si>
  <si>
    <t>https://link.springer.com/article/10.1007/s00253-009-1898-7</t>
  </si>
  <si>
    <t>Biosynthetic pathways for 3-hydroxypropionic acid production</t>
  </si>
  <si>
    <t>Seven synthetic pathways, via which 3-HP could be</t>
  </si>
  <si>
    <t>produced at a theoretical yield of 100% from glucose, have</t>
  </si>
  <si>
    <t>been patented by Cargill et al. (Gokarn et al. 2001; Liao et</t>
  </si>
  <si>
    <t>al. 2005; Liao et al. 2007; Marx et al. 2007).</t>
  </si>
  <si>
    <t>Fig. 1 Overview of seven fermentation pathways for the production of 3-HP from glucose.</t>
  </si>
  <si>
    <t>https://www.mdpi.com/2311-5637/4/1/13</t>
  </si>
  <si>
    <t>Biological Production of 3-Hydroxypropionic Acid: An Update on the Current Status</t>
  </si>
  <si>
    <t>host</t>
  </si>
  <si>
    <t>ref</t>
  </si>
  <si>
    <t xml:space="preserve">yield </t>
  </si>
  <si>
    <t>unit</t>
  </si>
  <si>
    <t>engineered strain?</t>
  </si>
  <si>
    <t>normalization</t>
  </si>
  <si>
    <t>E.coli</t>
  </si>
  <si>
    <t>Cheng et al. [54]</t>
  </si>
  <si>
    <t>g 3-HP/g sugar</t>
  </si>
  <si>
    <t>y</t>
  </si>
  <si>
    <t>Liu et al. [55]</t>
  </si>
  <si>
    <t>[49]</t>
  </si>
  <si>
    <t>Jung et al. [57]</t>
  </si>
  <si>
    <t>[59]</t>
  </si>
  <si>
    <t>C-mol/C-mol</t>
  </si>
  <si>
    <t>[48]</t>
  </si>
  <si>
    <t>[60]</t>
  </si>
  <si>
    <t>Corynebacterium glutamicum</t>
  </si>
  <si>
    <t>Chen et al. [53]</t>
  </si>
  <si>
    <t>3-HP yield g/g rice</t>
  </si>
  <si>
    <t>yield (3-HP/rice hull )</t>
  </si>
  <si>
    <t>yield (3-HP/rice bran )</t>
  </si>
  <si>
    <t>3-HPA</t>
  </si>
  <si>
    <t>https://www.sciencedirect.com/science/article/pii/S0960852423012506?casa_token=2ppI1KsoLjwAAAAA:1-ZHBOVlnQUoaIJWo4fTTZkMD369y0sIhN5iFQW763-tGuMSdTbQ8jCa_g96OvGRgwzDMfQ</t>
  </si>
  <si>
    <t>Efficient biosynthesis of 3-hydroxypropionic acid from glucose through multidimensional engineering of Escherichia coli</t>
  </si>
  <si>
    <t>Therefore, biotechnological production of 3-HPA should be performed without glucose, to favour accumulation of 3-HPA (El-Ziney et al. 1998; Lüthi-Peng et al. 2002a; Mills et al. 1954; Sauvageot et al. 2000; Sobolov and Smiley 1960). </t>
  </si>
  <si>
    <t>https://journals.asm.org/doi/full/10.1128/aem.50.6.1444-1450.1985</t>
  </si>
  <si>
    <t>Optimizing aerobic conversion of glycerol to 3-hydroxypropionaldehyde</t>
  </si>
  <si>
    <t>Production of 3-HPA was sensitive to the age of cells harvested for resuspension and was nonexistent if cells were cultivated on glucose instead of glycerol as the sole carbon source.</t>
  </si>
  <si>
    <t>levulinic acid</t>
  </si>
  <si>
    <t>https://onlinelibrary.wiley.com/doi/full/10.1002/bbb.267</t>
  </si>
  <si>
    <t>The conversion of lignocellulosics to levulinic acid</t>
  </si>
  <si>
    <t>Feed</t>
  </si>
  <si>
    <t>Theoretical yield (mol %)</t>
  </si>
  <si>
    <t>fructose</t>
  </si>
  <si>
    <t>glucose</t>
  </si>
  <si>
    <t>Theoretical yield (g/g)</t>
  </si>
  <si>
    <t xml:space="preserve">rice </t>
  </si>
  <si>
    <t>Theoretical yield (g/g hexos)</t>
  </si>
  <si>
    <t>glu+fru in rice (g/100g)</t>
  </si>
  <si>
    <t>Theoretical yield (g/g rice)</t>
  </si>
  <si>
    <t>https://www.sciencedirect.com/science/article/pii/S1359511317315532?via%3Dihub</t>
  </si>
  <si>
    <t>Concept of rice husk biorefining for levulinic acid production integrating three steps: Multi-response optimization, new perceptions and limitations</t>
  </si>
  <si>
    <t>Valuable intermediates for solvents, biofuels and biopolymer precursors are produced from levulinic acid (LA). In this study, rice husk (RH) was fractionated using a three-step biorefining approach for LA production: (1) acid pretreatment, (2) alkaline pretreatment and (3) catalytic depolymerization of cellulose. In third step, the H2SO4-acid concentration (Ad), reaction temperature (Td) and reaction time (td) on the LA concentration (CLA), selectivity (SLA) and yield percentage based on the theoretical value (Yt,LA), were investigated. Optimal values for CLA of 27.2 g/L, SLA of 62.2% and Yt,LA of 60.6 mol% were obtained at Ad of 5.0% w/v, Td of 175 °C and td of 75 min. A scenario based on 100 kg of dry RH produced 11.8 kg of LA with a yield of 42.9 mol% based on the theoretical values of the cellulose in the RH, as well as 12.5 kg of xylose, 12 kg of lignin and 2.9 kg of formic acid. Furthermore, the potential route to LA production with the requirement to remove the ash and with a low production of carbonaceous species (∼2.5 kg) was highlighted in this study. These results offer new insight into selective conversion of RH to bio-based products.</t>
  </si>
  <si>
    <t>theoretical value (Yt,LA)  (mol%)</t>
  </si>
  <si>
    <t>60.6 </t>
  </si>
  <si>
    <t xml:space="preserve">100 kg of dry Rice Husk produced 11.8 kg of LA </t>
  </si>
  <si>
    <t>The RH was provided by the Irmãos Pillon rice industry (Santa Maria, RS − Brazil), obtained from the 2016/2017 rice harvest and with a moisture content of 10.5%.</t>
  </si>
  <si>
    <t>LA/ dry rice husk (g/g)</t>
  </si>
  <si>
    <t>moisture content</t>
  </si>
  <si>
    <t>LA/ rice husk (g/g)</t>
  </si>
  <si>
    <t>https://www.mdpi.com/2073-4344/10/3/327</t>
  </si>
  <si>
    <t>Levulinic Acid Production from Delignified Rice Husk Waste over Manganese Catalysts: Heterogeneous Versus Homogeneous</t>
  </si>
  <si>
    <t xml:space="preserve">Figure 6 and Figure 7 show that the highest yield (wt %) of levulinic acid for each reaction was reached after 8 h reaction time. When using Mn3O4/hierarchical ZSM-5 as catalyst, the yield (wt %) obtained at 100 °C and 130 °C was 27.60% and 39.75%, respectively. The reaction using Mn2+ gave yield of 17.69% (100 °C) and 19.34% (130 °C). When Mn3O4 catalyst, the highest yield (wt %) of levulinic acid was similar, reaching 14.02% (100 °C) and 15.93% (130 °C), respectively. </t>
  </si>
  <si>
    <t>The yield (wt%) of products was calculated using the following Equation:</t>
  </si>
  <si>
    <t>yield (wt %)</t>
  </si>
  <si>
    <t>avrg yield (wt %)</t>
  </si>
  <si>
    <t>cellulsoe in Rice husk %</t>
  </si>
  <si>
    <t>yield g LA / g rice husk</t>
  </si>
  <si>
    <t xml:space="preserve">ref 3 </t>
  </si>
  <si>
    <t>https://www.sciencedirect.com/science/article/pii/S2214785323006041?via%3Dihub#s0010</t>
  </si>
  <si>
    <t>Bronsted acid and manganese based catalyst effect on levulinic acid production from double delignified rice husk</t>
  </si>
  <si>
    <t>Calculation of the LA based on a molar basis (YLA) is formulated in equation (1) as the ratio between the concentration of LA in the product (CLA) and the concentration of sugar C6 in rice husk (CC6,0).</t>
  </si>
  <si>
    <r>
      <t>The yields obtained from the use of 10 %wt, 20 %wt and 30 %wt Mn</t>
    </r>
    <r>
      <rPr>
        <sz val="9"/>
        <color rgb="FF1F1F1F"/>
        <rFont val="Georgia"/>
        <family val="1"/>
      </rPr>
      <t>3</t>
    </r>
    <r>
      <rPr>
        <sz val="12"/>
        <color rgb="FF1F1F1F"/>
        <rFont val="Georgia"/>
        <family val="1"/>
      </rPr>
      <t>O</t>
    </r>
    <r>
      <rPr>
        <sz val="9"/>
        <color rgb="FF1F1F1F"/>
        <rFont val="Georgia"/>
        <family val="1"/>
      </rPr>
      <t>4</t>
    </r>
    <r>
      <rPr>
        <sz val="12"/>
        <color rgb="FF1F1F1F"/>
        <rFont val="Georgia"/>
        <family val="1"/>
      </rPr>
      <t>/ZSM-5 catalyst concentrations were 62.3 %, 65.85 % and 66.05 %,</t>
    </r>
  </si>
  <si>
    <t>YLA</t>
  </si>
  <si>
    <t>C6 sugar in rice, %</t>
  </si>
  <si>
    <t>mol weight, C6 sugar</t>
  </si>
  <si>
    <t>mol weight, levulinic acid</t>
  </si>
  <si>
    <t>yield g/g rice husk</t>
  </si>
  <si>
    <t>https://link.springer.com/article/10.1007/s10570-020-03183-w</t>
  </si>
  <si>
    <t>Kinetic insights into the lignocellulosic biomass-based levulinic acid production by a mechanistic model</t>
  </si>
  <si>
    <t>RH rice husk</t>
  </si>
  <si>
    <t>For all ISRs, the cellulose depolymerization conditions at 150 °C with low concentration of H2SO4 were unfavorable for the formation of LA; this resulted in lower yields of 12.2 ± 0.0 mol%, 28.8 ± 3.5 mol% and 25.8 ± 1.4 mol% for ISRSCB, ISRRH and ISRSS, respectively.</t>
  </si>
  <si>
    <t>However, LA yields were observed at 190 °C and H2SO4 concentration of 3.0% w/v, resulting in values of 28.6 ± 1.0 mol%, 61.8 ± 0.2 mol%, and 55.6 ± 0.4 mol% for ISRSCB, ISRRH and ISRSS, respectively</t>
  </si>
  <si>
    <t>ven greater LA yields were observed at 190 °C and 7.0% w/v H2SO4 concentration: 60.5 ± 2.1 mol%, 65.2 ± 2.9 mol% and 61.5 ± 4.0 mol% for ISRSCB, ISRRH and ISRSS, respectively.</t>
  </si>
  <si>
    <t>LA yield from ISRRH (mol% )</t>
  </si>
  <si>
    <t>avrg LA yield from ISRRH (mol% )</t>
  </si>
  <si>
    <t>avrg LA yield from ISRRH</t>
  </si>
  <si>
    <t>glu+fru in rice bran (g/100g)</t>
  </si>
  <si>
    <t>Theoretical yield (g/g rice bran)</t>
  </si>
  <si>
    <t xml:space="preserve">lactic acid </t>
  </si>
  <si>
    <t>rice grain</t>
  </si>
  <si>
    <t>https://link.springer.com/article/10.1007/s10570-019-02571-1</t>
  </si>
  <si>
    <t>Bioprocessing of rice husk into monosaccharides and the fermentative production of bioethanol and lactate</t>
  </si>
  <si>
    <r>
      <t> </t>
    </r>
    <r>
      <rPr>
        <i/>
        <sz val="11"/>
        <color rgb="FF222222"/>
        <rFont val="Merriweather"/>
      </rPr>
      <t>YLA</t>
    </r>
    <r>
      <rPr>
        <sz val="11"/>
        <color rgb="FF222222"/>
        <rFont val="Merriweather"/>
      </rPr>
      <t> lactic acid yield expressed as percentage of theoretical lactic acid yield (0.76 g lactic acid per g sugar)</t>
    </r>
  </si>
  <si>
    <t>theoretical yield (g lactic acid per g sugar)</t>
  </si>
  <si>
    <t>sugar from rice g/g</t>
  </si>
  <si>
    <t>theoretical yield (g lactic acid per g rice)</t>
  </si>
  <si>
    <t>https://analyticalsciencejournals.onlinelibrary.wiley.com/doi/full/10.1002/jctb.1797</t>
  </si>
  <si>
    <t>Hydrothermal catalytic conversion of biomass for lactic acid production</t>
  </si>
  <si>
    <t>Cr</t>
  </si>
  <si>
    <t>Ni</t>
  </si>
  <si>
    <t>Zn</t>
  </si>
  <si>
    <t>avrg yield</t>
  </si>
  <si>
    <t xml:space="preserve">yield g/g </t>
  </si>
  <si>
    <t>https://www.sciencedirect.com/science/article/pii/S0141813023060531</t>
  </si>
  <si>
    <t>Bioconversion of spray corn husks into L-lactic acid with liquid hot water pretreatment</t>
  </si>
  <si>
    <t>yield g/100g RH</t>
  </si>
  <si>
    <t>yield g/g RH</t>
  </si>
  <si>
    <t>https://www.hindawi.com/journals/bmri/2013/934171/#conclusions</t>
  </si>
  <si>
    <t>Optimization of Sulfide/Sulfite Pretreatment of Lignocellulosic Biomass for Lactic Acid Production</t>
  </si>
  <si>
    <t>Table 5</t>
  </si>
  <si>
    <r>
      <t>Kinetic parameters of lactic acid fermentations during batch culturing of </t>
    </r>
    <r>
      <rPr>
        <i/>
        <sz val="11"/>
        <color rgb="FF000000"/>
        <rFont val="Times New Roman"/>
        <family val="1"/>
      </rPr>
      <t>Lactobacillus acidophilus</t>
    </r>
    <r>
      <rPr>
        <sz val="11"/>
        <color rgb="FF000000"/>
        <rFont val="Times New Roman"/>
        <family val="1"/>
      </rPr>
      <t>.</t>
    </r>
  </si>
  <si>
    <t>Reagent for pretreatment</t>
  </si>
  <si>
    <r>
      <t>γ</t>
    </r>
    <r>
      <rPr>
        <sz val="11"/>
        <color theme="1"/>
        <rFont val="Calibri"/>
        <family val="2"/>
        <scheme val="minor"/>
      </rPr>
      <t> (initial sugar conc.)</t>
    </r>
  </si>
  <si>
    <r>
      <t>γ</t>
    </r>
    <r>
      <rPr>
        <sz val="11"/>
        <color theme="1"/>
        <rFont val="Calibri"/>
        <family val="2"/>
        <scheme val="minor"/>
      </rPr>
      <t> (lactic acid)</t>
    </r>
  </si>
  <si>
    <r>
      <t>η</t>
    </r>
    <r>
      <rPr>
        <sz val="11"/>
        <color theme="1"/>
        <rFont val="Calibri"/>
        <family val="2"/>
        <scheme val="minor"/>
      </rPr>
      <t> (lactic acid)</t>
    </r>
  </si>
  <si>
    <t>Productivity</t>
  </si>
  <si>
    <r>
      <t>gL</t>
    </r>
    <r>
      <rPr>
        <sz val="9"/>
        <color theme="1"/>
        <rFont val="Calibri"/>
        <family val="2"/>
        <scheme val="minor"/>
      </rPr>
      <t>−1</t>
    </r>
  </si>
  <si>
    <r>
      <t>gg</t>
    </r>
    <r>
      <rPr>
        <sz val="9"/>
        <color theme="1"/>
        <rFont val="Calibri"/>
        <family val="2"/>
        <scheme val="minor"/>
      </rPr>
      <t>−1</t>
    </r>
  </si>
  <si>
    <r>
      <t>gL</t>
    </r>
    <r>
      <rPr>
        <sz val="9"/>
        <color theme="1"/>
        <rFont val="Calibri"/>
        <family val="2"/>
        <scheme val="minor"/>
      </rPr>
      <t>−1</t>
    </r>
    <r>
      <rPr>
        <sz val="11"/>
        <color theme="1"/>
        <rFont val="Calibri"/>
        <family val="2"/>
        <scheme val="minor"/>
      </rPr>
      <t>·h</t>
    </r>
    <r>
      <rPr>
        <sz val="9"/>
        <color theme="1"/>
        <rFont val="Calibri"/>
        <family val="2"/>
        <scheme val="minor"/>
      </rPr>
      <t>−1</t>
    </r>
  </si>
  <si>
    <t>Corncob</t>
  </si>
  <si>
    <r>
      <t>Na</t>
    </r>
    <r>
      <rPr>
        <sz val="9"/>
        <color theme="1"/>
        <rFont val="Calibri"/>
        <family val="2"/>
        <scheme val="minor"/>
      </rPr>
      <t>2</t>
    </r>
    <r>
      <rPr>
        <sz val="11"/>
        <color theme="1"/>
        <rFont val="Calibri"/>
        <family val="2"/>
        <scheme val="minor"/>
      </rPr>
      <t>S</t>
    </r>
  </si>
  <si>
    <r>
      <t>Na</t>
    </r>
    <r>
      <rPr>
        <sz val="9"/>
        <color theme="1"/>
        <rFont val="Calibri"/>
        <family val="2"/>
        <scheme val="minor"/>
      </rPr>
      <t>2</t>
    </r>
    <r>
      <rPr>
        <sz val="11"/>
        <color theme="1"/>
        <rFont val="Calibri"/>
        <family val="2"/>
        <scheme val="minor"/>
      </rPr>
      <t>SO</t>
    </r>
    <r>
      <rPr>
        <sz val="9"/>
        <color theme="1"/>
        <rFont val="Calibri"/>
        <family val="2"/>
        <scheme val="minor"/>
      </rPr>
      <t>3</t>
    </r>
  </si>
  <si>
    <t>Bagasse</t>
  </si>
  <si>
    <t>Water hyacinth</t>
  </si>
  <si>
    <t>No treatment</t>
  </si>
  <si>
    <r>
      <t>η</t>
    </r>
    <r>
      <rPr>
        <sz val="11"/>
        <color theme="1"/>
        <rFont val="Times New Roman"/>
        <family val="1"/>
      </rPr>
      <t> (lactic acid) = lactic acid produced/sugar consumed (g/g).</t>
    </r>
  </si>
  <si>
    <t>sugar from rice husk</t>
  </si>
  <si>
    <t>https://link.springer.com/article/10.1007/s00449-021-02591-x</t>
  </si>
  <si>
    <t>Enhanced lactic acid production from P2O5-pretreated biomass by domesticated Pediococcus pentosaceus without detoxification</t>
  </si>
  <si>
    <t>Table 4 Comparison of lactic acid production from different biomass hydrolysates by fed-batch fermentation</t>
  </si>
  <si>
    <t>From: Enhanced lactic acid production from P2O5-pretreated biomass by domesticated Pediococcus pentosaceus without detoxification</t>
  </si>
  <si>
    <t>Types of biomass hydrolysates</t>
  </si>
  <si>
    <t>LA (g/L)</t>
  </si>
  <si>
    <t>LA conversion rate (%)</t>
  </si>
  <si>
    <t>maximum productivity (g/L/h)</t>
  </si>
  <si>
    <t>CS Corn stalk</t>
  </si>
  <si>
    <t>CSR corn stalk residue</t>
  </si>
  <si>
    <t>RHR Rice husk residue</t>
  </si>
  <si>
    <t>glu+xyl in rice husk %</t>
  </si>
  <si>
    <t>Yield g LA/ g rice husk</t>
  </si>
  <si>
    <t>Table 2 Lactic acid yield using Lactobacillus buchneri NRRL B-30929 after 32 h of fermentation</t>
  </si>
  <si>
    <t>Lactic acid (g L−1)</t>
  </si>
  <si>
    <t>YX/S (g g−1)</t>
  </si>
  <si>
    <t>YLA/S (g g−1)</t>
  </si>
  <si>
    <t>YLA (%)</t>
  </si>
  <si>
    <t>PV (g L−1 h−1)</t>
  </si>
  <si>
    <t>µX (h−1)</t>
  </si>
  <si>
    <t>µS (g g−1 h−1)</t>
  </si>
  <si>
    <t>µP (g g−1 h−1)</t>
  </si>
  <si>
    <t>YX/S ratio yield of cells per substrate referred as g biomass per g sugar in the liquor (calculated at 20 h), YLA/S ratio yield of product per substrate referred as g lactic acid per g sugar present in the liquor, YLA lactic acid yield expressed as percentage of theoretical lactic acid yield (0.76 g lactic acid per g sugar), PV volumetric productivity (calculated at 28 h), µXm maximum specific rate of bacterium growth (20 h), µSm maximum specific rate of substrate degradation (20 h), µPm maximum specific rate of product formation (20 h)</t>
  </si>
  <si>
    <r>
      <t>YLA/S</t>
    </r>
    <r>
      <rPr>
        <sz val="11"/>
        <color rgb="FF222222"/>
        <rFont val="Merriweather"/>
      </rPr>
      <t> ratio yield of product per substrate referred as g lactic acid per g sugar present in the liquor</t>
    </r>
  </si>
  <si>
    <t>https://pubs.rsc.org/en/content/articlelanding/2014/ra/c3ra46140h</t>
  </si>
  <si>
    <t>Fermentative l-(+)-lactic acid production from defatted rice bran</t>
  </si>
  <si>
    <r>
      <t>Table 3</t>
    </r>
    <r>
      <rPr>
        <sz val="11"/>
        <color theme="1"/>
        <rFont val="Calibri"/>
        <family val="2"/>
        <scheme val="minor"/>
      </rPr>
      <t> Results obtained in shaking flask experiments</t>
    </r>
  </si>
  <si>
    <t>Medium number</t>
  </si>
  <si>
    <t>Lactate yield on glucose%a</t>
  </si>
  <si>
    <t>Substrate use %b</t>
  </si>
  <si>
    <r>
      <t>Lactic acid g L</t>
    </r>
    <r>
      <rPr>
        <b/>
        <vertAlign val="superscript"/>
        <sz val="11"/>
        <color theme="1"/>
        <rFont val="Source Sans Pro"/>
        <family val="2"/>
      </rPr>
      <t>−1</t>
    </r>
  </si>
  <si>
    <r>
      <t>Productivity g L</t>
    </r>
    <r>
      <rPr>
        <b/>
        <vertAlign val="superscript"/>
        <sz val="11"/>
        <color theme="1"/>
        <rFont val="Source Sans Pro"/>
        <family val="2"/>
      </rPr>
      <t>−1</t>
    </r>
    <r>
      <rPr>
        <b/>
        <sz val="11"/>
        <color theme="1"/>
        <rFont val="Source Sans Pro"/>
        <family val="2"/>
      </rPr>
      <t> h</t>
    </r>
    <r>
      <rPr>
        <b/>
        <vertAlign val="superscript"/>
        <sz val="11"/>
        <color theme="1"/>
        <rFont val="Source Sans Pro"/>
        <family val="2"/>
      </rPr>
      <t>−1</t>
    </r>
  </si>
  <si>
    <t>97.20 ± 0.14</t>
  </si>
  <si>
    <t>96.15 ± 2.31</t>
  </si>
  <si>
    <t>140.18 ± 2.12</t>
  </si>
  <si>
    <t>2.00 ± 0.06</t>
  </si>
  <si>
    <t>93.00 ± 0.36</t>
  </si>
  <si>
    <t>71.43 ± 0.05</t>
  </si>
  <si>
    <t>99.64 ± 0.35</t>
  </si>
  <si>
    <t>1.42 ± 0.01</t>
  </si>
  <si>
    <t>95.00 ± 0.41</t>
  </si>
  <si>
    <t>78.30 ± 1.33</t>
  </si>
  <si>
    <t>111.58 ± 1.41</t>
  </si>
  <si>
    <t>1.59 ± 0.03</t>
  </si>
  <si>
    <t>80.21 ± 0.22</t>
  </si>
  <si>
    <t>43.95 ± 3.14</t>
  </si>
  <si>
    <t>52.88 ± 2.83</t>
  </si>
  <si>
    <t>0.76 ± 0.08</t>
  </si>
  <si>
    <t>94.36 ± 0.20</t>
  </si>
  <si>
    <t>95.07 ± 1.35</t>
  </si>
  <si>
    <t>134.56 ± 1.43</t>
  </si>
  <si>
    <t>1.92 ± 0.03</t>
  </si>
  <si>
    <t>87.42 ± 0.34</t>
  </si>
  <si>
    <t>53.58 ± 1.07</t>
  </si>
  <si>
    <t>70.26 ± 1.26</t>
  </si>
  <si>
    <t>1.00 ± 0.02</t>
  </si>
  <si>
    <t>89.00 ± 0.06</t>
  </si>
  <si>
    <t>70.05 ± 2.53</t>
  </si>
  <si>
    <t>93.52 ± 2.24</t>
  </si>
  <si>
    <t>1.34 ± 0.07</t>
  </si>
  <si>
    <t>80.31 ± 0.51</t>
  </si>
  <si>
    <t>52.89 ± 0.74</t>
  </si>
  <si>
    <t>63.71 ± 0.71</t>
  </si>
  <si>
    <t>0.91 ± 0.02</t>
  </si>
  <si>
    <t>95.20 ± 0.31</t>
  </si>
  <si>
    <t>89.36 ± 0.17</t>
  </si>
  <si>
    <t>127.61 ± 0.25</t>
  </si>
  <si>
    <t>1.82 ± 0.01</t>
  </si>
  <si>
    <t>95.37 ± 0.78</t>
  </si>
  <si>
    <t>94.86 ± 2.28</t>
  </si>
  <si>
    <t>135.70 ± 2.09</t>
  </si>
  <si>
    <t>1.94 ± 0.05</t>
  </si>
  <si>
    <t>95.97 ± 0.06</t>
  </si>
  <si>
    <t>95.43 ± 1.17</t>
  </si>
  <si>
    <t>137.38 ± 1.34</t>
  </si>
  <si>
    <t>1.96 ± 0.02</t>
  </si>
  <si>
    <t>95.60 ± 0.09</t>
  </si>
  <si>
    <t>95.55 ± 1.21</t>
  </si>
  <si>
    <t>137.02 ± 1.36</t>
  </si>
  <si>
    <t>96.00 ± 0.91</t>
  </si>
  <si>
    <t>96.24 ± 0.52</t>
  </si>
  <si>
    <t>138.59 ± 0.64</t>
  </si>
  <si>
    <t>1.98 ± 0.01</t>
  </si>
  <si>
    <t>85.45 ± 0.37</t>
  </si>
  <si>
    <t>87.61 ± 2.04</t>
  </si>
  <si>
    <t>112.29 ± 2.01</t>
  </si>
  <si>
    <t>1.60 ± 0.04</t>
  </si>
  <si>
    <t>96.10 ± 0.27</t>
  </si>
  <si>
    <t>95.98 ± 1.52</t>
  </si>
  <si>
    <t>138.36 ± 1.56</t>
  </si>
  <si>
    <t>1.98 ± 0.03</t>
  </si>
  <si>
    <r>
      <t>a</t>
    </r>
    <r>
      <rPr>
        <b/>
        <sz val="11"/>
        <color theme="1"/>
        <rFont val="Source Sans Pro"/>
        <family val="2"/>
      </rPr>
      <t> Lactate yield on glucose = total lactic acid obtained (g)/total glucose consumed (g). </t>
    </r>
    <r>
      <rPr>
        <b/>
        <sz val="11"/>
        <color rgb="FF007AAF"/>
        <rFont val="Source Sans Pro"/>
        <family val="2"/>
      </rPr>
      <t>b</t>
    </r>
    <r>
      <rPr>
        <b/>
        <sz val="11"/>
        <color theme="1"/>
        <rFont val="Source Sans Pro"/>
        <family val="2"/>
      </rPr>
      <t> Substrate use = total glucose consumed (g)/initial glucose (g).</t>
    </r>
  </si>
  <si>
    <t>glucose in rice bran %</t>
  </si>
  <si>
    <t xml:space="preserve">yield on rice bran </t>
  </si>
  <si>
    <t>https://www.sciencedirect.com/science/article/pii/S0960852407005731?via%3Dihub</t>
  </si>
  <si>
    <t>Utilization of rice bran as nutrient source for fermentative lactic acid production</t>
  </si>
  <si>
    <t> Yield of lactic acid was defined as amount of lactic acid divided by total amount of glucose and productivity as lactic acid concentration divided by fermentation time.</t>
  </si>
  <si>
    <t> When 3 and 5 g/L YE were added, there arose final lactic acid concentrations of 83 and 87 g/L, yields of 96% and 98%, productivities of 1.99 and 2.66 g/Lh, which were much higher than those from the fermentation with rice bran only (final lactic acid concentration, 68 g/L; yield, 68% and productivity, 0.27 g/Lh at pH 0.5).</t>
  </si>
  <si>
    <t>Yield %</t>
  </si>
  <si>
    <t>https://www.sciencedirect.com/science/article/pii/S1389172312004525?via%3Dihub</t>
  </si>
  <si>
    <t>Fermentative l-(+)-lactic acid production from non-sterilized rice washing drainage containing rice bran by a newly isolated lactic acid bacteria without any additions of nutrients</t>
  </si>
  <si>
    <t>hence, yield based on consumed glucose attained was 0.85 g lactic acid/g glucose</t>
  </si>
  <si>
    <t>https://www.sciencedirect.com/science/article/pii/S096085241501278X?via%3Dihub#t0005</t>
  </si>
  <si>
    <t>Open fermentative production of l-lactic acid using white rice bran by simultaneous saccharification and fermentation</t>
  </si>
  <si>
    <t>Table 1. Comparison between lactic acid production based on WRB in this work and those reported in the literature.</t>
  </si>
  <si>
    <t>Parameter</t>
  </si>
  <si>
    <t>Gao et al. (2008)</t>
  </si>
  <si>
    <t>Tanaka et al. (2006)</t>
  </si>
  <si>
    <t>Taniguchi et al. (2005)</t>
  </si>
  <si>
    <t>Li et al. (2012)</t>
  </si>
  <si>
    <t>This work</t>
  </si>
  <si>
    <t>Rice bran, glucose</t>
  </si>
  <si>
    <t>Defatted rice bran</t>
  </si>
  <si>
    <t>White rice bran</t>
  </si>
  <si>
    <t>Strain</t>
  </si>
  <si>
    <r>
      <t>Lactobacillus rhamnosus</t>
    </r>
    <r>
      <rPr>
        <sz val="11"/>
        <color theme="1"/>
        <rFont val="Georgia"/>
        <family val="1"/>
      </rPr>
      <t> (NBRC 3863)</t>
    </r>
  </si>
  <si>
    <r>
      <t>L. delbrueckii</t>
    </r>
    <r>
      <rPr>
        <sz val="11"/>
        <color theme="1"/>
        <rFont val="Georgia"/>
        <family val="1"/>
      </rPr>
      <t> IFO 3202</t>
    </r>
  </si>
  <si>
    <r>
      <t>Lactobacillus rhamnosus</t>
    </r>
    <r>
      <rPr>
        <sz val="11"/>
        <color theme="1"/>
        <rFont val="Georgia"/>
        <family val="1"/>
      </rPr>
      <t> (No. 16 screened from defatted rice bran)</t>
    </r>
  </si>
  <si>
    <r>
      <t>Lactobacillus rhamnosus</t>
    </r>
    <r>
      <rPr>
        <sz val="11"/>
        <color theme="1"/>
        <rFont val="Georgia"/>
        <family val="1"/>
      </rPr>
      <t> (LA-04-01)</t>
    </r>
  </si>
  <si>
    <r>
      <t>Bacillus coagulans</t>
    </r>
    <r>
      <rPr>
        <sz val="11"/>
        <color theme="1"/>
        <rFont val="Georgia"/>
        <family val="1"/>
      </rPr>
      <t> LA-15-2</t>
    </r>
  </si>
  <si>
    <t>Fermentation mode</t>
  </si>
  <si>
    <t>Batch</t>
  </si>
  <si>
    <t>Batch (SSF)</t>
  </si>
  <si>
    <t>Fed-batch</t>
  </si>
  <si>
    <r>
      <t>T</t>
    </r>
    <r>
      <rPr>
        <sz val="11"/>
        <color theme="1"/>
        <rFont val="Georgia"/>
        <family val="1"/>
      </rPr>
      <t> and pH</t>
    </r>
  </si>
  <si>
    <t>42 °C, pH 6.0</t>
  </si>
  <si>
    <t>37 °C, pH 5.0</t>
  </si>
  <si>
    <t>37 °C, pH 4.5</t>
  </si>
  <si>
    <t>42 °C, pH 6.25</t>
  </si>
  <si>
    <t>50 °C, pH rise from 5.60 to 5.80</t>
  </si>
  <si>
    <t>Sterilization</t>
  </si>
  <si>
    <t>Y</t>
  </si>
  <si>
    <t>N</t>
  </si>
  <si>
    <t>Inorganic salts</t>
  </si>
  <si>
    <t>Na</t>
  </si>
  <si>
    <t>Yeast extract</t>
  </si>
  <si>
    <t>Yb</t>
  </si>
  <si>
    <t>Corn steep liquor powder/corn steep liquor</t>
  </si>
  <si>
    <t>Amylase</t>
  </si>
  <si>
    <t>Glucoamylase</t>
  </si>
  <si>
    <t>Cellulase</t>
  </si>
  <si>
    <r>
      <t>Acid-hydrolysis by H</t>
    </r>
    <r>
      <rPr>
        <sz val="8"/>
        <color theme="1"/>
        <rFont val="Georgia"/>
        <family val="1"/>
      </rPr>
      <t>2</t>
    </r>
    <r>
      <rPr>
        <sz val="11"/>
        <color theme="1"/>
        <rFont val="Georgia"/>
        <family val="1"/>
      </rPr>
      <t>SO</t>
    </r>
    <r>
      <rPr>
        <sz val="8"/>
        <color theme="1"/>
        <rFont val="Georgia"/>
        <family val="1"/>
      </rPr>
      <t>4</t>
    </r>
  </si>
  <si>
    <t>Yield of product</t>
  </si>
  <si>
    <r>
      <t>2.66 g L</t>
    </r>
    <r>
      <rPr>
        <sz val="8"/>
        <color theme="1"/>
        <rFont val="Georgia"/>
        <family val="1"/>
      </rPr>
      <t>−1</t>
    </r>
    <r>
      <rPr>
        <sz val="11"/>
        <color theme="1"/>
        <rFont val="Georgia"/>
        <family val="1"/>
      </rPr>
      <t> h</t>
    </r>
    <r>
      <rPr>
        <sz val="8"/>
        <color theme="1"/>
        <rFont val="Georgia"/>
        <family val="1"/>
      </rPr>
      <t>−1</t>
    </r>
  </si>
  <si>
    <r>
      <t>0.78 g L</t>
    </r>
    <r>
      <rPr>
        <sz val="8"/>
        <color theme="1"/>
        <rFont val="Georgia"/>
        <family val="1"/>
      </rPr>
      <t>−1</t>
    </r>
    <r>
      <rPr>
        <sz val="11"/>
        <color theme="1"/>
        <rFont val="Georgia"/>
        <family val="1"/>
      </rPr>
      <t> h</t>
    </r>
    <r>
      <rPr>
        <sz val="8"/>
        <color theme="1"/>
        <rFont val="Georgia"/>
        <family val="1"/>
      </rPr>
      <t>−1</t>
    </r>
  </si>
  <si>
    <r>
      <t>0.39 g L</t>
    </r>
    <r>
      <rPr>
        <sz val="8"/>
        <color theme="1"/>
        <rFont val="Georgia"/>
        <family val="1"/>
      </rPr>
      <t>−1</t>
    </r>
    <r>
      <rPr>
        <sz val="11"/>
        <color theme="1"/>
        <rFont val="Georgia"/>
        <family val="1"/>
      </rPr>
      <t> h</t>
    </r>
    <r>
      <rPr>
        <sz val="8"/>
        <color theme="1"/>
        <rFont val="Georgia"/>
        <family val="1"/>
      </rPr>
      <t>−1</t>
    </r>
  </si>
  <si>
    <r>
      <t>1.95 g L</t>
    </r>
    <r>
      <rPr>
        <sz val="8"/>
        <color theme="1"/>
        <rFont val="Georgia"/>
        <family val="1"/>
      </rPr>
      <t>−1</t>
    </r>
    <r>
      <rPr>
        <sz val="11"/>
        <color theme="1"/>
        <rFont val="Georgia"/>
        <family val="1"/>
      </rPr>
      <t> h</t>
    </r>
    <r>
      <rPr>
        <sz val="8"/>
        <color theme="1"/>
        <rFont val="Georgia"/>
        <family val="1"/>
      </rPr>
      <t>−1</t>
    </r>
  </si>
  <si>
    <r>
      <t>2.79 g L</t>
    </r>
    <r>
      <rPr>
        <sz val="8"/>
        <color theme="1"/>
        <rFont val="Georgia"/>
        <family val="1"/>
      </rPr>
      <t>−1</t>
    </r>
    <r>
      <rPr>
        <sz val="11"/>
        <color theme="1"/>
        <rFont val="Georgia"/>
        <family val="1"/>
      </rPr>
      <t> h</t>
    </r>
    <r>
      <rPr>
        <sz val="8"/>
        <color theme="1"/>
        <rFont val="Georgia"/>
        <family val="1"/>
      </rPr>
      <t>−1</t>
    </r>
  </si>
  <si>
    <t>Lactic acid concentration and optical configuration</t>
  </si>
  <si>
    <r>
      <t>87 g L</t>
    </r>
    <r>
      <rPr>
        <sz val="8"/>
        <color theme="1"/>
        <rFont val="Georgia"/>
        <family val="1"/>
      </rPr>
      <t>−1</t>
    </r>
  </si>
  <si>
    <r>
      <t>28 g L</t>
    </r>
    <r>
      <rPr>
        <sz val="8"/>
        <color theme="1"/>
        <rFont val="Georgia"/>
        <family val="1"/>
      </rPr>
      <t>−1</t>
    </r>
  </si>
  <si>
    <r>
      <t>27.9 g L</t>
    </r>
    <r>
      <rPr>
        <sz val="8"/>
        <color theme="1"/>
        <rFont val="Georgia"/>
        <family val="1"/>
      </rPr>
      <t>−1</t>
    </r>
  </si>
  <si>
    <r>
      <t>123 g L</t>
    </r>
    <r>
      <rPr>
        <sz val="8"/>
        <color theme="1"/>
        <rFont val="Georgia"/>
        <family val="1"/>
      </rPr>
      <t>−1</t>
    </r>
  </si>
  <si>
    <r>
      <t>117 g L</t>
    </r>
    <r>
      <rPr>
        <sz val="8"/>
        <color theme="1"/>
        <rFont val="Georgia"/>
        <family val="1"/>
      </rPr>
      <t>−1</t>
    </r>
  </si>
  <si>
    <t>l-lactic acid</t>
  </si>
  <si>
    <t>d-lactic acid</t>
  </si>
  <si>
    <t>a</t>
  </si>
  <si>
    <t>No addition or not adopted.</t>
  </si>
  <si>
    <t>b</t>
  </si>
  <si>
    <t>Addition or adopted.</t>
  </si>
  <si>
    <t>avrg yield %</t>
  </si>
  <si>
    <t>https://pubs.rsc.org/en/content/articlelanding/2015/ra/c4ra04641b</t>
  </si>
  <si>
    <t>Continuous l-lactic acid production from defatted rice bran hydrolysate using corn stover bagasse immobilized carrier</t>
  </si>
  <si>
    <r>
      <t>As a result, a maximal concentration of 88 g L</t>
    </r>
    <r>
      <rPr>
        <vertAlign val="superscript"/>
        <sz val="7.5"/>
        <color theme="1"/>
        <rFont val="Source Sans Pro"/>
        <family val="2"/>
      </rPr>
      <t>−1</t>
    </r>
    <r>
      <rPr>
        <sz val="12"/>
        <color theme="1"/>
        <rFont val="Source Sans Pro"/>
        <family val="2"/>
      </rPr>
      <t> of LLA with an average yield of 0.95 g g</t>
    </r>
    <r>
      <rPr>
        <vertAlign val="superscript"/>
        <sz val="7.5"/>
        <color theme="1"/>
        <rFont val="Source Sans Pro"/>
        <family val="2"/>
      </rPr>
      <t>−1</t>
    </r>
    <r>
      <rPr>
        <sz val="12"/>
        <color theme="1"/>
        <rFont val="Source Sans Pro"/>
        <family val="2"/>
      </rPr>
      <t> and productivity of 5.20 g L</t>
    </r>
    <r>
      <rPr>
        <vertAlign val="superscript"/>
        <sz val="7.5"/>
        <color theme="1"/>
        <rFont val="Source Sans Pro"/>
        <family val="2"/>
      </rPr>
      <t>−1</t>
    </r>
    <r>
      <rPr>
        <sz val="12"/>
        <color theme="1"/>
        <rFont val="Source Sans Pro"/>
        <family val="2"/>
      </rPr>
      <t> h</t>
    </r>
    <r>
      <rPr>
        <vertAlign val="superscript"/>
        <sz val="7.5"/>
        <color theme="1"/>
        <rFont val="Source Sans Pro"/>
        <family val="2"/>
      </rPr>
      <t>−1</t>
    </r>
    <r>
      <rPr>
        <sz val="12"/>
        <color theme="1"/>
        <rFont val="Source Sans Pro"/>
        <family val="2"/>
      </rPr>
      <t> were achieved in a single-stage immobilized repeated-batch fermentation. </t>
    </r>
  </si>
  <si>
    <t xml:space="preserve">  average yield (g g−1)</t>
  </si>
  <si>
    <t>sorbitol</t>
  </si>
  <si>
    <t>https://link.springer.com/article/10.1007/s00253-002-1046-0</t>
  </si>
  <si>
    <t>The biotechnological production of sorbitol</t>
  </si>
  <si>
    <t>Table 1 Examples of experimental studies on the bio-production of sorbitol and gluconic acid using Zymomonas mobilis cells. D Dilution rate in continuous processing</t>
  </si>
  <si>
    <t>conversion yield</t>
  </si>
  <si>
    <t>sorbitol yield %</t>
  </si>
  <si>
    <t>avrg mol conversion of glucose and fructose %</t>
  </si>
  <si>
    <t>yield g/g glucose and fructose</t>
  </si>
  <si>
    <t>avrg conversion of glucose and fructose %</t>
  </si>
  <si>
    <t>glu+ fru in rice %</t>
  </si>
  <si>
    <t>yield g/g rice</t>
  </si>
  <si>
    <t>glu+ fru in rice hull%</t>
  </si>
  <si>
    <t>yield g/g rice hull</t>
  </si>
  <si>
    <t>glu+ fru in rice bran %</t>
  </si>
  <si>
    <t>yield g/g rice bran</t>
  </si>
  <si>
    <t>xylitol</t>
  </si>
  <si>
    <t>https://www.sciencedirect.com/science/article/pii/S0922338X98800263?casa_token=aLqBeV90biIAAAAA:uqYoRDUYXPdbjyYra-122gWl9FVoabLSx-h_EHf6fDpWVOsKLf0qIS6Sd5kzioR63hHTDi8</t>
  </si>
  <si>
    <t>Microbial conversion of d-xylose to xylitol</t>
  </si>
  <si>
    <t>Yx/s (g/g)</t>
  </si>
  <si>
    <t>avrg Yx/s  (g xylitol/g xylose)</t>
  </si>
  <si>
    <t>xylose in rice %</t>
  </si>
  <si>
    <t>yield (g xylitol / g rice)</t>
  </si>
  <si>
    <t>https://link.springer.com/article/10.1007/s13399-024-05372-0</t>
  </si>
  <si>
    <t>Optimization of xylitol production through Candida tropicalis in xylose hydrolysate from rice husk</t>
  </si>
  <si>
    <r>
      <t>Table 5 Fermentation parameters in other studies with rice husk, feedstocks with similar composition, and synthetic mediums through </t>
    </r>
    <r>
      <rPr>
        <b/>
        <i/>
        <sz val="14"/>
        <color theme="1"/>
        <rFont val="Calibri"/>
        <family val="2"/>
        <scheme val="minor"/>
      </rPr>
      <t>Candida</t>
    </r>
    <r>
      <rPr>
        <b/>
        <sz val="14"/>
        <color theme="1"/>
        <rFont val="Calibri"/>
        <family val="2"/>
        <scheme val="minor"/>
      </rPr>
      <t> spp</t>
    </r>
  </si>
  <si>
    <t>From: Optimization of xylitol production through Candida tropicalis in xylose hydrolysate from rice husk</t>
  </si>
  <si>
    <t>Feedstock</t>
  </si>
  <si>
    <t>Xylitol (g/L)</t>
  </si>
  <si>
    <r>
      <t>Y</t>
    </r>
    <r>
      <rPr>
        <b/>
        <sz val="9"/>
        <color theme="1"/>
        <rFont val="Merriweather Sans"/>
      </rPr>
      <t>P/S</t>
    </r>
    <r>
      <rPr>
        <b/>
        <sz val="11"/>
        <color theme="1"/>
        <rFont val="Merriweather Sans"/>
      </rPr>
      <t>* (g/g)</t>
    </r>
  </si>
  <si>
    <t>Candida guilliermondii</t>
  </si>
  <si>
    <t>N/A</t>
  </si>
  <si>
    <t>Candida tropicalis</t>
  </si>
  <si>
    <t>[72]</t>
  </si>
  <si>
    <t>Rice straw</t>
  </si>
  <si>
    <r>
      <t>Candida tropicalis</t>
    </r>
    <r>
      <rPr>
        <sz val="11"/>
        <color theme="1"/>
        <rFont val="Merriweather Sans"/>
      </rPr>
      <t> MTCC 6192</t>
    </r>
  </si>
  <si>
    <t>[54]</t>
  </si>
  <si>
    <r>
      <t>Candida tropicalis</t>
    </r>
    <r>
      <rPr>
        <sz val="11"/>
        <color theme="1"/>
        <rFont val="Merriweather Sans"/>
      </rPr>
      <t> NCIM 3119</t>
    </r>
  </si>
  <si>
    <t>[55]</t>
  </si>
  <si>
    <t>Chestnut shell</t>
  </si>
  <si>
    <r>
      <t>Candida tropicalis</t>
    </r>
    <r>
      <rPr>
        <sz val="11"/>
        <color theme="1"/>
        <rFont val="Merriweather Sans"/>
      </rPr>
      <t> M43</t>
    </r>
  </si>
  <si>
    <t>[68]</t>
  </si>
  <si>
    <t>Sugarcane trash</t>
  </si>
  <si>
    <r>
      <t>Candida tropicalis</t>
    </r>
    <r>
      <rPr>
        <sz val="11"/>
        <color theme="1"/>
        <rFont val="Merriweather Sans"/>
      </rPr>
      <t> InaCC Y799</t>
    </r>
  </si>
  <si>
    <t>[31]</t>
  </si>
  <si>
    <t>Rapeseed straw</t>
  </si>
  <si>
    <r>
      <t>Candida guilliermondii</t>
    </r>
    <r>
      <rPr>
        <sz val="11"/>
        <color theme="1"/>
        <rFont val="Merriweather Sans"/>
      </rPr>
      <t> ATCC 201 935</t>
    </r>
  </si>
  <si>
    <t>[57]</t>
  </si>
  <si>
    <t>Synthetic medium</t>
  </si>
  <si>
    <t>[83]</t>
  </si>
  <si>
    <t>Semi-synthetic medium</t>
  </si>
  <si>
    <t>[84]</t>
  </si>
  <si>
    <r>
      <t>Candida tropicalis</t>
    </r>
    <r>
      <rPr>
        <sz val="11"/>
        <color theme="1"/>
        <rFont val="Merriweather Sans"/>
      </rPr>
      <t> ATCC 1369</t>
    </r>
  </si>
  <si>
    <r>
      <t>N/A</t>
    </r>
    <r>
      <rPr>
        <sz val="8"/>
        <color rgb="FF222222"/>
        <rFont val="Merriweather"/>
      </rPr>
      <t> information not available; *g xylitol/g xylose</t>
    </r>
  </si>
  <si>
    <r>
      <t>Y</t>
    </r>
    <r>
      <rPr>
        <b/>
        <sz val="9"/>
        <color theme="1"/>
        <rFont val="Calibri"/>
        <family val="2"/>
        <scheme val="minor"/>
      </rPr>
      <t>P/S</t>
    </r>
    <r>
      <rPr>
        <b/>
        <sz val="11"/>
        <color theme="1"/>
        <rFont val="Calibri"/>
        <family val="2"/>
        <scheme val="minor"/>
      </rPr>
      <t>* (g/g)</t>
    </r>
  </si>
  <si>
    <t>xylose in rice husk %</t>
  </si>
  <si>
    <t>yield g xylitol/g rice husk</t>
  </si>
  <si>
    <t>https://link.springer.com/article/10.1007/s11274-016-2166-5</t>
  </si>
  <si>
    <t>The yeast Scheffersomyces amazonensis is an efficient xylitol producer</t>
  </si>
  <si>
    <t>Table 1 Substrate (D-xylose, glucose) consumption, product (xylitol, ethanol, biomass) formation, and xylitol yield and volumetric productivity in Scheffersomyces amazonensis UFMG-CM-Y493T cultures in D-xylose-supplemented (YPX) medium and rice hull hydrolysate (RHH) under moderate and severe oxygen-limited conditions</t>
  </si>
  <si>
    <t>Oxygen-limited conditions</t>
  </si>
  <si>
    <t>Culture mediuma</t>
  </si>
  <si>
    <t>D-Xylose (%)b</t>
  </si>
  <si>
    <t>Glucose (%)b</t>
  </si>
  <si>
    <t>Cell biomass (g L−1 or CFU mL−1)c</t>
  </si>
  <si>
    <t>Ethanol (g L−1)</t>
  </si>
  <si>
    <t>Xylitol (g L−1)</t>
  </si>
  <si>
    <t>Time of maximum xylitol (h)d</t>
  </si>
  <si>
    <t>Yxylp/s (g g−1)e</t>
  </si>
  <si>
    <t>Qxylp (g L−1 h)f</t>
  </si>
  <si>
    <t>Moderate</t>
  </si>
  <si>
    <t>YPX</t>
  </si>
  <si>
    <t>6.33 ± 0.62</t>
  </si>
  <si>
    <t>4.71 ± 0.10</t>
  </si>
  <si>
    <t>26.37 ± 0.24</t>
  </si>
  <si>
    <t>6.23 × 109</t>
  </si>
  <si>
    <t>2.59 ± 0.71</t>
  </si>
  <si>
    <t>2.96 ± 0.78</t>
  </si>
  <si>
    <t>Severe</t>
  </si>
  <si>
    <t>3.03 ± 0.57</t>
  </si>
  <si>
    <t>3.61 ± 0.01</t>
  </si>
  <si>
    <t>34.24 ± 0.16</t>
  </si>
  <si>
    <t>1.61 × 108</t>
  </si>
  <si>
    <t>2.20 ± 0.28</t>
  </si>
  <si>
    <t>6.30 ± 0.53</t>
  </si>
  <si>
    <r>
      <t>a</t>
    </r>
    <r>
      <rPr>
        <sz val="9"/>
        <color rgb="FF222222"/>
        <rFont val="Merriweather"/>
      </rPr>
      <t>YPX: D-xylose (50 g L</t>
    </r>
    <r>
      <rPr>
        <vertAlign val="superscript"/>
        <sz val="9"/>
        <color rgb="FF222222"/>
        <rFont val="Merriweather"/>
      </rPr>
      <t>−1</t>
    </r>
    <r>
      <rPr>
        <sz val="9"/>
        <color rgb="FF222222"/>
        <rFont val="Merriweather"/>
      </rPr>
      <t>) supplemented medium; RHH: rice hull hydrolysate (20 g L</t>
    </r>
    <r>
      <rPr>
        <vertAlign val="superscript"/>
        <sz val="9"/>
        <color rgb="FF222222"/>
        <rFont val="Merriweather"/>
      </rPr>
      <t>−1</t>
    </r>
    <r>
      <rPr>
        <sz val="9"/>
        <color rgb="FF222222"/>
        <rFont val="Merriweather"/>
      </rPr>
      <t> D-xylose, 4.6 g L</t>
    </r>
    <r>
      <rPr>
        <vertAlign val="superscript"/>
        <sz val="9"/>
        <color rgb="FF222222"/>
        <rFont val="Merriweather"/>
      </rPr>
      <t>−1</t>
    </r>
    <r>
      <rPr>
        <sz val="9"/>
        <color rgb="FF222222"/>
        <rFont val="Merriweather"/>
      </rPr>
      <t> D-glucose, 3.8 g L</t>
    </r>
    <r>
      <rPr>
        <vertAlign val="superscript"/>
        <sz val="9"/>
        <color rgb="FF222222"/>
        <rFont val="Merriweather"/>
      </rPr>
      <t>−1</t>
    </r>
    <r>
      <rPr>
        <sz val="9"/>
        <color rgb="FF222222"/>
        <rFont val="Merriweather"/>
      </rPr>
      <t> L-arabinose)</t>
    </r>
  </si>
  <si>
    <r>
      <t>b</t>
    </r>
    <r>
      <rPr>
        <sz val="9"/>
        <color rgb="FF222222"/>
        <rFont val="Merriweather"/>
      </rPr>
      <t> D-Xylose or glucose consumption (%): percentage of initial D-xylose or glucose consumed</t>
    </r>
  </si>
  <si>
    <r>
      <t>c</t>
    </r>
    <r>
      <rPr>
        <sz val="9"/>
        <color rgb="FF222222"/>
        <rFont val="Merriweather"/>
      </rPr>
      <t>Cell biomass: cell concentration in YPX medium (g L</t>
    </r>
    <r>
      <rPr>
        <vertAlign val="superscript"/>
        <sz val="9"/>
        <color rgb="FF222222"/>
        <rFont val="Merriweather"/>
      </rPr>
      <t>−1</t>
    </r>
    <r>
      <rPr>
        <sz val="9"/>
        <color rgb="FF222222"/>
        <rFont val="Merriweather"/>
      </rPr>
      <t>) or RHH (CFU mL</t>
    </r>
    <r>
      <rPr>
        <vertAlign val="superscript"/>
        <sz val="9"/>
        <color rgb="FF222222"/>
        <rFont val="Merriweather"/>
      </rPr>
      <t>−1</t>
    </r>
    <r>
      <rPr>
        <sz val="9"/>
        <color rgb="FF222222"/>
        <rFont val="Merriweather"/>
      </rPr>
      <t>)</t>
    </r>
  </si>
  <si>
    <r>
      <t>d</t>
    </r>
    <r>
      <rPr>
        <sz val="9"/>
        <color rgb="FF222222"/>
        <rFont val="Merriweather"/>
      </rPr>
      <t>Time when the maximum xylitol production (g L</t>
    </r>
    <r>
      <rPr>
        <vertAlign val="superscript"/>
        <sz val="9"/>
        <color rgb="FF222222"/>
        <rFont val="Merriweather"/>
      </rPr>
      <t>−1</t>
    </r>
    <r>
      <rPr>
        <sz val="9"/>
        <color rgb="FF222222"/>
        <rFont val="Merriweather"/>
      </rPr>
      <t>) value was attained</t>
    </r>
  </si>
  <si>
    <t>eYxylp/s (g g−1): xylitol yield: correlation between xylitol (ΔP) produced and D-xylose (ΔS) consumed</t>
  </si>
  <si>
    <r>
      <t>f</t>
    </r>
    <r>
      <rPr>
        <sz val="9"/>
        <color rgb="FF222222"/>
        <rFont val="Merriweather"/>
      </rPr>
      <t>Q</t>
    </r>
    <r>
      <rPr>
        <vertAlign val="superscript"/>
        <sz val="9"/>
        <color rgb="FF222222"/>
        <rFont val="Merriweather"/>
      </rPr>
      <t>xyl</t>
    </r>
    <r>
      <rPr>
        <sz val="9"/>
        <color rgb="FF222222"/>
        <rFont val="Merriweather"/>
      </rPr>
      <t>p (g L</t>
    </r>
    <r>
      <rPr>
        <vertAlign val="superscript"/>
        <sz val="9"/>
        <color rgb="FF222222"/>
        <rFont val="Merriweather"/>
      </rPr>
      <t>−1</t>
    </r>
    <r>
      <rPr>
        <sz val="9"/>
        <color rgb="FF222222"/>
        <rFont val="Merriweather"/>
      </rPr>
      <t> h</t>
    </r>
    <r>
      <rPr>
        <vertAlign val="superscript"/>
        <sz val="9"/>
        <color rgb="FF222222"/>
        <rFont val="Merriweather"/>
      </rPr>
      <t>−1</t>
    </r>
    <r>
      <rPr>
        <sz val="9"/>
        <color rgb="FF222222"/>
        <rFont val="Merriweather"/>
      </rPr>
      <t>): xylitol volumetric productivity: ratio of xylitol concentration (g L</t>
    </r>
    <r>
      <rPr>
        <vertAlign val="superscript"/>
        <sz val="9"/>
        <color rgb="FF222222"/>
        <rFont val="Merriweather"/>
      </rPr>
      <t>−1</t>
    </r>
    <r>
      <rPr>
        <sz val="9"/>
        <color rgb="FF222222"/>
        <rFont val="Merriweather"/>
      </rPr>
      <t>) and time (h) of achieving maximum xylitol production</t>
    </r>
  </si>
  <si>
    <t>avrg Yxylp/s (g g−1)</t>
  </si>
  <si>
    <t>xylose in rice bran %</t>
  </si>
  <si>
    <t>yield (g xylitol / g rice bran)</t>
  </si>
  <si>
    <t>Apple</t>
  </si>
  <si>
    <t>https://link.springer.com/article/10.1007/s12155-023-10627-1</t>
  </si>
  <si>
    <t>Table 4 Main results of the process simulation</t>
  </si>
  <si>
    <t>From: Techno-Economic Evaluation for Ethanol Production from Residual Cashew Apple Using a Flocculant Yeast</t>
  </si>
  <si>
    <t>Quantity</t>
  </si>
  <si>
    <t>Scenario I</t>
  </si>
  <si>
    <t>Scenario II</t>
  </si>
  <si>
    <t>Unit</t>
  </si>
  <si>
    <t> Cashew apple</t>
  </si>
  <si>
    <t>ton/year</t>
  </si>
  <si>
    <t>Consumables</t>
  </si>
  <si>
    <t> Sodium hypochlorite</t>
  </si>
  <si>
    <t>kg/year</t>
  </si>
  <si>
    <t> Sulfuric acid</t>
  </si>
  <si>
    <t> Yeast</t>
  </si>
  <si>
    <t>Utilities</t>
  </si>
  <si>
    <t> Electricity</t>
  </si>
  <si>
    <t>MWh/year</t>
  </si>
  <si>
    <t> Steam</t>
  </si>
  <si>
    <t> Water</t>
  </si>
  <si>
    <r>
      <t>m</t>
    </r>
    <r>
      <rPr>
        <vertAlign val="superscript"/>
        <sz val="11"/>
        <color theme="1"/>
        <rFont val="Merriweather Sans"/>
      </rPr>
      <t>3</t>
    </r>
    <r>
      <rPr>
        <sz val="11"/>
        <color theme="1"/>
        <rFont val="Merriweather Sans"/>
      </rPr>
      <t>/year</t>
    </r>
  </si>
  <si>
    <t>Global parameters</t>
  </si>
  <si>
    <t> Raw material flow</t>
  </si>
  <si>
    <t>ton/h</t>
  </si>
  <si>
    <t> Total recoverable sugar</t>
  </si>
  <si>
    <t>kg/ton RM</t>
  </si>
  <si>
    <t> Fuel ethanol production</t>
  </si>
  <si>
    <t>L/h</t>
  </si>
  <si>
    <t> Hydrated ethanol production</t>
  </si>
  <si>
    <t> Ethanol production by raw material</t>
  </si>
  <si>
    <t>L/ton</t>
  </si>
  <si>
    <t>avrg (L/ton)</t>
  </si>
  <si>
    <t>density (g/L)</t>
  </si>
  <si>
    <t>yield (g ethanol/g raw material)</t>
  </si>
  <si>
    <t>https://link.springer.com/article/10.1007/s12010-009-8781-y#Tab1</t>
  </si>
  <si>
    <r>
      <t>Table 1 Fermentation parameters obtained in batch fermentation of cashew apple juice with free and immobilized </t>
    </r>
    <r>
      <rPr>
        <b/>
        <i/>
        <sz val="16"/>
        <color theme="1"/>
        <rFont val="Calibri"/>
        <family val="2"/>
        <scheme val="minor"/>
      </rPr>
      <t>S. cerevisiae</t>
    </r>
    <r>
      <rPr>
        <b/>
        <sz val="16"/>
        <color theme="1"/>
        <rFont val="Calibri"/>
        <family val="2"/>
        <scheme val="minor"/>
      </rPr>
      <t> at 30 °C.</t>
    </r>
  </si>
  <si>
    <t>From: Ethanol Production by Fermentation Using Immobilized Cells of Saccharomyces cerevisiae in Cashew Apple Bagasse</t>
  </si>
  <si>
    <t>System</t>
  </si>
  <si>
    <r>
      <t>Initial sugar (g L</t>
    </r>
    <r>
      <rPr>
        <b/>
        <vertAlign val="superscript"/>
        <sz val="11"/>
        <color theme="1"/>
        <rFont val="Merriweather Sans"/>
      </rPr>
      <t>−1</t>
    </r>
    <r>
      <rPr>
        <b/>
        <sz val="11"/>
        <color theme="1"/>
        <rFont val="Merriweather Sans"/>
      </rPr>
      <t>)</t>
    </r>
  </si>
  <si>
    <r>
      <t>Residual sugar (g L</t>
    </r>
    <r>
      <rPr>
        <b/>
        <vertAlign val="superscript"/>
        <sz val="11"/>
        <color theme="1"/>
        <rFont val="Merriweather Sans"/>
      </rPr>
      <t>−1</t>
    </r>
    <r>
      <rPr>
        <b/>
        <sz val="11"/>
        <color theme="1"/>
        <rFont val="Merriweather Sans"/>
      </rPr>
      <t>)</t>
    </r>
  </si>
  <si>
    <r>
      <t>Ethanol (g L</t>
    </r>
    <r>
      <rPr>
        <b/>
        <vertAlign val="superscript"/>
        <sz val="11"/>
        <color theme="1"/>
        <rFont val="Merriweather Sans"/>
      </rPr>
      <t>−1</t>
    </r>
    <r>
      <rPr>
        <b/>
        <sz val="11"/>
        <color theme="1"/>
        <rFont val="Merriweather Sans"/>
      </rPr>
      <t>)</t>
    </r>
  </si>
  <si>
    <r>
      <t>Q</t>
    </r>
    <r>
      <rPr>
        <b/>
        <sz val="9"/>
        <color theme="1"/>
        <rFont val="Merriweather Sans"/>
      </rPr>
      <t>P</t>
    </r>
    <r>
      <rPr>
        <b/>
        <sz val="11"/>
        <color theme="1"/>
        <rFont val="Merriweather Sans"/>
      </rPr>
      <t>(g L</t>
    </r>
    <r>
      <rPr>
        <b/>
        <vertAlign val="superscript"/>
        <sz val="11"/>
        <color theme="1"/>
        <rFont val="Merriweather Sans"/>
      </rPr>
      <t>−1</t>
    </r>
    <r>
      <rPr>
        <b/>
        <sz val="11"/>
        <color theme="1"/>
        <rFont val="Merriweather Sans"/>
      </rPr>
      <t>h</t>
    </r>
    <r>
      <rPr>
        <b/>
        <vertAlign val="superscript"/>
        <sz val="11"/>
        <color theme="1"/>
        <rFont val="Merriweather Sans"/>
      </rPr>
      <t>−1</t>
    </r>
    <r>
      <rPr>
        <b/>
        <sz val="11"/>
        <color theme="1"/>
        <rFont val="Merriweather Sans"/>
      </rPr>
      <t>)</t>
    </r>
  </si>
  <si>
    <r>
      <t>Y</t>
    </r>
    <r>
      <rPr>
        <b/>
        <sz val="9"/>
        <color theme="1"/>
        <rFont val="Merriweather Sans"/>
      </rPr>
      <t>P/S</t>
    </r>
    <r>
      <rPr>
        <b/>
        <sz val="11"/>
        <color theme="1"/>
        <rFont val="Merriweather Sans"/>
      </rPr>
      <t>(g g</t>
    </r>
    <r>
      <rPr>
        <b/>
        <vertAlign val="superscript"/>
        <sz val="11"/>
        <color theme="1"/>
        <rFont val="Merriweather Sans"/>
      </rPr>
      <t>−1</t>
    </r>
    <r>
      <rPr>
        <b/>
        <sz val="11"/>
        <color theme="1"/>
        <rFont val="Merriweather Sans"/>
      </rPr>
      <t>)</t>
    </r>
  </si>
  <si>
    <r>
      <t>η</t>
    </r>
    <r>
      <rPr>
        <b/>
        <sz val="11"/>
        <color theme="1"/>
        <rFont val="Merriweather Sans"/>
      </rPr>
      <t>(%)</t>
    </r>
  </si>
  <si>
    <t>Free</t>
  </si>
  <si>
    <t>86.06 ± 2.98</t>
  </si>
  <si>
    <t>3.77 ± 0.62</t>
  </si>
  <si>
    <t>38.57 ± 2.51</t>
  </si>
  <si>
    <t>4.29 ± 0.28</t>
  </si>
  <si>
    <t>Immobilized (fourthbatch)</t>
  </si>
  <si>
    <t>70.01 ± 7.70</t>
  </si>
  <si>
    <t>3.92 ± 0.27</t>
  </si>
  <si>
    <t>36.91 ± 0.24</t>
  </si>
  <si>
    <t>6.15 ± 2.05</t>
  </si>
  <si>
    <r>
      <t>yield of ethanol on consumed sugar (</t>
    </r>
    <r>
      <rPr>
        <i/>
        <sz val="14"/>
        <color rgb="FF222222"/>
        <rFont val="Merriweather"/>
      </rPr>
      <t>Y</t>
    </r>
    <r>
      <rPr>
        <sz val="14"/>
        <color rgb="FF222222"/>
        <rFont val="Merriweather"/>
      </rPr>
      <t> </t>
    </r>
    <r>
      <rPr>
        <sz val="10"/>
        <color rgb="FF222222"/>
        <rFont val="Merriweather"/>
      </rPr>
      <t>P/S</t>
    </r>
    <r>
      <rPr>
        <sz val="14"/>
        <color rgb="FF222222"/>
        <rFont val="Merriweather"/>
      </rPr>
      <t>, g g</t>
    </r>
    <r>
      <rPr>
        <vertAlign val="superscript"/>
        <sz val="11"/>
        <color rgb="FF222222"/>
        <rFont val="Merriweather"/>
      </rPr>
      <t>−1</t>
    </r>
    <r>
      <rPr>
        <sz val="14"/>
        <color rgb="FF222222"/>
        <rFont val="Merriweather"/>
      </rPr>
      <t>)</t>
    </r>
  </si>
  <si>
    <t>avrg yied (g g−1)</t>
  </si>
  <si>
    <t>total sugar  (g g−1 apple)</t>
  </si>
  <si>
    <t>https://www.sciencedirect.com/science/article/pii/S0960852414016125?via%3Dihub#t0020</t>
  </si>
  <si>
    <t>Enhanced enzymatic hydrolysis and ethanol production from cashew apple bagasse pretreated with alkaline hydrogen peroxide</t>
  </si>
  <si>
    <t>SSF yield g</t>
  </si>
  <si>
    <t>SHF yield g</t>
  </si>
  <si>
    <t>yield g ethanol /g apple bagasse</t>
  </si>
  <si>
    <t>https://docserver-ingentaconnect-com.ezproxy.library.wur.nl/deliver/connect/asp/15566560/v8n1/s14.pdf?expires=1708548221&amp;id=0000&amp;titleid=72010009&amp;checksum=69ED311529DC2160386D3FBC70F6C858&amp;host=https://www-ingentaconnect-com.ezproxy.library.wur.nl</t>
  </si>
  <si>
    <t>Use of Cashew Apple Bagasse as Support for Saccharomyces cerevisiae Cells Immobilization for Ethanol Production</t>
  </si>
  <si>
    <t>Table III. Storage effects: fermentation parameters of seven consecutive batches for ethanol production from cashew apple juice using immobilized yeasts in CAB. Fermentation time = 6 h and initial cell density= 1_x0006_13×108 cells g−1 of CAB. Cells were stored for 21 at 4 C before each batch.</t>
  </si>
  <si>
    <r>
      <t>Y</t>
    </r>
    <r>
      <rPr>
        <vertAlign val="subscript"/>
        <sz val="11"/>
        <color theme="1"/>
        <rFont val="Calibri"/>
        <family val="2"/>
        <scheme val="minor"/>
      </rPr>
      <t>P /S</t>
    </r>
    <r>
      <rPr>
        <sz val="11"/>
        <color theme="1"/>
        <rFont val="Calibri"/>
        <family val="2"/>
        <scheme val="minor"/>
      </rPr>
      <t xml:space="preserve"> (g/g)</t>
    </r>
  </si>
  <si>
    <t>avrg YP /S (g/g consumed sugar)</t>
  </si>
  <si>
    <t>Yield (g ethanol/ g apple)</t>
  </si>
  <si>
    <t>https://www.scopus.com/record/display.uri?eid=2-s2.0-80051684112&amp;origin=resultslist&amp;sort=r-f&amp;src=s&amp;sid=8e2249bd6afc38b3a5c479f5c24fcb22&amp;sot=b&amp;sdt=b&amp;s=TITLE-ABS-KEY%28%28+%22apple%22+%29+AND+%28+%22ethanol+production%22+%29%29&amp;sl=104&amp;sessionSearchId=8e2249bd6afc38b3a5c479f5c24fcb22&amp;relpos=10</t>
  </si>
  <si>
    <t>Cashew apple bagasse as a source of sugars for ethanol production by Kluyveromyces marxianus CE025</t>
  </si>
  <si>
    <t>Table 1 Alcoholic fermentation of CABH by K. marxianus CE025: effect of temperature on kinetic parameters</t>
  </si>
  <si>
    <t>Parameters</t>
  </si>
  <si>
    <t>30C</t>
  </si>
  <si>
    <t>34C</t>
  </si>
  <si>
    <t>37C</t>
  </si>
  <si>
    <t>40C</t>
  </si>
  <si>
    <t xml:space="preserve">YG P/S1 (g ethanol/g glucose) </t>
  </si>
  <si>
    <t>0.417 ± 0.003</t>
  </si>
  <si>
    <t xml:space="preserve"> 0.375 ± 0.004 </t>
  </si>
  <si>
    <t xml:space="preserve">0.385 ± 0.017 </t>
  </si>
  <si>
    <t>0.273 ± 0.017</t>
  </si>
  <si>
    <t xml:space="preserve">YP/S (g ethanol/g sugar) </t>
  </si>
  <si>
    <t xml:space="preserve">0.341 ± 0.017 </t>
  </si>
  <si>
    <t>0.275 ± 0.067</t>
  </si>
  <si>
    <t xml:space="preserve"> 0.302 ± 0.007 </t>
  </si>
  <si>
    <t>0.190 ± 0.020</t>
  </si>
  <si>
    <t>YP/X (g g-1 )</t>
  </si>
  <si>
    <t xml:space="preserve"> 1.515 ± 0.107 </t>
  </si>
  <si>
    <t xml:space="preserve">1.064 ± 0.120 </t>
  </si>
  <si>
    <t>1.535 ± 0.119</t>
  </si>
  <si>
    <t xml:space="preserve"> 1.234 ± 0.330</t>
  </si>
  <si>
    <t xml:space="preserve">PE (g l-1 h-1 ) </t>
  </si>
  <si>
    <t xml:space="preserve">0.257 ± 0.002 </t>
  </si>
  <si>
    <t xml:space="preserve">0.205 ± 0.015 </t>
  </si>
  <si>
    <t xml:space="preserve">0.236 ± 0.001 </t>
  </si>
  <si>
    <t>0.132 ± 0.010</t>
  </si>
  <si>
    <t>Overall yields of ethanol based on glucose consumption YG P=S1 and based on glucose ? xylose consumption (YP/S), overall yield of ethanol based on biomass (YP/X), and ethanol productivity (PE )</t>
  </si>
  <si>
    <t xml:space="preserve">avrg  YP/S (g ethanol/g sugar) </t>
  </si>
  <si>
    <t>Apple pomace</t>
  </si>
  <si>
    <t>https://www.sciencedirect.com/science/article/pii/S0016236120327812?via%3Dihub#t0010</t>
  </si>
  <si>
    <t>Usage of soluble soy protein on enzymatically hydrolysis of apple pomace for cost-efficient bioethanol production</t>
  </si>
  <si>
    <t>Table 2. Kinetic parameters belong to the S. cerevisiae and K. marxinanus (Pretreatment Conditions: 1% H2SO4, 121 °C, 15 min, biomass loading: 20%, pH:4.8).</t>
  </si>
  <si>
    <t>Enzyme loading (FPU/g substate)</t>
  </si>
  <si>
    <t>SSP loading (mg/g substrate)</t>
  </si>
  <si>
    <t>Theoretical yield (%)</t>
  </si>
  <si>
    <r>
      <t>Q</t>
    </r>
    <r>
      <rPr>
        <b/>
        <i/>
        <sz val="8"/>
        <color theme="1"/>
        <rFont val="Georgia"/>
        <family val="1"/>
      </rPr>
      <t>p</t>
    </r>
    <r>
      <rPr>
        <b/>
        <sz val="11"/>
        <color theme="1"/>
        <rFont val="Georgia"/>
        <family val="1"/>
      </rPr>
      <t> g/L.h</t>
    </r>
  </si>
  <si>
    <r>
      <t>Y</t>
    </r>
    <r>
      <rPr>
        <b/>
        <i/>
        <sz val="8"/>
        <color theme="1"/>
        <rFont val="Georgia"/>
        <family val="1"/>
      </rPr>
      <t>P/S</t>
    </r>
    <r>
      <rPr>
        <b/>
        <sz val="11"/>
        <color theme="1"/>
        <rFont val="Georgia"/>
        <family val="1"/>
      </rPr>
      <t> g/g</t>
    </r>
  </si>
  <si>
    <t>Washed Slurry</t>
  </si>
  <si>
    <t>Whole Slurry</t>
  </si>
  <si>
    <t>K. marxianus</t>
  </si>
  <si>
    <t>total sugar  (g g−1 apple pomace)</t>
  </si>
  <si>
    <t>Yield (g ethanol/ g apple pomace)</t>
  </si>
  <si>
    <t>https://www.sciencedirect.com/science/article/pii/S0961953420303202?via%3Dihub#tbl2</t>
  </si>
  <si>
    <t>Valorization of apple pomaces for biofuel production: A biorefinery approach</t>
  </si>
  <si>
    <t>Table 2. Bioethanol fermentation parameters for the different strains with hydrolysate of AP1. Averages and standard deviations are shown. Statistical differences (p &lt; 0.05) for bioethanol concentrations are indicated with superscripts (a, b, c).</t>
  </si>
  <si>
    <t>Species</t>
  </si>
  <si>
    <r>
      <t>Bioethanol (g L</t>
    </r>
    <r>
      <rPr>
        <b/>
        <sz val="8"/>
        <color theme="1"/>
        <rFont val="Georgia"/>
        <family val="1"/>
      </rPr>
      <t>−1</t>
    </r>
    <r>
      <rPr>
        <b/>
        <sz val="11"/>
        <color theme="1"/>
        <rFont val="Georgia"/>
        <family val="1"/>
      </rPr>
      <t>)</t>
    </r>
  </si>
  <si>
    <r>
      <t>Acetic acid (g L</t>
    </r>
    <r>
      <rPr>
        <b/>
        <sz val="8"/>
        <color theme="1"/>
        <rFont val="Georgia"/>
        <family val="1"/>
      </rPr>
      <t>−1</t>
    </r>
    <r>
      <rPr>
        <b/>
        <sz val="11"/>
        <color theme="1"/>
        <rFont val="Georgia"/>
        <family val="1"/>
      </rPr>
      <t>)</t>
    </r>
  </si>
  <si>
    <t>Total sugar consumption (%)</t>
  </si>
  <si>
    <r>
      <t>Y </t>
    </r>
    <r>
      <rPr>
        <b/>
        <sz val="8"/>
        <color theme="1"/>
        <rFont val="Georgia"/>
        <family val="1"/>
      </rPr>
      <t>E/S</t>
    </r>
    <r>
      <rPr>
        <b/>
        <sz val="11"/>
        <color theme="1"/>
        <rFont val="Georgia"/>
        <family val="1"/>
      </rPr>
      <t> (g g</t>
    </r>
    <r>
      <rPr>
        <b/>
        <sz val="8"/>
        <color theme="1"/>
        <rFont val="Georgia"/>
        <family val="1"/>
      </rPr>
      <t>−1</t>
    </r>
    <r>
      <rPr>
        <b/>
        <sz val="11"/>
        <color theme="1"/>
        <rFont val="Georgia"/>
        <family val="1"/>
      </rPr>
      <t>)</t>
    </r>
  </si>
  <si>
    <r>
      <t>W</t>
    </r>
    <r>
      <rPr>
        <b/>
        <sz val="8"/>
        <color theme="1"/>
        <rFont val="Georgia"/>
        <family val="1"/>
      </rPr>
      <t>E</t>
    </r>
    <r>
      <rPr>
        <b/>
        <sz val="11"/>
        <color theme="1"/>
        <rFont val="Georgia"/>
        <family val="1"/>
      </rPr>
      <t> (g L</t>
    </r>
    <r>
      <rPr>
        <b/>
        <sz val="8"/>
        <color theme="1"/>
        <rFont val="Georgia"/>
        <family val="1"/>
      </rPr>
      <t>−1</t>
    </r>
    <r>
      <rPr>
        <b/>
        <sz val="11"/>
        <color theme="1"/>
        <rFont val="Georgia"/>
        <family val="1"/>
      </rPr>
      <t> h</t>
    </r>
    <r>
      <rPr>
        <b/>
        <sz val="8"/>
        <color theme="1"/>
        <rFont val="Georgia"/>
        <family val="1"/>
      </rPr>
      <t>−1</t>
    </r>
    <r>
      <rPr>
        <b/>
        <sz val="11"/>
        <color theme="1"/>
        <rFont val="Georgia"/>
        <family val="1"/>
      </rPr>
      <t>)</t>
    </r>
  </si>
  <si>
    <t>Y E/S (g g−1)</t>
  </si>
  <si>
    <t>Kluyveromyces lactis</t>
  </si>
  <si>
    <t>DSM 70799</t>
  </si>
  <si>
    <r>
      <t>49.9 ± 0.5</t>
    </r>
    <r>
      <rPr>
        <sz val="8"/>
        <color theme="1"/>
        <rFont val="Georgia"/>
        <family val="1"/>
      </rPr>
      <t>a</t>
    </r>
  </si>
  <si>
    <t>3.77 ± 0.10</t>
  </si>
  <si>
    <t>80.0 ± 0.5</t>
  </si>
  <si>
    <t>0.402 ± 0.006</t>
  </si>
  <si>
    <t>0.694 ± 0.007</t>
  </si>
  <si>
    <t>Kluyveromyces marxianus</t>
  </si>
  <si>
    <t>DSM 5418</t>
  </si>
  <si>
    <r>
      <t>50.5 ± 0.6</t>
    </r>
    <r>
      <rPr>
        <sz val="8"/>
        <color theme="1"/>
        <rFont val="Georgia"/>
        <family val="1"/>
      </rPr>
      <t>a</t>
    </r>
  </si>
  <si>
    <t>6.73 ± 0.09</t>
  </si>
  <si>
    <t>78.8 ± 0.4</t>
  </si>
  <si>
    <t>0.412 ± 0.003</t>
  </si>
  <si>
    <t>0.701 ± 0.008</t>
  </si>
  <si>
    <t>DSM 5422</t>
  </si>
  <si>
    <r>
      <t>50.1 ± 0.8</t>
    </r>
    <r>
      <rPr>
        <sz val="8"/>
        <color theme="1"/>
        <rFont val="Georgia"/>
        <family val="1"/>
      </rPr>
      <t>a</t>
    </r>
  </si>
  <si>
    <t>4.79 ± 0.21</t>
  </si>
  <si>
    <t>78.6 ± 0.2</t>
  </si>
  <si>
    <t>0.410 ± 0.005</t>
  </si>
  <si>
    <t>0.695 ± 0.011</t>
  </si>
  <si>
    <t>DSM 7239</t>
  </si>
  <si>
    <r>
      <t>49.9 ± 0.1</t>
    </r>
    <r>
      <rPr>
        <sz val="8"/>
        <color theme="1"/>
        <rFont val="Georgia"/>
        <family val="1"/>
      </rPr>
      <t>a</t>
    </r>
  </si>
  <si>
    <t>5.40 ± 0.15</t>
  </si>
  <si>
    <t>78.7 ± 0.5</t>
  </si>
  <si>
    <t>0.408 ± 0.003</t>
  </si>
  <si>
    <t>0.693 ± 0.002</t>
  </si>
  <si>
    <t>Lachancea thermotolerans</t>
  </si>
  <si>
    <t>DSM 3434</t>
  </si>
  <si>
    <r>
      <t>51.5 ± 0.4</t>
    </r>
    <r>
      <rPr>
        <sz val="8"/>
        <color theme="1"/>
        <rFont val="Georgia"/>
        <family val="1"/>
      </rPr>
      <t>a</t>
    </r>
  </si>
  <si>
    <t>3.78 ± 0.23</t>
  </si>
  <si>
    <t>74.5 ± 0.9</t>
  </si>
  <si>
    <t>0.444 ± 0.009</t>
  </si>
  <si>
    <t>0.715 ± 0.005</t>
  </si>
  <si>
    <t>Saccharomyces cerevisiae</t>
  </si>
  <si>
    <t>CECT 1383</t>
  </si>
  <si>
    <r>
      <t>46.5 ± 0.5</t>
    </r>
    <r>
      <rPr>
        <sz val="8"/>
        <color theme="1"/>
        <rFont val="Georgia"/>
        <family val="1"/>
      </rPr>
      <t>a</t>
    </r>
  </si>
  <si>
    <t>3.51 ± 0.04</t>
  </si>
  <si>
    <t>79.9 ± 1.4</t>
  </si>
  <si>
    <t>0.374 ± 0.003</t>
  </si>
  <si>
    <t>0.646 ± 0.007</t>
  </si>
  <si>
    <t>DSM 70449</t>
  </si>
  <si>
    <r>
      <t>25.7 ± 10.5</t>
    </r>
    <r>
      <rPr>
        <sz val="8"/>
        <color theme="1"/>
        <rFont val="Georgia"/>
        <family val="1"/>
      </rPr>
      <t>b</t>
    </r>
  </si>
  <si>
    <t>2.10 ± 0.75</t>
  </si>
  <si>
    <t>37.9 ± 13.5</t>
  </si>
  <si>
    <t>0.463 ± 0.025</t>
  </si>
  <si>
    <t>0.357 ± 0.146</t>
  </si>
  <si>
    <t>Ethanol Red®</t>
  </si>
  <si>
    <r>
      <t>51.0 ± 1.0</t>
    </r>
    <r>
      <rPr>
        <sz val="8"/>
        <color theme="1"/>
        <rFont val="Georgia"/>
        <family val="1"/>
      </rPr>
      <t>a</t>
    </r>
  </si>
  <si>
    <t>4.05 ± 0.11</t>
  </si>
  <si>
    <t>84.0 ± 0.3</t>
  </si>
  <si>
    <t>0.398 ± 0.009</t>
  </si>
  <si>
    <t>0.708 ± 0.014</t>
  </si>
  <si>
    <t>Hércules-green</t>
  </si>
  <si>
    <r>
      <t>44.5 ± 0.8</t>
    </r>
    <r>
      <rPr>
        <sz val="8"/>
        <color theme="1"/>
        <rFont val="Georgia"/>
        <family val="1"/>
      </rPr>
      <t>a</t>
    </r>
  </si>
  <si>
    <t>3.60 ± 0.05</t>
  </si>
  <si>
    <t>77.3 ± 3.6</t>
  </si>
  <si>
    <t>0.371 ± 0.012</t>
  </si>
  <si>
    <t>0.619 ± 0.012</t>
  </si>
  <si>
    <t>Scheffersomyces stipitis</t>
  </si>
  <si>
    <t>DSM 3651</t>
  </si>
  <si>
    <r>
      <t>0.0 ± 0.0</t>
    </r>
    <r>
      <rPr>
        <sz val="8"/>
        <color theme="1"/>
        <rFont val="Georgia"/>
        <family val="1"/>
      </rPr>
      <t>c</t>
    </r>
  </si>
  <si>
    <t>3.03 ± 0.16</t>
  </si>
  <si>
    <t>0.0 ± 0.0</t>
  </si>
  <si>
    <t>0.000 ± 0.000</t>
  </si>
  <si>
    <t>0.000 </t>
  </si>
  <si>
    <t>DSM 3652</t>
  </si>
  <si>
    <r>
      <t>0.2 ± 0.05</t>
    </r>
    <r>
      <rPr>
        <sz val="8"/>
        <color theme="1"/>
        <rFont val="Georgia"/>
        <family val="1"/>
      </rPr>
      <t>c</t>
    </r>
  </si>
  <si>
    <t>3.13 ± 0.17</t>
  </si>
  <si>
    <t>0.4 ± 1.2</t>
  </si>
  <si>
    <t>0.391 ± 0.776</t>
  </si>
  <si>
    <t>0.003 ± 0.001</t>
  </si>
  <si>
    <t>Zymomonas mobilis</t>
  </si>
  <si>
    <t>DSM 3580</t>
  </si>
  <si>
    <r>
      <t>7.8 ± 4.7</t>
    </r>
    <r>
      <rPr>
        <sz val="8"/>
        <color theme="1"/>
        <rFont val="Georgia"/>
        <family val="1"/>
      </rPr>
      <t>c</t>
    </r>
  </si>
  <si>
    <t>2.60 ± 1.47</t>
  </si>
  <si>
    <t>37.3 ± 35.8</t>
  </si>
  <si>
    <t>0.342 ± 0.370</t>
  </si>
  <si>
    <t>0.108 ± 0.065</t>
  </si>
  <si>
    <t>https://www.sciencedirect.com/science/article/pii/S0360544221027183?via%3Dihub#tbl4</t>
  </si>
  <si>
    <t>Apple pomace biorefinery for ethanol, mycoprotein, and value-added biochemicals production by Mucor indicu</t>
  </si>
  <si>
    <t>Table 4. Ethanol production from untreated and pretreated apple pomace solids prepared at different pretreatment conditions.</t>
  </si>
  <si>
    <t>Table 5. Ethanol yield (based kg untreated substrate) and microbial biomass yield from fermentation of pretreatment liquor.</t>
  </si>
  <si>
    <t>Fig. 3. Overall mass balance for the production of ethanol, mycoprotein, and chitosan from apple pomace. The mass composition of starting substrate is based on values reported in Table 2, i.e., 1 kg of untreated apple pomace without free sugars.</t>
  </si>
  <si>
    <t>Pretreatment conditions</t>
  </si>
  <si>
    <t>Ethanol concentration (g/L)</t>
  </si>
  <si>
    <t>Ethanol Yield (%)</t>
  </si>
  <si>
    <t>Ethanol yield (g/kg substratea)</t>
  </si>
  <si>
    <t>Ethanol yield (g/g substratea)</t>
  </si>
  <si>
    <t>Biomass yield (g/kg substratea)</t>
  </si>
  <si>
    <t>T (°C)</t>
  </si>
  <si>
    <t>Time(min)</t>
  </si>
  <si>
    <t>Ethanol (%)</t>
  </si>
  <si>
    <r>
      <t>H</t>
    </r>
    <r>
      <rPr>
        <b/>
        <sz val="8"/>
        <color theme="1"/>
        <rFont val="Georgia"/>
        <family val="1"/>
      </rPr>
      <t>2</t>
    </r>
    <r>
      <rPr>
        <b/>
        <sz val="11"/>
        <color theme="1"/>
        <rFont val="Georgia"/>
        <family val="1"/>
      </rPr>
      <t>SO</t>
    </r>
    <r>
      <rPr>
        <b/>
        <sz val="8"/>
        <color theme="1"/>
        <rFont val="Georgia"/>
        <family val="1"/>
      </rPr>
      <t>4</t>
    </r>
    <r>
      <rPr>
        <b/>
        <sz val="11"/>
        <color theme="1"/>
        <rFont val="Georgia"/>
        <family val="1"/>
      </rPr>
      <t> (%)</t>
    </r>
  </si>
  <si>
    <t>Time (min)</t>
  </si>
  <si>
    <t>Aerobic</t>
  </si>
  <si>
    <t>Untreated</t>
  </si>
  <si>
    <t>3.2 ± 0.1</t>
  </si>
  <si>
    <t>38.1 ± 0.4</t>
  </si>
  <si>
    <t>64.0 ± 2.4</t>
  </si>
  <si>
    <t>171.7 ± 8.2</t>
  </si>
  <si>
    <t>66.3 ± 4.2</t>
  </si>
  <si>
    <t>96.2 ± 3.1</t>
  </si>
  <si>
    <t>37.5 ± 1.9</t>
  </si>
  <si>
    <t>5.2 ± 0.2</t>
  </si>
  <si>
    <t>41.1 ± 0.3</t>
  </si>
  <si>
    <t>34.1 ± 1.5</t>
  </si>
  <si>
    <t>114.7 ± 9.2</t>
  </si>
  <si>
    <t>73.4 ± 7.0</t>
  </si>
  <si>
    <t>58.7 ± 4.5</t>
  </si>
  <si>
    <t>32.5 ± 1.2</t>
  </si>
  <si>
    <t>5.5 ± 0.3</t>
  </si>
  <si>
    <t>40.2 ± 0.3</t>
  </si>
  <si>
    <t>21.0 ± 1.1</t>
  </si>
  <si>
    <t>1.2 ± 0.1</t>
  </si>
  <si>
    <t>0.8 ± 0.2</t>
  </si>
  <si>
    <t>23.7 ± 1.2</t>
  </si>
  <si>
    <t>16.2 ± 1.5</t>
  </si>
  <si>
    <t>6.2 ± 0.4</t>
  </si>
  <si>
    <t>44.1 ± 0.6</t>
  </si>
  <si>
    <t>17.4 ± 1.1</t>
  </si>
  <si>
    <t>89.0 ± 2.9</t>
  </si>
  <si>
    <t>112.4 ± 6.0</t>
  </si>
  <si>
    <t>67.5 ± 1.8</t>
  </si>
  <si>
    <t>32.5 ± 2.0</t>
  </si>
  <si>
    <t>5.8 ± 0.4</t>
  </si>
  <si>
    <t>45.1 ± 0.3</t>
  </si>
  <si>
    <t>36.9 ± 2.8</t>
  </si>
  <si>
    <t>75.0 ± 4.0</t>
  </si>
  <si>
    <t>68.8 ± 4.0</t>
  </si>
  <si>
    <t>51.6 ± 3.5</t>
  </si>
  <si>
    <t>25.0 ± 1.1</t>
  </si>
  <si>
    <t>6.7 ± 0.4</t>
  </si>
  <si>
    <t>51.9 ± 1.2</t>
  </si>
  <si>
    <t>21.6 ± 1.1</t>
  </si>
  <si>
    <t>2.2 ± 0.2</t>
  </si>
  <si>
    <t>0.2 ± 0.1</t>
  </si>
  <si>
    <t>22.5 ± 1.2</t>
  </si>
  <si>
    <t>13.7 ± 1.0</t>
  </si>
  <si>
    <t>8.1 ± 0.5</t>
  </si>
  <si>
    <t>59.0 ± 0.4</t>
  </si>
  <si>
    <t>25.0 ± 1.5</t>
  </si>
  <si>
    <t>180.4 ± 3.2</t>
  </si>
  <si>
    <t>113.4 ± 3.5</t>
  </si>
  <si>
    <t>56.2 ± 2.7</t>
  </si>
  <si>
    <t>30.0 ± 2.5</t>
  </si>
  <si>
    <t>4.6 ± 0.3</t>
  </si>
  <si>
    <t>59.3 ± 0.8</t>
  </si>
  <si>
    <t>30.7 ± 2.1</t>
  </si>
  <si>
    <t>161.2 ± 6.0</t>
  </si>
  <si>
    <t>119.6 ± 3.7</t>
  </si>
  <si>
    <t>50.0 ± 1.5</t>
  </si>
  <si>
    <t>32.5 ± 1.4</t>
  </si>
  <si>
    <t>6.7 ± 0.5</t>
  </si>
  <si>
    <t>59.9 ± 0.5</t>
  </si>
  <si>
    <t>29.5 ± 2.4</t>
  </si>
  <si>
    <t>4.1 ± 1.2</t>
  </si>
  <si>
    <t>1.4 ± 0.2</t>
  </si>
  <si>
    <t>3.7 ± 1.0</t>
  </si>
  <si>
    <t>6.2 ± 1.2</t>
  </si>
  <si>
    <t>6.4 ± 0.5</t>
  </si>
  <si>
    <t>44.8 ± 0.6</t>
  </si>
  <si>
    <t>19.3 ± 1.4</t>
  </si>
  <si>
    <t>92.9 ± 3.6</t>
  </si>
  <si>
    <t>62.2 ± 8.2</t>
  </si>
  <si>
    <t>81.2 ± 3.6</t>
  </si>
  <si>
    <t>32.5 ± 1.9</t>
  </si>
  <si>
    <t>5.2 ± 0.4</t>
  </si>
  <si>
    <t>46.7 ± 0.4</t>
  </si>
  <si>
    <t>31.3 ± 2.6</t>
  </si>
  <si>
    <t>106.5 ± 4.9</t>
  </si>
  <si>
    <t>91.3 ± 6.2</t>
  </si>
  <si>
    <t>36.2 ± 3.8</t>
  </si>
  <si>
    <t>38.7 ± 2.9</t>
  </si>
  <si>
    <t>7.8 ± 0.6</t>
  </si>
  <si>
    <t>60.7 ± 0.9</t>
  </si>
  <si>
    <t>31.2 ± 2.6</t>
  </si>
  <si>
    <t>11.2 ± 1.2</t>
  </si>
  <si>
    <t>2.6 ± 1.2</t>
  </si>
  <si>
    <t>10.0 ± 1.2</t>
  </si>
  <si>
    <t>7.5 ± 1.2</t>
  </si>
  <si>
    <t>7.4 ± 0.4</t>
  </si>
  <si>
    <t>51.2 ± 0.7</t>
  </si>
  <si>
    <t>22.4 ± 1.2</t>
  </si>
  <si>
    <t>197.7 ± 7.4</t>
  </si>
  <si>
    <t>117.5 ± 4.9</t>
  </si>
  <si>
    <t>72.5 ± 4.8</t>
  </si>
  <si>
    <t>30.0 ± 2.0</t>
  </si>
  <si>
    <t>51.9 ± 1.6</t>
  </si>
  <si>
    <t>47.2 ± 3.9</t>
  </si>
  <si>
    <t>187.1 ± 3.9</t>
  </si>
  <si>
    <t>145.6 ± 5.5</t>
  </si>
  <si>
    <t>65.0 ± 3.0</t>
  </si>
  <si>
    <t>36.2 ± 1.4</t>
  </si>
  <si>
    <t>9.0 ± 0.3</t>
  </si>
  <si>
    <t>66.9 ± 0.5</t>
  </si>
  <si>
    <t>31.6 ± 1.2</t>
  </si>
  <si>
    <t>5.0 ± 2.5</t>
  </si>
  <si>
    <t>3.7 ± 2.5</t>
  </si>
  <si>
    <t>7.5 ± 1.6</t>
  </si>
  <si>
    <t>11.2 ± 1.0</t>
  </si>
  <si>
    <t>10.1 ± 0.4</t>
  </si>
  <si>
    <t>73.1 ± 0.5</t>
  </si>
  <si>
    <t>30.3 ± 1.2</t>
  </si>
  <si>
    <t>101.2 ± 5.2</t>
  </si>
  <si>
    <t>62.8 ± 6.6</t>
  </si>
  <si>
    <t>70.0 ± 3.2</t>
  </si>
  <si>
    <t>33.7 ± 2.4</t>
  </si>
  <si>
    <t>9.5 ± 0.3</t>
  </si>
  <si>
    <t>76.1 ± 1.8</t>
  </si>
  <si>
    <t>64.5 ± 2.0</t>
  </si>
  <si>
    <t>82.1 ± 5.0</t>
  </si>
  <si>
    <t>37.8 ± 3.2</t>
  </si>
  <si>
    <t>48.7 ± 2.4</t>
  </si>
  <si>
    <t>43.7 ± 1.7</t>
  </si>
  <si>
    <t>9.4 ± 0.5</t>
  </si>
  <si>
    <t>74.5 ± 2.3</t>
  </si>
  <si>
    <t>32.1 ± 1.5</t>
  </si>
  <si>
    <t>8.7 ± 1.2</t>
  </si>
  <si>
    <t>3.2 ± 1.1</t>
  </si>
  <si>
    <t>7.5 ± 1.4</t>
  </si>
  <si>
    <t>9.3 ± 0.4</t>
  </si>
  <si>
    <t>72.1 ± 1.1</t>
  </si>
  <si>
    <t>29.1 ± 1.2</t>
  </si>
  <si>
    <t>147.7 ± 3.1</t>
  </si>
  <si>
    <t>97.4 ± 1.9</t>
  </si>
  <si>
    <t>75.0 ± 3.5</t>
  </si>
  <si>
    <t>40.0 ± 2.5</t>
  </si>
  <si>
    <t>6.8 ± 0.2</t>
  </si>
  <si>
    <t>66.7 ± 0.6</t>
  </si>
  <si>
    <t>41.0 ± 1.5</t>
  </si>
  <si>
    <t>139.9 ± 2.2</t>
  </si>
  <si>
    <t>86.9 ± 3.2</t>
  </si>
  <si>
    <t>56.2 ± 4.4</t>
  </si>
  <si>
    <t>38.7 ± 2.2</t>
  </si>
  <si>
    <t>8.4 ± 0.5</t>
  </si>
  <si>
    <t>67.5 ± 1.6</t>
  </si>
  <si>
    <t>37.6 ± 2.1</t>
  </si>
  <si>
    <t>2.5 ± 0.7</t>
  </si>
  <si>
    <t>1.6 ± 0.2</t>
  </si>
  <si>
    <t>13.7 ± 1.7</t>
  </si>
  <si>
    <t>5.0 ± 1.5</t>
  </si>
  <si>
    <t>68.4 ± 0.9</t>
  </si>
  <si>
    <t>32.1 ± 1.7</t>
  </si>
  <si>
    <t>96.4 ± 5.6</t>
  </si>
  <si>
    <t>100.7 ± 5.2</t>
  </si>
  <si>
    <t>77.5 ± 6.4</t>
  </si>
  <si>
    <t>31.2 ± 1.6</t>
  </si>
  <si>
    <t>stream 1</t>
  </si>
  <si>
    <t>g ethanol/kg dry based apple pomac</t>
  </si>
  <si>
    <t>7.1 ± 0.3</t>
  </si>
  <si>
    <t>61.0 ± 0.5</t>
  </si>
  <si>
    <t>52.1 ± 2.0</t>
  </si>
  <si>
    <t>111.9 ± 3.6</t>
  </si>
  <si>
    <t>109.2 ± 4.5</t>
  </si>
  <si>
    <t>43.7 ± 3.4</t>
  </si>
  <si>
    <t>32.5 ± 0.7</t>
  </si>
  <si>
    <t>stream 2</t>
  </si>
  <si>
    <t>117,4</t>
  </si>
  <si>
    <t>8.9 ± 0.5</t>
  </si>
  <si>
    <t>67.5 ± 0.5</t>
  </si>
  <si>
    <t>37.9 ± 2.0</t>
  </si>
  <si>
    <t>5.9 ± 2.5</t>
  </si>
  <si>
    <t>2.2 ± 0.1</t>
  </si>
  <si>
    <t>18.7 ± 1.1</t>
  </si>
  <si>
    <t>8.7 ± 0.1</t>
  </si>
  <si>
    <t>stream 3</t>
  </si>
  <si>
    <t>10.1 ± 0.6</t>
  </si>
  <si>
    <t>68.7 ± 0.5</t>
  </si>
  <si>
    <t>35.2 ± 2.1</t>
  </si>
  <si>
    <t>all</t>
  </si>
  <si>
    <t>g ethanol/kg dry based apple pomace</t>
  </si>
  <si>
    <t>Untreated apple pomace.</t>
  </si>
  <si>
    <t>DM in apple pomace</t>
  </si>
  <si>
    <t>Untreated substrate.</t>
  </si>
  <si>
    <t>from liquor</t>
  </si>
  <si>
    <t>from solid</t>
  </si>
  <si>
    <t>We disgard this result due to too many low values</t>
  </si>
  <si>
    <t>https://www.sciencedirect.com/science/article/pii/S0960148123003518?via%3Dihub#tbl3</t>
  </si>
  <si>
    <t>A novel integrated biorefinery approach for apple pomace valorization with significant socioeconomic benefits</t>
  </si>
  <si>
    <t>Table 4. Total ethanol production and reduction in greenhouse gas emissions from the apple pomace in Iran.</t>
  </si>
  <si>
    <t>Fig. 5. Overall mass balance and total gasoline equivalent for ethanol production.</t>
  </si>
  <si>
    <r>
      <t>F</t>
    </r>
    <r>
      <rPr>
        <vertAlign val="subscript"/>
        <sz val="10"/>
        <color theme="1"/>
        <rFont val="Georgia"/>
        <family val="1"/>
      </rPr>
      <t>biofuel</t>
    </r>
    <r>
      <rPr>
        <b/>
        <vertAlign val="subscript"/>
        <sz val="11"/>
        <color theme="1"/>
        <rFont val="Georgia"/>
        <family val="1"/>
      </rPr>
      <t> </t>
    </r>
    <r>
      <rPr>
        <b/>
        <sz val="11"/>
        <color theme="1"/>
        <rFont val="Georgia"/>
        <family val="1"/>
      </rPr>
      <t>(ML)</t>
    </r>
  </si>
  <si>
    <r>
      <t>F</t>
    </r>
    <r>
      <rPr>
        <vertAlign val="subscript"/>
        <sz val="10"/>
        <color theme="1"/>
        <rFont val="Georgia"/>
        <family val="1"/>
      </rPr>
      <t>saving</t>
    </r>
    <r>
      <rPr>
        <sz val="10"/>
        <color theme="1"/>
        <rFont val="Georgia"/>
        <family val="1"/>
      </rPr>
      <t xml:space="preserve"> </t>
    </r>
    <r>
      <rPr>
        <b/>
        <sz val="11"/>
        <color theme="1"/>
        <rFont val="Georgia"/>
        <family val="1"/>
      </rPr>
      <t>(ML)</t>
    </r>
  </si>
  <si>
    <r>
      <t>F</t>
    </r>
    <r>
      <rPr>
        <vertAlign val="subscript"/>
        <sz val="10"/>
        <color theme="1"/>
        <rFont val="Georgia"/>
        <family val="1"/>
      </rPr>
      <t>blend</t>
    </r>
    <r>
      <rPr>
        <b/>
        <sz val="11"/>
        <color theme="1"/>
        <rFont val="Georgia"/>
        <family val="1"/>
      </rPr>
      <t> (ML)</t>
    </r>
  </si>
  <si>
    <r>
      <t>F</t>
    </r>
    <r>
      <rPr>
        <vertAlign val="subscript"/>
        <sz val="10"/>
        <color theme="1"/>
        <rFont val="Georgia"/>
        <family val="1"/>
      </rPr>
      <t>equivalent</t>
    </r>
    <r>
      <rPr>
        <b/>
        <sz val="11"/>
        <color theme="1"/>
        <rFont val="Georgia"/>
        <family val="1"/>
      </rPr>
      <t>(ML)</t>
    </r>
  </si>
  <si>
    <r>
      <t>ΔGHG</t>
    </r>
    <r>
      <rPr>
        <b/>
        <sz val="11"/>
        <color theme="1"/>
        <rFont val="Georgia"/>
        <family val="1"/>
      </rPr>
      <t> (kt CO</t>
    </r>
    <r>
      <rPr>
        <b/>
        <sz val="8"/>
        <color theme="1"/>
        <rFont val="Georgia"/>
        <family val="1"/>
      </rPr>
      <t>2</t>
    </r>
    <r>
      <rPr>
        <b/>
        <sz val="11"/>
        <color theme="1"/>
        <rFont val="Georgia"/>
        <family val="1"/>
      </rPr>
      <t> eq)</t>
    </r>
  </si>
  <si>
    <t>Temperature (°C)</t>
  </si>
  <si>
    <t>Ethanol (% v/v)</t>
  </si>
  <si>
    <t>Catalyst (% w/w)</t>
  </si>
  <si>
    <t>E85</t>
  </si>
  <si>
    <t>E10</t>
  </si>
  <si>
    <t>–-</t>
  </si>
  <si>
    <t>g ethanol/kg apple pomac</t>
  </si>
  <si>
    <t>g ethanol/kg  apple pomac</t>
  </si>
  <si>
    <t>g ethanol/kg apple pomace</t>
  </si>
  <si>
    <t>Table 3. Maximum yield factors and productivity results of the optimization step with respect to bioethanol production obtained during the course of the fermentation.</t>
  </si>
  <si>
    <t>Run No</t>
  </si>
  <si>
    <t>EtOH yield</t>
  </si>
  <si>
    <t>Biomass yield</t>
  </si>
  <si>
    <t>Volumetric EtOH</t>
  </si>
  <si>
    <t>On biomass</t>
  </si>
  <si>
    <t>On substrate</t>
  </si>
  <si>
    <r>
      <t>(Y</t>
    </r>
    <r>
      <rPr>
        <b/>
        <sz val="8"/>
        <color theme="1"/>
        <rFont val="Georgia"/>
        <family val="1"/>
      </rPr>
      <t>P/X</t>
    </r>
    <r>
      <rPr>
        <b/>
        <sz val="11"/>
        <color theme="1"/>
        <rFont val="Georgia"/>
        <family val="1"/>
      </rPr>
      <t>)</t>
    </r>
    <r>
      <rPr>
        <b/>
        <sz val="8"/>
        <color theme="1"/>
        <rFont val="Georgia"/>
        <family val="1"/>
      </rPr>
      <t>∗</t>
    </r>
  </si>
  <si>
    <r>
      <t>(Y</t>
    </r>
    <r>
      <rPr>
        <b/>
        <sz val="8"/>
        <color theme="1"/>
        <rFont val="Georgia"/>
        <family val="1"/>
      </rPr>
      <t>P/S</t>
    </r>
    <r>
      <rPr>
        <b/>
        <sz val="11"/>
        <color theme="1"/>
        <rFont val="Georgia"/>
        <family val="1"/>
      </rPr>
      <t>)</t>
    </r>
    <r>
      <rPr>
        <b/>
        <sz val="8"/>
        <color theme="1"/>
        <rFont val="Georgia"/>
        <family val="1"/>
      </rPr>
      <t>∗</t>
    </r>
  </si>
  <si>
    <r>
      <t>(Y</t>
    </r>
    <r>
      <rPr>
        <b/>
        <sz val="8"/>
        <color theme="1"/>
        <rFont val="Georgia"/>
        <family val="1"/>
      </rPr>
      <t>X/S</t>
    </r>
    <r>
      <rPr>
        <b/>
        <sz val="11"/>
        <color theme="1"/>
        <rFont val="Georgia"/>
        <family val="1"/>
      </rPr>
      <t>)</t>
    </r>
    <r>
      <rPr>
        <b/>
        <sz val="8"/>
        <color theme="1"/>
        <rFont val="Georgia"/>
        <family val="1"/>
      </rPr>
      <t>∗</t>
    </r>
  </si>
  <si>
    <r>
      <t>(Q</t>
    </r>
    <r>
      <rPr>
        <b/>
        <sz val="8"/>
        <color theme="1"/>
        <rFont val="Georgia"/>
        <family val="1"/>
      </rPr>
      <t>p</t>
    </r>
    <r>
      <rPr>
        <b/>
        <sz val="11"/>
        <color theme="1"/>
        <rFont val="Georgia"/>
        <family val="1"/>
      </rPr>
      <t>)</t>
    </r>
    <r>
      <rPr>
        <b/>
        <sz val="8"/>
        <color theme="1"/>
        <rFont val="Georgia"/>
        <family val="1"/>
      </rPr>
      <t>∗</t>
    </r>
  </si>
  <si>
    <r>
      <t>* Y</t>
    </r>
    <r>
      <rPr>
        <sz val="8"/>
        <color theme="1"/>
        <rFont val="Calibri"/>
        <family val="2"/>
        <scheme val="minor"/>
      </rPr>
      <t>P/X</t>
    </r>
    <r>
      <rPr>
        <sz val="11"/>
        <color theme="1"/>
        <rFont val="Calibri"/>
        <family val="2"/>
        <scheme val="minor"/>
      </rPr>
      <t> (gEtOH/gbiomass); Y</t>
    </r>
    <r>
      <rPr>
        <sz val="8"/>
        <color theme="1"/>
        <rFont val="Calibri"/>
        <family val="2"/>
        <scheme val="minor"/>
      </rPr>
      <t>P/S</t>
    </r>
    <r>
      <rPr>
        <sz val="11"/>
        <color theme="1"/>
        <rFont val="Calibri"/>
        <family val="2"/>
        <scheme val="minor"/>
      </rPr>
      <t> (gEtOH/gsubstrate); Y</t>
    </r>
    <r>
      <rPr>
        <sz val="8"/>
        <color theme="1"/>
        <rFont val="Calibri"/>
        <family val="2"/>
        <scheme val="minor"/>
      </rPr>
      <t>X/S</t>
    </r>
    <r>
      <rPr>
        <sz val="11"/>
        <color theme="1"/>
        <rFont val="Calibri"/>
        <family val="2"/>
        <scheme val="minor"/>
      </rPr>
      <t> (gbiomass/gsubstrate); Qp (gEtOH/L/h).</t>
    </r>
  </si>
  <si>
    <t>fructose+glucose in apple%</t>
  </si>
  <si>
    <t>https://link.springer.com/article/10.1007/s11696-023-03055-0</t>
  </si>
  <si>
    <t>Production of 5-hydroxymethylfurfural from apple pomace in deep eutectic solvent</t>
  </si>
  <si>
    <r>
      <t>The highest total HMF yield (44.5%) was achieved at 110 °C in 10 min with 15 wt% H</t>
    </r>
    <r>
      <rPr>
        <sz val="8"/>
        <color rgb="FF222222"/>
        <rFont val="Merriweather"/>
      </rPr>
      <t>2</t>
    </r>
    <r>
      <rPr>
        <sz val="11"/>
        <color rgb="FF222222"/>
        <rFont val="Merriweather"/>
      </rPr>
      <t>O, and 0.01 g CrCl</t>
    </r>
    <r>
      <rPr>
        <sz val="8"/>
        <color rgb="FF222222"/>
        <rFont val="Merriweather"/>
      </rPr>
      <t>3</t>
    </r>
    <r>
      <rPr>
        <sz val="11"/>
        <color rgb="FF222222"/>
        <rFont val="Merriweather"/>
      </rPr>
      <t> as co-catalyst. Without the co-catalyst, the highest achieved HMF yield was 37.3% (120 °C, 20 min, 15 m% H</t>
    </r>
    <r>
      <rPr>
        <sz val="8"/>
        <color rgb="FF222222"/>
        <rFont val="Merriweather"/>
      </rPr>
      <t>2</t>
    </r>
    <r>
      <rPr>
        <sz val="11"/>
        <color rgb="FF222222"/>
        <rFont val="Merriweather"/>
      </rPr>
      <t>O).</t>
    </r>
  </si>
  <si>
    <t>The HMF yields are expressed as the ratio of HMF determined from the MIBK or DES phase to the initial holocellulose (hemicellulose + cellulose) content of the apple pomace fed to the reaction.</t>
  </si>
  <si>
    <t xml:space="preserve">HMF yield </t>
  </si>
  <si>
    <t>avrg HMF yield</t>
  </si>
  <si>
    <t>holocellulose in apple pomace %</t>
  </si>
  <si>
    <t>HMF yield g/g apple pomace</t>
  </si>
  <si>
    <t>fru+glu in apple  %</t>
  </si>
  <si>
    <t>theoretical yield FDCA from apple g/g</t>
  </si>
  <si>
    <t>glucose in apple</t>
  </si>
  <si>
    <t>yield (isoprene/apple)</t>
  </si>
  <si>
    <t>glucose in apple pomace</t>
  </si>
  <si>
    <t>yield (isoprene/apple pomace)</t>
  </si>
  <si>
    <t>glu+fru+xyl in apple</t>
  </si>
  <si>
    <t>succinate yield g/g apple</t>
  </si>
  <si>
    <t>yield (3-HP/apple)</t>
  </si>
  <si>
    <t>yield (3-HP/apple pomace)</t>
  </si>
  <si>
    <t>glu+fru Apple (g/100g)</t>
  </si>
  <si>
    <t>Theoretical yield (g/g Apple)</t>
  </si>
  <si>
    <t>glu+fru Apple pomace (g/100g)</t>
  </si>
  <si>
    <t>Theoretical yield (g/g Apple pomace)</t>
  </si>
  <si>
    <t>lactic acid</t>
  </si>
  <si>
    <t>https://www.sciencedirect.com/science/article/pii/S0023643806000326?via%3Dihub#tbl4</t>
  </si>
  <si>
    <t>Apple pieces as immobilization support of various microorganisms</t>
  </si>
  <si>
    <r>
      <t>Table 4. Fermentation parameters during lactic acid fermentation of whey using immobilized </t>
    </r>
    <r>
      <rPr>
        <i/>
        <sz val="11"/>
        <color rgb="FF1F1F1F"/>
        <rFont val="Georgia"/>
        <family val="1"/>
      </rPr>
      <t>L. casei</t>
    </r>
    <r>
      <rPr>
        <sz val="11"/>
        <color rgb="FF1F1F1F"/>
        <rFont val="Georgia"/>
        <family val="1"/>
      </rPr>
      <t> on apple pieces at various temperatures</t>
    </r>
  </si>
  <si>
    <t>Fermentation temperature (°C)</t>
  </si>
  <si>
    <t>Repeated batch fermentations</t>
  </si>
  <si>
    <t>Fermentation timea (h)</t>
  </si>
  <si>
    <t>Lactic acid concentrationa (g/l)</t>
  </si>
  <si>
    <t>Ethanol concentrationa (vol%)</t>
  </si>
  <si>
    <r>
      <t>Residual sugar</t>
    </r>
    <r>
      <rPr>
        <b/>
        <sz val="8"/>
        <color rgb="FF0272B1"/>
        <rFont val="Georgia"/>
        <family val="1"/>
      </rPr>
      <t>a</t>
    </r>
    <r>
      <rPr>
        <b/>
        <sz val="8"/>
        <color theme="1"/>
        <rFont val="Georgia"/>
        <family val="1"/>
      </rPr>
      <t>,</t>
    </r>
    <r>
      <rPr>
        <b/>
        <sz val="8"/>
        <color rgb="FF0272B1"/>
        <rFont val="Georgia"/>
        <family val="1"/>
      </rPr>
      <t>b</t>
    </r>
    <r>
      <rPr>
        <b/>
        <sz val="11"/>
        <color theme="1"/>
        <rFont val="Georgia"/>
        <family val="1"/>
      </rPr>
      <t> (g/l)</t>
    </r>
  </si>
  <si>
    <t>Daily lactic acid productivitya (g/l)</t>
  </si>
  <si>
    <t>Lactic acid production yielda (g/100 g)</t>
  </si>
  <si>
    <t>Conversiona (%)</t>
  </si>
  <si>
    <t>1–5</t>
  </si>
  <si>
    <t>6–10</t>
  </si>
  <si>
    <t>11–15</t>
  </si>
  <si>
    <t>Average values.</t>
  </si>
  <si>
    <t>Lactose, glucose and galactose.</t>
  </si>
  <si>
    <t>average yield g/100g</t>
  </si>
  <si>
    <t>average yield g/g</t>
  </si>
  <si>
    <t>sugar in apple %</t>
  </si>
  <si>
    <t>yield g/g apple</t>
  </si>
  <si>
    <t>https://www.sciencedirect.com/science/article/pii/S0032959204000500</t>
  </si>
  <si>
    <t>Lactobacillus casei cell immobilization on fruit pieces for probiotic additive, fermented milk and lactic acid production</t>
  </si>
  <si>
    <t>Support</t>
  </si>
  <si>
    <t>Successive fermentation batches</t>
  </si>
  <si>
    <t>Fermentation time (h)</t>
  </si>
  <si>
    <t>Lactic acid (g/l)</t>
  </si>
  <si>
    <t>Ethanol (%, v/v)</t>
  </si>
  <si>
    <t>Lactose (g/l)</t>
  </si>
  <si>
    <t>Lactic acid production yield (g/100 g)</t>
  </si>
  <si>
    <t>Daily lactic acid productivity (g/l)</t>
  </si>
  <si>
    <t>Conversion (%)</t>
  </si>
  <si>
    <t>Tr</t>
  </si>
  <si>
    <t>Lactic acid production yield was expressed as grams of lactic acid produced/100 g of sugar</t>
  </si>
  <si>
    <t>avrg (g/100 g)</t>
  </si>
  <si>
    <t>https://www.sciencedirect.com/science/article/pii/S096085242031511X?via%3Dihub#t0015</t>
  </si>
  <si>
    <t>Enhanced lactic acid production from the anaerobic co-digestion of swine manure with apple or potato waste via ratio adjustment</t>
  </si>
  <si>
    <t>Table 3. Effect of substrate ratio on lactic acid production.</t>
  </si>
  <si>
    <t>Treatments</t>
  </si>
  <si>
    <t>Carbohydrate</t>
  </si>
  <si>
    <t>Reducing sugar</t>
  </si>
  <si>
    <t>Lactic acid</t>
  </si>
  <si>
    <t>Table 2. Experimental design parameters of this experiment under anaerobic conditions.</t>
  </si>
  <si>
    <t>(g/g VS)</t>
  </si>
  <si>
    <t>(g COD/L)</t>
  </si>
  <si>
    <t>g/g VSfeedstock</t>
  </si>
  <si>
    <t>Test</t>
  </si>
  <si>
    <t>Reactor no.</t>
  </si>
  <si>
    <t>SM (g)</t>
  </si>
  <si>
    <t>AW/PW (g)</t>
  </si>
  <si>
    <t>Inoculum (g)</t>
  </si>
  <si>
    <t>C/N</t>
  </si>
  <si>
    <t>A1</t>
  </si>
  <si>
    <t>0.65 ± 0.04</t>
  </si>
  <si>
    <t>0.49 ± 0.01</t>
  </si>
  <si>
    <t>0.10 ± 0.02</t>
  </si>
  <si>
    <t>25.80 ± 1.12</t>
  </si>
  <si>
    <t>27.61 ± 1.20</t>
  </si>
  <si>
    <t>0.65 ± 0.03</t>
  </si>
  <si>
    <t>Group 1</t>
  </si>
  <si>
    <t>SM/AW = 25:75</t>
  </si>
  <si>
    <t>A2</t>
  </si>
  <si>
    <t>0.71 ± 0.06</t>
  </si>
  <si>
    <t>0.58 ± 0.01</t>
  </si>
  <si>
    <t>20.95 ± 1.76</t>
  </si>
  <si>
    <t>22.42 ± 1.88</t>
  </si>
  <si>
    <t>0.52 ± 0.04</t>
  </si>
  <si>
    <t>Group 2</t>
  </si>
  <si>
    <t>SM/AW = 10:90</t>
  </si>
  <si>
    <t>A3</t>
  </si>
  <si>
    <t>0.75 ± 0.07</t>
  </si>
  <si>
    <t>16.09 ± 2.38</t>
  </si>
  <si>
    <t>17.22 ± 2.54</t>
  </si>
  <si>
    <t>0.40 ± 0.06</t>
  </si>
  <si>
    <t>Group 3</t>
  </si>
  <si>
    <t>SM/PW = 25:75</t>
  </si>
  <si>
    <t>P1</t>
  </si>
  <si>
    <t>0.84 ± 0.07</t>
  </si>
  <si>
    <t>0.02 ± 0.00</t>
  </si>
  <si>
    <t>0.72 ± 0.12</t>
  </si>
  <si>
    <t>8.33 ± 0.59</t>
  </si>
  <si>
    <t>8.92 ± 0.63</t>
  </si>
  <si>
    <t>0.21 ± 0.01</t>
  </si>
  <si>
    <t>Group 4</t>
  </si>
  <si>
    <t>SM/PW = 10:90</t>
  </si>
  <si>
    <t>P2</t>
  </si>
  <si>
    <t>0.94 ± 0.08</t>
  </si>
  <si>
    <t>0.85 ± 0.14</t>
  </si>
  <si>
    <t>4.50 ± 0.64</t>
  </si>
  <si>
    <t>4.81 ± 0.69</t>
  </si>
  <si>
    <t>Group 5</t>
  </si>
  <si>
    <t>AW</t>
  </si>
  <si>
    <t>P3</t>
  </si>
  <si>
    <t>1.01 ± 0.09</t>
  </si>
  <si>
    <t>0.03 ± 0.00</t>
  </si>
  <si>
    <t>0.93 ± 0.16</t>
  </si>
  <si>
    <t>7.25 ± 0.27</t>
  </si>
  <si>
    <t>7.76 ± 0.29</t>
  </si>
  <si>
    <t>Group 6</t>
  </si>
  <si>
    <t>PW</t>
  </si>
  <si>
    <t>S1</t>
  </si>
  <si>
    <t>0.33 ± 0.02</t>
  </si>
  <si>
    <t>0.00 ± 0.00</t>
  </si>
  <si>
    <t>0.07 ± 0.03</t>
  </si>
  <si>
    <t>7.31 ± 0.48</t>
  </si>
  <si>
    <t>7.82 ± 0.52</t>
  </si>
  <si>
    <t>Group 7</t>
  </si>
  <si>
    <t>SM</t>
  </si>
  <si>
    <t>Group 8</t>
  </si>
  <si>
    <t>Blank</t>
  </si>
  <si>
    <t>S2</t>
  </si>
  <si>
    <t>yield (g/g Vsfeedstock)</t>
  </si>
  <si>
    <t xml:space="preserve"> Vsfeedstock in apple %</t>
  </si>
  <si>
    <t>yield (g/g feedstock)</t>
  </si>
  <si>
    <t>able 1. Characteristics of the substrates.</t>
  </si>
  <si>
    <t>Parameterf</t>
  </si>
  <si>
    <t>Units</t>
  </si>
  <si>
    <t>TSa</t>
  </si>
  <si>
    <t>(% of FMc)</t>
  </si>
  <si>
    <t>34.81 ± 0.30d</t>
  </si>
  <si>
    <t>13.45 ± 0.04</t>
  </si>
  <si>
    <t>16.35 ± 0.22</t>
  </si>
  <si>
    <t>VSb</t>
  </si>
  <si>
    <t>(% of FM)</t>
  </si>
  <si>
    <t>27.52 ± 0.69</t>
  </si>
  <si>
    <t>12.05 ± 0.57</t>
  </si>
  <si>
    <t>15.56 ± 0.24</t>
  </si>
  <si>
    <t>TS – Total solids.</t>
  </si>
  <si>
    <t>VS – Volatile solids.</t>
  </si>
  <si>
    <t>c</t>
  </si>
  <si>
    <t>FM – Fresh matter.</t>
  </si>
  <si>
    <t xml:space="preserve">apple pomace </t>
  </si>
  <si>
    <t>https://analyticalsciencejournals.onlinelibrary.wiley.com/doi/10.1002/jctb.1838</t>
  </si>
  <si>
    <t>Experimental evaluation of alternative fermentation media for L-lactic acid production from apple pomace</t>
  </si>
  <si>
    <r>
      <t>In media containing 0.2 g CSL g</t>
    </r>
    <r>
      <rPr>
        <sz val="9"/>
        <color rgb="FF000000"/>
        <rFont val="Open Sans"/>
        <family val="2"/>
      </rPr>
      <t>−1</t>
    </r>
    <r>
      <rPr>
        <sz val="12"/>
        <color rgb="FF000000"/>
        <rFont val="Open Sans"/>
        <family val="2"/>
      </rPr>
      <t> potential sugars, 29.5 g lactic acid L</t>
    </r>
    <r>
      <rPr>
        <sz val="9"/>
        <color rgb="FF000000"/>
        <rFont val="Open Sans"/>
        <family val="2"/>
      </rPr>
      <t>−1</t>
    </r>
    <r>
      <rPr>
        <sz val="12"/>
        <color rgb="FF000000"/>
        <rFont val="Open Sans"/>
        <family val="2"/>
      </rPr>
      <t> was obtained after 24 h, at good yield (35.5 g per 100 g dry apple pomace) and productivity (1.23 g L</t>
    </r>
    <r>
      <rPr>
        <sz val="9"/>
        <color rgb="FF000000"/>
        <rFont val="Open Sans"/>
        <family val="2"/>
      </rPr>
      <t>−1</t>
    </r>
    <r>
      <rPr>
        <sz val="12"/>
        <color rgb="FF000000"/>
        <rFont val="Open Sans"/>
        <family val="2"/>
      </rPr>
      <t> h</t>
    </r>
    <r>
      <rPr>
        <sz val="9"/>
        <color rgb="FF000000"/>
        <rFont val="Open Sans"/>
        <family val="2"/>
      </rPr>
      <t>−1</t>
    </r>
    <r>
      <rPr>
        <sz val="12"/>
        <color rgb="FF000000"/>
        <rFont val="Open Sans"/>
        <family val="2"/>
      </rPr>
      <t>), with a lactic acid/acetic acid mass ratio of 98 g g</t>
    </r>
    <r>
      <rPr>
        <sz val="9"/>
        <color rgb="FF000000"/>
        <rFont val="Open Sans"/>
        <family val="2"/>
      </rPr>
      <t>−1</t>
    </r>
    <r>
      <rPr>
        <sz val="12"/>
        <color rgb="FF000000"/>
        <rFont val="Open Sans"/>
        <family val="2"/>
      </rPr>
      <t>.</t>
    </r>
  </si>
  <si>
    <t>yield g/100 g Dry AP</t>
  </si>
  <si>
    <t>35.5 g per 100 g dry apple pomace</t>
  </si>
  <si>
    <t>water in AP %</t>
  </si>
  <si>
    <t>yield g/100 g  AP</t>
  </si>
  <si>
    <t xml:space="preserve">ref 2 </t>
  </si>
  <si>
    <t>https://www.sciencedirect.com/science/article/pii/S0960852407000119?via%3Dihub</t>
  </si>
  <si>
    <t>l-Lactic acid production from apple pomace by sequential hydrolysis and fermentation</t>
  </si>
  <si>
    <t>Mass balances showed that 46.5 kg of lactic acid can be produced from 100 kg of dry apple pomace by sequential hydrolysis and fermentation.</t>
  </si>
  <si>
    <t>https://pubs.acs.org/doi/10.1021/jf070442v</t>
  </si>
  <si>
    <t>Production of L-lactic acid and oligomeric compounds from apple pomace by simultaneous saccharification and fermentation: A response surface methodology assessment</t>
  </si>
  <si>
    <t>Material balances showed that the SSF processing of 100 kg of dry apple pomace results in the production of 36.6 kg of lactic acid, 18.3 kg of oligomeric carbohydrates (which can be used as ingredients for functional foods), 8.4 kg of microbial biomass, and 8 kg uronic acids.</t>
  </si>
  <si>
    <t>apple</t>
  </si>
  <si>
    <t>glu+ fru in apple %</t>
  </si>
  <si>
    <t>apple pomace</t>
  </si>
  <si>
    <t>glu+ fru in apple pomace %</t>
  </si>
  <si>
    <t>yield g/g apple pomace</t>
  </si>
  <si>
    <t>xylose in apple %</t>
  </si>
  <si>
    <t>yield (g xylitol / g apple)</t>
  </si>
  <si>
    <t>xylose in apple pomace %</t>
  </si>
  <si>
    <t>yield (g xylitol / g apple pomace)</t>
  </si>
  <si>
    <t>orange</t>
  </si>
  <si>
    <t>https://pubs-rsc-org.ezproxy.library.wur.nl/en/content/articlelanding/2013/ra/c3ra43722a</t>
  </si>
  <si>
    <t>Orange waste as a biomass for 2G-ethanol production using low cost enzymes and co-culture fermentation</t>
  </si>
  <si>
    <t>Table 4 Comparative analysis of different mono- and co-culture fermentations of orange waste hydrolyzed with Xac enzymes with ethanol yields expressed in g in 100 mL of hydrolysates and in wt% (orange waste in natura)a</t>
  </si>
  <si>
    <t>Ethanol/g</t>
  </si>
  <si>
    <r>
      <rPr>
        <b/>
        <sz val="11"/>
        <color theme="1"/>
        <rFont val="Source Sans Pro"/>
        <family val="2"/>
      </rPr>
      <t>Ethanol yield/%</t>
    </r>
    <r>
      <rPr>
        <sz val="11"/>
        <color theme="1"/>
        <rFont val="Source Sans Pro"/>
        <family val="2"/>
      </rPr>
      <t xml:space="preserve">  (in wt% orange waste in natura)</t>
    </r>
  </si>
  <si>
    <t>Conversion factor/%</t>
  </si>
  <si>
    <r>
      <t>Ethanol productivity/g L</t>
    </r>
    <r>
      <rPr>
        <b/>
        <vertAlign val="superscript"/>
        <sz val="11"/>
        <color theme="1"/>
        <rFont val="Source Sans Pro"/>
        <family val="2"/>
      </rPr>
      <t>−1</t>
    </r>
    <r>
      <rPr>
        <b/>
        <sz val="11"/>
        <color theme="1"/>
        <rFont val="Source Sans Pro"/>
        <family val="2"/>
      </rPr>
      <t> h</t>
    </r>
    <r>
      <rPr>
        <b/>
        <vertAlign val="superscript"/>
        <sz val="11"/>
        <color theme="1"/>
        <rFont val="Source Sans Pro"/>
        <family val="2"/>
      </rPr>
      <t>−1</t>
    </r>
  </si>
  <si>
    <t>Time/h</t>
  </si>
  <si>
    <t>0.80 ± 0.03</t>
  </si>
  <si>
    <t>4.7 ± 0.2</t>
  </si>
  <si>
    <t>86.0 ± 0.2</t>
  </si>
  <si>
    <t>0.33 ± 0.01</t>
  </si>
  <si>
    <t>0.81 ± 0.02</t>
  </si>
  <si>
    <t>4.8 ± 0.1</t>
  </si>
  <si>
    <t>87.1 ± 0.2</t>
  </si>
  <si>
    <t>0.68 ± 0.02</t>
  </si>
  <si>
    <t>0.74 ± 0.02</t>
  </si>
  <si>
    <t>4.3 ± 0.2</t>
  </si>
  <si>
    <t>69.8 ± 0.2</t>
  </si>
  <si>
    <t>0.31 ± 0.01</t>
  </si>
  <si>
    <t>1 and 2</t>
  </si>
  <si>
    <t>0.83 ± 0.01</t>
  </si>
  <si>
    <t>4.9 ± 0.2</t>
  </si>
  <si>
    <t>89.2 ± 0.2</t>
  </si>
  <si>
    <t>1.38 ± 0.02</t>
  </si>
  <si>
    <t>1 and 3</t>
  </si>
  <si>
    <t>0.92 ± 0.02</t>
  </si>
  <si>
    <t>5.4 ± 0.1</t>
  </si>
  <si>
    <t>98.9 ± 0.2</t>
  </si>
  <si>
    <t>1.53 ± 0.01</t>
  </si>
  <si>
    <t>2 and 3</t>
  </si>
  <si>
    <t>0.62 ± 0.03</t>
  </si>
  <si>
    <t>3.7 ± 0.2</t>
  </si>
  <si>
    <t>66.7 ± 0.2</t>
  </si>
  <si>
    <t>0.52 ± 0.02</t>
  </si>
  <si>
    <r>
      <t>a</t>
    </r>
    <r>
      <rPr>
        <b/>
        <sz val="11"/>
        <color theme="1"/>
        <rFont val="Source Sans Pro"/>
        <family val="2"/>
      </rPr>
      <t> 1 – </t>
    </r>
    <r>
      <rPr>
        <b/>
        <i/>
        <sz val="11"/>
        <color theme="1"/>
        <rFont val="Source Sans Pro"/>
        <family val="2"/>
      </rPr>
      <t>Saccharomyces cerevisiae</t>
    </r>
    <r>
      <rPr>
        <b/>
        <sz val="11"/>
        <color theme="1"/>
        <rFont val="Source Sans Pro"/>
        <family val="2"/>
      </rPr>
      <t>, 2 – </t>
    </r>
    <r>
      <rPr>
        <b/>
        <i/>
        <sz val="11"/>
        <color theme="1"/>
        <rFont val="Source Sans Pro"/>
        <family val="2"/>
      </rPr>
      <t>Candida parapsilosis</t>
    </r>
    <r>
      <rPr>
        <b/>
        <sz val="11"/>
        <color theme="1"/>
        <rFont val="Source Sans Pro"/>
        <family val="2"/>
      </rPr>
      <t> IFM 48375, 3 – </t>
    </r>
    <r>
      <rPr>
        <b/>
        <i/>
        <sz val="11"/>
        <color theme="1"/>
        <rFont val="Source Sans Pro"/>
        <family val="2"/>
      </rPr>
      <t>Candida parapsilosis</t>
    </r>
    <r>
      <rPr>
        <b/>
        <sz val="11"/>
        <color theme="1"/>
        <rFont val="Source Sans Pro"/>
        <family val="2"/>
      </rPr>
      <t> NRRL-12969.</t>
    </r>
  </si>
  <si>
    <t>Yield (g ethanol/g orange)</t>
  </si>
  <si>
    <t>https://www.sciencedirect.com/science/article/pii/0922338X89902572?via%3Dihub</t>
  </si>
  <si>
    <t>Bioconversion of fruit and sugar beet extracts by Zymomonas mobilis to ethanol and other fine chemicals</t>
  </si>
  <si>
    <t>TABLE 2. Kinetic parameters of ethanol production and yield by Z. mobilis</t>
  </si>
  <si>
    <t>YRS</t>
  </si>
  <si>
    <t>avrg (g ethanol/g sugar)</t>
  </si>
  <si>
    <t>sugar content (g sugar/g orange)</t>
  </si>
  <si>
    <t>yield ( g ethanol/ g orange)</t>
  </si>
  <si>
    <t>https://www.scielo.br/j/jbchs/a/XkTfhPwZwKNyNpLxsXvRM6s/?lang=en&amp;format=pdf</t>
  </si>
  <si>
    <t>Nanocellulose and Bioethanol Production from Orange Waste using Isolated Microorganisms</t>
  </si>
  <si>
    <t>Table 1. Fermentation of CPWO acid hydrolyzates with yeasts</t>
  </si>
  <si>
    <t xml:space="preserve"> Ethanol produced (g from 4.2 g of dry CPWO)</t>
  </si>
  <si>
    <t xml:space="preserve"> Ethanol produced (g / g of dry CPWO)</t>
  </si>
  <si>
    <t>orange water content</t>
  </si>
  <si>
    <t xml:space="preserve"> Ethanol produced (g / g of  orange)</t>
  </si>
  <si>
    <t>Table 2. Fermentation of CPWO enzymatic hydrolyzates with yeasts</t>
  </si>
  <si>
    <t>avrg table 1 and 2</t>
  </si>
  <si>
    <t>https://link.springer.com/article/10.1385/ABAB:113:1-3:095</t>
  </si>
  <si>
    <t>Economic analysis of ethanol production in California using traditional and innovative feedstock supplies</t>
  </si>
  <si>
    <t>Table 1 Feedstock Requirements and Availability for a 40 Million–Gal Ethanol Facility</t>
  </si>
  <si>
    <t>Ethanol (gal/t)</t>
  </si>
  <si>
    <t xml:space="preserve">Culled oranges </t>
  </si>
  <si>
    <t>ethanol production (gal/t of culled oranges)</t>
  </si>
  <si>
    <t>ethanol production (L/t of culled oranges)</t>
  </si>
  <si>
    <t>ethanol production (g/g of culled oranges)</t>
  </si>
  <si>
    <t>https://elibrary.asabe.org/abstract.asp?aid=29174</t>
  </si>
  <si>
    <t>Simultaneous Saccharification and Fermentation of Orange Processing Waste to Ethanol Using Kluyveromyces marxianus</t>
  </si>
  <si>
    <r>
      <t>%TY = 100 × C</t>
    </r>
    <r>
      <rPr>
        <vertAlign val="subscript"/>
        <sz val="11"/>
        <color theme="1"/>
        <rFont val="Calibri"/>
        <family val="2"/>
        <scheme val="minor"/>
      </rPr>
      <t>EtOH</t>
    </r>
    <r>
      <rPr>
        <sz val="11"/>
        <color theme="1"/>
        <rFont val="Calibri"/>
        <family val="2"/>
        <scheme val="minor"/>
      </rPr>
      <t>/[0.511 × (CFructose + CGlucose) + 0.538(CSucrose)</t>
    </r>
  </si>
  <si>
    <t>TY: theoretical yield</t>
  </si>
  <si>
    <t>% TY</t>
  </si>
  <si>
    <t xml:space="preserve">Glucose </t>
  </si>
  <si>
    <t>Fructose [%]</t>
  </si>
  <si>
    <t>Sucrose [%]</t>
  </si>
  <si>
    <t>avrg TY</t>
  </si>
  <si>
    <t>EtOH g/100g orange</t>
  </si>
  <si>
    <t>Yield EtOH g/g orange</t>
  </si>
  <si>
    <t>orange peel</t>
  </si>
  <si>
    <t>https://link.springer.com/article/10.1007/s11274-007-9346-2#Sec2</t>
  </si>
  <si>
    <t>Ethanol production by Saccharomyces cerevisiae and Kluyveromyces marxianus in the presence of orange-peel oil</t>
  </si>
  <si>
    <t>% TY = 100*(Et - E0)/[0.511*(Fr + Gl + Ga)+ 0.538*(Su)]</t>
  </si>
  <si>
    <t>where E t is the concentration of ethanol at time t, E0 is the initial concentration of ethanol, Fr is the initial concentration of fructose, Gl is the initial concentration of glucose, Ga is the initial concentration of galactose, and Su is the initial concentration of sucrose (concentrations expressed as g/l).</t>
  </si>
  <si>
    <t>The maximum ethanol yield produced was 37.1 g/l, (80% theoretical yield) at 72 h in the control fermentation.</t>
  </si>
  <si>
    <t xml:space="preserve"> control fermentation: no extra orange oil has been added</t>
  </si>
  <si>
    <t xml:space="preserve">Glucose [%] </t>
  </si>
  <si>
    <t>Cellullose [%]</t>
  </si>
  <si>
    <t>Xylose [%]</t>
  </si>
  <si>
    <t>Hemicellulose [%]</t>
  </si>
  <si>
    <t xml:space="preserve">tot. Glucose [%] </t>
  </si>
  <si>
    <t>tot. Fructose [%]</t>
  </si>
  <si>
    <t>tot. Xylose [%]</t>
  </si>
  <si>
    <t xml:space="preserve"> TY</t>
  </si>
  <si>
    <t>https://pubs.acs.org/doi/10.1021/jf903163t</t>
  </si>
  <si>
    <t>Ethanol Production from Orange Peels: Two-Stage Hydrolysis and Fermentation Studies Using Optimized Parameters through Experimental Design</t>
  </si>
  <si>
    <t>Table 9. Ethanol Productivity Parameters for Fermentation of the Filtrate Obtained through Primary and Secondary Hydrolysis Using RSM-Optimized Parametersa</t>
  </si>
  <si>
    <t>a: Means that have the same letter are not significantly different. Although the fermentation of the filtrate obtained during primary and secondary hydrolysis was separately carried out, the results presented in the table represent productivity of the overall process.</t>
  </si>
  <si>
    <t>ethanol yield (g/g sugar)</t>
  </si>
  <si>
    <t>sugar content [g sugar/ g orange peel]</t>
  </si>
  <si>
    <t>yield [g ethanol / g orange peel]</t>
  </si>
  <si>
    <t>https://academic.oup.com/lambio/article-abstract/62/1/75/6699684?redirectedFrom=fulltext</t>
  </si>
  <si>
    <t>High temperature alcoholic fermentation of orange peel by the newly isolated thermotolerant Pichia kudriavzevii KVMP10</t>
  </si>
  <si>
    <t>Table 2 Production of ethanol from citrus waste in microbial fermentations</t>
  </si>
  <si>
    <t>Wilkins et al. (2007a)</t>
  </si>
  <si>
    <t>Wilkins et al. (2007b)</t>
  </si>
  <si>
    <t>Wilkins (2009)</t>
  </si>
  <si>
    <t>Sharma et al. (2007</t>
  </si>
  <si>
    <t>Oberoi et al. (2010)</t>
  </si>
  <si>
    <t>Oberoi et al. (2011)</t>
  </si>
  <si>
    <t>Pourbafrani et al. (2010)</t>
  </si>
  <si>
    <t>Sandhu et al. (2012)</t>
  </si>
  <si>
    <t>Lennartsson et al. (2012)</t>
  </si>
  <si>
    <t>product yield [g ethanol / g sugars]</t>
  </si>
  <si>
    <t>furfual</t>
  </si>
  <si>
    <t>fructose+glucose in orange %</t>
  </si>
  <si>
    <t>theoretical yield g/ g orange</t>
  </si>
  <si>
    <t>fructose+glucose in orange peel %</t>
  </si>
  <si>
    <t>fru+glu in orange  %</t>
  </si>
  <si>
    <t>theoretical yield FDCA from orange g/g</t>
  </si>
  <si>
    <t>fru+glu in orange peel  %</t>
  </si>
  <si>
    <t>theoretical yield FDCA from orange peel g/g</t>
  </si>
  <si>
    <t>glucose in orange</t>
  </si>
  <si>
    <t>yield (isoprene/orange)</t>
  </si>
  <si>
    <t>glucose in orange peel</t>
  </si>
  <si>
    <t>yield (isoprene/orange peel)</t>
  </si>
  <si>
    <t>glu+fru+xyl in orange</t>
  </si>
  <si>
    <t>succinate yield g/g orange</t>
  </si>
  <si>
    <t>https://link.springer.com/article/10.1007/s00253-010-2726-9</t>
  </si>
  <si>
    <t>Succinic acid production from orange peel and wheat straw by batch fermentations of Fibrobacter succinogenes S85</t>
  </si>
  <si>
    <t>Yield on  orange peel g/g</t>
  </si>
  <si>
    <t>https://arccjournals.com/journal/indian-journal-of-agricultural-research/AF-764</t>
  </si>
  <si>
    <t>Study the Effect of Different Renewable Carbon Sources on the Succinic Acid Biosynthesis by Optimization Culture Composition using 4-Liter Scale Bioreactor</t>
  </si>
  <si>
    <t>for orange peel</t>
  </si>
  <si>
    <t>concentration g/L</t>
  </si>
  <si>
    <t>SA production g/L</t>
  </si>
  <si>
    <t>total sugar g/L</t>
  </si>
  <si>
    <t xml:space="preserve"> Δ SA /  Δ sugar g/g</t>
  </si>
  <si>
    <t>sugar in orange peel</t>
  </si>
  <si>
    <t>yield g/ g orange peel</t>
  </si>
  <si>
    <t>https://www.sciencedirect.com/science/article/pii/S0956053X20303305#t0010</t>
  </si>
  <si>
    <t>A biorefinery for conversion of citrus peel waste into essential oils, pectin, fertilizer and succinic acid via different fermentation strategies</t>
  </si>
  <si>
    <r>
      <t>Table 2. Succinic acid concentration and yield achieved in batch and fed-batch fermentations by </t>
    </r>
    <r>
      <rPr>
        <i/>
        <sz val="11"/>
        <color rgb="FF1F1F1F"/>
        <rFont val="Georgia"/>
        <family val="1"/>
      </rPr>
      <t>A. succinogenes</t>
    </r>
    <r>
      <rPr>
        <sz val="11"/>
        <color rgb="FF1F1F1F"/>
        <rFont val="Georgia"/>
        <family val="1"/>
      </rPr>
      <t>.</t>
    </r>
  </si>
  <si>
    <t>Carbon source</t>
  </si>
  <si>
    <t>Fed-Batch</t>
  </si>
  <si>
    <r>
      <t>Succinic acid (g L</t>
    </r>
    <r>
      <rPr>
        <b/>
        <sz val="8"/>
        <color theme="1"/>
        <rFont val="Georgia"/>
        <family val="1"/>
      </rPr>
      <t>−1</t>
    </r>
    <r>
      <rPr>
        <b/>
        <sz val="11"/>
        <color theme="1"/>
        <rFont val="Georgia"/>
        <family val="1"/>
      </rPr>
      <t>)</t>
    </r>
  </si>
  <si>
    <r>
      <t>Yield (g</t>
    </r>
    <r>
      <rPr>
        <b/>
        <sz val="8"/>
        <color theme="1"/>
        <rFont val="Georgia"/>
        <family val="1"/>
      </rPr>
      <t>sa</t>
    </r>
    <r>
      <rPr>
        <b/>
        <sz val="11"/>
        <color theme="1"/>
        <rFont val="Georgia"/>
        <family val="1"/>
      </rPr>
      <t> g</t>
    </r>
    <r>
      <rPr>
        <b/>
        <sz val="8"/>
        <color theme="1"/>
        <rFont val="Georgia"/>
        <family val="1"/>
      </rPr>
      <t>tsc−1</t>
    </r>
    <r>
      <rPr>
        <b/>
        <sz val="11"/>
        <color theme="1"/>
        <rFont val="Georgia"/>
        <family val="1"/>
      </rPr>
      <t>)</t>
    </r>
  </si>
  <si>
    <r>
      <t>Productivity (g L</t>
    </r>
    <r>
      <rPr>
        <b/>
        <sz val="8"/>
        <color theme="1"/>
        <rFont val="Georgia"/>
        <family val="1"/>
      </rPr>
      <t>−1</t>
    </r>
    <r>
      <rPr>
        <b/>
        <sz val="11"/>
        <color theme="1"/>
        <rFont val="Georgia"/>
        <family val="1"/>
      </rPr>
      <t>h</t>
    </r>
    <r>
      <rPr>
        <b/>
        <sz val="8"/>
        <color theme="1"/>
        <rFont val="Georgia"/>
        <family val="1"/>
      </rPr>
      <t>−1</t>
    </r>
    <r>
      <rPr>
        <b/>
        <sz val="11"/>
        <color theme="1"/>
        <rFont val="Georgia"/>
        <family val="1"/>
      </rPr>
      <t>)</t>
    </r>
  </si>
  <si>
    <t>Liu et al., 2008b</t>
  </si>
  <si>
    <t>Carvalho et al. (2014)</t>
  </si>
  <si>
    <t>Sucrose</t>
  </si>
  <si>
    <t>nd*</t>
  </si>
  <si>
    <t>Jiang et al. (2014)</t>
  </si>
  <si>
    <t>Corn straw</t>
  </si>
  <si>
    <t>Zheng et al. (2009)</t>
  </si>
  <si>
    <t>Cane molasses</t>
  </si>
  <si>
    <t>Liu et al., 2008a</t>
  </si>
  <si>
    <t>CPW citrus peel waste</t>
  </si>
  <si>
    <t>Current study</t>
  </si>
  <si>
    <t>*nd: no data</t>
  </si>
  <si>
    <t>tsc: total sugars consumed</t>
  </si>
  <si>
    <t>avrg yield g sa/g tsc</t>
  </si>
  <si>
    <t>sugar in orange peel %</t>
  </si>
  <si>
    <t>yield g sa / g orange peel</t>
  </si>
  <si>
    <t>https://www.sciencedirect.com/science/article/pii/S0959652617317560</t>
  </si>
  <si>
    <t>Development of a citrus peel-based biorefinery strategy for the production of succinic acid</t>
  </si>
  <si>
    <t>Table 5. Succinic acid production in fermentations utilizing different raw materials.</t>
  </si>
  <si>
    <t>Nitrogen source</t>
  </si>
  <si>
    <t>Fermentation</t>
  </si>
  <si>
    <r>
      <t>YE (10 g L</t>
    </r>
    <r>
      <rPr>
        <sz val="8"/>
        <color theme="1"/>
        <rFont val="Georgia"/>
        <family val="1"/>
      </rPr>
      <t>−1</t>
    </r>
    <r>
      <rPr>
        <sz val="11"/>
        <color theme="1"/>
        <rFont val="Georgia"/>
        <family val="1"/>
      </rPr>
      <t>)</t>
    </r>
  </si>
  <si>
    <t>Fed-batch, bioreactor</t>
  </si>
  <si>
    <t>Carvalho et al., 2014</t>
  </si>
  <si>
    <t>Wheat hydrolyzate</t>
  </si>
  <si>
    <r>
      <t>YE (5 g L</t>
    </r>
    <r>
      <rPr>
        <sz val="8"/>
        <color theme="1"/>
        <rFont val="Georgia"/>
        <family val="1"/>
      </rPr>
      <t>−1</t>
    </r>
    <r>
      <rPr>
        <sz val="11"/>
        <color theme="1"/>
        <rFont val="Georgia"/>
        <family val="1"/>
      </rPr>
      <t>)/Vit</t>
    </r>
  </si>
  <si>
    <t>Batch, bioreactor</t>
  </si>
  <si>
    <t>Dorado et al., 2009</t>
  </si>
  <si>
    <t>Bread hydrolyzate</t>
  </si>
  <si>
    <r>
      <t>BH (200 mg L</t>
    </r>
    <r>
      <rPr>
        <sz val="8"/>
        <color theme="1"/>
        <rFont val="Georgia"/>
        <family val="1"/>
      </rPr>
      <t>−1</t>
    </r>
    <r>
      <rPr>
        <sz val="11"/>
        <color theme="1"/>
        <rFont val="Georgia"/>
        <family val="1"/>
      </rPr>
      <t> FAN)</t>
    </r>
  </si>
  <si>
    <t>n.d.</t>
  </si>
  <si>
    <t>Leung et al., 2012</t>
  </si>
  <si>
    <t>Cotton stalk hydrolyzate</t>
  </si>
  <si>
    <r>
      <t>YE (30 g L</t>
    </r>
    <r>
      <rPr>
        <sz val="8"/>
        <color theme="1"/>
        <rFont val="Georgia"/>
        <family val="1"/>
      </rPr>
      <t>−1</t>
    </r>
    <r>
      <rPr>
        <sz val="11"/>
        <color theme="1"/>
        <rFont val="Georgia"/>
        <family val="1"/>
      </rPr>
      <t>)/Urea (2 g L</t>
    </r>
    <r>
      <rPr>
        <sz val="8"/>
        <color theme="1"/>
        <rFont val="Georgia"/>
        <family val="1"/>
      </rPr>
      <t>−1</t>
    </r>
    <r>
      <rPr>
        <sz val="11"/>
        <color theme="1"/>
        <rFont val="Georgia"/>
        <family val="1"/>
      </rPr>
      <t>)</t>
    </r>
  </si>
  <si>
    <t>Batch SSFa, shake flasks</t>
  </si>
  <si>
    <t>Li et al., 2013</t>
  </si>
  <si>
    <t>Macroalgal hydrolyzate</t>
  </si>
  <si>
    <r>
      <t>YE (16.7 g L</t>
    </r>
    <r>
      <rPr>
        <sz val="8"/>
        <color theme="1"/>
        <rFont val="Georgia"/>
        <family val="1"/>
      </rPr>
      <t>−1</t>
    </r>
    <r>
      <rPr>
        <sz val="11"/>
        <color theme="1"/>
        <rFont val="Georgia"/>
        <family val="1"/>
      </rPr>
      <t>)</t>
    </r>
  </si>
  <si>
    <t>Morales et al., 2015</t>
  </si>
  <si>
    <t>Rapeseed meal</t>
  </si>
  <si>
    <r>
      <t>YE (15 g L</t>
    </r>
    <r>
      <rPr>
        <sz val="8"/>
        <color theme="1"/>
        <rFont val="Georgia"/>
        <family val="1"/>
      </rPr>
      <t>−1</t>
    </r>
    <r>
      <rPr>
        <sz val="11"/>
        <color theme="1"/>
        <rFont val="Georgia"/>
        <family val="1"/>
      </rPr>
      <t>)</t>
    </r>
  </si>
  <si>
    <t>Fed-batch SSFa, bioreactor</t>
  </si>
  <si>
    <t>Chen et al., 2011</t>
  </si>
  <si>
    <t>Whey</t>
  </si>
  <si>
    <r>
      <t>YE (5 g L</t>
    </r>
    <r>
      <rPr>
        <sz val="8"/>
        <color theme="1"/>
        <rFont val="Georgia"/>
        <family val="1"/>
      </rPr>
      <t>−1</t>
    </r>
    <r>
      <rPr>
        <sz val="11"/>
        <color theme="1"/>
        <rFont val="Georgia"/>
        <family val="1"/>
      </rPr>
      <t>)/Pep (10 g L</t>
    </r>
    <r>
      <rPr>
        <sz val="8"/>
        <color theme="1"/>
        <rFont val="Georgia"/>
        <family val="1"/>
      </rPr>
      <t>−1</t>
    </r>
    <r>
      <rPr>
        <sz val="11"/>
        <color theme="1"/>
        <rFont val="Georgia"/>
        <family val="1"/>
      </rPr>
      <t>)</t>
    </r>
  </si>
  <si>
    <t>Wan et al., 2008</t>
  </si>
  <si>
    <t>CPW hydrolyzate</t>
  </si>
  <si>
    <r>
      <t>YE (5 g L</t>
    </r>
    <r>
      <rPr>
        <sz val="8"/>
        <color theme="1"/>
        <rFont val="Georgia"/>
        <family val="1"/>
      </rPr>
      <t>−1</t>
    </r>
    <r>
      <rPr>
        <sz val="11"/>
        <color theme="1"/>
        <rFont val="Georgia"/>
        <family val="1"/>
      </rPr>
      <t>)</t>
    </r>
  </si>
  <si>
    <t>Batch, shake flasks</t>
  </si>
  <si>
    <t>YE: yeast extract, Vit: vitamins, BH: bread hydrolyzate, Pep: peptone.</t>
  </si>
  <si>
    <t>Simultaneous saccharification and fermentation.</t>
  </si>
  <si>
    <t>yield g sa/g tsc</t>
  </si>
  <si>
    <t>yield (3-HP/orange)</t>
  </si>
  <si>
    <t>yield (3-HP/orange peel)</t>
  </si>
  <si>
    <t>glu+fru orange (g/100g)</t>
  </si>
  <si>
    <t>Theoretical yield (g/g orange)</t>
  </si>
  <si>
    <t>glu+fru orange peel (g/100g)</t>
  </si>
  <si>
    <t>Theoretical yield (g/g orange peel)</t>
  </si>
  <si>
    <t>https://onlinelibrary.wiley.com/doi/full/10.1002/bbb.2498</t>
  </si>
  <si>
    <t>Statistical approach for the optimization of levulinic acid production from orange peel as agricultural waste</t>
  </si>
  <si>
    <t>Product concentration/yield</t>
  </si>
  <si>
    <t>1 ton fresh OPW- 46.93 kg LA</t>
  </si>
  <si>
    <t>Yield g LA/g OPW</t>
  </si>
  <si>
    <t>https://analyticalsciencejournals.onlinelibrary.wiley.com/doi/epdf/10.1002/jctb.6484</t>
  </si>
  <si>
    <t>Microwave-assisted synthesis of levulinic acid from low-cost, sustainable feedstocks using organic acids as green catalysts</t>
  </si>
  <si>
    <t>LA yield (wt%)</t>
  </si>
  <si>
    <t>Levulinic acid yield based on cellulose content in biomass</t>
  </si>
  <si>
    <t>cellulose in orange peel</t>
  </si>
  <si>
    <t xml:space="preserve">LA yield </t>
  </si>
  <si>
    <t>sugar from orange g/g</t>
  </si>
  <si>
    <t>theoretical yield (g lactic acid per g orange)</t>
  </si>
  <si>
    <t>https://www.sciencedirect.com/science/article/pii/S1369703X1930052X?via%3Dihub#tbl0005</t>
  </si>
  <si>
    <t>On the use of resting L. delbrueckii spp. delbrueckii cells for D-lactic acid production from orange peel wastes hydrolysates</t>
  </si>
  <si>
    <t>Table 2. Results (% DLA, yield, selectivity, productivity and uptake percentage and rates of glucose and the mixture of fructose and galactose) obtained for the production stage runs performed using resting cells at different biomass concentrations and stirring speeds at a bioreactor. Temperature for all the runs was 40 °C and pH was controlled at 5.8 using a concentrated NaOH solution. The growth stage was performed using MRS, 40 g/L glucose.</t>
  </si>
  <si>
    <t>RUN</t>
  </si>
  <si>
    <t>N (rpm)</t>
  </si>
  <si>
    <r>
      <t>C</t>
    </r>
    <r>
      <rPr>
        <b/>
        <sz val="8"/>
        <color theme="1"/>
        <rFont val="Georgia"/>
        <family val="1"/>
      </rPr>
      <t>X</t>
    </r>
  </si>
  <si>
    <t>Yielda (%)</t>
  </si>
  <si>
    <t>Sb</t>
  </si>
  <si>
    <t>Pc</t>
  </si>
  <si>
    <t>Fru + Gal uptake (%)</t>
  </si>
  <si>
    <t>Glu uptake rate (g/L·h)d</t>
  </si>
  <si>
    <t>Fru + Gal uptake rate (g/L·h)d</t>
  </si>
  <si>
    <t>% DLA</t>
  </si>
  <si>
    <t>(g/L·h)</t>
  </si>
  <si>
    <t>yield g LA/g orange</t>
  </si>
  <si>
    <t>https://onlinelibrary.wiley.com/doi/epdf/10.1002/jsfa.9958</t>
  </si>
  <si>
    <t>Orange peels: from by-product to resource through lactic acid fermentation</t>
  </si>
  <si>
    <t>The productivity and the yield are calculated and expressed as the concentration of LA per fermentation time (g kg−1·h) and the amount of LA produced (g) from 1 mg of reducing sugar consumed (g g−1), respectively</t>
  </si>
  <si>
    <t>Among the single cultures tested, Lactobacillus casei 2246 was the most efficient strain, reaching the highest concentration of lactic acid (209.65 g kg−1) and yield (0.88 g g−1).</t>
  </si>
  <si>
    <t>https://onlinelibrary.wiley.com/doi/10.1002/jsfa.12537</t>
  </si>
  <si>
    <t>Valorization of orange peels exploiting fungal solid-state and lacto-fermentation</t>
  </si>
  <si>
    <r>
      <t>Table 4. </t>
    </r>
    <r>
      <rPr>
        <sz val="11"/>
        <color theme="1"/>
        <rFont val="Calibri"/>
        <family val="2"/>
        <scheme val="minor"/>
      </rPr>
      <t>Productivity and yield during fermentation with mono- and co-culture</t>
    </r>
  </si>
  <si>
    <t>Strains</t>
  </si>
  <si>
    <t>Day 1</t>
  </si>
  <si>
    <t>Day 2</t>
  </si>
  <si>
    <t>Day 3</t>
  </si>
  <si>
    <r>
      <t>Productivity (g L</t>
    </r>
    <r>
      <rPr>
        <sz val="8"/>
        <color rgb="FF000000"/>
        <rFont val="Open Sans"/>
        <family val="2"/>
      </rPr>
      <t>−1</t>
    </r>
    <r>
      <rPr>
        <sz val="11"/>
        <color rgb="FF000000"/>
        <rFont val="Open Sans"/>
        <family val="2"/>
      </rPr>
      <t> h</t>
    </r>
    <r>
      <rPr>
        <sz val="8"/>
        <color rgb="FF000000"/>
        <rFont val="Open Sans"/>
        <family val="2"/>
      </rPr>
      <t>−1</t>
    </r>
    <r>
      <rPr>
        <sz val="11"/>
        <color rgb="FF000000"/>
        <rFont val="Open Sans"/>
        <family val="2"/>
      </rPr>
      <t>)</t>
    </r>
  </si>
  <si>
    <t>0.260 ± 0.006</t>
  </si>
  <si>
    <t>23.458 ± 0.566</t>
  </si>
  <si>
    <t>0.223 ± 0.011</t>
  </si>
  <si>
    <t>40.297 ± 1.941</t>
  </si>
  <si>
    <t>0.137 ± 0.002</t>
  </si>
  <si>
    <t>37.061 ± 0.538</t>
  </si>
  <si>
    <t>0.234 ± 0.008</t>
  </si>
  <si>
    <t>21.105 ± 0.694</t>
  </si>
  <si>
    <t>0.209 ± 0.010</t>
  </si>
  <si>
    <t>37.721 ± 1.811</t>
  </si>
  <si>
    <t>0.128 ± 0.003</t>
  </si>
  <si>
    <t>34.580 ± 0.894</t>
  </si>
  <si>
    <t>0.169 ± 0.009</t>
  </si>
  <si>
    <t>15.267 ± 0.793</t>
  </si>
  <si>
    <t>0.152 ± 0.005</t>
  </si>
  <si>
    <t>27.347 ± 0.859</t>
  </si>
  <si>
    <t>0.128 ± 0.005</t>
  </si>
  <si>
    <t>34.580 ± 1.231</t>
  </si>
  <si>
    <t>2246/2240</t>
  </si>
  <si>
    <t>—</t>
  </si>
  <si>
    <t>0.146 ± 0.007</t>
  </si>
  <si>
    <t>39.555 ± 1.773</t>
  </si>
  <si>
    <t>2240/1019</t>
  </si>
  <si>
    <t>0.147 ± 0.007</t>
  </si>
  <si>
    <t>39.807 ± 1.996</t>
  </si>
  <si>
    <t>2246/1019</t>
  </si>
  <si>
    <t>0.140 ± 0.001</t>
  </si>
  <si>
    <t>37.795 ± 0.320</t>
  </si>
  <si>
    <t>1019/2240</t>
  </si>
  <si>
    <r>
      <t>addition of </t>
    </r>
    <r>
      <rPr>
        <i/>
        <sz val="11"/>
        <color rgb="FF000000"/>
        <rFont val="Open Sans"/>
        <family val="2"/>
      </rPr>
      <t>L. casei</t>
    </r>
    <r>
      <rPr>
        <sz val="11"/>
        <color rgb="FF000000"/>
        <rFont val="Open Sans"/>
        <family val="2"/>
      </rPr>
      <t> 2240 after 2 days of fermentation (8 log CFU mL</t>
    </r>
    <r>
      <rPr>
        <sz val="8"/>
        <color rgb="FF000000"/>
        <rFont val="Open Sans"/>
        <family val="2"/>
      </rPr>
      <t>−1</t>
    </r>
    <r>
      <rPr>
        <sz val="11"/>
        <color rgb="FF000000"/>
        <rFont val="Open Sans"/>
        <family val="2"/>
      </rPr>
      <t>)</t>
    </r>
  </si>
  <si>
    <t>0.142 ± 0.012</t>
  </si>
  <si>
    <t>38.523 ± 3.131</t>
  </si>
  <si>
    <t>1019/2246</t>
  </si>
  <si>
    <r>
      <t>addition of </t>
    </r>
    <r>
      <rPr>
        <i/>
        <sz val="11"/>
        <color rgb="FF000000"/>
        <rFont val="Open Sans"/>
        <family val="2"/>
      </rPr>
      <t>L. casei</t>
    </r>
    <r>
      <rPr>
        <sz val="11"/>
        <color rgb="FF000000"/>
        <rFont val="Open Sans"/>
        <family val="2"/>
      </rPr>
      <t> 2246 after 2 days of fermentation (8 log CFU mL</t>
    </r>
    <r>
      <rPr>
        <sz val="8"/>
        <color rgb="FF000000"/>
        <rFont val="Open Sans"/>
        <family val="2"/>
      </rPr>
      <t>−1</t>
    </r>
    <r>
      <rPr>
        <sz val="11"/>
        <color rgb="FF000000"/>
        <rFont val="Open Sans"/>
        <family val="2"/>
      </rPr>
      <t>)</t>
    </r>
  </si>
  <si>
    <t>2240/2246</t>
  </si>
  <si>
    <t>0.143 ± 0.002</t>
  </si>
  <si>
    <t>38.631 ± 0.513</t>
  </si>
  <si>
    <t>Note: The results were expressed as the mean value ± the confidence limit for a probability of 95%.</t>
  </si>
  <si>
    <t>https://link.springer.com/article/10.1007/s13399-019-00396-3</t>
  </si>
  <si>
    <t>Production of D-lactic acid by L. delbrueckii growing on orange peel waste hydrolysates and model monosaccharide solutions: effects of pH and temperature on process kinetics</t>
  </si>
  <si>
    <t>Table 1 Influences of temperature (in stirred bottle at pH 5.4), pH (in bioreactor at 40 °C), and substrate (real OPWH with MRS and CSL broths, at 40 °C and pH 5.8) on the titer (CPmax), yield (YP,S), productivity (P), and purity (% D-LA) of D-lactic acid, and on growth rate (μbiomass) and on glucose uptake rate (RG) in the exponential phase (4–8 h)</t>
  </si>
  <si>
    <t>From: Production of D-lactic acid by L. delbrueckii growing on orange peel waste hydrolysates and model monosaccharide solutions: effects of pH and temperature on process kinetics</t>
  </si>
  <si>
    <t>CPmax (g/L)</t>
  </si>
  <si>
    <t>YP,S (g/g)</t>
  </si>
  <si>
    <t>P (g/L·h)</t>
  </si>
  <si>
    <t>% D-LA</t>
  </si>
  <si>
    <t>μbiomass (gX/(L·h))</t>
  </si>
  <si>
    <t>RG (gG/(L·h))</t>
  </si>
  <si>
    <t>44.3 ± 1.2</t>
  </si>
  <si>
    <t>0.84 ± 0.08</t>
  </si>
  <si>
    <t>1.84 ± 0.12</t>
  </si>
  <si>
    <t>95.5 ± 2.1</t>
  </si>
  <si>
    <t>0.9 ± 0.1</t>
  </si>
  <si>
    <t>4.5 ± 0.7</t>
  </si>
  <si>
    <t>50.5 ± 1.7</t>
  </si>
  <si>
    <t>0.85 ± 0.11</t>
  </si>
  <si>
    <t>2.10 ± 0.18</t>
  </si>
  <si>
    <t>95.9 ± 1.9</t>
  </si>
  <si>
    <t>1.2 ± 0.2</t>
  </si>
  <si>
    <t>7.5 ± 0.8</t>
  </si>
  <si>
    <t>51.9 ± 1.4</t>
  </si>
  <si>
    <t>0.88 ± 0.09</t>
  </si>
  <si>
    <t>2.16 ± 0.17</t>
  </si>
  <si>
    <t>95.9 ± 1.8</t>
  </si>
  <si>
    <t>7.5 ± 0.6</t>
  </si>
  <si>
    <t>49.3 ± 1.5</t>
  </si>
  <si>
    <t>2.05 ± 0.09</t>
  </si>
  <si>
    <t>93.9 ± 2.2</t>
  </si>
  <si>
    <t>1.2 ± 0.1</t>
  </si>
  <si>
    <t>6.2 ± 0.4</t>
  </si>
  <si>
    <t>39.1 ± 1.6</t>
  </si>
  <si>
    <t>0.82 ± 0.06</t>
  </si>
  <si>
    <t>1.68 ± 0.08</t>
  </si>
  <si>
    <t>93.4 ± 2.3</t>
  </si>
  <si>
    <t>0.6 ± 0.1</t>
  </si>
  <si>
    <t>2.5 ± 0.3</t>
  </si>
  <si>
    <t>pH</t>
  </si>
  <si>
    <t>YP,S (g/g)</t>
  </si>
  <si>
    <t>RG (gG/(L·h))</t>
  </si>
  <si>
    <t>38.6 ± 1.4</t>
  </si>
  <si>
    <t>0.75 ± 0.07</t>
  </si>
  <si>
    <t>1.60 ± 0.17</t>
  </si>
  <si>
    <t>98.4 ± 2.3</t>
  </si>
  <si>
    <t>1.0 ± 0.2</t>
  </si>
  <si>
    <t>5.5 ± 0.7</t>
  </si>
  <si>
    <t>42.1 ± 1.3</t>
  </si>
  <si>
    <t>0.75 ± 0.05</t>
  </si>
  <si>
    <t>1.76 ± 0.14</t>
  </si>
  <si>
    <t>97.5 ± 1.8</t>
  </si>
  <si>
    <t>1.1 ± 0.2</t>
  </si>
  <si>
    <t>7.1 ± 0.5</t>
  </si>
  <si>
    <t>49.7 ± 1.8</t>
  </si>
  <si>
    <t>0.87 ± 0.04</t>
  </si>
  <si>
    <t>2.06 ± 0.09</t>
  </si>
  <si>
    <t>98.5 ± 1.9</t>
  </si>
  <si>
    <t>1.7 ± 0.3</t>
  </si>
  <si>
    <t>8.5 ± 0.9</t>
  </si>
  <si>
    <t>51.3 ± 1.6</t>
  </si>
  <si>
    <t>0.88 ± 0.08</t>
  </si>
  <si>
    <t>2.56 ± 0.32</t>
  </si>
  <si>
    <t>97.3 ± 1.4</t>
  </si>
  <si>
    <t>2.7 ± 0.3</t>
  </si>
  <si>
    <t>12.5 ± 1.3</t>
  </si>
  <si>
    <t>49.8 ± 1.5</t>
  </si>
  <si>
    <t>0.87 ± 0.09</t>
  </si>
  <si>
    <t>2.49 ± 0.08</t>
  </si>
  <si>
    <t>97.1 ± 1.6</t>
  </si>
  <si>
    <t>2.5 ± 0.2</t>
  </si>
  <si>
    <t>10.5 ± 1.1</t>
  </si>
  <si>
    <t>50.4 ± 1.3</t>
  </si>
  <si>
    <t>0.87 ± 0.12</t>
  </si>
  <si>
    <t>2.52 ± 0.11</t>
  </si>
  <si>
    <t>98.1 ± 2.1</t>
  </si>
  <si>
    <t>2.3 ± 0.2</t>
  </si>
  <si>
    <t>9.5 ± 0.8</t>
  </si>
  <si>
    <t>OPWH-MRS</t>
  </si>
  <si>
    <t>48.6 ± 1.6</t>
  </si>
  <si>
    <t>0.86 ± 0.06</t>
  </si>
  <si>
    <t>2.02 ± 0.14</t>
  </si>
  <si>
    <t>97.7 ± 1.8</t>
  </si>
  <si>
    <t>2.7 ± 0.2</t>
  </si>
  <si>
    <t>11.5 ± 0.8</t>
  </si>
  <si>
    <t>OPWH-CSL</t>
  </si>
  <si>
    <t>49.6 ± 1.8</t>
  </si>
  <si>
    <t>0.83 ± 0.06</t>
  </si>
  <si>
    <t>1.71 ± 0.07</t>
  </si>
  <si>
    <t>98.1 ± 1.7</t>
  </si>
  <si>
    <t>5.8 ± 0.6</t>
  </si>
  <si>
    <t>Note: OPWH-MRS stands for orange peel hydrolysate with MRS broth components</t>
  </si>
  <si>
    <t>OPWH-CSL means orange peel hydrolysate supplemented with corn steep liquor</t>
  </si>
  <si>
    <t>https://link.springer.com/article/10.1007/s00253-018-9432-4</t>
  </si>
  <si>
    <t>Production of D-lactic acid by Lactobacillus delbrueckii ssp. delbrueckii from orange peel waste: techno-economical assessment of nitrogen sources</t>
  </si>
  <si>
    <r>
      <t>Finally, orange peel waste hydrolysate supplemented with 37 g/l CSL has been employed for </t>
    </r>
    <r>
      <rPr>
        <sz val="8.8000000000000007"/>
        <color rgb="FF222222"/>
        <rFont val="Merriweather"/>
      </rPr>
      <t>D</t>
    </r>
    <r>
      <rPr>
        <sz val="14"/>
        <color rgb="FF222222"/>
        <rFont val="Merriweather"/>
      </rPr>
      <t>-lactic acid production, reaching a final yield of 88% and a productivity of 2.35 g/l h. </t>
    </r>
  </si>
  <si>
    <t>yield %</t>
  </si>
  <si>
    <t>glu+ fru in orange %</t>
  </si>
  <si>
    <t>yield g/g orange</t>
  </si>
  <si>
    <t>glu+ fru in orange peel %</t>
  </si>
  <si>
    <t xml:space="preserve">yield g/g orange peel </t>
  </si>
  <si>
    <t>xylose in  orange %</t>
  </si>
  <si>
    <t>yield (g xylitol / g orange)</t>
  </si>
  <si>
    <t>xylose in  orange peel %</t>
  </si>
  <si>
    <t>yield (g xylitol / g orange peel)</t>
  </si>
  <si>
    <t>ethanol</t>
  </si>
  <si>
    <t>banana</t>
  </si>
  <si>
    <t>https://www.sciencedirect.com/science/article/pii/S0961953411001413?via%3Dihub#tbl4</t>
  </si>
  <si>
    <t>Energy and carbon footprints of ethanol production using banana and cooking banana discard: A case study from Costa Rica and Ecuador</t>
  </si>
  <si>
    <t>Table 4. Production data of the Ecuador case studies.</t>
  </si>
  <si>
    <t>Organic farms (Chimborazo-Guayas)</t>
  </si>
  <si>
    <t>Conventional farms (Guayas)</t>
  </si>
  <si>
    <t>Average farm size (ha)</t>
  </si>
  <si>
    <t>Varieties</t>
  </si>
  <si>
    <t>Bocadillo</t>
  </si>
  <si>
    <t>Tafetan</t>
  </si>
  <si>
    <t>Cavendish</t>
  </si>
  <si>
    <t>Average area banana cultivation (ha)</t>
  </si>
  <si>
    <r>
      <t># Plants ha</t>
    </r>
    <r>
      <rPr>
        <sz val="8"/>
        <color theme="1"/>
        <rFont val="Georgia"/>
        <family val="1"/>
      </rPr>
      <t>−1</t>
    </r>
  </si>
  <si>
    <t>Bunch weight (kg)</t>
  </si>
  <si>
    <t>Production cycle (month)</t>
  </si>
  <si>
    <r>
      <t>Yield (t ha</t>
    </r>
    <r>
      <rPr>
        <sz val="8"/>
        <color theme="1"/>
        <rFont val="Georgia"/>
        <family val="1"/>
      </rPr>
      <t>−1</t>
    </r>
    <r>
      <rPr>
        <sz val="11"/>
        <color theme="1"/>
        <rFont val="Georgia"/>
        <family val="1"/>
      </rPr>
      <t> y</t>
    </r>
    <r>
      <rPr>
        <sz val="8"/>
        <color theme="1"/>
        <rFont val="Georgia"/>
        <family val="1"/>
      </rPr>
      <t>−1</t>
    </r>
    <r>
      <rPr>
        <sz val="11"/>
        <color theme="1"/>
        <rFont val="Georgia"/>
        <family val="1"/>
      </rPr>
      <t>)</t>
    </r>
  </si>
  <si>
    <t>Discard (%)</t>
  </si>
  <si>
    <r>
      <t>Discard biomass (t ha</t>
    </r>
    <r>
      <rPr>
        <sz val="8"/>
        <color theme="1"/>
        <rFont val="Georgia"/>
        <family val="1"/>
      </rPr>
      <t>−1</t>
    </r>
    <r>
      <rPr>
        <sz val="11"/>
        <color theme="1"/>
        <rFont val="Georgia"/>
        <family val="1"/>
      </rPr>
      <t> y</t>
    </r>
    <r>
      <rPr>
        <sz val="8"/>
        <color theme="1"/>
        <rFont val="Georgia"/>
        <family val="1"/>
      </rPr>
      <t>−1</t>
    </r>
    <r>
      <rPr>
        <sz val="11"/>
        <color theme="1"/>
        <rFont val="Georgia"/>
        <family val="1"/>
      </rPr>
      <t>)</t>
    </r>
  </si>
  <si>
    <r>
      <t>Pulp biomass from discard (t ha</t>
    </r>
    <r>
      <rPr>
        <sz val="8"/>
        <color theme="1"/>
        <rFont val="Georgia"/>
        <family val="1"/>
      </rPr>
      <t>−1</t>
    </r>
    <r>
      <rPr>
        <sz val="11"/>
        <color theme="1"/>
        <rFont val="Georgia"/>
        <family val="1"/>
      </rPr>
      <t> y</t>
    </r>
    <r>
      <rPr>
        <sz val="8"/>
        <color theme="1"/>
        <rFont val="Georgia"/>
        <family val="1"/>
      </rPr>
      <t>−1</t>
    </r>
    <r>
      <rPr>
        <sz val="11"/>
        <color theme="1"/>
        <rFont val="Georgia"/>
        <family val="1"/>
      </rPr>
      <t>)</t>
    </r>
  </si>
  <si>
    <r>
      <t>Dry matter discard biomass (kg ha</t>
    </r>
    <r>
      <rPr>
        <sz val="8"/>
        <color theme="1"/>
        <rFont val="Georgia"/>
        <family val="1"/>
      </rPr>
      <t>−1</t>
    </r>
    <r>
      <rPr>
        <sz val="11"/>
        <color theme="1"/>
        <rFont val="Georgia"/>
        <family val="1"/>
      </rPr>
      <t> y</t>
    </r>
    <r>
      <rPr>
        <sz val="8"/>
        <color theme="1"/>
        <rFont val="Georgia"/>
        <family val="1"/>
      </rPr>
      <t>−1</t>
    </r>
    <r>
      <rPr>
        <sz val="11"/>
        <color theme="1"/>
        <rFont val="Georgia"/>
        <family val="1"/>
      </rPr>
      <t>)</t>
    </r>
  </si>
  <si>
    <r>
      <t>EtOH production potential (l t</t>
    </r>
    <r>
      <rPr>
        <sz val="8"/>
        <color theme="1"/>
        <rFont val="Georgia"/>
        <family val="1"/>
      </rPr>
      <t>−1</t>
    </r>
    <r>
      <rPr>
        <sz val="11"/>
        <color theme="1"/>
        <rFont val="Georgia"/>
        <family val="1"/>
      </rPr>
      <t> dm)</t>
    </r>
  </si>
  <si>
    <r>
      <t>EtOH production potential (l t</t>
    </r>
    <r>
      <rPr>
        <sz val="8"/>
        <color theme="1"/>
        <rFont val="Georgia"/>
        <family val="1"/>
      </rPr>
      <t>−1</t>
    </r>
    <r>
      <rPr>
        <sz val="11"/>
        <color theme="1"/>
        <rFont val="Georgia"/>
        <family val="1"/>
      </rPr>
      <t> fw)</t>
    </r>
  </si>
  <si>
    <t>EtOH per bunch (l)</t>
  </si>
  <si>
    <r>
      <t>EtOH from discard (l ha</t>
    </r>
    <r>
      <rPr>
        <sz val="8"/>
        <color theme="1"/>
        <rFont val="Georgia"/>
        <family val="1"/>
      </rPr>
      <t>−1</t>
    </r>
    <r>
      <rPr>
        <sz val="11"/>
        <color theme="1"/>
        <rFont val="Georgia"/>
        <family val="1"/>
      </rPr>
      <t> y</t>
    </r>
    <r>
      <rPr>
        <sz val="8"/>
        <color theme="1"/>
        <rFont val="Georgia"/>
        <family val="1"/>
      </rPr>
      <t>−1</t>
    </r>
    <r>
      <rPr>
        <sz val="11"/>
        <color theme="1"/>
        <rFont val="Georgia"/>
        <family val="1"/>
      </rPr>
      <t>)</t>
    </r>
  </si>
  <si>
    <r>
      <t>EtOH from discard per farm (l y</t>
    </r>
    <r>
      <rPr>
        <sz val="8"/>
        <color theme="1"/>
        <rFont val="Georgia"/>
        <family val="1"/>
      </rPr>
      <t>−1</t>
    </r>
    <r>
      <rPr>
        <sz val="11"/>
        <color theme="1"/>
        <rFont val="Georgia"/>
        <family val="1"/>
      </rPr>
      <t>)</t>
    </r>
  </si>
  <si>
    <t>avrg EtOH production potential (l t−1 fw)</t>
  </si>
  <si>
    <t xml:space="preserve">density EtOH (g/L) </t>
  </si>
  <si>
    <t>avrg EtOH yield g/g fresh weight</t>
  </si>
  <si>
    <t>https://www.sciencedirect.com/science/article/pii/S0360544210001817#tbl6</t>
  </si>
  <si>
    <t>Ethanol production process from banana fruit and its lignocellulosic residues: Energy analysis</t>
  </si>
  <si>
    <t>Table 6. Performance indicators.</t>
  </si>
  <si>
    <t>Indicator</t>
  </si>
  <si>
    <t>Amylaceous material</t>
  </si>
  <si>
    <t>Lignocellulosic material</t>
  </si>
  <si>
    <t>Banana pulp</t>
  </si>
  <si>
    <t>Banana fruit</t>
  </si>
  <si>
    <t>Flower stalk</t>
  </si>
  <si>
    <t>Banana skin</t>
  </si>
  <si>
    <r>
      <t>η</t>
    </r>
    <r>
      <rPr>
        <sz val="8"/>
        <color theme="1"/>
        <rFont val="Georgia"/>
        <family val="1"/>
      </rPr>
      <t>m</t>
    </r>
    <r>
      <rPr>
        <i/>
        <sz val="11"/>
        <color theme="1"/>
        <rFont val="Georgia"/>
        <family val="1"/>
      </rPr>
      <t xml:space="preserve"> (the volume of bio-fuel produced (Vp) in relation to 1 t of dry biomass (mb))</t>
    </r>
  </si>
  <si>
    <r>
      <t>L/t</t>
    </r>
    <r>
      <rPr>
        <sz val="8"/>
        <color theme="1"/>
        <rFont val="Georgia"/>
        <family val="1"/>
      </rPr>
      <t>dry biomass</t>
    </r>
  </si>
  <si>
    <r>
      <t>ρ</t>
    </r>
    <r>
      <rPr>
        <sz val="8"/>
        <color theme="1"/>
        <rFont val="Georgia"/>
        <family val="1"/>
      </rPr>
      <t>G</t>
    </r>
  </si>
  <si>
    <t>L/ha</t>
  </si>
  <si>
    <r>
      <t>ρ</t>
    </r>
    <r>
      <rPr>
        <sz val="8"/>
        <color theme="1"/>
        <rFont val="Georgia"/>
        <family val="1"/>
      </rPr>
      <t>En</t>
    </r>
  </si>
  <si>
    <t>MJ/ha</t>
  </si>
  <si>
    <t>NEV</t>
  </si>
  <si>
    <r>
      <t>MJ/L</t>
    </r>
    <r>
      <rPr>
        <sz val="8"/>
        <color theme="1"/>
        <rFont val="Georgia"/>
        <family val="1"/>
      </rPr>
      <t>ethanol</t>
    </r>
  </si>
  <si>
    <t>Energy ratio</t>
  </si>
  <si>
    <t>MJ/MJ</t>
  </si>
  <si>
    <t>dry matter in banana % wet weight</t>
  </si>
  <si>
    <t>EtOH  L/t wet wight</t>
  </si>
  <si>
    <t>EtOH yield g/g fresh weight</t>
  </si>
  <si>
    <t>https://iopscience.iop.org/article/10.1088/1742-6596/2049/1/012084/pdf</t>
  </si>
  <si>
    <t>Dynamic Simulation of Bioethanol Production from Banana Rejected using Flocculating Yeast</t>
  </si>
  <si>
    <t>Table 1: Kinetic parameter used for simulations</t>
  </si>
  <si>
    <t>𝑌𝑥𝑠 is the yield of Saccharomyces cerevisiae cells produced per unit of glucose consumed</t>
  </si>
  <si>
    <t>𝑃 is the bioethanol concentration</t>
  </si>
  <si>
    <t>Y x/s (g/g)</t>
  </si>
  <si>
    <t>Y p/x (g/g)</t>
  </si>
  <si>
    <t>Y p/s (g/g) g ethanol/g sugar</t>
  </si>
  <si>
    <t>sugar in banana</t>
  </si>
  <si>
    <t>Yield (g/g) g ethanol/g banana</t>
  </si>
  <si>
    <t>https://www.scopus.com/record/display.uri?eid=2-s2.0-84893926485&amp;origin=resultslist&amp;sort=r-f&amp;src=s&amp;sid=2000dec68bbc9a91a692683d626c4879&amp;sot=b&amp;sdt=b&amp;s=TITLE-ABS-KEY%28%28+%22banana%22+%29+AND+%28+%22ethanol+production%22+%29+AND+NOT+%28+%22peel%22+OR+%22stem%22+OR+%22leaf%22+%29%29&amp;sl=55&amp;sessionSearchId=2000dec68bbc9a91a692683d626c4879&amp;relpos=7</t>
  </si>
  <si>
    <t>Comparison of biomass and ethanol production kinetics of commercial baker's yeast (S. Cerevisiae) in a chemically defined medium against cane molasses, waste Banana pulp and waste potato flour</t>
  </si>
  <si>
    <t>Among sugary wastes, waste Banana pulp shows maximum ethanol Conc., maximum ethanol productivity and maximum % sugar utilization i.e. 39.261 g/L, 0.238 g/Lh and 84.73 respectively.</t>
  </si>
  <si>
    <t>Ethanol yield (g/g) Weight of ethanol produces/Mass of glucose utilized</t>
  </si>
  <si>
    <t>glucose in banana</t>
  </si>
  <si>
    <t>https://link.springer.com/article/10.1007/s11274-023-03588-2#Tab1</t>
  </si>
  <si>
    <t>From: Fruit residues as biomass for bioethanol production using enzymatic hydrolysis as pretreatment</t>
  </si>
  <si>
    <t>Table 1 Fermentation kinetics data at the beginning and end of the process.</t>
  </si>
  <si>
    <t>Y P/RS</t>
  </si>
  <si>
    <t>Reducing Sugars to Etanol conversion</t>
  </si>
  <si>
    <t>avrg Y p/rs (g/g) g ethanol/g sugar</t>
  </si>
  <si>
    <t>banana peel</t>
  </si>
  <si>
    <t>https://link.springer.com/article/10.1007/s00449-020-02442-1</t>
  </si>
  <si>
    <t>Table 2 Yield of carbohydrates and TPC obtained from banana peels after acid and alkaline pretreatments</t>
  </si>
  <si>
    <t>glu</t>
  </si>
  <si>
    <t>xyl</t>
  </si>
  <si>
    <t>ara</t>
  </si>
  <si>
    <t>XOS</t>
  </si>
  <si>
    <t>glu %</t>
  </si>
  <si>
    <t>xyl %</t>
  </si>
  <si>
    <t>ara %</t>
  </si>
  <si>
    <t>XOS %</t>
  </si>
  <si>
    <t>https://www.sciencedirect.com/science/article/pii/S1364032123009486?via%3Dihub#tbl2</t>
  </si>
  <si>
    <t>Ethanologenic yeasts from Ethiopian fermented beverages and optimization of fermentation conditions</t>
  </si>
  <si>
    <r>
      <t>Table 2. Sugar utilization percentage and ethanol yield parameters of selected isolates after 72 h of incubation at 30 </t>
    </r>
    <r>
      <rPr>
        <sz val="9"/>
        <color rgb="FF1F1F1F"/>
        <rFont val="Georgia"/>
        <family val="1"/>
      </rPr>
      <t>O</t>
    </r>
    <r>
      <rPr>
        <sz val="11"/>
        <color rgb="FF1F1F1F"/>
        <rFont val="Georgia"/>
        <family val="1"/>
      </rPr>
      <t>C.</t>
    </r>
  </si>
  <si>
    <t>Isolate</t>
  </si>
  <si>
    <t>SU (%)</t>
  </si>
  <si>
    <t>EC (g/L)</t>
  </si>
  <si>
    <r>
      <t>Y</t>
    </r>
    <r>
      <rPr>
        <b/>
        <sz val="8"/>
        <color theme="1"/>
        <rFont val="Georgia"/>
        <family val="1"/>
      </rPr>
      <t>E</t>
    </r>
    <r>
      <rPr>
        <b/>
        <sz val="11"/>
        <color theme="1"/>
        <rFont val="Georgia"/>
        <family val="1"/>
      </rPr>
      <t> (g/L)</t>
    </r>
  </si>
  <si>
    <t>FE (%)</t>
  </si>
  <si>
    <t>EP (g/L/h)</t>
  </si>
  <si>
    <t>YoE (g/Kg)</t>
  </si>
  <si>
    <t>Yield of Ethanol (g/Kg) of biomass</t>
  </si>
  <si>
    <t>Yield of Ethanol g/g</t>
  </si>
  <si>
    <t>GB1D5</t>
  </si>
  <si>
    <r>
      <t>87.1 ± 0.4</t>
    </r>
    <r>
      <rPr>
        <sz val="8"/>
        <color theme="1"/>
        <rFont val="Georgia"/>
        <family val="1"/>
      </rPr>
      <t>a</t>
    </r>
  </si>
  <si>
    <r>
      <t>12.9 ± 0.3</t>
    </r>
    <r>
      <rPr>
        <sz val="8"/>
        <color theme="1"/>
        <rFont val="Georgia"/>
        <family val="1"/>
      </rPr>
      <t>b</t>
    </r>
  </si>
  <si>
    <r>
      <t>0.4 ± 0.0</t>
    </r>
    <r>
      <rPr>
        <sz val="8"/>
        <color theme="1"/>
        <rFont val="Georgia"/>
        <family val="1"/>
      </rPr>
      <t>a</t>
    </r>
  </si>
  <si>
    <r>
      <t>78.9 ± 1.1</t>
    </r>
    <r>
      <rPr>
        <sz val="8"/>
        <color theme="1"/>
        <rFont val="Georgia"/>
        <family val="1"/>
      </rPr>
      <t>b</t>
    </r>
  </si>
  <si>
    <r>
      <t>0.2 ± 0.0</t>
    </r>
    <r>
      <rPr>
        <sz val="8"/>
        <color theme="1"/>
        <rFont val="Georgia"/>
        <family val="1"/>
      </rPr>
      <t>a</t>
    </r>
  </si>
  <si>
    <r>
      <t>161.7 ± 6.9</t>
    </r>
    <r>
      <rPr>
        <sz val="8"/>
        <color theme="1"/>
        <rFont val="Georgia"/>
        <family val="1"/>
      </rPr>
      <t>b</t>
    </r>
  </si>
  <si>
    <t>RTj3D3</t>
  </si>
  <si>
    <r>
      <t>87.3 ± 0.5</t>
    </r>
    <r>
      <rPr>
        <sz val="8"/>
        <color theme="1"/>
        <rFont val="Georgia"/>
        <family val="1"/>
      </rPr>
      <t>a</t>
    </r>
  </si>
  <si>
    <r>
      <t>11.6 ± 0.9</t>
    </r>
    <r>
      <rPr>
        <sz val="8"/>
        <color theme="1"/>
        <rFont val="Georgia"/>
        <family val="1"/>
      </rPr>
      <t>b</t>
    </r>
  </si>
  <si>
    <r>
      <t>68.8 ± 6.0</t>
    </r>
    <r>
      <rPr>
        <sz val="8"/>
        <color theme="1"/>
        <rFont val="Georgia"/>
        <family val="1"/>
      </rPr>
      <t>c</t>
    </r>
  </si>
  <si>
    <r>
      <t>144.8 ± 23.0</t>
    </r>
    <r>
      <rPr>
        <sz val="8"/>
        <color theme="1"/>
        <rFont val="Georgia"/>
        <family val="1"/>
      </rPr>
      <t>c</t>
    </r>
  </si>
  <si>
    <t>DMTD2</t>
  </si>
  <si>
    <r>
      <t>87.6 ± 1.1</t>
    </r>
    <r>
      <rPr>
        <sz val="8"/>
        <color theme="1"/>
        <rFont val="Georgia"/>
        <family val="1"/>
      </rPr>
      <t>a</t>
    </r>
  </si>
  <si>
    <r>
      <t>11.8 ± 1.1</t>
    </r>
    <r>
      <rPr>
        <sz val="8"/>
        <color theme="1"/>
        <rFont val="Georgia"/>
        <family val="1"/>
      </rPr>
      <t>b</t>
    </r>
  </si>
  <si>
    <r>
      <t>70.4 ± 7.9</t>
    </r>
    <r>
      <rPr>
        <sz val="8"/>
        <color theme="1"/>
        <rFont val="Georgia"/>
        <family val="1"/>
      </rPr>
      <t>c</t>
    </r>
  </si>
  <si>
    <r>
      <t>147.5 ± 26.2</t>
    </r>
    <r>
      <rPr>
        <sz val="8"/>
        <color theme="1"/>
        <rFont val="Georgia"/>
        <family val="1"/>
      </rPr>
      <t>c</t>
    </r>
  </si>
  <si>
    <r>
      <t>Sc</t>
    </r>
    <r>
      <rPr>
        <sz val="11"/>
        <color theme="1"/>
        <rFont val="Georgia"/>
        <family val="1"/>
      </rPr>
      <t> ©DB</t>
    </r>
  </si>
  <si>
    <r>
      <t>88.8 ± 4.0</t>
    </r>
    <r>
      <rPr>
        <sz val="8"/>
        <color theme="1"/>
        <rFont val="Georgia"/>
        <family val="1"/>
      </rPr>
      <t>a</t>
    </r>
  </si>
  <si>
    <r>
      <t>18.5 ± 2.1</t>
    </r>
    <r>
      <rPr>
        <sz val="8"/>
        <color theme="1"/>
        <rFont val="Georgia"/>
        <family val="1"/>
      </rPr>
      <t>a</t>
    </r>
  </si>
  <si>
    <r>
      <t>0.5 ± 0.1</t>
    </r>
    <r>
      <rPr>
        <sz val="8"/>
        <color theme="1"/>
        <rFont val="Georgia"/>
        <family val="1"/>
      </rPr>
      <t>a</t>
    </r>
  </si>
  <si>
    <r>
      <t>92.1 ± 2.8</t>
    </r>
    <r>
      <rPr>
        <sz val="8"/>
        <color theme="1"/>
        <rFont val="Georgia"/>
        <family val="1"/>
      </rPr>
      <t>a</t>
    </r>
  </si>
  <si>
    <r>
      <t>217.9 ± 24.3</t>
    </r>
    <r>
      <rPr>
        <sz val="8"/>
        <color theme="1"/>
        <rFont val="Georgia"/>
        <family val="1"/>
      </rPr>
      <t>a</t>
    </r>
  </si>
  <si>
    <r>
      <t>Key:</t>
    </r>
    <r>
      <rPr>
        <sz val="11"/>
        <color theme="1"/>
        <rFont val="Calibri"/>
        <family val="2"/>
        <scheme val="minor"/>
      </rPr>
      <t> Mean values superscripted with different letter across the column are significantly different at </t>
    </r>
    <r>
      <rPr>
        <i/>
        <sz val="11"/>
        <color theme="1"/>
        <rFont val="Calibri"/>
        <family val="2"/>
        <scheme val="minor"/>
      </rPr>
      <t>p</t>
    </r>
    <r>
      <rPr>
        <sz val="11"/>
        <color theme="1"/>
        <rFont val="Calibri"/>
        <family val="2"/>
        <scheme val="minor"/>
      </rPr>
      <t>-value ≤0.05. SU (Sugar Utilization); EC (Ethanol Content), Y</t>
    </r>
    <r>
      <rPr>
        <sz val="8"/>
        <color theme="1"/>
        <rFont val="Calibri"/>
        <family val="2"/>
        <scheme val="minor"/>
      </rPr>
      <t>E</t>
    </r>
    <r>
      <rPr>
        <sz val="11"/>
        <color theme="1"/>
        <rFont val="Calibri"/>
        <family val="2"/>
        <scheme val="minor"/>
      </rPr>
      <t> (Practical Ethanol Yield), FE (Fermentation Efficiency), EP (Ethanol Productivity) and YoE </t>
    </r>
    <r>
      <rPr>
        <b/>
        <sz val="11"/>
        <color theme="1"/>
        <rFont val="Calibri"/>
        <family val="2"/>
        <scheme val="minor"/>
      </rPr>
      <t>(</t>
    </r>
    <r>
      <rPr>
        <sz val="11"/>
        <color theme="1"/>
        <rFont val="Calibri"/>
        <family val="2"/>
        <scheme val="minor"/>
      </rPr>
      <t>Yield of Ethanol (g/L/Kg) of biomass</t>
    </r>
    <r>
      <rPr>
        <b/>
        <sz val="11"/>
        <color theme="1"/>
        <rFont val="Calibri"/>
        <family val="2"/>
        <scheme val="minor"/>
      </rPr>
      <t>)</t>
    </r>
    <r>
      <rPr>
        <sz val="11"/>
        <color theme="1"/>
        <rFont val="Calibri"/>
        <family val="2"/>
        <scheme val="minor"/>
      </rPr>
      <t>.</t>
    </r>
  </si>
  <si>
    <t xml:space="preserve">avrg yield ethanol g/g dry biomass </t>
  </si>
  <si>
    <t>DM in fresh banana peel %</t>
  </si>
  <si>
    <t xml:space="preserve">yield ethanol g/g fresh banana peel </t>
  </si>
  <si>
    <t>https://link.springer.com/article/10.1007/s13399-020-00880-1</t>
  </si>
  <si>
    <t>Table 3 Prediction of ethanol production capacity of banana peels</t>
  </si>
  <si>
    <t>Table 1 Standardized yield of dry banana peels from raw banana. Each group contains 4 bananas</t>
  </si>
  <si>
    <t>From: Ethanol production by Klebsiella sp. SWET4 using banana peel as feasible substrate</t>
  </si>
  <si>
    <t>Prediction data set</t>
  </si>
  <si>
    <t>Raw banana</t>
  </si>
  <si>
    <t>Dried banana peel (A)</t>
  </si>
  <si>
    <t>Lowest available biomass for fermentation</t>
  </si>
  <si>
    <t>Available Carbon</t>
  </si>
  <si>
    <t>Predicted ethanol production</t>
  </si>
  <si>
    <t>Predicted lowest and highest volume of ethanol (ethanol density of 0.789 kg/l) (million liters)</t>
  </si>
  <si>
    <t>Group no. (25 groups)</t>
  </si>
  <si>
    <t>Weight of raw fruits (g)</t>
  </si>
  <si>
    <t>Weight of peels (g)</t>
  </si>
  <si>
    <t>Weight of dried peels (g)</t>
  </si>
  <si>
    <t>Mean</t>
  </si>
  <si>
    <t>(million tons)</t>
  </si>
  <si>
    <t>(A′ = A* 31.99/100)</t>
  </si>
  <si>
    <t>Standard deviation</t>
  </si>
  <si>
    <t>± 21.3</t>
  </si>
  <si>
    <t>± 8.8</t>
  </si>
  <si>
    <t>± 6.4</t>
  </si>
  <si>
    <t>Proximity analysis (B)</t>
  </si>
  <si>
    <t>CHN analysis</t>
  </si>
  <si>
    <t>The whole of Carbon is converted to ethanol</t>
  </si>
  <si>
    <t>The whole of Carbon is in form of glucose or glucose polymers and whole of them is converted to ethanol (million tons)</t>
  </si>
  <si>
    <t>dried peels/peels</t>
  </si>
  <si>
    <t>[B = (A′*9.87)/100]</t>
  </si>
  <si>
    <t>(B′) [B′ = (A′*33.65)/100]</t>
  </si>
  <si>
    <t>From Proximity analysis</t>
  </si>
  <si>
    <t>From CHN analysis</t>
  </si>
  <si>
    <t>[46xB/24)</t>
  </si>
  <si>
    <t>[46xB′/24]</t>
  </si>
  <si>
    <t>[Bx92/72]</t>
  </si>
  <si>
    <t>[B′×92/72]</t>
  </si>
  <si>
    <t>wet banana peels (Mton)</t>
  </si>
  <si>
    <t xml:space="preserve">Predicted lowest  volume of ethanol </t>
  </si>
  <si>
    <t>Predicted highest  volume of ethanol (million liters)</t>
  </si>
  <si>
    <t>avrg volume of ethanol (million liters)</t>
  </si>
  <si>
    <t>ethanol L/ton peel</t>
  </si>
  <si>
    <t>ethanol g/g peel</t>
  </si>
  <si>
    <t>Lab data</t>
  </si>
  <si>
    <t>0.001 to 0.006</t>
  </si>
  <si>
    <t>(mass units are in g and volume unit in l)</t>
  </si>
  <si>
    <t>Andhra Pradesh (annual production in 2017–2018)</t>
  </si>
  <si>
    <t>9885.93 to 50,671.73</t>
  </si>
  <si>
    <t>Maharashtra (annual production in 2017–2018)</t>
  </si>
  <si>
    <t>8314.32 to 42,610.89</t>
  </si>
  <si>
    <t>Tamil Nadu (annual production in 2017–2018)</t>
  </si>
  <si>
    <t>6324.46 to 32,433.46</t>
  </si>
  <si>
    <t>India (annual production in 2017–2018)</t>
  </si>
  <si>
    <t>60,963.24 to 311,685.67</t>
  </si>
  <si>
    <t>https://www.sciencedirect.com/science/article/pii/S0964830519306900?via%3Dihub#tbl1</t>
  </si>
  <si>
    <t>Production of ethanol by Enterobacter sp. EtK3 during fruit waste biotransformation</t>
  </si>
  <si>
    <t>Table 1. Different growth and production parameters calculated from the kinetic study.</t>
  </si>
  <si>
    <t>Equations</t>
  </si>
  <si>
    <r>
      <t>Specific growth rate, m</t>
    </r>
    <r>
      <rPr>
        <sz val="8"/>
        <color theme="1"/>
        <rFont val="Georgia"/>
        <family val="1"/>
      </rPr>
      <t>s</t>
    </r>
  </si>
  <si>
    <r>
      <t>1/(t</t>
    </r>
    <r>
      <rPr>
        <sz val="8"/>
        <color theme="1"/>
        <rFont val="Georgia"/>
        <family val="1"/>
      </rPr>
      <t>2</t>
    </r>
    <r>
      <rPr>
        <sz val="11"/>
        <color theme="1"/>
        <rFont val="Georgia"/>
        <family val="1"/>
      </rPr>
      <t>-t</t>
    </r>
    <r>
      <rPr>
        <sz val="8"/>
        <color theme="1"/>
        <rFont val="Georgia"/>
        <family val="1"/>
      </rPr>
      <t>1</t>
    </r>
    <r>
      <rPr>
        <sz val="11"/>
        <color theme="1"/>
        <rFont val="Georgia"/>
        <family val="1"/>
      </rPr>
      <t>) * ln (X</t>
    </r>
    <r>
      <rPr>
        <sz val="8"/>
        <color theme="1"/>
        <rFont val="Georgia"/>
        <family val="1"/>
      </rPr>
      <t>2</t>
    </r>
    <r>
      <rPr>
        <sz val="11"/>
        <color theme="1"/>
        <rFont val="Georgia"/>
        <family val="1"/>
      </rPr>
      <t>/X</t>
    </r>
    <r>
      <rPr>
        <sz val="8"/>
        <color theme="1"/>
        <rFont val="Georgia"/>
        <family val="1"/>
      </rPr>
      <t>1</t>
    </r>
    <r>
      <rPr>
        <sz val="11"/>
        <color theme="1"/>
        <rFont val="Georgia"/>
        <family val="1"/>
      </rPr>
      <t>)</t>
    </r>
  </si>
  <si>
    <r>
      <t>0.145 h</t>
    </r>
    <r>
      <rPr>
        <sz val="8"/>
        <color theme="1"/>
        <rFont val="Georgia"/>
        <family val="1"/>
      </rPr>
      <t>−1</t>
    </r>
  </si>
  <si>
    <r>
      <t>Doubling time, t</t>
    </r>
    <r>
      <rPr>
        <sz val="8"/>
        <color theme="1"/>
        <rFont val="Georgia"/>
        <family val="1"/>
      </rPr>
      <t>d</t>
    </r>
  </si>
  <si>
    <r>
      <t>(t</t>
    </r>
    <r>
      <rPr>
        <sz val="8"/>
        <color theme="1"/>
        <rFont val="Georgia"/>
        <family val="1"/>
      </rPr>
      <t>2</t>
    </r>
    <r>
      <rPr>
        <sz val="11"/>
        <color theme="1"/>
        <rFont val="Georgia"/>
        <family val="1"/>
      </rPr>
      <t>-t</t>
    </r>
    <r>
      <rPr>
        <sz val="8"/>
        <color theme="1"/>
        <rFont val="Georgia"/>
        <family val="1"/>
      </rPr>
      <t>1</t>
    </r>
    <r>
      <rPr>
        <sz val="11"/>
        <color theme="1"/>
        <rFont val="Georgia"/>
        <family val="1"/>
      </rPr>
      <t>) * log 2/log (X</t>
    </r>
    <r>
      <rPr>
        <sz val="8"/>
        <color theme="1"/>
        <rFont val="Georgia"/>
        <family val="1"/>
      </rPr>
      <t>2</t>
    </r>
    <r>
      <rPr>
        <sz val="11"/>
        <color theme="1"/>
        <rFont val="Georgia"/>
        <family val="1"/>
      </rPr>
      <t>/X</t>
    </r>
    <r>
      <rPr>
        <sz val="8"/>
        <color theme="1"/>
        <rFont val="Georgia"/>
        <family val="1"/>
      </rPr>
      <t>1</t>
    </r>
    <r>
      <rPr>
        <sz val="11"/>
        <color theme="1"/>
        <rFont val="Georgia"/>
        <family val="1"/>
      </rPr>
      <t>)</t>
    </r>
  </si>
  <si>
    <r>
      <t>4.79 h</t>
    </r>
    <r>
      <rPr>
        <sz val="8"/>
        <color theme="1"/>
        <rFont val="Georgia"/>
        <family val="1"/>
      </rPr>
      <t>−1</t>
    </r>
  </si>
  <si>
    <r>
      <t>Biomass productivity, p</t>
    </r>
    <r>
      <rPr>
        <sz val="8"/>
        <color theme="1"/>
        <rFont val="Georgia"/>
        <family val="1"/>
      </rPr>
      <t>X</t>
    </r>
  </si>
  <si>
    <r>
      <t>(X</t>
    </r>
    <r>
      <rPr>
        <sz val="8"/>
        <color theme="1"/>
        <rFont val="Georgia"/>
        <family val="1"/>
      </rPr>
      <t>m</t>
    </r>
    <r>
      <rPr>
        <sz val="11"/>
        <color theme="1"/>
        <rFont val="Georgia"/>
        <family val="1"/>
      </rPr>
      <t>-X</t>
    </r>
    <r>
      <rPr>
        <sz val="8"/>
        <color theme="1"/>
        <rFont val="Georgia"/>
        <family val="1"/>
      </rPr>
      <t>0</t>
    </r>
    <r>
      <rPr>
        <sz val="11"/>
        <color theme="1"/>
        <rFont val="Georgia"/>
        <family val="1"/>
      </rPr>
      <t>)/t</t>
    </r>
    <r>
      <rPr>
        <sz val="8"/>
        <color theme="1"/>
        <rFont val="Georgia"/>
        <family val="1"/>
      </rPr>
      <t>m</t>
    </r>
  </si>
  <si>
    <r>
      <t>0.168 mg h</t>
    </r>
    <r>
      <rPr>
        <sz val="8"/>
        <color theme="1"/>
        <rFont val="Georgia"/>
        <family val="1"/>
      </rPr>
      <t>−1</t>
    </r>
  </si>
  <si>
    <r>
      <t>Biomass yield, Y</t>
    </r>
    <r>
      <rPr>
        <sz val="8"/>
        <color theme="1"/>
        <rFont val="Georgia"/>
        <family val="1"/>
      </rPr>
      <t>x/s</t>
    </r>
  </si>
  <si>
    <r>
      <t>(X</t>
    </r>
    <r>
      <rPr>
        <sz val="8"/>
        <color theme="1"/>
        <rFont val="Georgia"/>
        <family val="1"/>
      </rPr>
      <t>m</t>
    </r>
    <r>
      <rPr>
        <sz val="11"/>
        <color theme="1"/>
        <rFont val="Georgia"/>
        <family val="1"/>
      </rPr>
      <t>-X</t>
    </r>
    <r>
      <rPr>
        <sz val="8"/>
        <color theme="1"/>
        <rFont val="Georgia"/>
        <family val="1"/>
      </rPr>
      <t>0</t>
    </r>
    <r>
      <rPr>
        <sz val="11"/>
        <color theme="1"/>
        <rFont val="Georgia"/>
        <family val="1"/>
      </rPr>
      <t>)/(S</t>
    </r>
    <r>
      <rPr>
        <sz val="8"/>
        <color theme="1"/>
        <rFont val="Georgia"/>
        <family val="1"/>
      </rPr>
      <t>0</t>
    </r>
    <r>
      <rPr>
        <sz val="11"/>
        <color theme="1"/>
        <rFont val="Georgia"/>
        <family val="1"/>
      </rPr>
      <t>–S)</t>
    </r>
  </si>
  <si>
    <r>
      <t>0.538 mg mg</t>
    </r>
    <r>
      <rPr>
        <sz val="8"/>
        <color theme="1"/>
        <rFont val="Georgia"/>
        <family val="1"/>
      </rPr>
      <t>−1</t>
    </r>
  </si>
  <si>
    <r>
      <t>Specific glucose uptake rate, q</t>
    </r>
    <r>
      <rPr>
        <sz val="8"/>
        <color theme="1"/>
        <rFont val="Georgia"/>
        <family val="1"/>
      </rPr>
      <t>S</t>
    </r>
  </si>
  <si>
    <r>
      <t>(S</t>
    </r>
    <r>
      <rPr>
        <sz val="8"/>
        <color theme="1"/>
        <rFont val="Georgia"/>
        <family val="1"/>
      </rPr>
      <t>0</t>
    </r>
    <r>
      <rPr>
        <sz val="11"/>
        <color theme="1"/>
        <rFont val="Georgia"/>
        <family val="1"/>
      </rPr>
      <t>-S</t>
    </r>
    <r>
      <rPr>
        <sz val="8"/>
        <color theme="1"/>
        <rFont val="Georgia"/>
        <family val="1"/>
      </rPr>
      <t>f</t>
    </r>
    <r>
      <rPr>
        <sz val="11"/>
        <color theme="1"/>
        <rFont val="Georgia"/>
        <family val="1"/>
      </rPr>
      <t>)/(t</t>
    </r>
    <r>
      <rPr>
        <sz val="8"/>
        <color theme="1"/>
        <rFont val="Georgia"/>
        <family val="1"/>
      </rPr>
      <t>f</t>
    </r>
    <r>
      <rPr>
        <sz val="11"/>
        <color theme="1"/>
        <rFont val="Georgia"/>
        <family val="1"/>
      </rPr>
      <t> * (X</t>
    </r>
    <r>
      <rPr>
        <sz val="8"/>
        <color theme="1"/>
        <rFont val="Georgia"/>
        <family val="1"/>
      </rPr>
      <t>f</t>
    </r>
    <r>
      <rPr>
        <sz val="11"/>
        <color theme="1"/>
        <rFont val="Georgia"/>
        <family val="1"/>
      </rPr>
      <t>-X</t>
    </r>
    <r>
      <rPr>
        <sz val="8"/>
        <color theme="1"/>
        <rFont val="Georgia"/>
        <family val="1"/>
      </rPr>
      <t>0</t>
    </r>
    <r>
      <rPr>
        <sz val="11"/>
        <color theme="1"/>
        <rFont val="Georgia"/>
        <family val="1"/>
      </rPr>
      <t>))</t>
    </r>
  </si>
  <si>
    <r>
      <t>0.053 h</t>
    </r>
    <r>
      <rPr>
        <sz val="8"/>
        <color theme="1"/>
        <rFont val="Georgia"/>
        <family val="1"/>
      </rPr>
      <t>−1</t>
    </r>
  </si>
  <si>
    <r>
      <t>EtOH productivity, p</t>
    </r>
    <r>
      <rPr>
        <sz val="8"/>
        <color theme="1"/>
        <rFont val="Georgia"/>
        <family val="1"/>
      </rPr>
      <t>E</t>
    </r>
  </si>
  <si>
    <r>
      <t>(E</t>
    </r>
    <r>
      <rPr>
        <sz val="8"/>
        <color theme="1"/>
        <rFont val="Georgia"/>
        <family val="1"/>
      </rPr>
      <t>f</t>
    </r>
    <r>
      <rPr>
        <sz val="11"/>
        <color theme="1"/>
        <rFont val="Georgia"/>
        <family val="1"/>
      </rPr>
      <t>-E</t>
    </r>
    <r>
      <rPr>
        <sz val="8"/>
        <color theme="1"/>
        <rFont val="Georgia"/>
        <family val="1"/>
      </rPr>
      <t>0</t>
    </r>
    <r>
      <rPr>
        <sz val="11"/>
        <color theme="1"/>
        <rFont val="Georgia"/>
        <family val="1"/>
      </rPr>
      <t>)/t</t>
    </r>
    <r>
      <rPr>
        <sz val="8"/>
        <color theme="1"/>
        <rFont val="Georgia"/>
        <family val="1"/>
      </rPr>
      <t>f</t>
    </r>
  </si>
  <si>
    <r>
      <t>0.058 mg h</t>
    </r>
    <r>
      <rPr>
        <sz val="8"/>
        <color theme="1"/>
        <rFont val="Georgia"/>
        <family val="1"/>
      </rPr>
      <t>−1</t>
    </r>
  </si>
  <si>
    <r>
      <t>EtOH yield, Y</t>
    </r>
    <r>
      <rPr>
        <sz val="8"/>
        <color theme="1"/>
        <rFont val="Georgia"/>
        <family val="1"/>
      </rPr>
      <t>p/s</t>
    </r>
  </si>
  <si>
    <r>
      <t>(E</t>
    </r>
    <r>
      <rPr>
        <sz val="8"/>
        <color theme="1"/>
        <rFont val="Georgia"/>
        <family val="1"/>
      </rPr>
      <t>m</t>
    </r>
    <r>
      <rPr>
        <sz val="11"/>
        <color theme="1"/>
        <rFont val="Georgia"/>
        <family val="1"/>
      </rPr>
      <t>-E</t>
    </r>
    <r>
      <rPr>
        <sz val="8"/>
        <color theme="1"/>
        <rFont val="Georgia"/>
        <family val="1"/>
      </rPr>
      <t>0</t>
    </r>
    <r>
      <rPr>
        <sz val="11"/>
        <color theme="1"/>
        <rFont val="Georgia"/>
        <family val="1"/>
      </rPr>
      <t>)/(S</t>
    </r>
    <r>
      <rPr>
        <sz val="8"/>
        <color theme="1"/>
        <rFont val="Georgia"/>
        <family val="1"/>
      </rPr>
      <t>0</t>
    </r>
    <r>
      <rPr>
        <sz val="11"/>
        <color theme="1"/>
        <rFont val="Georgia"/>
        <family val="1"/>
      </rPr>
      <t>–S)</t>
    </r>
  </si>
  <si>
    <r>
      <t>0.236 mg mg</t>
    </r>
    <r>
      <rPr>
        <sz val="8"/>
        <color theme="1"/>
        <rFont val="Georgia"/>
        <family val="1"/>
      </rPr>
      <t>−1</t>
    </r>
  </si>
  <si>
    <r>
      <t>Specific EtOH production rate, q</t>
    </r>
    <r>
      <rPr>
        <sz val="8"/>
        <color theme="1"/>
        <rFont val="Georgia"/>
        <family val="1"/>
      </rPr>
      <t>E</t>
    </r>
  </si>
  <si>
    <r>
      <t>(E</t>
    </r>
    <r>
      <rPr>
        <sz val="8"/>
        <color theme="1"/>
        <rFont val="Georgia"/>
        <family val="1"/>
      </rPr>
      <t>m</t>
    </r>
    <r>
      <rPr>
        <sz val="11"/>
        <color theme="1"/>
        <rFont val="Georgia"/>
        <family val="1"/>
      </rPr>
      <t>-E</t>
    </r>
    <r>
      <rPr>
        <sz val="8"/>
        <color theme="1"/>
        <rFont val="Georgia"/>
        <family val="1"/>
      </rPr>
      <t>0</t>
    </r>
    <r>
      <rPr>
        <sz val="11"/>
        <color theme="1"/>
        <rFont val="Georgia"/>
        <family val="1"/>
      </rPr>
      <t>)/(t</t>
    </r>
    <r>
      <rPr>
        <sz val="8"/>
        <color theme="1"/>
        <rFont val="Georgia"/>
        <family val="1"/>
      </rPr>
      <t>f</t>
    </r>
    <r>
      <rPr>
        <sz val="11"/>
        <color theme="1"/>
        <rFont val="Georgia"/>
        <family val="1"/>
      </rPr>
      <t> *(X</t>
    </r>
    <r>
      <rPr>
        <sz val="8"/>
        <color theme="1"/>
        <rFont val="Georgia"/>
        <family val="1"/>
      </rPr>
      <t>f</t>
    </r>
    <r>
      <rPr>
        <sz val="11"/>
        <color theme="1"/>
        <rFont val="Georgia"/>
        <family val="1"/>
      </rPr>
      <t>-X</t>
    </r>
    <r>
      <rPr>
        <sz val="8"/>
        <color theme="1"/>
        <rFont val="Georgia"/>
        <family val="1"/>
      </rPr>
      <t>0</t>
    </r>
    <r>
      <rPr>
        <sz val="11"/>
        <color theme="1"/>
        <rFont val="Georgia"/>
        <family val="1"/>
      </rPr>
      <t>))</t>
    </r>
  </si>
  <si>
    <r>
      <t>0.012 h</t>
    </r>
    <r>
      <rPr>
        <sz val="8"/>
        <color theme="1"/>
        <rFont val="Georgia"/>
        <family val="1"/>
      </rPr>
      <t>−1</t>
    </r>
  </si>
  <si>
    <t>EtOH yield, Yp/s (g/g glucose)</t>
  </si>
  <si>
    <t>glucose in banana peel %</t>
  </si>
  <si>
    <t>EtOH yield, Yp/s (g/g peel)</t>
  </si>
  <si>
    <t>https://www.sciencedirect.com/science/article/pii/S0956053X11000742?via%3Dihub#t0030</t>
  </si>
  <si>
    <t>Ethanol production from banana peels using statistically optimized simultaneous saccharification and fermentation process</t>
  </si>
  <si>
    <t>Table 6. Ethanol productivity parameters at a batch-scale fermenter level using optimized parameters obtained through RSM.</t>
  </si>
  <si>
    <t>Incubation time (h)</t>
  </si>
  <si>
    <t>Ethanol product yield on biomass basis (g/g)</t>
  </si>
  <si>
    <t>Ethanol product yield on sugar basis (g/g)</t>
  </si>
  <si>
    <t>Ethanol product yield on sugar consumed basisa (Yp/s)</t>
  </si>
  <si>
    <t>Volumetric product yield (g/l/h)</t>
  </si>
  <si>
    <t>Residual sugars not fermented by the yeast strain were deducted while making calculations for Y(p/s).</t>
  </si>
  <si>
    <t>avrg Ethanol product yield on sugar basis (g/g)</t>
  </si>
  <si>
    <t>sugar in banana peel %</t>
  </si>
  <si>
    <t>Ethanol product yield on banana peel basis (g/g)</t>
  </si>
  <si>
    <t>https://link.springer.com/article/10.1007/s12088-007-0057-z</t>
  </si>
  <si>
    <t>Optimization of fermentation parameters for production of ethanol from kinnow waste and banana peels by simultaneous saccharification and fermentation</t>
  </si>
  <si>
    <t>ethanol yield (g/g)</t>
  </si>
  <si>
    <t>fructose+glucose in banana %</t>
  </si>
  <si>
    <t>theoretical yield g/ g banana</t>
  </si>
  <si>
    <t>https://www.sciencedirect.com/science/article/pii/S1226086X14006996?via%3Dihub#tbl0015</t>
  </si>
  <si>
    <t>Fenton-mediated production of hydroxymethylfurfural (HMF) from banana waste</t>
  </si>
  <si>
    <t>The conversion rate and HMF yield were evaluated considering values from both the aqueous and organic phases. </t>
  </si>
  <si>
    <r>
      <t>Table 3</t>
    </r>
    <r>
      <rPr>
        <sz val="11"/>
        <color rgb="FF1F1F1F"/>
        <rFont val="Georgia"/>
        <family val="1"/>
      </rPr>
      <t>. Conversion of raw biomass as a starting material to HMF using various methods.</t>
    </r>
  </si>
  <si>
    <t>Substrate (starting material)</t>
  </si>
  <si>
    <t>Method (solvent/catalyst (if any))</t>
  </si>
  <si>
    <t>Reference number</t>
  </si>
  <si>
    <t>Sugarcane bagasse</t>
  </si>
  <si>
    <t>Hot compressed water (HCW) method (water)</t>
  </si>
  <si>
    <t>[30]</t>
  </si>
  <si>
    <t>Hydrothermal treatment (water/HCl or NaOH)</t>
  </si>
  <si>
    <t>Cotton</t>
  </si>
  <si>
    <t>Catalytic pyrolysis (sulfolane/sulfuric or polyphosphoric acid)</t>
  </si>
  <si>
    <t>[32]</t>
  </si>
  <si>
    <t>Pine wood</t>
  </si>
  <si>
    <r>
      <t>Ionic liquid under microwave irradiation ([C4MIM]Cl/CrCl</t>
    </r>
    <r>
      <rPr>
        <sz val="6"/>
        <color theme="1"/>
        <rFont val="Georgia"/>
        <family val="1"/>
      </rPr>
      <t>3</t>
    </r>
    <r>
      <rPr>
        <sz val="8"/>
        <color theme="1"/>
        <rFont val="Georgia"/>
        <family val="1"/>
      </rPr>
      <t> ·6H</t>
    </r>
    <r>
      <rPr>
        <sz val="6"/>
        <color theme="1"/>
        <rFont val="Georgia"/>
        <family val="1"/>
      </rPr>
      <t>2</t>
    </r>
    <r>
      <rPr>
        <sz val="8"/>
        <color theme="1"/>
        <rFont val="Georgia"/>
        <family val="1"/>
      </rPr>
      <t>O)</t>
    </r>
  </si>
  <si>
    <t>[33]</t>
  </si>
  <si>
    <t>Jerusalem artichoke</t>
  </si>
  <si>
    <r>
      <t>Hydrolysis and dehydration with catalyst (H</t>
    </r>
    <r>
      <rPr>
        <sz val="6"/>
        <color theme="1"/>
        <rFont val="Georgia"/>
        <family val="1"/>
      </rPr>
      <t>2</t>
    </r>
    <r>
      <rPr>
        <sz val="8"/>
        <color theme="1"/>
        <rFont val="Georgia"/>
        <family val="1"/>
      </rPr>
      <t>O:2-butanol/Nb</t>
    </r>
    <r>
      <rPr>
        <sz val="6"/>
        <color theme="1"/>
        <rFont val="Georgia"/>
        <family val="1"/>
      </rPr>
      <t>2</t>
    </r>
    <r>
      <rPr>
        <sz val="8"/>
        <color theme="1"/>
        <rFont val="Georgia"/>
        <family val="1"/>
      </rPr>
      <t>O</t>
    </r>
    <r>
      <rPr>
        <sz val="6"/>
        <color theme="1"/>
        <rFont val="Georgia"/>
        <family val="1"/>
      </rPr>
      <t>5</t>
    </r>
    <r>
      <rPr>
        <sz val="8"/>
        <color theme="1"/>
        <rFont val="Georgia"/>
        <family val="1"/>
      </rPr>
      <t> with H</t>
    </r>
    <r>
      <rPr>
        <sz val="6"/>
        <color theme="1"/>
        <rFont val="Georgia"/>
        <family val="1"/>
      </rPr>
      <t>3</t>
    </r>
    <r>
      <rPr>
        <sz val="8"/>
        <color theme="1"/>
        <rFont val="Georgia"/>
        <family val="1"/>
      </rPr>
      <t>PO</t>
    </r>
    <r>
      <rPr>
        <sz val="6"/>
        <color theme="1"/>
        <rFont val="Georgia"/>
        <family val="1"/>
      </rPr>
      <t>4</t>
    </r>
    <r>
      <rPr>
        <sz val="8"/>
        <color theme="1"/>
        <rFont val="Georgia"/>
        <family val="1"/>
      </rPr>
      <t>)</t>
    </r>
  </si>
  <si>
    <t>[34]</t>
  </si>
  <si>
    <t>Girasol and potato tuber</t>
  </si>
  <si>
    <r>
      <t>Extraction with ionic liquid ([OMIM]Cl/CrCl</t>
    </r>
    <r>
      <rPr>
        <sz val="6"/>
        <color theme="1"/>
        <rFont val="Georgia"/>
        <family val="1"/>
      </rPr>
      <t>2</t>
    </r>
    <r>
      <rPr>
        <sz val="8"/>
        <color theme="1"/>
        <rFont val="Georgia"/>
        <family val="1"/>
      </rPr>
      <t>)</t>
    </r>
  </si>
  <si>
    <t>54 and 58, respectively</t>
  </si>
  <si>
    <t>[35]</t>
  </si>
  <si>
    <t>Banana peel</t>
  </si>
  <si>
    <t>Fenton reaction (H2O:2-butanol)</t>
  </si>
  <si>
    <t>yield g HMF/g banana peel</t>
  </si>
  <si>
    <t>https://www.sciencedirect.com/science/article/pii/S0960852422011129?via%3Dihub</t>
  </si>
  <si>
    <t>Semisynthetic transformation of banana peel to enhance the conversion of sugars to 5-hydroxymethylfurfural</t>
  </si>
  <si>
    <r>
      <t xml:space="preserve">Under identical reaction conditions, </t>
    </r>
    <r>
      <rPr>
        <sz val="10"/>
        <color theme="9"/>
        <rFont val="Georgia"/>
        <family val="1"/>
      </rPr>
      <t>direct conversion</t>
    </r>
    <r>
      <rPr>
        <sz val="10"/>
        <color rgb="FF1F1F1F"/>
        <rFont val="Georgia"/>
        <family val="1"/>
      </rPr>
      <t xml:space="preserve"> of untreated BP to HMF yielded 22.7 mol% HMF, suggesting that mechanoenzymatic hydrolysis greatly promotes the release of sugars from BP to improve HMF yield.</t>
    </r>
  </si>
  <si>
    <t>Yield HMF (mol%)</t>
  </si>
  <si>
    <t>22.7 </t>
  </si>
  <si>
    <r>
      <t>the conversion of the resulting monosaccharides into HMF in the presence of the AlCl</t>
    </r>
    <r>
      <rPr>
        <sz val="7"/>
        <color rgb="FF1F1F1F"/>
        <rFont val="Georgia"/>
        <family val="1"/>
      </rPr>
      <t>3</t>
    </r>
    <r>
      <rPr>
        <sz val="10"/>
        <color rgb="FF1F1F1F"/>
        <rFont val="Georgia"/>
        <family val="1"/>
      </rPr>
      <t>·H</t>
    </r>
    <r>
      <rPr>
        <sz val="7"/>
        <color rgb="FF1F1F1F"/>
        <rFont val="Georgia"/>
        <family val="1"/>
      </rPr>
      <t>2</t>
    </r>
    <r>
      <rPr>
        <sz val="10"/>
        <color rgb="FF1F1F1F"/>
        <rFont val="Georgia"/>
        <family val="1"/>
      </rPr>
      <t>O/HCl-DMSO/H</t>
    </r>
    <r>
      <rPr>
        <sz val="7"/>
        <color rgb="FF1F1F1F"/>
        <rFont val="Georgia"/>
        <family val="1"/>
      </rPr>
      <t>2</t>
    </r>
    <r>
      <rPr>
        <sz val="10"/>
        <color rgb="FF1F1F1F"/>
        <rFont val="Georgia"/>
        <family val="1"/>
      </rPr>
      <t>O system resulted in 71.9 mol% yield</t>
    </r>
  </si>
  <si>
    <t>71.9 </t>
  </si>
  <si>
    <t>avrg Yield HMF (mol%)</t>
  </si>
  <si>
    <t>Glu and Fru in banana peel g/g</t>
  </si>
  <si>
    <t>Glu and Fru in banana peel mol/g</t>
  </si>
  <si>
    <t>fru+glu in banana  %</t>
  </si>
  <si>
    <t>theoretical yield FDCA from banana g/g</t>
  </si>
  <si>
    <t>fru+glu in banana peel  %</t>
  </si>
  <si>
    <t>theoretical yield FDCA from banana peel g/g</t>
  </si>
  <si>
    <t>yield (isoprene/banana)</t>
  </si>
  <si>
    <t>glucose in banana peel</t>
  </si>
  <si>
    <t>yield (isoprene/banana peel)</t>
  </si>
  <si>
    <t>glu+fru+xyl in banana</t>
  </si>
  <si>
    <t>succinate yield g/g banana</t>
  </si>
  <si>
    <t>glu+fru+xyl in banana peel</t>
  </si>
  <si>
    <t>succinate yield g/g banana peel</t>
  </si>
  <si>
    <t>yield (3-HP/banana)</t>
  </si>
  <si>
    <t>yield (3-HP/banana peel)</t>
  </si>
  <si>
    <t>glu+fru banana (g/100g)</t>
  </si>
  <si>
    <t>Theoretical yield (g/g banana)</t>
  </si>
  <si>
    <t>glu+fru banana peel (g/100g)</t>
  </si>
  <si>
    <t>Theoretical yield (g/g banana peel)</t>
  </si>
  <si>
    <t>sugar from banana g/g</t>
  </si>
  <si>
    <t>theoretical yield (g lactic acid per g banana)</t>
  </si>
  <si>
    <t>https://www.sciencedirect.com/science/article/pii/S2589014X1930146X?via%3Dihub#t0010</t>
  </si>
  <si>
    <t>Free-nutrient supply and thermo-alkaline conditions for direct lactic acid production from mixed lignocellulosic and food waste materials</t>
  </si>
  <si>
    <r>
      <t>Table 2. Effect of solid-to-liquid ratios on fermentation parameters for lactic acid production from banana peels by </t>
    </r>
    <r>
      <rPr>
        <i/>
        <sz val="11"/>
        <color rgb="FF1F1F1F"/>
        <rFont val="Georgia"/>
        <family val="1"/>
      </rPr>
      <t>E. faecium</t>
    </r>
    <r>
      <rPr>
        <sz val="11"/>
        <color rgb="FF1F1F1F"/>
        <rFont val="Georgia"/>
        <family val="1"/>
      </rPr>
      <t> strain FW26.</t>
    </r>
  </si>
  <si>
    <r>
      <t>Solid-to-liquid ratio (</t>
    </r>
    <r>
      <rPr>
        <b/>
        <i/>
        <sz val="11"/>
        <color theme="1"/>
        <rFont val="Georgia"/>
        <family val="1"/>
      </rPr>
      <t>w/v</t>
    </r>
    <r>
      <rPr>
        <b/>
        <sz val="11"/>
        <color theme="1"/>
        <rFont val="Georgia"/>
        <family val="1"/>
      </rPr>
      <t>)</t>
    </r>
  </si>
  <si>
    <r>
      <t>Total viable count (cell ∗ 10</t>
    </r>
    <r>
      <rPr>
        <b/>
        <sz val="8"/>
        <color theme="1"/>
        <rFont val="Georgia"/>
        <family val="1"/>
      </rPr>
      <t>10</t>
    </r>
    <r>
      <rPr>
        <b/>
        <sz val="11"/>
        <color theme="1"/>
        <rFont val="Georgia"/>
        <family val="1"/>
      </rPr>
      <t>/ml media)</t>
    </r>
  </si>
  <si>
    <r>
      <t>Consumed sugar (g L</t>
    </r>
    <r>
      <rPr>
        <b/>
        <sz val="8"/>
        <color theme="1"/>
        <rFont val="Georgia"/>
        <family val="1"/>
      </rPr>
      <t>−1</t>
    </r>
    <r>
      <rPr>
        <b/>
        <sz val="11"/>
        <color theme="1"/>
        <rFont val="Georgia"/>
        <family val="1"/>
      </rPr>
      <t>)</t>
    </r>
  </si>
  <si>
    <t>LA conc. (g L−1)a</t>
  </si>
  <si>
    <t>YLA (g g−1)b</t>
  </si>
  <si>
    <t>PLA (g L−1 h−1)c</t>
  </si>
  <si>
    <t>Max PLA (g L−1 h−1)d</t>
  </si>
  <si>
    <t>77.0 ± 1.41</t>
  </si>
  <si>
    <t>8.40 ± 0.5</t>
  </si>
  <si>
    <t>6.26 ± 0.3</t>
  </si>
  <si>
    <t>0.34 (6 h)</t>
  </si>
  <si>
    <t>72.0 ± 4.24</t>
  </si>
  <si>
    <t>8.30 ± 0.0</t>
  </si>
  <si>
    <t>6.40 ± 0.4</t>
  </si>
  <si>
    <t>91.0 ± 2.82</t>
  </si>
  <si>
    <t>13.1 ± 0.2</t>
  </si>
  <si>
    <t>9.43 ± 1.2</t>
  </si>
  <si>
    <t>0.44 (6 h)</t>
  </si>
  <si>
    <t>106 ± 9.19</t>
  </si>
  <si>
    <t>13.8 ± 0.6</t>
  </si>
  <si>
    <t>12.1 ± 0.4</t>
  </si>
  <si>
    <t>0.47 (24 h)</t>
  </si>
  <si>
    <t>86.0 ± 4.24</t>
  </si>
  <si>
    <t>16.4 ± 0.5</t>
  </si>
  <si>
    <t>14.5 ± 0.5</t>
  </si>
  <si>
    <t>0.64 (12 h)</t>
  </si>
  <si>
    <t>121 ± 14.1</t>
  </si>
  <si>
    <t>17.9 ± 0.8</t>
  </si>
  <si>
    <t>15.9 ± 0.9</t>
  </si>
  <si>
    <t>0.73 (12 h)</t>
  </si>
  <si>
    <t>95.0 ± 11.3</t>
  </si>
  <si>
    <t>13.3 ± 0.3</t>
  </si>
  <si>
    <t>11.1 ± 0.2</t>
  </si>
  <si>
    <t>0.41 (24 h)</t>
  </si>
  <si>
    <t>86.5 ± 13.4</t>
  </si>
  <si>
    <t>11.2 ± 0.7</t>
  </si>
  <si>
    <t>100 ± 3.54</t>
  </si>
  <si>
    <t>14.0 ± 0.2</t>
  </si>
  <si>
    <t>11.7 ± 0.6</t>
  </si>
  <si>
    <t>0.50 (24 h)</t>
  </si>
  <si>
    <t>avrg yield g g−1-consumed sugars</t>
  </si>
  <si>
    <t>sugar in  banana peel</t>
  </si>
  <si>
    <t>yield g g−1 banana peel</t>
  </si>
  <si>
    <t>https://www.sciencedirect.com/science/article/pii/S1878818119307340?via%3Dihub#tbl3</t>
  </si>
  <si>
    <t>Effective biorefinery approach for lactic acid production based on co-fermentation of mixed organic wastes by Enterococcus durans BP130</t>
  </si>
  <si>
    <t>Table 3. Effect of banana peels concentrations on growth, sugar consumption and lactic acid production by E. durans BP130.</t>
  </si>
  <si>
    <t>Conc. of banana peels % (w-dry matter/v)</t>
  </si>
  <si>
    <t>Total Viable Cells × 1010 (cfu/ml)</t>
  </si>
  <si>
    <t>Consumed sugar (g L−1)</t>
  </si>
  <si>
    <t>LA conc. (g L−1)a</t>
  </si>
  <si>
    <t>LA yield (g g−1)b</t>
  </si>
  <si>
    <t>PLA (g L−1 h−1)c</t>
  </si>
  <si>
    <t>Max PLA (g L−1 h−1)d</t>
  </si>
  <si>
    <t>346 ± 18</t>
  </si>
  <si>
    <t>13.9 ± 0.8</t>
  </si>
  <si>
    <t>11.2 ± 0.4</t>
  </si>
  <si>
    <t>0.47 (12 h)</t>
  </si>
  <si>
    <t>323 ± 9.2</t>
  </si>
  <si>
    <t>16.8 ± 1.5</t>
  </si>
  <si>
    <t>12.9 ± 0.1</t>
  </si>
  <si>
    <t>0.53 (12 h)</t>
  </si>
  <si>
    <t>338 ± 9.9</t>
  </si>
  <si>
    <t>21.2 ± 0.6</t>
  </si>
  <si>
    <t>19.2 ± 0.4</t>
  </si>
  <si>
    <t>1.2 (12 h)</t>
  </si>
  <si>
    <t>250 ± 16</t>
  </si>
  <si>
    <t>21.8 ± 1.0</t>
  </si>
  <si>
    <t>18.8 ± 0.6</t>
  </si>
  <si>
    <t>1.0 12 h)</t>
  </si>
  <si>
    <t>218 ± 9.2</t>
  </si>
  <si>
    <t>19.5 ± 0.5</t>
  </si>
  <si>
    <t>1.1 (12 h)</t>
  </si>
  <si>
    <t>167 ± 23</t>
  </si>
  <si>
    <t>13.1 ± 0.3</t>
  </si>
  <si>
    <t>11.3 ± 0.5</t>
  </si>
  <si>
    <t>0.51 (6 h)</t>
  </si>
  <si>
    <t>129 ± 3.5</t>
  </si>
  <si>
    <t>10.9 ± 0.1</t>
  </si>
  <si>
    <t>8.20 ± 0.1</t>
  </si>
  <si>
    <t>0.41 (6 h)</t>
  </si>
  <si>
    <t>118 ± 7.8</t>
  </si>
  <si>
    <t>7.4 0± 0.2</t>
  </si>
  <si>
    <t>6.10 ± 0.1</t>
  </si>
  <si>
    <t>0.36 (6 h)</t>
  </si>
  <si>
    <t>91.5 ± 11</t>
  </si>
  <si>
    <t>5.10 ± 0.1</t>
  </si>
  <si>
    <t>3.20 ± 0.1</t>
  </si>
  <si>
    <t>0.35 (6 h)</t>
  </si>
  <si>
    <t>glu+ fru in banana %</t>
  </si>
  <si>
    <t>yield g/g banana</t>
  </si>
  <si>
    <t>glu+ fru in banana peel %</t>
  </si>
  <si>
    <t>yield g/g banana peel</t>
  </si>
  <si>
    <t>xylose in banana %</t>
  </si>
  <si>
    <t>yield (g xylitol / g banana)</t>
  </si>
  <si>
    <t>https://www.mdpi.com/2076-3417/11/12/5516</t>
  </si>
  <si>
    <t>Biovalorization of Lignocellulosic Materials for Xylitol Production by the Yeast Komagataella pastoris</t>
  </si>
  <si>
    <t>Table 3. Substrate consumption, cell dry weight (CDW), xylitol and arabitol production, after 120 h of cultivation.</t>
  </si>
  <si>
    <t>Raw Hydrolysate</t>
  </si>
  <si>
    <t>Banana Peels</t>
  </si>
  <si>
    <t>BSG</t>
  </si>
  <si>
    <t>Corncobs</t>
  </si>
  <si>
    <t>Grape Pomace</t>
  </si>
  <si>
    <t>Grape Stalks</t>
  </si>
  <si>
    <t>Sawdust</t>
  </si>
  <si>
    <t>Initial glucose (g/L)</t>
  </si>
  <si>
    <t>8.2 ± 0.6</t>
  </si>
  <si>
    <t>6.4 ± 2.3</t>
  </si>
  <si>
    <t>2.3 ± 0.4</t>
  </si>
  <si>
    <t>1.7 ± 0.5</t>
  </si>
  <si>
    <t>8.0 ± 0.7</t>
  </si>
  <si>
    <t>1.7 ± 0.2</t>
  </si>
  <si>
    <t>Glucose consumed (g/L)</t>
  </si>
  <si>
    <t>8.2 ± 1.5</t>
  </si>
  <si>
    <t>4.9 ± 0.9</t>
  </si>
  <si>
    <t>0.7 ± 0.1</t>
  </si>
  <si>
    <t>1.7 ± 0.3</t>
  </si>
  <si>
    <t>6.7 ± 1.2</t>
  </si>
  <si>
    <t>0.1 ± 0.0</t>
  </si>
  <si>
    <t>Initial xylose (g/L)</t>
  </si>
  <si>
    <t>1.2 ± 1.1</t>
  </si>
  <si>
    <t>8.9 ± 2.6</t>
  </si>
  <si>
    <t>3.1 ± 1.3</t>
  </si>
  <si>
    <t>5.5 ± 1.1</t>
  </si>
  <si>
    <t>10.8 ± 1.9</t>
  </si>
  <si>
    <t>Xylose consumed (g/L)</t>
  </si>
  <si>
    <t>1.0 ± 0.4</t>
  </si>
  <si>
    <t>2.3 ± 0.9</t>
  </si>
  <si>
    <t>2.2 ± 0.8</t>
  </si>
  <si>
    <t>1.7 ± 0.6</t>
  </si>
  <si>
    <t>3.1 ± 1.2</t>
  </si>
  <si>
    <t>0.5 ± 0.2</t>
  </si>
  <si>
    <t>Initial arabinose (g/L)</t>
  </si>
  <si>
    <t>1.4 ± 0.3</t>
  </si>
  <si>
    <t>6.2 ± 2.1</t>
  </si>
  <si>
    <t>0.9 ± 0.2</t>
  </si>
  <si>
    <t>0.9 ± 0.3</t>
  </si>
  <si>
    <t>1.9 ± 0.7</t>
  </si>
  <si>
    <t>0.4 ± 0.1</t>
  </si>
  <si>
    <t>Arabinose consumed (g/L)</t>
  </si>
  <si>
    <t>0.2 ± 0.1</t>
  </si>
  <si>
    <t>CDW (g/L)</t>
  </si>
  <si>
    <t>15.18 ± 0.33</t>
  </si>
  <si>
    <t>5.70 ± 0.94</t>
  </si>
  <si>
    <t>13.70 ± 0.15</t>
  </si>
  <si>
    <t>7.08 ± 0.17</t>
  </si>
  <si>
    <t>14.58 ± 0.19</t>
  </si>
  <si>
    <t>0.92 ± 0.09</t>
  </si>
  <si>
    <t>0.06 ± 0.01</t>
  </si>
  <si>
    <t>1.51 ± 0.07</t>
  </si>
  <si>
    <t>0.81 ± 0.05</t>
  </si>
  <si>
    <t>0.36 ± 0.07</t>
  </si>
  <si>
    <t>0.78 ± 0.04</t>
  </si>
  <si>
    <t>0.02 ± 0.01</t>
  </si>
  <si>
    <t>Arabitol (g/L)</t>
  </si>
  <si>
    <t>0.90 ± 0.09</t>
  </si>
  <si>
    <t>0.21 ± 0.03</t>
  </si>
  <si>
    <t>0.21 ± 0.02</t>
  </si>
  <si>
    <t>0.34 ± 0.04</t>
  </si>
  <si>
    <t>0.07 ± 0.01</t>
  </si>
  <si>
    <t xml:space="preserve">yield g Xylitol/ g Xylose </t>
  </si>
  <si>
    <t xml:space="preserve">xylose in banana peel g / g </t>
  </si>
  <si>
    <t>yield g Xylitol/ g banana peel</t>
  </si>
  <si>
    <t>xylose in banana peel %</t>
  </si>
  <si>
    <t>yield (g xylitol / g banana peel)</t>
  </si>
  <si>
    <t>potato pulp</t>
  </si>
  <si>
    <t>https://www.sciencedirect.com/science/article/pii/S0141813018353625#t0015</t>
  </si>
  <si>
    <t>Characterization of physicochemical properties of cellulose from potato pulp and their effects on enzymatic hydrolysis by cellulase</t>
  </si>
  <si>
    <t>Table 1. Yield and composition of de-starched potato pulp, alkali-treated potato pulp, cellulose from potato pulp and cellulose from corn stalk.</t>
  </si>
  <si>
    <t>Samples</t>
  </si>
  <si>
    <t>Composition (g/100 g of sample)</t>
  </si>
  <si>
    <t>Solid yield</t>
  </si>
  <si>
    <t>Glucan</t>
  </si>
  <si>
    <t>Xylan</t>
  </si>
  <si>
    <t>Lignin</t>
  </si>
  <si>
    <t>Galacturonic acid</t>
  </si>
  <si>
    <t>Glucan ratio</t>
  </si>
  <si>
    <t>Xylan ratio</t>
  </si>
  <si>
    <t>De-starched potato pulp</t>
  </si>
  <si>
    <t>48.30 ± 0.7</t>
  </si>
  <si>
    <t>17.42 ± 0.5</t>
  </si>
  <si>
    <t>4.75 ± 0.6</t>
  </si>
  <si>
    <t>16.19 ± 0.5</t>
  </si>
  <si>
    <t>4.75 </t>
  </si>
  <si>
    <t>Alkali-treated potato pulp</t>
  </si>
  <si>
    <t>71.75 ± 0.9</t>
  </si>
  <si>
    <t>9.42 ± 0.3</t>
  </si>
  <si>
    <t>1.65 ± 0.5</t>
  </si>
  <si>
    <t>5.58 ± 0.3</t>
  </si>
  <si>
    <r>
      <rPr>
        <sz val="11"/>
        <color theme="6"/>
        <rFont val="Georgia"/>
        <family val="1"/>
      </rPr>
      <t>Cellulose</t>
    </r>
    <r>
      <rPr>
        <sz val="11"/>
        <color theme="1"/>
        <rFont val="Georgia"/>
        <family val="1"/>
      </rPr>
      <t xml:space="preserve"> from potato pulp</t>
    </r>
  </si>
  <si>
    <t>81.34 ± 1.1</t>
  </si>
  <si>
    <t>5.58 ± 0.4</t>
  </si>
  <si>
    <t>0.72 ± 0.2</t>
  </si>
  <si>
    <t>3.14 ± 0.4</t>
  </si>
  <si>
    <t>Cellulose from corn stalk</t>
  </si>
  <si>
    <t>83.72 ± 0.8</t>
  </si>
  <si>
    <t>8.28 ± 0.7</t>
  </si>
  <si>
    <t>5.39 ± 0.5</t>
  </si>
  <si>
    <t>N.D.</t>
  </si>
  <si>
    <t>N.D. = Not determined.</t>
  </si>
  <si>
    <t>https://link.springer.com/article/10.1186/s13068-016-0464-7</t>
  </si>
  <si>
    <t>An environmentally friendly and productive process for bioethanol production from potato waste</t>
  </si>
  <si>
    <t>When the enzyme of T. reesei TX+ pectinase was added,</t>
  </si>
  <si>
    <t>the glucose concentration was 168.13 g/L after enzymatic</t>
  </si>
  <si>
    <t>hydrolysis, ethanol was 79.00 g/L and 2.46 g/L of glucose</t>
  </si>
  <si>
    <t>remained. Therefore, almost the entire glucose was converted</t>
  </si>
  <si>
    <t>into ethanol without supplementing any nitrogen</t>
  </si>
  <si>
    <t>source.</t>
  </si>
  <si>
    <t>glucose concentration before( g/L)</t>
  </si>
  <si>
    <t>glucose concentration after( g/L)</t>
  </si>
  <si>
    <t>ethanol g/L</t>
  </si>
  <si>
    <t>ethanol/glucose</t>
  </si>
  <si>
    <t>glucose in potato pulp</t>
  </si>
  <si>
    <t>ethanol/potato pulp</t>
  </si>
  <si>
    <t>https://www.scientific.net/AMR.805-806.281</t>
  </si>
  <si>
    <t>Research on ethanol production by biological fermentation of potato pulp</t>
  </si>
  <si>
    <t>Table 2 Orthogonal direct analysis table</t>
  </si>
  <si>
    <t>Experiment No.</t>
  </si>
  <si>
    <t>Ethanol production (mL·g-1 )</t>
  </si>
  <si>
    <t xml:space="preserve">avrg Ethanol production (mL·g-1 ) </t>
  </si>
  <si>
    <t xml:space="preserve">Ethanol density g/L </t>
  </si>
  <si>
    <t xml:space="preserve"> Ethanol production (g·g-1 )</t>
  </si>
  <si>
    <t>https://www.sciencedirect.com/science/article/pii/0032959293800126?via%3Dihub</t>
  </si>
  <si>
    <t>Utilization of potato pulp from potato starch processing</t>
  </si>
  <si>
    <t xml:space="preserve">Ethanol production from the hydrolysate of cellulose/hemicellulose is not economic because of the low sugar concentration in the hydrolysate. </t>
  </si>
  <si>
    <t>fructose+glucose in potato pulp %</t>
  </si>
  <si>
    <t>theoretical yield g/ g potato pulp</t>
  </si>
  <si>
    <t>fru+glu in potato pulp  %</t>
  </si>
  <si>
    <t>theoretical yield FDCA from potato pulp g/g</t>
  </si>
  <si>
    <t>yield (isoprene/potato pulp)</t>
  </si>
  <si>
    <t>glu+fru+xyl in potato pulp</t>
  </si>
  <si>
    <t>succinate yield g/g potato pulp</t>
  </si>
  <si>
    <t>yield (3-HP/potato pulp)</t>
  </si>
  <si>
    <t>glu+fru potato pulp (g/100g)</t>
  </si>
  <si>
    <t>Theoretical yield (g/g potato pulp)</t>
  </si>
  <si>
    <t>sugar from potato pulp g/g</t>
  </si>
  <si>
    <t>theoretical yield (g lactic acid per g potato pulp)</t>
  </si>
  <si>
    <t>glu+ fru in potato pulp %</t>
  </si>
  <si>
    <t>yield g/g potato pulp</t>
  </si>
  <si>
    <t>yield (g xylitol / g potato pulp)</t>
  </si>
  <si>
    <t xml:space="preserve">sweet potato </t>
  </si>
  <si>
    <t>https://www.sciencedirect.com/science/article/pii/S0959652611005683?via%3Dihub#tbl6</t>
  </si>
  <si>
    <t>Simultaneous hydrogen and ethanol production from sweet potato via dark fermentation</t>
  </si>
  <si>
    <r>
      <t>Table 6</t>
    </r>
    <r>
      <rPr>
        <sz val="11"/>
        <color rgb="FF1F1F1F"/>
        <rFont val="Georgia"/>
        <family val="1"/>
      </rPr>
      <t>. Energy production efficiency at various experimental conditions.</t>
    </r>
  </si>
  <si>
    <t>Runa</t>
  </si>
  <si>
    <r>
      <t>Hydrogen production yield (mmol H</t>
    </r>
    <r>
      <rPr>
        <b/>
        <sz val="6"/>
        <color theme="1"/>
        <rFont val="Georgia"/>
        <family val="1"/>
      </rPr>
      <t>2</t>
    </r>
    <r>
      <rPr>
        <b/>
        <sz val="8"/>
        <color theme="1"/>
        <rFont val="Georgia"/>
        <family val="1"/>
      </rPr>
      <t>/g sweet potato)</t>
    </r>
  </si>
  <si>
    <t>Ethanol production yield (mmol EtOH/g sweet potato)</t>
  </si>
  <si>
    <t>Energy production yield (J/g sweet potato)</t>
  </si>
  <si>
    <t>TEP (J/g sweet potato)</t>
  </si>
  <si>
    <t>Hydrogen</t>
  </si>
  <si>
    <r>
      <t>Run 1 (optimal condition for hydrogen production): sweet potato 50 g COD/L, sewage sludge seed, temperature 37 °C and pH 7.0; Run 2 (optimal condition for ethanol production): sweet potato 50 g COD/L, sewage sludge seed, temperature 37 °C and pH 8.5; Run 3 (optimal condition for hydrogen and ethanol production using indigenous bacteria): sweet potato 50 g COD/L, indigenous bacteria seed, temperature 37 °C and pH 7.0; Heating value parameters: H</t>
    </r>
    <r>
      <rPr>
        <sz val="6"/>
        <color rgb="FF1F1F1F"/>
        <rFont val="Georgia"/>
        <family val="1"/>
      </rPr>
      <t>2</t>
    </r>
    <r>
      <rPr>
        <sz val="8"/>
        <color rgb="FF1F1F1F"/>
        <rFont val="Georgia"/>
        <family val="1"/>
      </rPr>
      <t> 285.8 J/mmol and ethanol 1366 J/mmol.</t>
    </r>
  </si>
  <si>
    <t>avrg Ethanol production yield (mmol EtOH/g sweet potato)</t>
  </si>
  <si>
    <t>avrg Ethanol production yield (g EtOH/g sweet potato)</t>
  </si>
  <si>
    <t>https://iubmb.onlinelibrary.wiley.com/doi/10.1002/bab.1190</t>
  </si>
  <si>
    <t>The use of plant cell wall–degrading enzymes from newly isolated Penicillium ochrochloron Biourge for viscosity reduction in ethanol production with fresh sweet potato tubers as feedstock</t>
  </si>
  <si>
    <t>Total sugar, initial (g/kg)</t>
  </si>
  <si>
    <t>Total sugar, final (g/kg)</t>
  </si>
  <si>
    <t>Ethanol, final (g/kg)</t>
  </si>
  <si>
    <t>sugar used  (g/kg)</t>
  </si>
  <si>
    <t>yield ethanol/ sugar( g/g)</t>
  </si>
  <si>
    <t>sugar in sweet potato</t>
  </si>
  <si>
    <t>yield ethanol/ sweet potato ( g/g)</t>
  </si>
  <si>
    <t>https://link.springer.com/article/10.1007/s42452-021-04369-y</t>
  </si>
  <si>
    <t>The potential of sweet potato biorefinery and development of alternative uses</t>
  </si>
  <si>
    <r>
      <t>Table 1 Fermentation parameters using </t>
    </r>
    <r>
      <rPr>
        <b/>
        <i/>
        <sz val="12"/>
        <color theme="1"/>
        <rFont val="Calibri"/>
        <family val="2"/>
        <scheme val="minor"/>
      </rPr>
      <t>S. cerevisiae</t>
    </r>
    <r>
      <rPr>
        <b/>
        <sz val="12"/>
        <color theme="1"/>
        <rFont val="Calibri"/>
        <family val="2"/>
        <scheme val="minor"/>
      </rPr>
      <t> strains with initial inoculum sizes of 10</t>
    </r>
    <r>
      <rPr>
        <b/>
        <vertAlign val="superscript"/>
        <sz val="12"/>
        <color theme="1"/>
        <rFont val="Calibri"/>
        <family val="2"/>
        <scheme val="minor"/>
      </rPr>
      <t>7</t>
    </r>
    <r>
      <rPr>
        <b/>
        <sz val="12"/>
        <color theme="1"/>
        <rFont val="Calibri"/>
        <family val="2"/>
        <scheme val="minor"/>
      </rPr>
      <t> or 10</t>
    </r>
    <r>
      <rPr>
        <b/>
        <vertAlign val="superscript"/>
        <sz val="12"/>
        <color theme="1"/>
        <rFont val="Calibri"/>
        <family val="2"/>
        <scheme val="minor"/>
      </rPr>
      <t>8</t>
    </r>
    <r>
      <rPr>
        <b/>
        <sz val="12"/>
        <color theme="1"/>
        <rFont val="Calibri"/>
        <family val="2"/>
        <scheme val="minor"/>
      </rPr>
      <t> cells/mL at different fermentation times</t>
    </r>
  </si>
  <si>
    <t>From: The potential of sweet potato biorefinery and development of alternative uses</t>
  </si>
  <si>
    <t>UFC (cells/mL)</t>
  </si>
  <si>
    <t>LPB1-93</t>
  </si>
  <si>
    <r>
      <t>IRS</t>
    </r>
    <r>
      <rPr>
        <vertAlign val="superscript"/>
        <sz val="11"/>
        <color theme="1"/>
        <rFont val="Merriweather Sans"/>
      </rPr>
      <t>a</t>
    </r>
    <r>
      <rPr>
        <sz val="11"/>
        <color theme="1"/>
        <rFont val="Merriweather Sans"/>
      </rPr>
      <t> (g/L)</t>
    </r>
  </si>
  <si>
    <r>
      <t>CS</t>
    </r>
    <r>
      <rPr>
        <vertAlign val="superscript"/>
        <sz val="11"/>
        <color theme="1"/>
        <rFont val="Merriweather Sans"/>
      </rPr>
      <t>b</t>
    </r>
    <r>
      <rPr>
        <sz val="11"/>
        <color theme="1"/>
        <rFont val="Merriweather Sans"/>
      </rPr>
      <t> (%)</t>
    </r>
  </si>
  <si>
    <r>
      <t>PE</t>
    </r>
    <r>
      <rPr>
        <vertAlign val="superscript"/>
        <sz val="11"/>
        <color theme="1"/>
        <rFont val="Merriweather Sans"/>
      </rPr>
      <t>c</t>
    </r>
    <r>
      <rPr>
        <sz val="11"/>
        <color theme="1"/>
        <rFont val="Merriweather Sans"/>
      </rPr>
      <t> (g/L)</t>
    </r>
  </si>
  <si>
    <t>1.2 ± 0.35</t>
  </si>
  <si>
    <t>13.1 ± 0.71</t>
  </si>
  <si>
    <t>25.9 ± 0.28</t>
  </si>
  <si>
    <t>31.0 ± 1.27</t>
  </si>
  <si>
    <t>22.6 ± 0.71</t>
  </si>
  <si>
    <t>30.8 ± 0.49</t>
  </si>
  <si>
    <t>38.6 ± 1.41</t>
  </si>
  <si>
    <r>
      <t>Y</t>
    </r>
    <r>
      <rPr>
        <vertAlign val="superscript"/>
        <sz val="11"/>
        <color theme="1"/>
        <rFont val="Merriweather Sans"/>
      </rPr>
      <t>d</t>
    </r>
    <r>
      <rPr>
        <sz val="11"/>
        <color theme="1"/>
        <rFont val="Merriweather Sans"/>
      </rPr>
      <t> (%)</t>
    </r>
  </si>
  <si>
    <r>
      <t>P</t>
    </r>
    <r>
      <rPr>
        <vertAlign val="superscript"/>
        <sz val="11"/>
        <color theme="1"/>
        <rFont val="Merriweather Sans"/>
      </rPr>
      <t>e</t>
    </r>
    <r>
      <rPr>
        <sz val="11"/>
        <color theme="1"/>
        <rFont val="Merriweather Sans"/>
      </rPr>
      <t> (L/ha/year)</t>
    </r>
  </si>
  <si>
    <t>CA-11</t>
  </si>
  <si>
    <t>2.3 ± 0.14</t>
  </si>
  <si>
    <t>18.2 ± 0.28</t>
  </si>
  <si>
    <t>27.9 ± 0.07</t>
  </si>
  <si>
    <t>30.9 ± 0.7</t>
  </si>
  <si>
    <t>19.6 ± 0.42</t>
  </si>
  <si>
    <t>21.4 ± 0.28</t>
  </si>
  <si>
    <t>18.8 ± 0.07</t>
  </si>
  <si>
    <t>17.2 ± 0.78</t>
  </si>
  <si>
    <t>ATCC-26602</t>
  </si>
  <si>
    <t>1.6 ± 0</t>
  </si>
  <si>
    <t>14.6 ± 1.06</t>
  </si>
  <si>
    <t>23.3 ± 0.71</t>
  </si>
  <si>
    <t>27.5 ± 0.78</t>
  </si>
  <si>
    <t>21.8 ± 0.07</t>
  </si>
  <si>
    <t>26.8 ± 0.35</t>
  </si>
  <si>
    <t>27.8 ± 0.14</t>
  </si>
  <si>
    <t>26.8 </t>
  </si>
  <si>
    <r>
      <t>a</t>
    </r>
    <r>
      <rPr>
        <sz val="11"/>
        <color rgb="FF222222"/>
        <rFont val="Merriweather"/>
      </rPr>
      <t>Initial reducing sugar; </t>
    </r>
    <r>
      <rPr>
        <vertAlign val="superscript"/>
        <sz val="11"/>
        <color rgb="FF222222"/>
        <rFont val="Merriweather"/>
      </rPr>
      <t>b</t>
    </r>
    <r>
      <rPr>
        <sz val="11"/>
        <color rgb="FF222222"/>
        <rFont val="Merriweather"/>
      </rPr>
      <t>Consumed sugar; </t>
    </r>
    <r>
      <rPr>
        <vertAlign val="superscript"/>
        <sz val="11"/>
        <color rgb="FF222222"/>
        <rFont val="Merriweather"/>
      </rPr>
      <t>c</t>
    </r>
    <r>
      <rPr>
        <sz val="11"/>
        <color rgb="FF222222"/>
        <rFont val="Merriweather"/>
      </rPr>
      <t>Produced ethanol; </t>
    </r>
    <r>
      <rPr>
        <vertAlign val="superscript"/>
        <sz val="11"/>
        <color rgb="FF222222"/>
        <rFont val="Merriweather"/>
      </rPr>
      <t>d</t>
    </r>
    <r>
      <rPr>
        <sz val="11"/>
        <color rgb="FF222222"/>
        <rFont val="Merriweather"/>
      </rPr>
      <t>Ethanol yield; </t>
    </r>
    <r>
      <rPr>
        <vertAlign val="superscript"/>
        <sz val="11"/>
        <color rgb="FF222222"/>
        <rFont val="Merriweather"/>
      </rPr>
      <t>e</t>
    </r>
    <r>
      <rPr>
        <sz val="11"/>
        <color rgb="FF222222"/>
        <rFont val="Merriweather"/>
      </rPr>
      <t>Ethanol productivity</t>
    </r>
  </si>
  <si>
    <t>consumed sugar g/L</t>
  </si>
  <si>
    <t>yield ethanol /sugar</t>
  </si>
  <si>
    <t>https://www.sciencedirect.com/science/article/abs/pii/S0960852412017099?via%3Dihub</t>
  </si>
  <si>
    <t>Starch saccharification and fermentation of uncooked sweet potato roots for fuel ethanol production</t>
  </si>
  <si>
    <t>The ethanol fermentation was carried out by Zymomonas mobilis, and 14.4 g of ethanol (87.2% of the theoretical yield) was produced from 100 g of fresh sweet potato storage roots. </t>
  </si>
  <si>
    <t>fresh sweet potato storage roots</t>
  </si>
  <si>
    <t>yield ethanol  / sweet potato</t>
  </si>
  <si>
    <t xml:space="preserve"> theoretical yield %</t>
  </si>
  <si>
    <t>theoretical yield ethanol  / sweet potato g/g</t>
  </si>
  <si>
    <t>https://www.scientific.net/AMR.236-238.59</t>
  </si>
  <si>
    <t>Very high gravity fermentation using sweet potato for fuel ethanol productio</t>
  </si>
  <si>
    <t>avrg Yield  [theoretical production %]</t>
  </si>
  <si>
    <t>yield ethanol  / sweet potato g/g</t>
  </si>
  <si>
    <t>sweet potato pulp</t>
  </si>
  <si>
    <t>ethanol g/ g sugar</t>
  </si>
  <si>
    <t>sugar in sweet potato %</t>
  </si>
  <si>
    <t>ethanol /sweet potato  g/g</t>
  </si>
  <si>
    <t xml:space="preserve"> </t>
  </si>
  <si>
    <t>sweet potato</t>
  </si>
  <si>
    <t>fructose+glucose in sweet potato pulp %</t>
  </si>
  <si>
    <t>theoretical yield g/ g sweet potato pulp</t>
  </si>
  <si>
    <t>fru+glu in sweet potato   %</t>
  </si>
  <si>
    <t>theoretical yield FDCA from sweet potato  g/g</t>
  </si>
  <si>
    <t>fru+glu in sweet potato pulp  %</t>
  </si>
  <si>
    <t>theoretical yield FDCA from sweet potato pulp g/g</t>
  </si>
  <si>
    <t>glucose insweet potato</t>
  </si>
  <si>
    <t>yield (isoprene/sweet potato)</t>
  </si>
  <si>
    <t xml:space="preserve">glucose in sweet potato pulp </t>
  </si>
  <si>
    <t>yield (isoprene/sweet potato pulp)</t>
  </si>
  <si>
    <t>glu+fru+xyl in sweet potato</t>
  </si>
  <si>
    <t>succinate yield g/g sweet potato</t>
  </si>
  <si>
    <t>glu+fru+xyl in sweet potato pulp</t>
  </si>
  <si>
    <t>succinate yield g/g  sweet potato pulp</t>
  </si>
  <si>
    <t>glucose in sweet potato</t>
  </si>
  <si>
    <t>yield (3-HP/sweet potato)</t>
  </si>
  <si>
    <t>yield (3-HP/sweet potato pulp)</t>
  </si>
  <si>
    <t>Theoretical yield (g/g sweet potato )</t>
  </si>
  <si>
    <t>Theoretical yield (g/g sweet potato pulp)</t>
  </si>
  <si>
    <t>https://ifst.onlinelibrary.wiley.com/doi/epdf/10.1111/ijfs.12347</t>
  </si>
  <si>
    <t>Lactic acid production using waste generated from sweet potato processing</t>
  </si>
  <si>
    <t>The lactic acid-toglucose ratio (YLA/total = 0.30) observed in this work</t>
  </si>
  <si>
    <t>This represents 40% of the theoretical molar yield (with 30 g glucose available in the wastederived media) based on the molar conversion ratio for L. rhamnosus (1.67 mol lactic acid 1 mol_x0001_1 glucose) determined by Berry et al. (1999).</t>
  </si>
  <si>
    <t>theoretical yield mol LA /mol glucose</t>
  </si>
  <si>
    <t>practical yield (40% of the theoretical molar yield )</t>
  </si>
  <si>
    <t>yield g LA/g glucose</t>
  </si>
  <si>
    <t xml:space="preserve">glucose in sweet potato </t>
  </si>
  <si>
    <t xml:space="preserve">yield g LA/g  sweet potato </t>
  </si>
  <si>
    <t>https://www.sciencedirect.com/science/article/pii/S1369703X13002738?via%3Dihub#tbl0015</t>
  </si>
  <si>
    <t>D- and l-lactic acid production from fresh sweet potato through simultaneous saccharification and fermentation</t>
  </si>
  <si>
    <t>Table 3. Comparison of lactic acid production from starchy materials, based on the results reported in the literature and those of this study.</t>
  </si>
  <si>
    <t>Nitrogen (g L−1)</t>
  </si>
  <si>
    <t>References</t>
  </si>
  <si>
    <t>Conc. (g L−1)</t>
  </si>
  <si>
    <t>Productivity (g L−1 h−1)</t>
  </si>
  <si>
    <t>Yield (g g−1)c</t>
  </si>
  <si>
    <t>Cassava powder</t>
  </si>
  <si>
    <t>5 g YE, 5 g NH4Cl</t>
  </si>
  <si>
    <t>L. rhamnosus CASL</t>
  </si>
  <si>
    <t>Batch-SSF</t>
  </si>
  <si>
    <t>175.4a</t>
  </si>
  <si>
    <t>Potato starch</t>
  </si>
  <si>
    <t>5 g YE, 5 g Ure</t>
  </si>
  <si>
    <t>L. delbrueckii</t>
  </si>
  <si>
    <t>189a</t>
  </si>
  <si>
    <t>Sweet potato flour</t>
  </si>
  <si>
    <t>10 g Pep, 5 g YE, 10 g BE</t>
  </si>
  <si>
    <t>L. plantarum MTCC 1407</t>
  </si>
  <si>
    <t>23.86a</t>
  </si>
  <si>
    <t>[15]</t>
  </si>
  <si>
    <t>Sweet potato starch</t>
  </si>
  <si>
    <t>10 g BE, 5 g YE</t>
  </si>
  <si>
    <t>L. amylophylus BRRC 14055</t>
  </si>
  <si>
    <t>Fed-batch-SSF</t>
  </si>
  <si>
    <t>43.7a</t>
  </si>
  <si>
    <t>0.75d</t>
  </si>
  <si>
    <t>[16]</t>
  </si>
  <si>
    <t>Cassava bagasse</t>
  </si>
  <si>
    <t>7.5 g YE, 3 g NH4Cl</t>
  </si>
  <si>
    <t>L. casei and L. delbrueckii</t>
  </si>
  <si>
    <t>81a</t>
  </si>
  <si>
    <t>8 g RL, 10 g BYC</t>
  </si>
  <si>
    <t>L. amylophilus GV6</t>
  </si>
  <si>
    <t>13.5a</t>
  </si>
  <si>
    <t>Raw corn starch</t>
  </si>
  <si>
    <t>5 g pep, 5 g BE, 5 g YE</t>
  </si>
  <si>
    <t>S. bovis 148</t>
  </si>
  <si>
    <t>14.7a</t>
  </si>
  <si>
    <t>[29]</t>
  </si>
  <si>
    <t>Raw starch</t>
  </si>
  <si>
    <t>L. manihotivorans LMG 18010T</t>
  </si>
  <si>
    <t>12.6a</t>
  </si>
  <si>
    <t>0.67e</t>
  </si>
  <si>
    <t>Fresh cassava roots</t>
  </si>
  <si>
    <t>20 g Pep</t>
  </si>
  <si>
    <t>S. bovis JCM 5802</t>
  </si>
  <si>
    <t>43.3a</t>
  </si>
  <si>
    <t>Sago starch</t>
  </si>
  <si>
    <t>10 g Pep, 8 g BE, 4 g YE</t>
  </si>
  <si>
    <t>E. faecium No. 78</t>
  </si>
  <si>
    <t>16.6a</t>
  </si>
  <si>
    <t>10 g Pep, 5 g YE</t>
  </si>
  <si>
    <t>L. plantarum NCIMB 8826 ldhL1::amyA</t>
  </si>
  <si>
    <t>73.2b</t>
  </si>
  <si>
    <t>5 g YE</t>
  </si>
  <si>
    <t>L. casei NCIMB 3254</t>
  </si>
  <si>
    <t>83.8a</t>
  </si>
  <si>
    <t>Corn starch</t>
  </si>
  <si>
    <t>1 g YE, 30 g CSL</t>
  </si>
  <si>
    <t>E. faecalis RKY1</t>
  </si>
  <si>
    <t>Batch-SHF</t>
  </si>
  <si>
    <t>129.9a</t>
  </si>
  <si>
    <t>Tapioca starch</t>
  </si>
  <si>
    <t>126.7a</t>
  </si>
  <si>
    <t>123.3a</t>
  </si>
  <si>
    <t>Wheat starch</t>
  </si>
  <si>
    <t>123.2a</t>
  </si>
  <si>
    <t>Barley starch</t>
  </si>
  <si>
    <t>10 g YE, 10 g Pep</t>
  </si>
  <si>
    <t>L. casei NRRL B-441</t>
  </si>
  <si>
    <t>162a</t>
  </si>
  <si>
    <t>[36]</t>
  </si>
  <si>
    <t>Wheat flour</t>
  </si>
  <si>
    <t>L. delbrueckii ssp. delbrueckii ATCC 9649</t>
  </si>
  <si>
    <t>109a</t>
  </si>
  <si>
    <t>0.91f</t>
  </si>
  <si>
    <t>[37]</t>
  </si>
  <si>
    <t>Fresh sweet potato</t>
  </si>
  <si>
    <t>3 g YE, 5 g Pep</t>
  </si>
  <si>
    <t>L. paracasei LA104</t>
  </si>
  <si>
    <t>122.91a</t>
  </si>
  <si>
    <t>153.38a</t>
  </si>
  <si>
    <t>198.32a</t>
  </si>
  <si>
    <t>7 g YE, 3 g Pep</t>
  </si>
  <si>
    <t>L. coryniformis ATCC 25600</t>
  </si>
  <si>
    <t>122.49b</t>
  </si>
  <si>
    <t>151.59b</t>
  </si>
  <si>
    <t>186.40b</t>
  </si>
  <si>
    <t>S, Streptococcus; L, Lactobacillus; E, Enterococcus; SSF, simultaneous saccharification and fermentation; SHF, separate hydrolysis and fermentation; Pep, peptone; YE, yeast extract, BE, beef extract, RL, red lentil; BYC, Baker's yeast cell; CSL, corn steep liquor.</t>
  </si>
  <si>
    <t>l-Lactic acid.</t>
  </si>
  <si>
    <t>d-Lactic acid.</t>
  </si>
  <si>
    <t>Lactic acid (g) per initial material (g).</t>
  </si>
  <si>
    <t>d</t>
  </si>
  <si>
    <t>Maximum productivity.</t>
  </si>
  <si>
    <t>e</t>
  </si>
  <si>
    <t>Lactic acid (g) per glucose consumed (g).</t>
  </si>
  <si>
    <t>f</t>
  </si>
  <si>
    <t>Lactic acid (g) per initial glucose (g).</t>
  </si>
  <si>
    <t>glucose in sweet potato %</t>
  </si>
  <si>
    <t>https://link.springer.com/article/10.1007/s12010-009-8884-5</t>
  </si>
  <si>
    <t>Production of Lactic Acid from Raw Sweet Potato Powders by Rhizopus Oryzae Immobilized in Sodium Alginate Capsules</t>
  </si>
  <si>
    <t>The yield in this study was calculated according to the lactic acid production per gram of starch introduced (the starch content was 57% per gram of dry potato powders).</t>
  </si>
  <si>
    <t>The corresponding yields were 47% and 73% (total lactic acid produced/total starch introduced) in the operation with free cells and immobilized cells, respectively. </t>
  </si>
  <si>
    <t>avrg yield(total lactic acid produced/total starch introduced)</t>
  </si>
  <si>
    <t>the starch content per gram of dry potato powders</t>
  </si>
  <si>
    <t>yield(total lactic acid produced/dry potato)</t>
  </si>
  <si>
    <t>DM in sweet potato</t>
  </si>
  <si>
    <t>yield(total lactic acid produced/sweet potato)</t>
  </si>
  <si>
    <t xml:space="preserve">     </t>
  </si>
  <si>
    <t>sugar from sweet potato pulp g/g</t>
  </si>
  <si>
    <t>theoretical yield (g lactic acid per g sweet potato pulp)</t>
  </si>
  <si>
    <t>glu+ fru in sweet potato  %</t>
  </si>
  <si>
    <t xml:space="preserve">yield g/g sweet potato </t>
  </si>
  <si>
    <t xml:space="preserve">sweet potato pulp </t>
  </si>
  <si>
    <t>glu+ fru in sweet potato pulp  %</t>
  </si>
  <si>
    <t xml:space="preserve">yield g/g sweet potato pulp </t>
  </si>
  <si>
    <t>xylose in sweet potato pulp %</t>
  </si>
  <si>
    <t>yield (g xylitol / g sweet potato pulp)</t>
  </si>
  <si>
    <t>Corn</t>
  </si>
  <si>
    <t>https://www.mdpi.com/2227-9717/7/9/578#app1-processes-07-00578</t>
  </si>
  <si>
    <t>Table S1</t>
  </si>
  <si>
    <t>Processes | Free Full-Text | Impact of Fractionation Process on the Technical and Economic Viability of Corn Dry Grind Ethanol Process (mdpi.com)</t>
  </si>
  <si>
    <t>Ethanol Yield (L/kg dry corn)</t>
  </si>
  <si>
    <t>Density of ethanol (kg/L)</t>
  </si>
  <si>
    <t>Yield (g eth/g corn)</t>
  </si>
  <si>
    <t>Average yield (g/g)</t>
  </si>
  <si>
    <t>Dry Grind</t>
  </si>
  <si>
    <t>QG</t>
  </si>
  <si>
    <t>QGQF</t>
  </si>
  <si>
    <t>E1</t>
  </si>
  <si>
    <t>E2</t>
  </si>
  <si>
    <t>DF1</t>
  </si>
  <si>
    <t>DF2</t>
  </si>
  <si>
    <t>DF3</t>
  </si>
  <si>
    <t>DF4</t>
  </si>
  <si>
    <t>MAX</t>
  </si>
  <si>
    <t>MIN</t>
  </si>
  <si>
    <t>https://www.sciencedirect.com/science/article/pii/S1359511316300010</t>
  </si>
  <si>
    <t>Effects of hydrodynamic cavitation on dry mill corn ethanol production - ScienceDirect</t>
  </si>
  <si>
    <t>Pretreatment</t>
  </si>
  <si>
    <t>Enzyme dose</t>
  </si>
  <si>
    <t>UFTG</t>
  </si>
  <si>
    <t>Acetic acid</t>
  </si>
  <si>
    <r>
      <t>CO</t>
    </r>
    <r>
      <rPr>
        <b/>
        <sz val="8"/>
        <color rgb="FF1F1F1F"/>
        <rFont val="ElsevierGulliver"/>
        <charset val="1"/>
      </rPr>
      <t>2</t>
    </r>
  </si>
  <si>
    <t>%w/w dry corn</t>
  </si>
  <si>
    <t>Ethanol Yield (%w/w dry corn)</t>
  </si>
  <si>
    <t>Ctrl</t>
  </si>
  <si>
    <t>35.00 ± 0.93 a</t>
  </si>
  <si>
    <t>2.41 ± 0.09 a</t>
  </si>
  <si>
    <t>0.13 ± 0.02 a</t>
  </si>
  <si>
    <t>2.52 ± 0.06 abc</t>
  </si>
  <si>
    <t>35.79 ± 0.63 ab</t>
  </si>
  <si>
    <t>35.10 ± 0.82 a</t>
  </si>
  <si>
    <t>2.39 ± 0.06 a</t>
  </si>
  <si>
    <t>0.11 ± 0.00 a</t>
  </si>
  <si>
    <t>2.54 ± 0.05 abc</t>
  </si>
  <si>
    <t>0.13 ± 0.01 a</t>
  </si>
  <si>
    <t>36.05 ± 0.57 ab</t>
  </si>
  <si>
    <t>35.21 ± 0.61 a</t>
  </si>
  <si>
    <t>2.38 ± 0.04 a</t>
  </si>
  <si>
    <t>0.12 ± 0.01 a</t>
  </si>
  <si>
    <t>2.55 ± 0.09 abc</t>
  </si>
  <si>
    <t>36.16 ± 0.41 ab</t>
  </si>
  <si>
    <t>Cav2A</t>
  </si>
  <si>
    <t>34.92 ± 0.35 a</t>
  </si>
  <si>
    <t>2.24 ± 0.22 a</t>
  </si>
  <si>
    <t>2.57 ± 0.06 abc</t>
  </si>
  <si>
    <t>35.83 ± 0.54 ab</t>
  </si>
  <si>
    <t>35.05 ± 0.45 a</t>
  </si>
  <si>
    <t>2.35 ± 0.04 a</t>
  </si>
  <si>
    <t>0.11 ± 0.01 a</t>
  </si>
  <si>
    <t>2.61 ± 0.09 a</t>
  </si>
  <si>
    <t>0.14 ± 0.01 a</t>
  </si>
  <si>
    <t>35.96 ± 0.44 ab</t>
  </si>
  <si>
    <t>35.14 ± 0.15 a</t>
  </si>
  <si>
    <t>2.36 ± 0.06 a</t>
  </si>
  <si>
    <t>0.13 ± 0.00 a</t>
  </si>
  <si>
    <t>36.00 ± 0.61 ab</t>
  </si>
  <si>
    <t>Cav2B</t>
  </si>
  <si>
    <t>35.59 ± 0.15 a</t>
  </si>
  <si>
    <t>2.34 ± 0.02 a</t>
  </si>
  <si>
    <t>0.10 ± 0.01 a</t>
  </si>
  <si>
    <t>2.56 ± 0.01 abc</t>
  </si>
  <si>
    <t>0.14 ± 0.00 a</t>
  </si>
  <si>
    <t>36.78 ± 0.06 ab</t>
  </si>
  <si>
    <t>35.74 ± 0.09 a</t>
  </si>
  <si>
    <t>2.31 ± 0.03 a</t>
  </si>
  <si>
    <t>2.56 ± 0.04 abc</t>
  </si>
  <si>
    <t>36.86 ± 0.12 ab</t>
  </si>
  <si>
    <t>35.85 ± 0.11 a</t>
  </si>
  <si>
    <t>2.33 ± 0.02 a</t>
  </si>
  <si>
    <t>2.58 ± 0.02 ab</t>
  </si>
  <si>
    <t>0.15 ± 0.00 a</t>
  </si>
  <si>
    <t>36.96 ± 0.09 ab</t>
  </si>
  <si>
    <t>Cav2C</t>
  </si>
  <si>
    <t>35.82 ± 0.26 a</t>
  </si>
  <si>
    <t>2.22 ± 0.22 a</t>
  </si>
  <si>
    <t>0.09 ± 0.01 a</t>
  </si>
  <si>
    <t>2.52 ± 0.02 abc</t>
  </si>
  <si>
    <t>37.18 ± 0.11 a</t>
  </si>
  <si>
    <t>36.12 ± 0.29 a</t>
  </si>
  <si>
    <t>2.37 ± 0.13 a</t>
  </si>
  <si>
    <t>0.09 ± 0.02 a</t>
  </si>
  <si>
    <t>2.55 ± 0.04 abc</t>
  </si>
  <si>
    <t>37.09 ± 0.07 ab</t>
  </si>
  <si>
    <t>36.13 ± 0.13 a</t>
  </si>
  <si>
    <t>37.22 ± 0.09 a</t>
  </si>
  <si>
    <t>Jet</t>
  </si>
  <si>
    <t>34.69 ± 0.49 a</t>
  </si>
  <si>
    <t>2.05 ± 0.32 a</t>
  </si>
  <si>
    <t>0.11 ± 0.02 a</t>
  </si>
  <si>
    <t>2.44 ± 0.05 bc</t>
  </si>
  <si>
    <t>35.60 ± 0.96 b</t>
  </si>
  <si>
    <t>34.85 ± 0.44 a</t>
  </si>
  <si>
    <t>2.22 ± 0.09 a</t>
  </si>
  <si>
    <t>0.10 ± 0.02 a</t>
  </si>
  <si>
    <t>2.42 ± 0.01 c</t>
  </si>
  <si>
    <t>35.64 ± 0.83 ab</t>
  </si>
  <si>
    <t>35.03 ± 0.49 a</t>
  </si>
  <si>
    <t>2.24 ± 0.07 a</t>
  </si>
  <si>
    <t>2.41 ± 0.01 c</t>
  </si>
  <si>
    <t>35.69 ± 0.75 ab</t>
  </si>
  <si>
    <t>https://www.sciencedirect.com/science/article/pii/S0016236110000025</t>
  </si>
  <si>
    <t>Techno-economic comparison of process technologies for biochemical ethanol production from corn stover - ScienceDirect</t>
  </si>
  <si>
    <t>Process variations</t>
  </si>
  <si>
    <t>Total capital investment ($ million)</t>
  </si>
  <si>
    <t>Total installed equipment cost ($ million)</t>
  </si>
  <si>
    <t>Ethanol yield (l/Mg)</t>
  </si>
  <si>
    <t>Ethanol production (million l/year)</t>
  </si>
  <si>
    <t>Electricity export ($ million/year)</t>
  </si>
  <si>
    <t>Ethanol yield (g/g)</t>
  </si>
  <si>
    <t>Dilute-acid pretreatment (base case)</t>
  </si>
  <si>
    <t>11.7</t>
  </si>
  <si>
    <t>Dilute-acid pretreatment (high solids)a</t>
  </si>
  <si>
    <t>12.6</t>
  </si>
  <si>
    <t>2-Stage dilute-acid pretreatment</t>
  </si>
  <si>
    <t>16.8</t>
  </si>
  <si>
    <t>Hot water pretreatment</t>
  </si>
  <si>
    <t>11.3</t>
  </si>
  <si>
    <t>AFEX pretreatment</t>
  </si>
  <si>
    <t>16.9</t>
  </si>
  <si>
    <t>Pervaporation–distillation</t>
  </si>
  <si>
    <t>13.6</t>
  </si>
  <si>
    <t>Separate C5 and C6 fermentation</t>
  </si>
  <si>
    <t>6.5</t>
  </si>
  <si>
    <t>On-site enzyme production</t>
  </si>
  <si>
    <t>−0.8</t>
  </si>
  <si>
    <t>Ref 5</t>
  </si>
  <si>
    <t>https://biotechnologyforbiofuels.biomedcentral.com/articles/10.1186/s13068-014-0167-x</t>
  </si>
  <si>
    <t>Figure 8</t>
  </si>
  <si>
    <t>Simultaneous saccharification and fermentation of steam-exploded corn stover at high glucan loading and high temperature | Biotechnology for Biofuels and Bioproducts | Full Text (biomedcentral.com)</t>
  </si>
  <si>
    <t>Ethanol yield (% theoretical)</t>
  </si>
  <si>
    <t>Max theoretical (g/g glucose)</t>
  </si>
  <si>
    <t>Ethanol yield (g/g glucose)</t>
  </si>
  <si>
    <t>Glucan yield (%)</t>
  </si>
  <si>
    <t>Ethanol yield (g/g glucan)</t>
  </si>
  <si>
    <t>Glucan %DW</t>
  </si>
  <si>
    <t>Ethanol yield (g/g corn)</t>
  </si>
  <si>
    <t>SHF</t>
  </si>
  <si>
    <t>SSF 36h prehydrolysis</t>
  </si>
  <si>
    <t>Table 1; SECS</t>
  </si>
  <si>
    <t>SSF 36h preh + 2%Tween20</t>
  </si>
  <si>
    <t>https://www.mdpi.com/2227-9717/10/4/661</t>
  </si>
  <si>
    <t>Figure 3</t>
  </si>
  <si>
    <t>Processes | Free Full-Text | Coprocessing Corn Germ Meal for Oil Recovery and Ethanol Production: A Process Model for Lipid-Producing Energy Crops (mdpi.com)</t>
  </si>
  <si>
    <t>Treatment type</t>
  </si>
  <si>
    <t>Ethanol yield (% w/w germ)</t>
  </si>
  <si>
    <t>A</t>
  </si>
  <si>
    <t>B</t>
  </si>
  <si>
    <t>C</t>
  </si>
  <si>
    <t>Furfural</t>
  </si>
  <si>
    <t>https://www.sciencedirect.com/science/article/pii/S0960852417313822</t>
  </si>
  <si>
    <t>Enhanced furfural production from raw corn stover employing a novel heterogeneous acid catalyst - ScienceDirect</t>
  </si>
  <si>
    <t>Catalyst</t>
  </si>
  <si>
    <t>Reaction conditions</t>
  </si>
  <si>
    <t>Furfural yield (%)</t>
  </si>
  <si>
    <t>Furfural yield (g/g xylan in corn)</t>
  </si>
  <si>
    <t>Xylan in corn (%)</t>
  </si>
  <si>
    <t>Furfural yield (g/g corn)</t>
  </si>
  <si>
    <t>average</t>
  </si>
  <si>
    <t>No catalyst</t>
  </si>
  <si>
    <t>GVL</t>
  </si>
  <si>
    <t>200 °C, 100 min</t>
  </si>
  <si>
    <t>Corn stover</t>
  </si>
  <si>
    <t>Trace</t>
  </si>
  <si>
    <r>
      <t>C-CaC</t>
    </r>
    <r>
      <rPr>
        <sz val="8"/>
        <color rgb="FF1F1F1F"/>
        <rFont val="ElsevierGulliver"/>
        <charset val="1"/>
      </rPr>
      <t>t</t>
    </r>
    <r>
      <rPr>
        <sz val="11"/>
        <color rgb="FF1F1F1F"/>
        <rFont val="ElsevierGulliver"/>
        <charset val="1"/>
      </rPr>
      <t>-700</t>
    </r>
  </si>
  <si>
    <r>
      <t>SC-CaC</t>
    </r>
    <r>
      <rPr>
        <sz val="8"/>
        <color rgb="FF1F1F1F"/>
        <rFont val="ElsevierGulliver"/>
        <charset val="1"/>
      </rPr>
      <t>t</t>
    </r>
    <r>
      <rPr>
        <sz val="11"/>
        <color rgb="FF1F1F1F"/>
        <rFont val="ElsevierGulliver"/>
        <charset val="1"/>
      </rPr>
      <t>-600</t>
    </r>
  </si>
  <si>
    <r>
      <t>SC-CaC</t>
    </r>
    <r>
      <rPr>
        <sz val="8"/>
        <color rgb="FF1F1F1F"/>
        <rFont val="ElsevierGulliver"/>
        <charset val="1"/>
      </rPr>
      <t>t</t>
    </r>
    <r>
      <rPr>
        <sz val="11"/>
        <color rgb="FF1F1F1F"/>
        <rFont val="ElsevierGulliver"/>
        <charset val="1"/>
      </rPr>
      <t>-700</t>
    </r>
  </si>
  <si>
    <r>
      <t>SC-CaC</t>
    </r>
    <r>
      <rPr>
        <sz val="8"/>
        <color rgb="FF1F1F1F"/>
        <rFont val="ElsevierGulliver"/>
        <charset val="1"/>
      </rPr>
      <t>t</t>
    </r>
    <r>
      <rPr>
        <sz val="11"/>
        <color rgb="FF1F1F1F"/>
        <rFont val="ElsevierGulliver"/>
        <charset val="1"/>
      </rPr>
      <t>-800</t>
    </r>
  </si>
  <si>
    <t>The raw corn stover contains 31.6% glucan, 20.5% xylan, 2.1% other glycan, 19.4% acid-insoluble lignin, 3.4% acid-soluble lignin, 9.5% extractive, 8.7% ash, and 4.8% other composition, which was close to reported values</t>
  </si>
  <si>
    <t>https://www.sciencedirect.com/science/article/pii/S0960852416316182</t>
  </si>
  <si>
    <t>Table 1</t>
  </si>
  <si>
    <t>Efficient catalytic system for the direct transformation of lignocellulosic biomass to furfural and 5-hydroxymethylfurfural - ScienceDirect</t>
  </si>
  <si>
    <t>Feedstock loading (mg)</t>
  </si>
  <si>
    <t>5-HMF yield (%)</t>
  </si>
  <si>
    <t>Xylose in corn (%)</t>
  </si>
  <si>
    <t>5b</t>
  </si>
  <si>
    <t>SPTPA converted corncob efficiently and resulted in simultaneously good yields of furan-based compounds (36.6–73.9% furfural yields and 2.3–32.3% 5-HMF yields).</t>
  </si>
  <si>
    <t>(not in table)</t>
  </si>
  <si>
    <t>https://www.sciencedirect.com/science/article/pii/S096085241631639X</t>
  </si>
  <si>
    <t>Catalytic conversion of corncob and corncob pretreatment hydrolysate to furfural in a biphasic system with addition of sodium chloride - ScienceDirect</t>
  </si>
  <si>
    <t>NaCl, g</t>
  </si>
  <si>
    <t>Furfural yield, %</t>
  </si>
  <si>
    <t>Xylose conversion, %</t>
  </si>
  <si>
    <t>Furfural selectivity, %</t>
  </si>
  <si>
    <t>Furfural yield</t>
  </si>
  <si>
    <t>Organic</t>
  </si>
  <si>
    <t>Aqueous</t>
  </si>
  <si>
    <t>Total</t>
  </si>
  <si>
    <t>(g fur/g xylose in corn)</t>
  </si>
  <si>
    <t>36.88 ± 0.81</t>
  </si>
  <si>
    <t>11.38 ± 1.32</t>
  </si>
  <si>
    <t>91.70 ± 1.74</t>
  </si>
  <si>
    <t>52.63 ± 0.73</t>
  </si>
  <si>
    <t>38.73 ± 0.29</t>
  </si>
  <si>
    <t>10.99 ± 0.43</t>
  </si>
  <si>
    <t>91.64 ± 0.68</t>
  </si>
  <si>
    <t>54.25 ± 0.46</t>
  </si>
  <si>
    <t>41.60 ± 0.33</t>
  </si>
  <si>
    <t>13.48 ± 0.82</t>
  </si>
  <si>
    <t>92.38 ± 0.59</t>
  </si>
  <si>
    <t>61.26 ± 0.63</t>
  </si>
  <si>
    <t>42.93 ± 0.21</t>
  </si>
  <si>
    <t>13.84 ± 0.15</t>
  </si>
  <si>
    <t>93.29 ± 0.61</t>
  </si>
  <si>
    <t>56.10 ± 0.71</t>
  </si>
  <si>
    <t>49.24 ± 0.18</t>
  </si>
  <si>
    <t>11.75 ± 0.94</t>
  </si>
  <si>
    <t>94.41 ± 0.96</t>
  </si>
  <si>
    <t>64.60 ± 0.58</t>
  </si>
  <si>
    <t>58.60 ± 0.20</t>
  </si>
  <si>
    <t>12.59 ± 1.29</t>
  </si>
  <si>
    <t>95.84 ± 0.98</t>
  </si>
  <si>
    <t>74.29 ± 0.46</t>
  </si>
  <si>
    <t>57.74 ± 0.91</t>
  </si>
  <si>
    <t>11.63 ± 0.34</t>
  </si>
  <si>
    <t>94.71 ± 0.60</t>
  </si>
  <si>
    <t>67.47 ± 2.55</t>
  </si>
  <si>
    <t>55.51 ± 0.54</t>
  </si>
  <si>
    <t>11.70 ± 0.62</t>
  </si>
  <si>
    <t>94.08 ± 0.47</t>
  </si>
  <si>
    <t>71.44 ± 0.60</t>
  </si>
  <si>
    <t>55.20 ± 0.42</t>
  </si>
  <si>
    <t>9.55 ± 0.58</t>
  </si>
  <si>
    <t>94.45 ± 0.52</t>
  </si>
  <si>
    <t>68.55 ± 0.67</t>
  </si>
  <si>
    <t>53.79 ± 0.36</t>
  </si>
  <si>
    <t>8.66 ± 0.87</t>
  </si>
  <si>
    <t>93.62 ± 0.39</t>
  </si>
  <si>
    <t>66.70 ± 0.43</t>
  </si>
  <si>
    <t>52.39 ± 0.27</t>
  </si>
  <si>
    <t>6.20 ± 0.39</t>
  </si>
  <si>
    <t>92.57 ± 0.68</t>
  </si>
  <si>
    <t>63.29 ± 0.40</t>
  </si>
  <si>
    <t>46.24 ± 1.19</t>
  </si>
  <si>
    <t>5.33 ± 1.24</t>
  </si>
  <si>
    <t>92.04 ± 1.81</t>
  </si>
  <si>
    <t>56.03 ± 0.92</t>
  </si>
  <si>
    <t>https://www.sciencedirect.com/science/article/pii/S0960852413016866</t>
  </si>
  <si>
    <t>Production of furfural from xylose, xylan and corncob in gamma-valerolactone using FeCl3·6H2O as catalyst - ScienceDirect</t>
  </si>
  <si>
    <t>Temperature (K)</t>
  </si>
  <si>
    <t>5-HMF</t>
  </si>
  <si>
    <t>furfural yield (%)</t>
  </si>
  <si>
    <t>55.6 ± 0.8</t>
  </si>
  <si>
    <t>2.5 ± 0.3</t>
  </si>
  <si>
    <t>66.8 ± 0.4</t>
  </si>
  <si>
    <t>3.4 ± 0.2</t>
  </si>
  <si>
    <t>60.6 ± 0.4</t>
  </si>
  <si>
    <t>2.4 ± 0.2</t>
  </si>
  <si>
    <t>66.2 ± 0.2</t>
  </si>
  <si>
    <t>3.0 ± 0.2</t>
  </si>
  <si>
    <t>71.2 ± 0.5</t>
  </si>
  <si>
    <t>5.9 ± 0.2</t>
  </si>
  <si>
    <t>79.6 ± 0.3</t>
  </si>
  <si>
    <t>3.9 ± 0.1</t>
  </si>
  <si>
    <t>76.8 ± 0.3</t>
  </si>
  <si>
    <t>https://www.sciencedirect.com/science/article/pii/S0959652620354561</t>
  </si>
  <si>
    <t>Carbonized core-shell diatomite for efficient catalytic furfural production from corn cob - ScienceDirect</t>
  </si>
  <si>
    <t>Xylose conversion (%)</t>
  </si>
  <si>
    <t>Furfural selectivity (%)</t>
  </si>
  <si>
    <r>
      <t>H</t>
    </r>
    <r>
      <rPr>
        <sz val="8"/>
        <color rgb="FF1F1F1F"/>
        <rFont val="ElsevierGulliver"/>
        <charset val="1"/>
      </rPr>
      <t>2</t>
    </r>
    <r>
      <rPr>
        <sz val="11"/>
        <color rgb="FF1F1F1F"/>
        <rFont val="ElsevierGulliver"/>
        <charset val="1"/>
      </rPr>
      <t>O</t>
    </r>
  </si>
  <si>
    <t>45.6 ± 0.8</t>
  </si>
  <si>
    <t>79.0 ± 1.4</t>
  </si>
  <si>
    <t>57.7 ± 1.0</t>
  </si>
  <si>
    <t>DM</t>
  </si>
  <si>
    <t>51.2 ± 1.9</t>
  </si>
  <si>
    <t>98.2 ± 1.7</t>
  </si>
  <si>
    <t>52.1 ± 1.7</t>
  </si>
  <si>
    <t>DMSn</t>
  </si>
  <si>
    <t>53.8 ± 1.0</t>
  </si>
  <si>
    <t>95.6 ± 2.2</t>
  </si>
  <si>
    <t>56.3 ± 2.2</t>
  </si>
  <si>
    <t>CX-DMSn</t>
  </si>
  <si>
    <t>24.0 ± 1.0</t>
  </si>
  <si>
    <t>95.3 ± 2.2</t>
  </si>
  <si>
    <t>25.2 ± 2.2</t>
  </si>
  <si>
    <r>
      <t>SO</t>
    </r>
    <r>
      <rPr>
        <sz val="8"/>
        <color rgb="FF1F1F1F"/>
        <rFont val="ElsevierGulliver"/>
        <charset val="1"/>
      </rPr>
      <t>42−</t>
    </r>
    <r>
      <rPr>
        <sz val="11"/>
        <color rgb="FF1F1F1F"/>
        <rFont val="ElsevierGulliver"/>
        <charset val="1"/>
      </rPr>
      <t>/CX-DM</t>
    </r>
  </si>
  <si>
    <t>44.9 ± 1.3</t>
  </si>
  <si>
    <t>97.3 ± 1.5</t>
  </si>
  <si>
    <t>46.1 ± 1.2</t>
  </si>
  <si>
    <r>
      <t>SO</t>
    </r>
    <r>
      <rPr>
        <sz val="8"/>
        <color rgb="FF1F1F1F"/>
        <rFont val="ElsevierGulliver"/>
        <charset val="1"/>
      </rPr>
      <t>42−</t>
    </r>
    <r>
      <rPr>
        <sz val="11"/>
        <color rgb="FF1F1F1F"/>
        <rFont val="ElsevierGulliver"/>
        <charset val="1"/>
      </rPr>
      <t>/DMSn</t>
    </r>
  </si>
  <si>
    <t>58.0 ± 1.0</t>
  </si>
  <si>
    <t>98.0 ± 2.2</t>
  </si>
  <si>
    <t>59.2 ± 2.2</t>
  </si>
  <si>
    <r>
      <t>SO</t>
    </r>
    <r>
      <rPr>
        <sz val="8"/>
        <color rgb="FF1F1F1F"/>
        <rFont val="ElsevierGulliver"/>
        <charset val="1"/>
      </rPr>
      <t>42−</t>
    </r>
    <r>
      <rPr>
        <sz val="11"/>
        <color rgb="FF1F1F1F"/>
        <rFont val="ElsevierGulliver"/>
        <charset val="1"/>
      </rPr>
      <t>/CX-DMSn</t>
    </r>
  </si>
  <si>
    <t>66.2 ± 0.7</t>
  </si>
  <si>
    <t>95.3 ± 2.0</t>
  </si>
  <si>
    <t>69.5 ± 0.7</t>
  </si>
  <si>
    <t>https://www.sciencedirect.com/science/article/pii/S0960852419318164</t>
  </si>
  <si>
    <t>Fig 6 &amp; 2</t>
  </si>
  <si>
    <t>Corn stover valorization by one-step formic acid fractionation and formylation for 5-hydroxymethylfurfural and high guaiacyl lignin production - ScienceDirect</t>
  </si>
  <si>
    <t xml:space="preserve">Process </t>
  </si>
  <si>
    <t>HMF molar yield (%)</t>
  </si>
  <si>
    <t>Cellulose in corn (%)</t>
  </si>
  <si>
    <t>HMF yield (g/g corn)</t>
  </si>
  <si>
    <t>(Fig 2)</t>
  </si>
  <si>
    <t>https://link.springer.com/article/10.1007/s13399-022-03648-x</t>
  </si>
  <si>
    <t>From corn stover to 5-hydroxymethylfurfural by ball milling-microwave hydrothermal (BM-MHT) | Biomass Conversion and Biorefinery (springer.com)</t>
  </si>
  <si>
    <t>And the highest HMF yield of 3.46 ± 0.02 wt% after 150 min at 214 °C was observed. Furthermor</t>
  </si>
  <si>
    <t>HMF yield (wt%)</t>
  </si>
  <si>
    <t>HMF yield (g/g)</t>
  </si>
  <si>
    <t>https://link.springer.com/article/10.1007/s10570-021-03764-3</t>
  </si>
  <si>
    <t>Table 3</t>
  </si>
  <si>
    <t>Lignocellulosic biomass and carbohydrates as feed-stock for scalable production of 5-hydroxymethylfurfural | Cellulose (springer.com)</t>
  </si>
  <si>
    <t>Initial Feed</t>
  </si>
  <si>
    <t>HMF yield (g/kg)</t>
  </si>
  <si>
    <t>Yield (g/g)</t>
  </si>
  <si>
    <t>4c</t>
  </si>
  <si>
    <t>cob</t>
  </si>
  <si>
    <t>powder</t>
  </si>
  <si>
    <t>https://pubs.rsc.org/en/content/articlelanding/2020/ee/d0ee00812e#!</t>
  </si>
  <si>
    <t>Sustainable development of biorefineries: integrated assessment method for co-production pathways - Energy &amp; Environmental Science (RSC Publishing)</t>
  </si>
  <si>
    <t>Yield g/g</t>
  </si>
  <si>
    <t>corn</t>
  </si>
  <si>
    <t>t FDCA / 2000 t Corn Stover</t>
  </si>
  <si>
    <t>glucose in corn</t>
  </si>
  <si>
    <t>yield (isoprene/corn)</t>
  </si>
  <si>
    <t>yield (isoprene/corn g&amp;p)</t>
  </si>
  <si>
    <t xml:space="preserve">Succinic Acid </t>
  </si>
  <si>
    <t>https://pubmed.ncbi.nlm.nih.gov/24078255/</t>
  </si>
  <si>
    <t>Table 4 &amp;5</t>
  </si>
  <si>
    <t>Succinic acid production from corn cob hydrolysates by genetically engineered Corynebacterium glutamicum - PubMed (nih.gov)</t>
  </si>
  <si>
    <t>Yield (g/g TS)</t>
  </si>
  <si>
    <t>Total sugar in corn %</t>
  </si>
  <si>
    <t>Yield g/g corn</t>
  </si>
  <si>
    <t>https://www.sciencedirect.com/science/article/pii/S0141022923001540</t>
  </si>
  <si>
    <t>Comparison of hydrothermolysis and mild-alkaline pretreatment methods on enhancing succinic acid production from hydrolyzed corn fiber - ScienceDirect</t>
  </si>
  <si>
    <t>When SH-CFH was supplemented only with yeast extract, succinic acid concentration was enhanced to 15.2 g/L with a yield of 0.64 g/g sugars</t>
  </si>
  <si>
    <t>https://www.sciencedirect.com/science/article/pii/S0960852410008278</t>
  </si>
  <si>
    <t>Succinic acid yield as the amount of succinic acid produced from 1 g PCS (dry weight).</t>
  </si>
  <si>
    <t>Succinic acid production from corn stover by simultaneous saccharification and fermentation using Actinobacillus succinogenes - ScienceDirect</t>
  </si>
  <si>
    <t>Pretreatment method</t>
  </si>
  <si>
    <t>SHFa</t>
  </si>
  <si>
    <t>SSFb</t>
  </si>
  <si>
    <t>Initial reducing sugar (g/l)</t>
  </si>
  <si>
    <t>Succinic acid yield (g/g PCS)c</t>
  </si>
  <si>
    <t>Diluted acid</t>
  </si>
  <si>
    <t>Diluted alkaline</t>
  </si>
  <si>
    <t>Aqueous-ammonia soaking</t>
  </si>
  <si>
    <t>Alkaline peroxide</t>
  </si>
  <si>
    <t>Steam explosion</t>
  </si>
  <si>
    <t>https://www.sciencedirect.com/science/article/pii/S0960852414012966</t>
  </si>
  <si>
    <t>Ionic liquid pretreatment to increase succinic acid production from lignocellulosic biomass - ScienceDirect</t>
  </si>
  <si>
    <t>Material</t>
  </si>
  <si>
    <t>Yield (g/g biomassa)</t>
  </si>
  <si>
    <t>Yield (g/g biomassb)</t>
  </si>
  <si>
    <t>Pinewood extract</t>
  </si>
  <si>
    <t>0.37 ± 0.04</t>
  </si>
  <si>
    <t>0.09 ± 0.04</t>
  </si>
  <si>
    <t>Pinewood residue</t>
  </si>
  <si>
    <t>0.24 ± 0.09</t>
  </si>
  <si>
    <t>0.09 ± 0.01</t>
  </si>
  <si>
    <t>0.05 ± 0.01</t>
  </si>
  <si>
    <t>SE–corn stover</t>
  </si>
  <si>
    <t>0.31 ± 0.06</t>
  </si>
  <si>
    <t>0.15 ± 0.02</t>
  </si>
  <si>
    <t>HCW–corn stover</t>
  </si>
  <si>
    <t>0.27 ± 0.09</t>
  </si>
  <si>
    <t>0.18 ± 0.02</t>
  </si>
  <si>
    <t>https://www.sciencedirect.com/science/article/pii/S0960852415016326</t>
  </si>
  <si>
    <t>Enhanced succinic acid production from corncob hydrolysate by microbial electrolysis cells - ScienceDirect</t>
  </si>
  <si>
    <t>Carbon sources</t>
  </si>
  <si>
    <t>Succinic acid (g/l)</t>
  </si>
  <si>
    <t>Acetic acid (g/l)</t>
  </si>
  <si>
    <t>Succinic acid/acetic acid</t>
  </si>
  <si>
    <t>Succinic acid yield (%)</t>
  </si>
  <si>
    <t>NADH (μmol/g)</t>
  </si>
  <si>
    <r>
      <t>NADH/NAD</t>
    </r>
    <r>
      <rPr>
        <b/>
        <sz val="8"/>
        <color rgb="FF1F1F1F"/>
        <rFont val="ElsevierGulliver"/>
        <charset val="1"/>
      </rPr>
      <t>+</t>
    </r>
  </si>
  <si>
    <t>Yield (% TS)</t>
  </si>
  <si>
    <t>Corncob hydrolysate</t>
  </si>
  <si>
    <t>E</t>
  </si>
  <si>
    <t>3.84 ± 0.03</t>
  </si>
  <si>
    <t>2.85 ± 0.11</t>
  </si>
  <si>
    <t>1.35 ± 0.04</t>
  </si>
  <si>
    <t>26 ± 1</t>
  </si>
  <si>
    <t>42.41 ± 0.20</t>
  </si>
  <si>
    <t>0.67 ± 0.03</t>
  </si>
  <si>
    <t>NE</t>
  </si>
  <si>
    <t>2.94 ± 0.17</t>
  </si>
  <si>
    <t>2.64 ± 0.01</t>
  </si>
  <si>
    <t>1.12 ± 0.07</t>
  </si>
  <si>
    <t>20 ± 2</t>
  </si>
  <si>
    <t>31.71 ± 0.32</t>
  </si>
  <si>
    <t>0.44 ± 0.01</t>
  </si>
  <si>
    <t>The succinic acid yield was defined as the amount of succinic acid produced per g of sugar consumed, and it was expressed as a percentage.</t>
  </si>
  <si>
    <t>succinate yield g/g Corn g&amp;p</t>
  </si>
  <si>
    <t>Wheat</t>
  </si>
  <si>
    <t>https://www.sciencedirect.com/science/article/pii/S096195341300295X</t>
  </si>
  <si>
    <t>Simultaneous saccharification and co-fermentation of whole wheat in integrated ethanol production - ScienceDirect</t>
  </si>
  <si>
    <t>Series</t>
  </si>
  <si>
    <t>Glu remained</t>
  </si>
  <si>
    <t>Xylose available</t>
  </si>
  <si>
    <t>Xylose consa</t>
  </si>
  <si>
    <t>Ethanol yieldc</t>
  </si>
  <si>
    <t>Ethanol yieldd</t>
  </si>
  <si>
    <t xml:space="preserve">Total amount of glucose and xylose in wheat </t>
  </si>
  <si>
    <t>Ethanol yield</t>
  </si>
  <si>
    <t>Average</t>
  </si>
  <si>
    <r>
      <t>g L</t>
    </r>
    <r>
      <rPr>
        <b/>
        <sz val="8"/>
        <color rgb="FF1F1F1F"/>
        <rFont val="ElsevierGulliver"/>
        <charset val="1"/>
      </rPr>
      <t>−1</t>
    </r>
  </si>
  <si>
    <t>%</t>
  </si>
  <si>
    <t>%,b g L−1</t>
  </si>
  <si>
    <r>
      <t>g g</t>
    </r>
    <r>
      <rPr>
        <b/>
        <sz val="8"/>
        <color rgb="FF1F1F1F"/>
        <rFont val="ElsevierGulliver"/>
        <charset val="1"/>
      </rPr>
      <t>−1</t>
    </r>
  </si>
  <si>
    <t>g/g wheat</t>
  </si>
  <si>
    <t>7.5</t>
  </si>
  <si>
    <t>0.7</t>
  </si>
  <si>
    <t>23.2</t>
  </si>
  <si>
    <t>43, 3.5</t>
  </si>
  <si>
    <t>3.7</t>
  </si>
  <si>
    <t>26.8</t>
  </si>
  <si>
    <t>0.31</t>
  </si>
  <si>
    <t>7.5 + 1(AMG, 0)</t>
  </si>
  <si>
    <t>1.0</t>
  </si>
  <si>
    <t>23.3</t>
  </si>
  <si>
    <t>36, 2.5</t>
  </si>
  <si>
    <t>4.7</t>
  </si>
  <si>
    <t>43.7</t>
  </si>
  <si>
    <t>0.36</t>
  </si>
  <si>
    <t>7.5 + 1(AMG, 24)</t>
  </si>
  <si>
    <t>34, 3.0</t>
  </si>
  <si>
    <t>4.8</t>
  </si>
  <si>
    <t>43.0</t>
  </si>
  <si>
    <t>0.35</t>
  </si>
  <si>
    <t>0.3</t>
  </si>
  <si>
    <t>38.5</t>
  </si>
  <si>
    <t>18, 2.3</t>
  </si>
  <si>
    <t>4.3</t>
  </si>
  <si>
    <t>34.6</t>
  </si>
  <si>
    <t>0.28</t>
  </si>
  <si>
    <t>10 + 1.3(AMG, 0)</t>
  </si>
  <si>
    <t>8.5</t>
  </si>
  <si>
    <t>38.8</t>
  </si>
  <si>
    <t>10, 1.0</t>
  </si>
  <si>
    <t>5.6</t>
  </si>
  <si>
    <t>52.6</t>
  </si>
  <si>
    <t>10 + 1.3(AMG, 24)</t>
  </si>
  <si>
    <t>8.3</t>
  </si>
  <si>
    <t>38.9</t>
  </si>
  <si>
    <t>10, 1.1</t>
  </si>
  <si>
    <t>5.5</t>
  </si>
  <si>
    <t>53.0</t>
  </si>
  <si>
    <t>0.2</t>
  </si>
  <si>
    <t>25.6</t>
  </si>
  <si>
    <t>20, 2.9</t>
  </si>
  <si>
    <t>2.1</t>
  </si>
  <si>
    <t>26.7</t>
  </si>
  <si>
    <t>0.29</t>
  </si>
  <si>
    <r>
      <t>7.5 + 1</t>
    </r>
    <r>
      <rPr>
        <sz val="8"/>
        <color rgb="FF1F1F1F"/>
        <rFont val="ElsevierGulliver"/>
        <charset val="1"/>
      </rPr>
      <t>20</t>
    </r>
  </si>
  <si>
    <t>25.9</t>
  </si>
  <si>
    <t>13, 1.5</t>
  </si>
  <si>
    <t>3.3</t>
  </si>
  <si>
    <t>43.5</t>
  </si>
  <si>
    <t>0.34</t>
  </si>
  <si>
    <r>
      <t>7.5 + 1</t>
    </r>
    <r>
      <rPr>
        <sz val="8"/>
        <color rgb="FF1F1F1F"/>
        <rFont val="ElsevierGulliver"/>
        <charset val="1"/>
      </rPr>
      <t>20,24,28</t>
    </r>
  </si>
  <si>
    <t>2.8</t>
  </si>
  <si>
    <t>11, 1.1</t>
  </si>
  <si>
    <t>42.3</t>
  </si>
  <si>
    <t>0.33</t>
  </si>
  <si>
    <r>
      <t>7.5 + glu feed</t>
    </r>
    <r>
      <rPr>
        <sz val="8"/>
        <color rgb="FF1F1F1F"/>
        <rFont val="ElsevierGulliver"/>
        <charset val="1"/>
      </rPr>
      <t>∼1</t>
    </r>
  </si>
  <si>
    <t>0.6</t>
  </si>
  <si>
    <t>25.5</t>
  </si>
  <si>
    <t>46, 3.4</t>
  </si>
  <si>
    <t>3.2</t>
  </si>
  <si>
    <t>48.8</t>
  </si>
  <si>
    <t>0.38</t>
  </si>
  <si>
    <r>
      <t>7.5 + glu feed</t>
    </r>
    <r>
      <rPr>
        <sz val="8"/>
        <color rgb="FF1F1F1F"/>
        <rFont val="ElsevierGulliver"/>
        <charset val="1"/>
      </rPr>
      <t>∼1.3</t>
    </r>
  </si>
  <si>
    <t>1.6</t>
  </si>
  <si>
    <t>45, 3.7</t>
  </si>
  <si>
    <t>3.4</t>
  </si>
  <si>
    <t>56.5</t>
  </si>
  <si>
    <t>0.40</t>
  </si>
  <si>
    <t>https://www.sciencedirect.com/science/article/pii/S0957582007714428</t>
  </si>
  <si>
    <t>Optimization of Innovative Ethanol Production from Wheat by Response Surface Methodology - ScienceDirect</t>
  </si>
  <si>
    <t>Tests</t>
  </si>
  <si>
    <r>
      <t>Glucose (g l</t>
    </r>
    <r>
      <rPr>
        <b/>
        <sz val="8"/>
        <color rgb="FF1F1F1F"/>
        <rFont val="ElsevierGulliver"/>
        <charset val="1"/>
      </rPr>
      <t>−1</t>
    </r>
    <r>
      <rPr>
        <b/>
        <sz val="11"/>
        <color rgb="FF1F1F1F"/>
        <rFont val="ElsevierGulliver"/>
        <charset val="1"/>
      </rPr>
      <t>)</t>
    </r>
  </si>
  <si>
    <r>
      <t>FAN (mg l</t>
    </r>
    <r>
      <rPr>
        <b/>
        <sz val="8"/>
        <color rgb="FF1F1F1F"/>
        <rFont val="ElsevierGulliver"/>
        <charset val="1"/>
      </rPr>
      <t>−1</t>
    </r>
    <r>
      <rPr>
        <b/>
        <sz val="11"/>
        <color rgb="FF1F1F1F"/>
        <rFont val="ElsevierGulliver"/>
        <charset val="1"/>
      </rPr>
      <t>)</t>
    </r>
  </si>
  <si>
    <r>
      <t>Y</t>
    </r>
    <r>
      <rPr>
        <b/>
        <sz val="8"/>
        <color rgb="FF1F1F1F"/>
        <rFont val="ElsevierGulliver"/>
        <charset val="1"/>
      </rPr>
      <t>e/g</t>
    </r>
    <r>
      <rPr>
        <b/>
        <sz val="11"/>
        <color rgb="FF1F1F1F"/>
        <rFont val="ElsevierGulliver"/>
        <charset val="1"/>
      </rPr>
      <t> (%)</t>
    </r>
  </si>
  <si>
    <t>Total higher alcohols (ppm)</t>
  </si>
  <si>
    <r>
      <t>YCO2</t>
    </r>
    <r>
      <rPr>
        <b/>
        <sz val="11"/>
        <color rgb="FF1F1F1F"/>
        <rFont val="ElsevierGulliver"/>
      </rPr>
      <t> (%)</t>
    </r>
  </si>
  <si>
    <t>Glucose in wheat (g/g)</t>
  </si>
  <si>
    <t>Ethanol yield (g/g wheat)</t>
  </si>
  <si>
    <t>−1</t>
  </si>
  <si>
    <t>5.80</t>
  </si>
  <si>
    <t>38.19</t>
  </si>
  <si>
    <t>7.14</t>
  </si>
  <si>
    <t>42.28</t>
  </si>
  <si>
    <t>7.31</t>
  </si>
  <si>
    <t>37.57</t>
  </si>
  <si>
    <t>7.57</t>
  </si>
  <si>
    <t>41.95</t>
  </si>
  <si>
    <t>4.93</t>
  </si>
  <si>
    <t>45.36</t>
  </si>
  <si>
    <t>6.35</t>
  </si>
  <si>
    <t>48.79</t>
  </si>
  <si>
    <t>4.37</t>
  </si>
  <si>
    <t>29.35</t>
  </si>
  <si>
    <t>2.73</t>
  </si>
  <si>
    <t>27.87</t>
  </si>
  <si>
    <t>−1.2872</t>
  </si>
  <si>
    <t>8.64</t>
  </si>
  <si>
    <t>45.53</t>
  </si>
  <si>
    <t>6.99</t>
  </si>
  <si>
    <t>49.65</t>
  </si>
  <si>
    <t>5.74</t>
  </si>
  <si>
    <t>43.67</t>
  </si>
  <si>
    <t>5.66</t>
  </si>
  <si>
    <t>40.44</t>
  </si>
  <si>
    <t>7.19</t>
  </si>
  <si>
    <t>46.78</t>
  </si>
  <si>
    <t>5.72</t>
  </si>
  <si>
    <t>45.25</t>
  </si>
  <si>
    <t>8.04</t>
  </si>
  <si>
    <t>47.17</t>
  </si>
  <si>
    <t>8.51</t>
  </si>
  <si>
    <t>47.95</t>
  </si>
  <si>
    <t>Wheat Bran</t>
  </si>
  <si>
    <t>https://www.sciencedirect.com/science/article/pii/S0141022910002607</t>
  </si>
  <si>
    <t>Direct ethanol production from starch, wheat bran and rice straw by the white rot fungus Trametes hirsuta - ScienceDirect</t>
  </si>
  <si>
    <t>These ethanol yields are significantly lower than those from wheat bran (0.215 g/g) and rice straw (0.150 g/g) observed in the present study, even after taking into account the different source materials used.</t>
  </si>
  <si>
    <t>Ethanol yied (g/g wheat bran)</t>
  </si>
  <si>
    <t>https://www.sciencedirect.com/science/article/pii/S0961953412002784</t>
  </si>
  <si>
    <t>Processing wheat bran into ethanol using mild treatments and highly fermentative yeasts - ScienceDirect</t>
  </si>
  <si>
    <t>The high fermentative performance of S. cerevisiae s1 showed that the strain is suitable for industrial ethanol production having an outstanding ethanol yield of about 0.48 g ethanol per g of glucose, corresponding to 95% of the theoretical value. Since the ethanol performance was very similar to that of reference medium, 0.48 g g−1 (Fig. 4b), the yeast seemed not to be affected by inhibitory compounds neither by high solid content of the hydrolysates.</t>
  </si>
  <si>
    <t>glucose in wheat bran (%)</t>
  </si>
  <si>
    <t>Ethanol yield (g/g wheat bran)</t>
  </si>
  <si>
    <t>S. diastaticus ATCC 13007</t>
  </si>
  <si>
    <t>https://www.sciencedirect.com/science/article/pii/S2589014X22000792</t>
  </si>
  <si>
    <t>Development of a universal method for high yield of furfural and hydrogen from raw lignocellulosic biomass - ScienceDirect</t>
  </si>
  <si>
    <r>
      <t>The highest furfural production of 154 mg g</t>
    </r>
    <r>
      <rPr>
        <sz val="9"/>
        <color rgb="FF1F1F1F"/>
        <rFont val="ElsevierGulliver"/>
        <charset val="1"/>
      </rPr>
      <t>−1</t>
    </r>
    <r>
      <rPr>
        <sz val="12"/>
        <color rgb="FF1F1F1F"/>
        <rFont val="ElsevierGulliver"/>
        <charset val="1"/>
      </rPr>
      <t> substrate was obtained from wheat straw.</t>
    </r>
  </si>
  <si>
    <t>Furfural (mg/g wheat)</t>
  </si>
  <si>
    <t>Furfural yield (g/g)</t>
  </si>
  <si>
    <t>https://www.sciencedirect.com/science/article/pii/S0960852412000375</t>
  </si>
  <si>
    <t>Optimization of furfural and 5-hydroxymethylfurfural production from wheat straw by a microwave-assisted process - ScienceDirect</t>
  </si>
  <si>
    <t>Standard order</t>
  </si>
  <si>
    <r>
      <t>Factor 1 (</t>
    </r>
    <r>
      <rPr>
        <b/>
        <i/>
        <sz val="11"/>
        <color rgb="FF1F1F1F"/>
        <rFont val="ElsevierGulliver"/>
        <charset val="1"/>
      </rPr>
      <t>X</t>
    </r>
    <r>
      <rPr>
        <b/>
        <sz val="8"/>
        <color rgb="FF1F1F1F"/>
        <rFont val="ElsevierGulliver"/>
        <charset val="1"/>
      </rPr>
      <t>1</t>
    </r>
    <r>
      <rPr>
        <b/>
        <sz val="11"/>
        <color rgb="FF1F1F1F"/>
        <rFont val="ElsevierGulliver"/>
        <charset val="1"/>
      </rPr>
      <t>)</t>
    </r>
  </si>
  <si>
    <r>
      <t>Factor 2 (</t>
    </r>
    <r>
      <rPr>
        <b/>
        <i/>
        <sz val="11"/>
        <color rgb="FF1F1F1F"/>
        <rFont val="ElsevierGulliver"/>
        <charset val="1"/>
      </rPr>
      <t>X</t>
    </r>
    <r>
      <rPr>
        <b/>
        <sz val="8"/>
        <color rgb="FF1F1F1F"/>
        <rFont val="ElsevierGulliver"/>
        <charset val="1"/>
      </rPr>
      <t>2</t>
    </r>
    <r>
      <rPr>
        <b/>
        <sz val="11"/>
        <color rgb="FF1F1F1F"/>
        <rFont val="ElsevierGulliver"/>
        <charset val="1"/>
      </rPr>
      <t>)</t>
    </r>
  </si>
  <si>
    <r>
      <t>Factor 3 (</t>
    </r>
    <r>
      <rPr>
        <b/>
        <i/>
        <sz val="11"/>
        <color rgb="FF1F1F1F"/>
        <rFont val="ElsevierGulliver"/>
        <charset val="1"/>
      </rPr>
      <t>X</t>
    </r>
    <r>
      <rPr>
        <b/>
        <sz val="8"/>
        <color rgb="FF1F1F1F"/>
        <rFont val="ElsevierGulliver"/>
        <charset val="1"/>
      </rPr>
      <t>3</t>
    </r>
    <r>
      <rPr>
        <b/>
        <sz val="11"/>
        <color rgb="FF1F1F1F"/>
        <rFont val="ElsevierGulliver"/>
        <charset val="1"/>
      </rPr>
      <t>)</t>
    </r>
  </si>
  <si>
    <r>
      <t>Factor 4 (</t>
    </r>
    <r>
      <rPr>
        <b/>
        <i/>
        <sz val="11"/>
        <color rgb="FF1F1F1F"/>
        <rFont val="ElsevierGulliver"/>
        <charset val="1"/>
      </rPr>
      <t>X</t>
    </r>
    <r>
      <rPr>
        <b/>
        <sz val="8"/>
        <color rgb="FF1F1F1F"/>
        <rFont val="ElsevierGulliver"/>
        <charset val="1"/>
      </rPr>
      <t>4</t>
    </r>
    <r>
      <rPr>
        <b/>
        <sz val="11"/>
        <color rgb="FF1F1F1F"/>
        <rFont val="ElsevierGulliver"/>
        <charset val="1"/>
      </rPr>
      <t>)</t>
    </r>
  </si>
  <si>
    <t>Furansa</t>
  </si>
  <si>
    <t>Sugarsb</t>
  </si>
  <si>
    <t>Solid residuec (%)</t>
  </si>
  <si>
    <t>Liquid:solid ratio (mL/g)</t>
  </si>
  <si>
    <t>Furfural (%)</t>
  </si>
  <si>
    <t>HMF (%)</t>
  </si>
  <si>
    <t>Glucose (%)</t>
  </si>
  <si>
    <t>Xylose (%)</t>
  </si>
  <si>
    <t>Total sugar in wheat (%)</t>
  </si>
  <si>
    <t>Furfural yield (g/g wheat)</t>
  </si>
  <si>
    <t>155 (−1)</t>
  </si>
  <si>
    <t>11 (−1)</t>
  </si>
  <si>
    <t>1.6 (−1)</t>
  </si>
  <si>
    <t>60 (−1)</t>
  </si>
  <si>
    <t>0.6 (+1)</t>
  </si>
  <si>
    <t>150 (+1)</t>
  </si>
  <si>
    <t>31 (+1)</t>
  </si>
  <si>
    <t>185 (+1)</t>
  </si>
  <si>
    <t>140 (−2)</t>
  </si>
  <si>
    <t>21 (0)</t>
  </si>
  <si>
    <t>1.1 (0)</t>
  </si>
  <si>
    <t>105 (0)</t>
  </si>
  <si>
    <t>200 (+2)</t>
  </si>
  <si>
    <t>170 (0)</t>
  </si>
  <si>
    <t>1 (−2)</t>
  </si>
  <si>
    <t>41 (+2)</t>
  </si>
  <si>
    <t>15 (−2)</t>
  </si>
  <si>
    <t>195 (+2)</t>
  </si>
  <si>
    <t>2.1 (−2)</t>
  </si>
  <si>
    <t>0.1 (+2)</t>
  </si>
  <si>
    <t>https://www.sciencedirect.com/science/article/pii/S0378382017319549</t>
  </si>
  <si>
    <t>Efficient production of furfural from xylose and wheat straw by bifunctional chromium phosphate catalyst in biphasic systems - ScienceDirect</t>
  </si>
  <si>
    <t>Reaction temperature/°C</t>
  </si>
  <si>
    <t>Reaction time/min</t>
  </si>
  <si>
    <t>Catalyst dosage/g</t>
  </si>
  <si>
    <t>Furfural yield/%</t>
  </si>
  <si>
    <t>HMF yield/%</t>
  </si>
  <si>
    <r>
      <t>The composition of wheat straw was determined by the standard NREL laboratory analytical procedures [</t>
    </r>
    <r>
      <rPr>
        <sz val="12"/>
        <color rgb="FF0272B1"/>
        <rFont val="ElsevierGulliver"/>
        <charset val="1"/>
      </rPr>
      <t>28</t>
    </r>
    <r>
      <rPr>
        <sz val="12"/>
        <color rgb="FF1F1F1F"/>
        <rFont val="ElsevierGulliver"/>
        <charset val="1"/>
      </rPr>
      <t>], the content is as follows: ash (9.8%), glucan (35.5%), xylan (21.9%), arabinan (2.1%), galactan (1.6%), lignin (20.1%) and others (9%).</t>
    </r>
  </si>
  <si>
    <t>https://pubs.rsc.org/en/content/articlelanding/2015/RA/C5RA07159C</t>
  </si>
  <si>
    <t>Relevance of the acidic 1-butyl-3-methylimidazolium hydrogen sulphate ionic liquid in the selective catalysis of the biomass hemicellulose fraction - RSC Advances (RSC Publishing)</t>
  </si>
  <si>
    <t>xylan + arb in wheat (%)</t>
  </si>
  <si>
    <t>chemical analysis of the raw material (dry weight basis) was taken from literature21 and was as follows: 38.8% _x0003_ 0.1% glucan, 19.5% _x0003_ 0.4% xylan, 2.9% _x0003_ 0.01% arabinan, 2.7% _x0003_ 0.03% acetyl groups, 17.6% _x0003_ 0.1% Klason lignin, 9.7% _x0003_ 0.03% protein and 4.5% _x0003_ 0.1% ash.</t>
  </si>
  <si>
    <t>Total sugars in wheat (%)</t>
  </si>
  <si>
    <t>where the yields of furfural and HMF were expressed as a “g furan/100 g pentose content (xylan + arabinose) or hexose content (glucan + galactose + mannose) of straw on a dry weight basis”</t>
  </si>
  <si>
    <t>https://www.sciencedirect.com/science/article/pii/S0045653521033014</t>
  </si>
  <si>
    <t>Synthesis of 5-hydroxymethylfurfural from glucose, fructose, cellulose and agricultural wastes over sulfur-doped peanut shell catalysts in ionic liquid - ScienceDirect</t>
  </si>
  <si>
    <t>Biomass</t>
  </si>
  <si>
    <t>Reaction temperature (°C)</t>
  </si>
  <si>
    <t>Reaction time (min)</t>
  </si>
  <si>
    <t>Substrate loading (mg)</t>
  </si>
  <si>
    <t>Solvent Media</t>
  </si>
  <si>
    <t>Peanut shell</t>
  </si>
  <si>
    <t>150 mg PSC-5</t>
  </si>
  <si>
    <t>2 g [emim]Cl- 1 mL ChCl/DMSO (1:10)</t>
  </si>
  <si>
    <t>Wheat straw</t>
  </si>
  <si>
    <t>fru+glu in wheat  %</t>
  </si>
  <si>
    <t>fru+glu in wheat bran %</t>
  </si>
  <si>
    <t>glucose in Wheat</t>
  </si>
  <si>
    <t>yield (isoprene/Wheat)</t>
  </si>
  <si>
    <t>glucose in Wheat Bran</t>
  </si>
  <si>
    <t>yield (isoprene/Wheat bran)</t>
  </si>
  <si>
    <t>Succinic Acid</t>
  </si>
  <si>
    <t>https://biotechnologyforbiofuels.biomedcentral.com/articles/10.1186/s13068-020-01850-5</t>
  </si>
  <si>
    <t>Fig 5</t>
  </si>
  <si>
    <t>Metabolic engineering of Aspergillus niger via ribonucleoprotein-based CRISPR–Cas9 system for succinic acid production from renewable biomass | Biotechnology for Biofuels and Bioproducts | Full Text (biomedcentral.com)</t>
  </si>
  <si>
    <t>Estimated from figure, using proportions</t>
  </si>
  <si>
    <t>https://www.sciencedirect.com/science/article/pii/S0960852408010225</t>
  </si>
  <si>
    <t>Fermentative production of succinic acid from straw hydrolysate by Actinobacillus succinogenes - ScienceDirect</t>
  </si>
  <si>
    <t>Agricultural straws</t>
  </si>
  <si>
    <r>
      <t>Residual reducing sugar (g l</t>
    </r>
    <r>
      <rPr>
        <b/>
        <sz val="8"/>
        <color rgb="FF1F1F1F"/>
        <rFont val="ElsevierGulliver"/>
        <charset val="1"/>
      </rPr>
      <t>−1</t>
    </r>
    <r>
      <rPr>
        <b/>
        <sz val="11"/>
        <color rgb="FF1F1F1F"/>
        <rFont val="ElsevierGulliver"/>
        <charset val="1"/>
      </rPr>
      <t>)</t>
    </r>
  </si>
  <si>
    <r>
      <t>Succinic acid (g l</t>
    </r>
    <r>
      <rPr>
        <b/>
        <sz val="8"/>
        <color rgb="FF1F1F1F"/>
        <rFont val="ElsevierGulliver"/>
        <charset val="1"/>
      </rPr>
      <t>−1</t>
    </r>
    <r>
      <rPr>
        <b/>
        <sz val="11"/>
        <color rgb="FF1F1F1F"/>
        <rFont val="ElsevierGulliver"/>
        <charset val="1"/>
      </rPr>
      <t>)</t>
    </r>
  </si>
  <si>
    <r>
      <t>Acetic acid and Formic acid (g l</t>
    </r>
    <r>
      <rPr>
        <b/>
        <sz val="8"/>
        <color rgb="FF1F1F1F"/>
        <rFont val="ElsevierGulliver"/>
        <charset val="1"/>
      </rPr>
      <t>−1</t>
    </r>
    <r>
      <rPr>
        <b/>
        <sz val="11"/>
        <color rgb="FF1F1F1F"/>
        <rFont val="ElsevierGulliver"/>
        <charset val="1"/>
      </rPr>
      <t>)</t>
    </r>
  </si>
  <si>
    <t>Succinic yield (%)</t>
  </si>
  <si>
    <t>Sugar utilization (%)</t>
  </si>
  <si>
    <t>Succinic Yield (% TS)</t>
  </si>
  <si>
    <t>TS %</t>
  </si>
  <si>
    <t>Succinic acid yield (g/g)</t>
  </si>
  <si>
    <t>3.4 ± 0.4</t>
  </si>
  <si>
    <t>33.70 ± 0.3</t>
  </si>
  <si>
    <t>5.3 ± 0.2</t>
  </si>
  <si>
    <t>81.0 ± 1.5</t>
  </si>
  <si>
    <t>92.4 ± 0.9</t>
  </si>
  <si>
    <t>Corn core</t>
  </si>
  <si>
    <t>9.0 ± 0.2</t>
  </si>
  <si>
    <t>32.07 ± 0.8</t>
  </si>
  <si>
    <t>3.53 ± 0.3</t>
  </si>
  <si>
    <t>89.1 ± 2.7</t>
  </si>
  <si>
    <t>80.0 ± 0.4</t>
  </si>
  <si>
    <t>16.9 ± 0.6</t>
  </si>
  <si>
    <t>17.64 ± 0.3</t>
  </si>
  <si>
    <t>2.24 ± 0.1</t>
  </si>
  <si>
    <t>62.8 ± 2.4</t>
  </si>
  <si>
    <t>62.4 ± 1.3</t>
  </si>
  <si>
    <t>19.4 ± 0.5</t>
  </si>
  <si>
    <t>18.96 ± 0.2</t>
  </si>
  <si>
    <t>2.07 ± 0.1</t>
  </si>
  <si>
    <t>74.1 ± 2.2</t>
  </si>
  <si>
    <t>56.9 ± 1.1</t>
  </si>
  <si>
    <t>Succinic acid yield was defined as the amount of succinic acid produced from 1 g sugar consumed, and was expressed as a percentage</t>
  </si>
  <si>
    <t>https://www.sciencedirect.com/science/article/pii/S0960852408002022</t>
  </si>
  <si>
    <t>A wheat biorefining strategy based on solid-state fermentation for fermentative production of succinic acid - ScienceDirect</t>
  </si>
  <si>
    <t>Fermentation media</t>
  </si>
  <si>
    <t>Fermentation results</t>
  </si>
  <si>
    <r>
      <t>Succinic acid concentration (g l</t>
    </r>
    <r>
      <rPr>
        <b/>
        <sz val="8"/>
        <color rgb="FF1F1F1F"/>
        <rFont val="ElsevierGulliver"/>
        <charset val="1"/>
      </rPr>
      <t>−1</t>
    </r>
    <r>
      <rPr>
        <b/>
        <sz val="11"/>
        <color rgb="FF1F1F1F"/>
        <rFont val="ElsevierGulliver"/>
        <charset val="1"/>
      </rPr>
      <t>)</t>
    </r>
  </si>
  <si>
    <r>
      <t>Succinic acid productivity (g l</t>
    </r>
    <r>
      <rPr>
        <b/>
        <sz val="8"/>
        <color rgb="FF1F1F1F"/>
        <rFont val="ElsevierGulliver"/>
        <charset val="1"/>
      </rPr>
      <t>−1</t>
    </r>
    <r>
      <rPr>
        <b/>
        <sz val="11"/>
        <color rgb="FF1F1F1F"/>
        <rFont val="ElsevierGulliver"/>
        <charset val="1"/>
      </rPr>
      <t> h</t>
    </r>
    <r>
      <rPr>
        <b/>
        <sz val="8"/>
        <color rgb="FF1F1F1F"/>
        <rFont val="ElsevierGulliver"/>
        <charset val="1"/>
      </rPr>
      <t>−1</t>
    </r>
    <r>
      <rPr>
        <b/>
        <sz val="11"/>
        <color rgb="FF1F1F1F"/>
        <rFont val="ElsevierGulliver"/>
        <charset val="1"/>
      </rPr>
      <t>)</t>
    </r>
  </si>
  <si>
    <t>Yieldd (g g−1)</t>
  </si>
  <si>
    <t>Yield (g/g glucose)</t>
  </si>
  <si>
    <t>Glucose in wheat %)</t>
  </si>
  <si>
    <t>Semi-defined mediuma</t>
  </si>
  <si>
    <t>FH and FAa</t>
  </si>
  <si>
    <t>GFFHb and GH</t>
  </si>
  <si>
    <t>23.5 ± 1.2</t>
  </si>
  <si>
    <t>0.97 ± 0.06</t>
  </si>
  <si>
    <t>0.60 ± 0.05</t>
  </si>
  <si>
    <t>GFFHb, GH and 2 g l−1 MgCO3</t>
  </si>
  <si>
    <t>31.8 ± 2.0</t>
  </si>
  <si>
    <t>1.30 ± 0.11</t>
  </si>
  <si>
    <t>0.66 ± 0.01</t>
  </si>
  <si>
    <t>GFFHb, GH and 30 g l−1 MgCO3</t>
  </si>
  <si>
    <t>36.1 ± 1.1</t>
  </si>
  <si>
    <t>1.53 ± 0.08</t>
  </si>
  <si>
    <t>0.70 ± 0.02</t>
  </si>
  <si>
    <t>GFFHb, GH and 50 g l−1 MgCO3</t>
  </si>
  <si>
    <t>37.7 ± 0.8</t>
  </si>
  <si>
    <t>1.57 ± 0.03</t>
  </si>
  <si>
    <t>0.73 ± 0.02</t>
  </si>
  <si>
    <t>GFFHc, GH and 30 g l−1 MgCO3</t>
  </si>
  <si>
    <t>64.2 ± 1.0</t>
  </si>
  <si>
    <t>1.19 ± 0.05</t>
  </si>
  <si>
    <t>0.81 ± 0.05</t>
  </si>
  <si>
    <t>Succinic acid production from orange peel and wheat straw by batch fermentations of Fibrobacter succinogenes S85 | Applied Microbiology and Biotechnology (springer.com)</t>
  </si>
  <si>
    <t>EST from figure</t>
  </si>
  <si>
    <t>Yieldd (g g−1)</t>
  </si>
  <si>
    <t>Tomato</t>
  </si>
  <si>
    <t>https://www.sciencedirect.com/science/article/pii/S0961953417302349#bib35</t>
  </si>
  <si>
    <t>Characterization and compositional analysis of agricultural crops and residues for ethanol production in California - ScienceDirect</t>
  </si>
  <si>
    <t>US crop yield</t>
  </si>
  <si>
    <t>CA crop yield</t>
  </si>
  <si>
    <t>US production</t>
  </si>
  <si>
    <t>CA production</t>
  </si>
  <si>
    <t>Potential ethanol yieldd</t>
  </si>
  <si>
    <t>Ethanol Yield</t>
  </si>
  <si>
    <r>
      <t>(kg</t>
    </r>
    <r>
      <rPr>
        <b/>
        <sz val="8"/>
        <color rgb="FF1F1F1F"/>
        <rFont val="ElsevierGulliver"/>
        <charset val="1"/>
      </rPr>
      <t>wb</t>
    </r>
    <r>
      <rPr>
        <b/>
        <sz val="11"/>
        <color rgb="FF1F1F1F"/>
        <rFont val="ElsevierGulliver"/>
        <charset val="1"/>
      </rPr>
      <t> m</t>
    </r>
    <r>
      <rPr>
        <b/>
        <sz val="8"/>
        <color rgb="FF1F1F1F"/>
        <rFont val="ElsevierGulliver"/>
        <charset val="1"/>
      </rPr>
      <t>−2</t>
    </r>
    <r>
      <rPr>
        <b/>
        <sz val="11"/>
        <color rgb="FF1F1F1F"/>
        <rFont val="ElsevierGulliver"/>
        <charset val="1"/>
      </rPr>
      <t>)</t>
    </r>
  </si>
  <si>
    <r>
      <t>(Gg</t>
    </r>
    <r>
      <rPr>
        <b/>
        <sz val="8"/>
        <color rgb="FF1F1F1F"/>
        <rFont val="ElsevierGulliver"/>
        <charset val="1"/>
      </rPr>
      <t>wb</t>
    </r>
    <r>
      <rPr>
        <b/>
        <sz val="11"/>
        <color rgb="FF1F1F1F"/>
        <rFont val="ElsevierGulliver"/>
        <charset val="1"/>
      </rPr>
      <t>)</t>
    </r>
  </si>
  <si>
    <r>
      <t>(m</t>
    </r>
    <r>
      <rPr>
        <b/>
        <sz val="8"/>
        <color rgb="FF1F1F1F"/>
        <rFont val="ElsevierGulliver"/>
        <charset val="1"/>
      </rPr>
      <t>3</t>
    </r>
    <r>
      <rPr>
        <b/>
        <sz val="11"/>
        <color rgb="FF1F1F1F"/>
        <rFont val="ElsevierGulliver"/>
        <charset val="1"/>
      </rPr>
      <t> Gg</t>
    </r>
    <r>
      <rPr>
        <b/>
        <sz val="8"/>
        <color rgb="FF1F1F1F"/>
        <rFont val="ElsevierGulliver"/>
        <charset val="1"/>
      </rPr>
      <t>−1wb</t>
    </r>
    <r>
      <rPr>
        <b/>
        <sz val="11"/>
        <color rgb="FF1F1F1F"/>
        <rFont val="ElsevierGulliver"/>
        <charset val="1"/>
      </rPr>
      <t>)</t>
    </r>
  </si>
  <si>
    <r>
      <t>(m</t>
    </r>
    <r>
      <rPr>
        <b/>
        <sz val="8"/>
        <color rgb="FF1F1F1F"/>
        <rFont val="ElsevierGulliver"/>
        <charset val="1"/>
      </rPr>
      <t>3</t>
    </r>
    <r>
      <rPr>
        <b/>
        <sz val="11"/>
        <color rgb="FF1F1F1F"/>
        <rFont val="ElsevierGulliver"/>
        <charset val="1"/>
      </rPr>
      <t> km</t>
    </r>
    <r>
      <rPr>
        <b/>
        <sz val="8"/>
        <color rgb="FF1F1F1F"/>
        <rFont val="ElsevierGulliver"/>
        <charset val="1"/>
      </rPr>
      <t>−2</t>
    </r>
    <r>
      <rPr>
        <b/>
        <sz val="11"/>
        <color rgb="FF1F1F1F"/>
        <rFont val="ElsevierGulliver"/>
        <charset val="1"/>
      </rPr>
      <t>)</t>
    </r>
  </si>
  <si>
    <t>(g/g tomato)</t>
  </si>
  <si>
    <t>Sugar beet root</t>
  </si>
  <si>
    <t>Sugar beet leavesa</t>
  </si>
  <si>
    <t>Cantaloupeb</t>
  </si>
  <si>
    <r>
      <t>[35]</t>
    </r>
    <r>
      <rPr>
        <sz val="11"/>
        <color rgb="FF1F1F1F"/>
        <rFont val="ElsevierGulliver"/>
        <charset val="1"/>
      </rPr>
      <t>, </t>
    </r>
    <r>
      <rPr>
        <sz val="11"/>
        <color rgb="FF0272B1"/>
        <rFont val="ElsevierGulliver"/>
        <charset val="1"/>
      </rPr>
      <t>[64]</t>
    </r>
  </si>
  <si>
    <t>Honeydewb</t>
  </si>
  <si>
    <r>
      <t>[9]</t>
    </r>
    <r>
      <rPr>
        <sz val="11"/>
        <color rgb="FF1F1F1F"/>
        <rFont val="ElsevierGulliver"/>
        <charset val="1"/>
      </rPr>
      <t>, </t>
    </r>
    <r>
      <rPr>
        <sz val="11"/>
        <color rgb="FF0272B1"/>
        <rFont val="ElsevierGulliver"/>
        <charset val="1"/>
      </rPr>
      <t>[35]</t>
    </r>
  </si>
  <si>
    <t>Watermelonb</t>
  </si>
  <si>
    <t>Tomatob</t>
  </si>
  <si>
    <t>Tomato Pomace</t>
  </si>
  <si>
    <t>https://link.springer.com/article/10.1007/s12155-019-10016-7</t>
  </si>
  <si>
    <t>Tomato Waste from Processing Industries as a Feedstock for Biofuel Production | BioEnergy Research (springer.com)</t>
  </si>
  <si>
    <t>Ethanol yield (g/ 100g Tomato Pomace)</t>
  </si>
  <si>
    <t>Ethanol yield (g/g Tomato Pomace)</t>
  </si>
  <si>
    <t>fru+glu in Tomato %</t>
  </si>
  <si>
    <t>fru+glu in wheat tomato pomace %</t>
  </si>
  <si>
    <t>glucose in Tomato</t>
  </si>
  <si>
    <t>yield (isoprene/Tomato)</t>
  </si>
  <si>
    <t>glucose in Tomato Pomace</t>
  </si>
  <si>
    <t>yield (isoprene/Tomato Pomace)</t>
  </si>
  <si>
    <t>Sugar cane</t>
  </si>
  <si>
    <t>https://biotechnologyforbiofuels.biomedcentral.com/articles/10.1186/s13068-015-0224-0</t>
  </si>
  <si>
    <t>2G ethanol from the whole sugarcane lignocellulosic biomass | Biotechnology for Biofuels and Bioproducts | Full Text (biomedcentral.com)</t>
  </si>
  <si>
    <t>Variety</t>
  </si>
  <si>
    <t>Symbol</t>
  </si>
  <si>
    <t>Residue</t>
  </si>
  <si>
    <t>Theoretical max (g/g glucose)</t>
  </si>
  <si>
    <t>Glucose in sugarcane (%)</t>
  </si>
  <si>
    <t>Ethanol yield (g/g sugarcane)</t>
  </si>
  <si>
    <t>v</t>
  </si>
  <si>
    <t>SP79-1011</t>
  </si>
  <si>
    <t>K</t>
  </si>
  <si>
    <t>Straw</t>
  </si>
  <si>
    <t>Tops</t>
  </si>
  <si>
    <t>RB867515</t>
  </si>
  <si>
    <t>M</t>
  </si>
  <si>
    <t>SP81-3250</t>
  </si>
  <si>
    <t>Q</t>
  </si>
  <si>
    <t>RB92579</t>
  </si>
  <si>
    <t>X</t>
  </si>
  <si>
    <t>https://www.sciencedirect.com/science/article/pii/S0960852407003586?via%3Dihub</t>
  </si>
  <si>
    <t>Production of fuel ethanol at high temperature from sugar cane juice by a newly isolated Kluyveromyces marxianus - ScienceDirect</t>
  </si>
  <si>
    <t>Condition</t>
  </si>
  <si>
    <t>At 37 °C</t>
  </si>
  <si>
    <t>At 40 °C</t>
  </si>
  <si>
    <t>Ethanol % (w/v)</t>
  </si>
  <si>
    <t>Productivity (g/l/h)</t>
  </si>
  <si>
    <t>% of theoretical yield</t>
  </si>
  <si>
    <t>Ethanol yield (g/g sugarcane) column 1</t>
  </si>
  <si>
    <t>Ethanol yield (g/g sugarcane) column 2</t>
  </si>
  <si>
    <t>Sugars (%)</t>
  </si>
  <si>
    <t>6.26 (42 h)</t>
  </si>
  <si>
    <t>5.95 (48 h)</t>
  </si>
  <si>
    <t>6.92 (54 h)</t>
  </si>
  <si>
    <t>6.03 (48 h)</t>
  </si>
  <si>
    <t>7.77 (54 h)</t>
  </si>
  <si>
    <t>6.79 (48 h)</t>
  </si>
  <si>
    <t>8.29 (54 h)</t>
  </si>
  <si>
    <t>6.88 (54 h)</t>
  </si>
  <si>
    <t>7.51 (60 h)</t>
  </si>
  <si>
    <t>6.54 (48 h)</t>
  </si>
  <si>
    <r>
      <t>(NH</t>
    </r>
    <r>
      <rPr>
        <i/>
        <sz val="8"/>
        <color rgb="FF1F1F1F"/>
        <rFont val="ElsevierGulliver"/>
        <charset val="1"/>
      </rPr>
      <t>4</t>
    </r>
    <r>
      <rPr>
        <i/>
        <sz val="11"/>
        <color rgb="FF1F1F1F"/>
        <rFont val="ElsevierGulliver"/>
        <charset val="1"/>
      </rPr>
      <t>)</t>
    </r>
    <r>
      <rPr>
        <i/>
        <sz val="8"/>
        <color rgb="FF1F1F1F"/>
        <rFont val="ElsevierGulliver"/>
        <charset val="1"/>
      </rPr>
      <t>2</t>
    </r>
    <r>
      <rPr>
        <i/>
        <sz val="11"/>
        <color rgb="FF1F1F1F"/>
        <rFont val="ElsevierGulliver"/>
        <charset val="1"/>
      </rPr>
      <t>SO</t>
    </r>
    <r>
      <rPr>
        <i/>
        <sz val="8"/>
        <color rgb="FF1F1F1F"/>
        <rFont val="ElsevierGulliver"/>
        <charset val="1"/>
      </rPr>
      <t>4</t>
    </r>
    <r>
      <rPr>
        <sz val="11"/>
        <color rgb="FF1F1F1F"/>
        <rFont val="ElsevierGulliver"/>
        <charset val="1"/>
      </rPr>
      <t> </t>
    </r>
    <r>
      <rPr>
        <i/>
        <sz val="11"/>
        <color rgb="FF1F1F1F"/>
        <rFont val="ElsevierGulliver"/>
        <charset val="1"/>
      </rPr>
      <t>(%)</t>
    </r>
  </si>
  <si>
    <t>6.85 (72 h)</t>
  </si>
  <si>
    <t>6.22 (54 h)</t>
  </si>
  <si>
    <t>7.35 (54 h)</t>
  </si>
  <si>
    <t>6.60 (48 h)</t>
  </si>
  <si>
    <t>7.80 (72 h)</t>
  </si>
  <si>
    <t>6.27 (60 h)</t>
  </si>
  <si>
    <t>7.46 (72 h)</t>
  </si>
  <si>
    <t>6.41 (60 h)</t>
  </si>
  <si>
    <r>
      <t>KH</t>
    </r>
    <r>
      <rPr>
        <i/>
        <sz val="8"/>
        <color rgb="FF1F1F1F"/>
        <rFont val="ElsevierGulliver"/>
        <charset val="1"/>
      </rPr>
      <t>2</t>
    </r>
    <r>
      <rPr>
        <i/>
        <sz val="11"/>
        <color rgb="FF1F1F1F"/>
        <rFont val="ElsevierGulliver"/>
        <charset val="1"/>
      </rPr>
      <t>PO</t>
    </r>
    <r>
      <rPr>
        <i/>
        <sz val="8"/>
        <color rgb="FF1F1F1F"/>
        <rFont val="ElsevierGulliver"/>
        <charset val="1"/>
      </rPr>
      <t>4</t>
    </r>
    <r>
      <rPr>
        <sz val="11"/>
        <color rgb="FF1F1F1F"/>
        <rFont val="ElsevierGulliver"/>
        <charset val="1"/>
      </rPr>
      <t> </t>
    </r>
    <r>
      <rPr>
        <i/>
        <sz val="11"/>
        <color rgb="FF1F1F1F"/>
        <rFont val="ElsevierGulliver"/>
        <charset val="1"/>
      </rPr>
      <t>(%)</t>
    </r>
  </si>
  <si>
    <t>6.92 (72 h)</t>
  </si>
  <si>
    <t>6.45 (60 h)</t>
  </si>
  <si>
    <t>7.12 (72 h)</t>
  </si>
  <si>
    <t>6.02 (60 h)</t>
  </si>
  <si>
    <t>7.65 (72 h)</t>
  </si>
  <si>
    <t>6.33 (72 h)</t>
  </si>
  <si>
    <t>7.55 (72 h)</t>
  </si>
  <si>
    <t>6.12 (54 h)</t>
  </si>
  <si>
    <r>
      <t>MgSO</t>
    </r>
    <r>
      <rPr>
        <i/>
        <sz val="8"/>
        <color rgb="FF1F1F1F"/>
        <rFont val="ElsevierGulliver"/>
        <charset val="1"/>
      </rPr>
      <t>4</t>
    </r>
    <r>
      <rPr>
        <sz val="11"/>
        <color rgb="FF1F1F1F"/>
        <rFont val="ElsevierGulliver"/>
        <charset val="1"/>
      </rPr>
      <t> · </t>
    </r>
    <r>
      <rPr>
        <i/>
        <sz val="11"/>
        <color rgb="FF1F1F1F"/>
        <rFont val="ElsevierGulliver"/>
        <charset val="1"/>
      </rPr>
      <t>7H</t>
    </r>
    <r>
      <rPr>
        <i/>
        <sz val="8"/>
        <color rgb="FF1F1F1F"/>
        <rFont val="ElsevierGulliver"/>
        <charset val="1"/>
      </rPr>
      <t>2</t>
    </r>
    <r>
      <rPr>
        <i/>
        <sz val="11"/>
        <color rgb="FF1F1F1F"/>
        <rFont val="ElsevierGulliver"/>
        <charset val="1"/>
      </rPr>
      <t>O (%)</t>
    </r>
  </si>
  <si>
    <t>7.31 (72 h)</t>
  </si>
  <si>
    <t>6.08 (72 h)</t>
  </si>
  <si>
    <t>7.25 (72 h)</t>
  </si>
  <si>
    <t>6.11 (54 h)</t>
  </si>
  <si>
    <t>7.24 (72 h)</t>
  </si>
  <si>
    <t>6.11 (60 h)</t>
  </si>
  <si>
    <t>7.39 (72 h)</t>
  </si>
  <si>
    <t>6.28 (60 h)</t>
  </si>
  <si>
    <t>6.08 (60 h)</t>
  </si>
  <si>
    <t>6.94 (72 h)</t>
  </si>
  <si>
    <t>6.04 (72 h)</t>
  </si>
  <si>
    <t>pH 4.0</t>
  </si>
  <si>
    <t>7.26 (96 h)</t>
  </si>
  <si>
    <t>5.94 (84 h)</t>
  </si>
  <si>
    <t>pH 4.5</t>
  </si>
  <si>
    <t>7.68 (96 h)</t>
  </si>
  <si>
    <t>5.78 (96 h)</t>
  </si>
  <si>
    <t>pH 5.0</t>
  </si>
  <si>
    <t>8.70 (60 h)</t>
  </si>
  <si>
    <t>6.57 (60 h)</t>
  </si>
  <si>
    <t>pH 5.5</t>
  </si>
  <si>
    <t>8.50 (60 h)</t>
  </si>
  <si>
    <t>6.78 (60 h)</t>
  </si>
  <si>
    <r>
      <t>Maximum ethanol concentration of 71.9 g L</t>
    </r>
    <r>
      <rPr>
        <sz val="9"/>
        <color rgb="FF1F1F1F"/>
        <rFont val="ElsevierGulliver"/>
        <charset val="1"/>
      </rPr>
      <t>−1</t>
    </r>
    <r>
      <rPr>
        <sz val="12"/>
        <color rgb="FF1F1F1F"/>
        <rFont val="ElsevierGulliver"/>
        <charset val="1"/>
      </rPr>
      <t> was achieved in 18 h resulting in an ethanol productivity of 4.0 g L</t>
    </r>
    <r>
      <rPr>
        <sz val="9"/>
        <color rgb="FF1F1F1F"/>
        <rFont val="ElsevierGulliver"/>
        <charset val="1"/>
      </rPr>
      <t>−1</t>
    </r>
    <r>
      <rPr>
        <sz val="12"/>
        <color rgb="FF1F1F1F"/>
        <rFont val="ElsevierGulliver"/>
        <charset val="1"/>
      </rPr>
      <t> h</t>
    </r>
    <r>
      <rPr>
        <sz val="9"/>
        <color rgb="FF1F1F1F"/>
        <rFont val="ElsevierGulliver"/>
        <charset val="1"/>
      </rPr>
      <t>−1</t>
    </r>
    <r>
      <rPr>
        <sz val="12"/>
        <color rgb="FF1F1F1F"/>
        <rFont val="ElsevierGulliver"/>
        <charset val="1"/>
      </rPr>
      <t> and ethanol yield corresponding to 85% of the theoretical yield during fermentation in a 2.5 L batch fermenter</t>
    </r>
  </si>
  <si>
    <t>Ethanol yield (% Theoretical)</t>
  </si>
  <si>
    <t>Ethanol yield (g/g sugarcanel)</t>
  </si>
  <si>
    <t>Sugar cane bagasse</t>
  </si>
  <si>
    <t>Glucose in bagasse (%)</t>
  </si>
  <si>
    <t>https://www.sciencedirect.com/science/article/pii/S001623612302656X?via%3Dihub</t>
  </si>
  <si>
    <t>Bioethanol production from mixed sugars at a semi-pilot scale through two-step repeated sequential fermentation - ScienceDirect</t>
  </si>
  <si>
    <t>Exp. Type</t>
  </si>
  <si>
    <t>Exp. Stage</t>
  </si>
  <si>
    <t>Si</t>
  </si>
  <si>
    <t>T</t>
  </si>
  <si>
    <t>Pf</t>
  </si>
  <si>
    <r>
      <t>Q</t>
    </r>
    <r>
      <rPr>
        <b/>
        <i/>
        <sz val="8"/>
        <color rgb="FF1F1F1F"/>
        <rFont val="ElsevierGulliver"/>
        <charset val="1"/>
      </rPr>
      <t>P</t>
    </r>
  </si>
  <si>
    <r>
      <t>Q</t>
    </r>
    <r>
      <rPr>
        <b/>
        <i/>
        <sz val="8"/>
        <color rgb="FF1F1F1F"/>
        <rFont val="ElsevierGulliver"/>
        <charset val="1"/>
      </rPr>
      <t>S</t>
    </r>
  </si>
  <si>
    <r>
      <t>Y</t>
    </r>
    <r>
      <rPr>
        <b/>
        <i/>
        <sz val="8"/>
        <color rgb="FF1F1F1F"/>
        <rFont val="ElsevierGulliver"/>
        <charset val="1"/>
      </rPr>
      <t>P/S</t>
    </r>
  </si>
  <si>
    <t>E (%)</t>
  </si>
  <si>
    <t>Pi</t>
  </si>
  <si>
    <t>Sf</t>
  </si>
  <si>
    <t>Total Sugar in Bagasse</t>
  </si>
  <si>
    <r>
      <t>g.L</t>
    </r>
    <r>
      <rPr>
        <b/>
        <sz val="8"/>
        <color rgb="FF1F1F1F"/>
        <rFont val="ElsevierGulliver"/>
        <charset val="1"/>
      </rPr>
      <t>−1</t>
    </r>
  </si>
  <si>
    <t>h</t>
  </si>
  <si>
    <r>
      <t>g.L</t>
    </r>
    <r>
      <rPr>
        <b/>
        <sz val="8"/>
        <color rgb="FF1F1F1F"/>
        <rFont val="ElsevierGulliver"/>
        <charset val="1"/>
      </rPr>
      <t>−1</t>
    </r>
    <r>
      <rPr>
        <b/>
        <sz val="11"/>
        <color rgb="FF1F1F1F"/>
        <rFont val="ElsevierGulliver"/>
        <charset val="1"/>
      </rPr>
      <t>.h</t>
    </r>
    <r>
      <rPr>
        <b/>
        <sz val="8"/>
        <color rgb="FF1F1F1F"/>
        <rFont val="ElsevierGulliver"/>
        <charset val="1"/>
      </rPr>
      <t>−1</t>
    </r>
  </si>
  <si>
    <r>
      <t>g.g</t>
    </r>
    <r>
      <rPr>
        <b/>
        <sz val="8"/>
        <color rgb="FF1F1F1F"/>
        <rFont val="ElsevierGulliver"/>
        <charset val="1"/>
      </rPr>
      <t>−1</t>
    </r>
  </si>
  <si>
    <t xml:space="preserve"> (g/g bagasse)</t>
  </si>
  <si>
    <t>Config. 1</t>
  </si>
  <si>
    <t>S I</t>
  </si>
  <si>
    <t>10.65 ± 0.64</t>
  </si>
  <si>
    <t>4.94 ± 0.11</t>
  </si>
  <si>
    <t>0.38 ± 0.12</t>
  </si>
  <si>
    <t>0.67 ± 0.15</t>
  </si>
  <si>
    <t>S II</t>
  </si>
  <si>
    <t>17.00 ± 0.25</t>
  </si>
  <si>
    <t>8.30 ± 0.44</t>
  </si>
  <si>
    <t>0.50 ± 0.09</t>
  </si>
  <si>
    <t>0.52 ± 0.47</t>
  </si>
  <si>
    <t>S I + II</t>
  </si>
  <si>
    <t>27.66 ± 0.88</t>
  </si>
  <si>
    <t>13.24 ± 0.54</t>
  </si>
  <si>
    <t>0.89 ± 0.02</t>
  </si>
  <si>
    <t>1.18 ± 0.32</t>
  </si>
  <si>
    <t>Config. 2</t>
  </si>
  <si>
    <t>98.35 ± 1.85</t>
  </si>
  <si>
    <t>48.79 ± 1.26</t>
  </si>
  <si>
    <t>0.79 ± 0.51</t>
  </si>
  <si>
    <t>0.68 ± 
0.41</t>
  </si>
  <si>
    <t>57.03 ± 0.15</t>
  </si>
  <si>
    <t>27.29 ± 0.31</t>
  </si>
  <si>
    <t>0.89 ± 0.18</t>
  </si>
  <si>
    <t>0.38 ± 
0.05</t>
  </si>
  <si>
    <t>155. 38 ± 2.00</t>
  </si>
  <si>
    <t>77.65 ± 2.50</t>
  </si>
  <si>
    <t>1.67 ± 0.33</t>
  </si>
  <si>
    <t>1.06 ± 0.47</t>
  </si>
  <si>
    <t>https://www.sciencedirect.com/science/article/pii/S0926669023008130?via%3Dihub</t>
  </si>
  <si>
    <t>Detoxification of high solid-liquid hydrothermal pretreated sugar cane bagasse by chromatographic adsorption for cellulosic ethanol production - ScienceDirect</t>
  </si>
  <si>
    <t>The yield of ethanol was 210 ± 1 mg/g SCB.</t>
  </si>
  <si>
    <t>Ethanol yield (mg/g SCB)</t>
  </si>
  <si>
    <t>Ethanol yield (g/g SCB)</t>
  </si>
  <si>
    <t>https://sci-hub.se/10.1016/j.renene.2012.07.003</t>
  </si>
  <si>
    <t>Table 2a</t>
  </si>
  <si>
    <t>Sci-Hub | Comparative study on ethanol production from pretreated sugarcane bagasse using immobilized Saccharomyces cerevisiae on various matrices. Renewable Energy, 50, 488–493 | 10.1016/j.renene.2012.07.003</t>
  </si>
  <si>
    <t>Ethanol (gp/L)</t>
  </si>
  <si>
    <t>Ethanol yield (gp/gs)</t>
  </si>
  <si>
    <t>https://www.sciencedirect.com/science/article/pii/S138589471101165X?via%3Dihub</t>
  </si>
  <si>
    <t>Table 5 &amp; 7</t>
  </si>
  <si>
    <t>Comparison of process configurations for ethanol production from two-step pretreated sugarcane bagasse - ScienceDirect</t>
  </si>
  <si>
    <t>Exp.</t>
  </si>
  <si>
    <r>
      <t>X</t>
    </r>
    <r>
      <rPr>
        <b/>
        <sz val="8"/>
        <color rgb="FF1F1F1F"/>
        <rFont val="ElsevierGulliver"/>
        <charset val="1"/>
      </rPr>
      <t>1</t>
    </r>
  </si>
  <si>
    <r>
      <t>X</t>
    </r>
    <r>
      <rPr>
        <b/>
        <sz val="8"/>
        <color rgb="FF1F1F1F"/>
        <rFont val="ElsevierGulliver"/>
        <charset val="1"/>
      </rPr>
      <t>2</t>
    </r>
  </si>
  <si>
    <t>Ethanol concentration, g/L</t>
  </si>
  <si>
    <t>Input of bagasse, kg/L ethanol</t>
  </si>
  <si>
    <t>+</t>
  </si>
  <si>
    <t>32.75 ± 0.14</t>
  </si>
  <si>
    <t>5.79 ± 0.04</t>
  </si>
  <si>
    <t>−</t>
  </si>
  <si>
    <t>29.55 ± 0.73</t>
  </si>
  <si>
    <t>6.14 ± 0.15</t>
  </si>
  <si>
    <t>22.06 ± 0.17</t>
  </si>
  <si>
    <t>8.54 ± 0.11</t>
  </si>
  <si>
    <t>20.94 ± 0.27</t>
  </si>
  <si>
    <t>8.65 ± 0.07</t>
  </si>
  <si>
    <t>SSF^ PSSF v</t>
  </si>
  <si>
    <t>Trials</t>
  </si>
  <si>
    <t>Variables</t>
  </si>
  <si>
    <t>Results</t>
  </si>
  <si>
    <r>
      <t>X</t>
    </r>
    <r>
      <rPr>
        <b/>
        <sz val="8"/>
        <color rgb="FF1F1F1F"/>
        <rFont val="ElsevierGulliver"/>
        <charset val="1"/>
      </rPr>
      <t>3</t>
    </r>
  </si>
  <si>
    <r>
      <t>X</t>
    </r>
    <r>
      <rPr>
        <b/>
        <sz val="8"/>
        <color rgb="FF1F1F1F"/>
        <rFont val="ElsevierGulliver"/>
        <charset val="1"/>
      </rPr>
      <t>4</t>
    </r>
  </si>
  <si>
    <t>ethanol concentration, g/L</t>
  </si>
  <si>
    <t>35.16 ± 0.61</t>
  </si>
  <si>
    <t>5.35 ± 0.09</t>
  </si>
  <si>
    <t>27.30 ± 0.29</t>
  </si>
  <si>
    <t>5.37 ± 0.06</t>
  </si>
  <si>
    <t>26.28 ± 0.61</t>
  </si>
  <si>
    <t>6.89 ± 0.16</t>
  </si>
  <si>
    <t>24.59 ± 0.61</t>
  </si>
  <si>
    <t>6.22 ± 0.16</t>
  </si>
  <si>
    <t>31.43 ± 0.54</t>
  </si>
  <si>
    <t>5.76 ± 0.1</t>
  </si>
  <si>
    <t>25.35 ± 1.2</t>
  </si>
  <si>
    <t>5.96 ± 0.29</t>
  </si>
  <si>
    <t>28.81 ± 1.38</t>
  </si>
  <si>
    <t>6.54 ± 0.34</t>
  </si>
  <si>
    <t>21.03 ± 0.71</t>
  </si>
  <si>
    <t>7.00 ± 0.17</t>
  </si>
  <si>
    <t>Sugar cane Molasses</t>
  </si>
  <si>
    <t>https://www.scielo.br/j/bjm/a/tMZzMhg7xVLL9QqsrKNRzSx/?lang=en#ModalTablet01</t>
  </si>
  <si>
    <t>SciELO - Brazil - Ethanol fermentation of sugarcane molasses by Zymomonas mobilis MTCC 92 immobilized in Luffa cylindrica L. sponge discs and Ca-alginate matrices Ethanol fermentation of sugarcane molasses by Zymomonas mobilis MTCC 92 immobilized in Luffa cylindrica L. sponge discs and Ca-alginate matrices</t>
  </si>
  <si>
    <t>Glucose in molasses %</t>
  </si>
  <si>
    <t>Ethanol yield (g/g molasses)</t>
  </si>
  <si>
    <t>Luffa immobilized cell</t>
  </si>
  <si>
    <t>Ca-Alginate immobilized cell</t>
  </si>
  <si>
    <t>https://openscholar.dut.ac.za/bitstream/10321/888/1/nofemele_sure_et_al_2012.pdf</t>
  </si>
  <si>
    <t>nofemele_sure_et_al_2012.pdf (dut.ac.za)</t>
  </si>
  <si>
    <t xml:space="preserve">The fermentation performance of molasses supplemented with various urea concentrations at the various temperatures revealed that a urea concentration of 4 gl-1 gave maximum fermentation efficiency of 85.12% and ethanol yield of 8.7% m/v at 35°C at 30°C, lower fermentation efficiency was (78.07%) and ethanol yields (7.9% m/v) were achieved, while at 40°C, it was 64.57 and 6.6% m/v, respectively. On the other hand a YH concentration of 0.5 gl-1 gave a maximum fermentation efficiency of 85.12% and ethanol yield of 8.7% (m/v) at35°C. Subsequently, the fermentation efficiency (79.25%) and 68.49%) and ethanol yields (8.1 and 7%; m/v) 
at 30 and 40°C were achieved (Figures 1 and 2). </t>
  </si>
  <si>
    <t>Theoretical max</t>
  </si>
  <si>
    <t>Glucose in this molasses %</t>
  </si>
  <si>
    <t>The TSAI composition of molasses was 39% (m/v) comprised mainly of sucrose (22%), glucose (12%) and fructose (5%).</t>
  </si>
  <si>
    <t>https://www.sciencedirect.com/science/article/pii/S0961953412004424</t>
  </si>
  <si>
    <t>Performances comparison between three technologies for continuous ethanol production from molasses - ScienceDirect</t>
  </si>
  <si>
    <t>Reactors</t>
  </si>
  <si>
    <t>CSTR</t>
  </si>
  <si>
    <t>ICR</t>
  </si>
  <si>
    <t>MBR</t>
  </si>
  <si>
    <t>P</t>
  </si>
  <si>
    <t>Run 1</t>
  </si>
  <si>
    <t>Run 2</t>
  </si>
  <si>
    <t>Run 3</t>
  </si>
  <si>
    <t>Run2</t>
  </si>
  <si>
    <r>
      <t>Dilution rate D (h</t>
    </r>
    <r>
      <rPr>
        <sz val="8"/>
        <color rgb="FF1F1F1F"/>
        <rFont val="ElsevierGulliver"/>
        <charset val="1"/>
      </rPr>
      <t>−1</t>
    </r>
    <r>
      <rPr>
        <sz val="11"/>
        <color rgb="FF1F1F1F"/>
        <rFont val="ElsevierGulliver"/>
        <charset val="1"/>
      </rPr>
      <t>)</t>
    </r>
  </si>
  <si>
    <t>0.31–0.5</t>
  </si>
  <si>
    <r>
      <t>Ethanol concentration (g L</t>
    </r>
    <r>
      <rPr>
        <sz val="8"/>
        <color rgb="FF1F1F1F"/>
        <rFont val="ElsevierGulliver"/>
        <charset val="1"/>
      </rPr>
      <t>−1</t>
    </r>
    <r>
      <rPr>
        <sz val="11"/>
        <color rgb="FF1F1F1F"/>
        <rFont val="ElsevierGulliver"/>
        <charset val="1"/>
      </rPr>
      <t>)</t>
    </r>
  </si>
  <si>
    <t>27.9 ± 1.9</t>
  </si>
  <si>
    <t>21.6 ± 1.9</t>
  </si>
  <si>
    <t>11.6 ± 1.6</t>
  </si>
  <si>
    <t>44.06 ± 1.9</t>
  </si>
  <si>
    <t>32 ± 1.1</t>
  </si>
  <si>
    <t>20.2 ± 0.6</t>
  </si>
  <si>
    <t>41.4 ± 1.8</t>
  </si>
  <si>
    <t>46.5 ± 1.5</t>
  </si>
  <si>
    <r>
      <t>Productivity: Qp (g L</t>
    </r>
    <r>
      <rPr>
        <sz val="8"/>
        <color rgb="FF1F1F1F"/>
        <rFont val="ElsevierGulliver"/>
        <charset val="1"/>
      </rPr>
      <t>−1</t>
    </r>
    <r>
      <rPr>
        <sz val="11"/>
        <color rgb="FF1F1F1F"/>
        <rFont val="ElsevierGulliver"/>
        <charset val="1"/>
      </rPr>
      <t> h</t>
    </r>
    <r>
      <rPr>
        <sz val="8"/>
        <color rgb="FF1F1F1F"/>
        <rFont val="ElsevierGulliver"/>
        <charset val="1"/>
      </rPr>
      <t>−1</t>
    </r>
    <r>
      <rPr>
        <sz val="11"/>
        <color rgb="FF1F1F1F"/>
        <rFont val="ElsevierGulliver"/>
        <charset val="1"/>
      </rPr>
      <t>)</t>
    </r>
  </si>
  <si>
    <t>3.34 ± 0.2</t>
  </si>
  <si>
    <t>5.4 ± 0.3</t>
  </si>
  <si>
    <t>6.8 ± 0.3</t>
  </si>
  <si>
    <t>5.28 ± 0.2</t>
  </si>
  <si>
    <t>8.0 ± 0.4</t>
  </si>
  <si>
    <t>12.83–19.2</t>
  </si>
  <si>
    <t>14.41 ± 0.6</t>
  </si>
  <si>
    <r>
      <t>Substrate inlet (g L</t>
    </r>
    <r>
      <rPr>
        <sz val="8"/>
        <color rgb="FF1F1F1F"/>
        <rFont val="ElsevierGulliver"/>
        <charset val="1"/>
      </rPr>
      <t>−1</t>
    </r>
    <r>
      <rPr>
        <sz val="11"/>
        <color rgb="FF1F1F1F"/>
        <rFont val="ElsevierGulliver"/>
        <charset val="1"/>
      </rPr>
      <t>)</t>
    </r>
  </si>
  <si>
    <r>
      <t>Substrate outlet (g L</t>
    </r>
    <r>
      <rPr>
        <sz val="8"/>
        <color rgb="FF1F1F1F"/>
        <rFont val="ElsevierGulliver"/>
        <charset val="1"/>
      </rPr>
      <t>−1</t>
    </r>
    <r>
      <rPr>
        <sz val="11"/>
        <color rgb="FF1F1F1F"/>
        <rFont val="ElsevierGulliver"/>
        <charset val="1"/>
      </rPr>
      <t>)</t>
    </r>
  </si>
  <si>
    <t>18.3 ± 1.7</t>
  </si>
  <si>
    <t>31.1 ± 2.9</t>
  </si>
  <si>
    <t>51.5 ± 1.2</t>
  </si>
  <si>
    <t>2.9 ± 0.4</t>
  </si>
  <si>
    <t>9.6 ± 0.6</t>
  </si>
  <si>
    <t>26.8 ± 1</t>
  </si>
  <si>
    <t>2.3 ± 0.2</t>
  </si>
  <si>
    <t>0.7 ± 0.1</t>
  </si>
  <si>
    <t>Sugar consumption: Ys (%)</t>
  </si>
  <si>
    <t>81.7 ± 2.1</t>
  </si>
  <si>
    <t>68.9 ± 2.4</t>
  </si>
  <si>
    <t>48.5 ± 1.8</t>
  </si>
  <si>
    <t>97.1 ± 3.2</t>
  </si>
  <si>
    <t>90.4 ± 4.1</t>
  </si>
  <si>
    <t>73.2 ± 3.8</t>
  </si>
  <si>
    <t>97.7 ± 2.8</t>
  </si>
  <si>
    <t>99.3 ± 2.9</t>
  </si>
  <si>
    <r>
      <t>Biomass in the reactor (g L</t>
    </r>
    <r>
      <rPr>
        <sz val="8"/>
        <color rgb="FF1F1F1F"/>
        <rFont val="ElsevierGulliver"/>
        <charset val="1"/>
      </rPr>
      <t>−1</t>
    </r>
    <r>
      <rPr>
        <sz val="11"/>
        <color rgb="FF1F1F1F"/>
        <rFont val="ElsevierGulliver"/>
        <charset val="1"/>
      </rPr>
      <t>)</t>
    </r>
  </si>
  <si>
    <t>4.8 ± 0.4</t>
  </si>
  <si>
    <t>4.9 ± 0.16</t>
  </si>
  <si>
    <t>2.4 ± 0.13</t>
  </si>
  <si>
    <t>8.4–26.7</t>
  </si>
  <si>
    <t>26.13–41.1</t>
  </si>
  <si>
    <r>
      <t>Y</t>
    </r>
    <r>
      <rPr>
        <sz val="8"/>
        <color rgb="FF1F1F1F"/>
        <rFont val="ElsevierGulliver"/>
        <charset val="1"/>
      </rPr>
      <t>P/S</t>
    </r>
    <r>
      <rPr>
        <sz val="11"/>
        <color rgb="FF1F1F1F"/>
        <rFont val="ElsevierGulliver"/>
        <charset val="1"/>
      </rPr>
      <t> yield (g ethanol g substrate</t>
    </r>
    <r>
      <rPr>
        <sz val="8"/>
        <color rgb="FF1F1F1F"/>
        <rFont val="ElsevierGulliver"/>
        <charset val="1"/>
      </rPr>
      <t>−1</t>
    </r>
    <r>
      <rPr>
        <sz val="11"/>
        <color rgb="FF1F1F1F"/>
        <rFont val="ElsevierGulliver"/>
        <charset val="1"/>
      </rPr>
      <t>)</t>
    </r>
  </si>
  <si>
    <t>0.34 ± 0.01</t>
  </si>
  <si>
    <t>0.31 ± 0.01</t>
  </si>
  <si>
    <t>0.24 ± 0.01</t>
  </si>
  <si>
    <t>0.45 ± 0.02</t>
  </si>
  <si>
    <t>0.35 ± 0.01</t>
  </si>
  <si>
    <t>0.27 ± 0.01</t>
  </si>
  <si>
    <t>0.42 ± 0.02</t>
  </si>
  <si>
    <t>0.46 ± 0.01</t>
  </si>
  <si>
    <t>Max</t>
  </si>
  <si>
    <t>Min</t>
  </si>
  <si>
    <t>YP/S yield (g ethanol g substrate−1)</t>
  </si>
  <si>
    <r>
      <t>During the first run (D = 0.12 h</t>
    </r>
    <r>
      <rPr>
        <sz val="9"/>
        <color rgb="FF1F1F1F"/>
        <rFont val="ElsevierGulliver"/>
        <charset val="1"/>
      </rPr>
      <t>−1</t>
    </r>
    <r>
      <rPr>
        <sz val="12"/>
        <color rgb="FF1F1F1F"/>
        <rFont val="ElsevierGulliver"/>
        <charset val="1"/>
      </rPr>
      <t>) the concentration of residual sugar was stabilised at an average value of 18.3 g L</t>
    </r>
    <r>
      <rPr>
        <sz val="9"/>
        <color rgb="FF1F1F1F"/>
        <rFont val="ElsevierGulliver"/>
        <charset val="1"/>
      </rPr>
      <t>−1</t>
    </r>
    <r>
      <rPr>
        <sz val="12"/>
        <color rgb="FF1F1F1F"/>
        <rFont val="ElsevierGulliver"/>
        <charset val="1"/>
      </rPr>
      <t> equal to a substrate conversion yield (Ys) of 81.7%.</t>
    </r>
  </si>
  <si>
    <r>
      <t>Sugarcane (</t>
    </r>
    <r>
      <rPr>
        <i/>
        <sz val="12"/>
        <color rgb="FF1F1F1F"/>
        <rFont val="ElsevierGulliver"/>
        <charset val="1"/>
      </rPr>
      <t>Saccharum officinarum)</t>
    </r>
    <r>
      <rPr>
        <sz val="12"/>
        <color rgb="FF1F1F1F"/>
        <rFont val="ElsevierGulliver"/>
        <charset val="1"/>
      </rPr>
      <t> cultivars employed in this work were harvested in the central province of Santiago (Cuba) on 2008. Molasses, from which fermentation medium were prepared, were obtained from the STS Company of Tunis. They have the following composition: dry matter (72.2%), total sugars (48.5%)</t>
    </r>
  </si>
  <si>
    <t>Substrate (% molasses)</t>
  </si>
  <si>
    <t>Yield (g eth/g molasses)</t>
  </si>
  <si>
    <t>https://www.sciencedirect.com/science/article/pii/S096014811000340X</t>
  </si>
  <si>
    <t>Cane molasses fermentation for continuous ethanol production in an immobilized cells reactor by Saccharomyces cerevisiae - ScienceDirect</t>
  </si>
  <si>
    <r>
      <t>The maximum ethanol production, theoretical yield (</t>
    </r>
    <r>
      <rPr>
        <i/>
        <sz val="12"/>
        <color rgb="FF1F1F1F"/>
        <rFont val="ElsevierGulliver"/>
        <charset val="1"/>
      </rPr>
      <t>Y</t>
    </r>
    <r>
      <rPr>
        <i/>
        <sz val="9"/>
        <color rgb="FF1F1F1F"/>
        <rFont val="ElsevierGulliver"/>
        <charset val="1"/>
      </rPr>
      <t>E</t>
    </r>
    <r>
      <rPr>
        <sz val="9"/>
        <color rgb="FF1F1F1F"/>
        <rFont val="ElsevierGulliver"/>
        <charset val="1"/>
      </rPr>
      <t>/</t>
    </r>
    <r>
      <rPr>
        <i/>
        <sz val="9"/>
        <color rgb="FF1F1F1F"/>
        <rFont val="ElsevierGulliver"/>
        <charset val="1"/>
      </rPr>
      <t>S</t>
    </r>
    <r>
      <rPr>
        <sz val="12"/>
        <color rgb="FF1F1F1F"/>
        <rFont val="ElsevierGulliver"/>
        <charset val="1"/>
      </rPr>
      <t>), volumetric ethanol productivity (</t>
    </r>
    <r>
      <rPr>
        <i/>
        <sz val="12"/>
        <color rgb="FF1F1F1F"/>
        <rFont val="ElsevierGulliver"/>
        <charset val="1"/>
      </rPr>
      <t>Q</t>
    </r>
    <r>
      <rPr>
        <i/>
        <sz val="9"/>
        <color rgb="FF1F1F1F"/>
        <rFont val="ElsevierGulliver"/>
        <charset val="1"/>
      </rPr>
      <t>P</t>
    </r>
    <r>
      <rPr>
        <sz val="12"/>
        <color rgb="FF1F1F1F"/>
        <rFont val="ElsevierGulliver"/>
        <charset val="1"/>
      </rPr>
      <t>) and total sugar consumption was 19.15 g/l, 46.23%, 2.39 g l</t>
    </r>
    <r>
      <rPr>
        <sz val="9"/>
        <color rgb="FF1F1F1F"/>
        <rFont val="ElsevierGulliver"/>
        <charset val="1"/>
      </rPr>
      <t>−1</t>
    </r>
    <r>
      <rPr>
        <sz val="12"/>
        <color rgb="FF1F1F1F"/>
        <rFont val="ElsevierGulliver"/>
        <charset val="1"/>
      </rPr>
      <t> h</t>
    </r>
    <r>
      <rPr>
        <sz val="9"/>
        <color rgb="FF1F1F1F"/>
        <rFont val="ElsevierGulliver"/>
        <charset val="1"/>
      </rPr>
      <t>−1</t>
    </r>
    <r>
      <rPr>
        <sz val="12"/>
        <color rgb="FF1F1F1F"/>
        <rFont val="ElsevierGulliver"/>
        <charset val="1"/>
      </rPr>
      <t> and 96%, respectively.</t>
    </r>
  </si>
  <si>
    <t>https://www.sciencedirect.com/science/article/pii/S1350417718308320</t>
  </si>
  <si>
    <t>Furfural production from lignocellulosic biomass by ultrasound-assisted acid hydrolysis - ScienceDirect</t>
  </si>
  <si>
    <r>
      <t>Furfural production, mg g</t>
    </r>
    <r>
      <rPr>
        <b/>
        <sz val="8"/>
        <color rgb="FF1F1F1F"/>
        <rFont val="ElsevierGulliver"/>
        <charset val="1"/>
      </rPr>
      <t>−1</t>
    </r>
  </si>
  <si>
    <t>36.4 ± 7.9</t>
  </si>
  <si>
    <t>Sugar cane straw</t>
  </si>
  <si>
    <t>49.9 ± 5.1</t>
  </si>
  <si>
    <t>Yerba-mate waste</t>
  </si>
  <si>
    <t>62.1 ± 2.0</t>
  </si>
  <si>
    <t>Grass</t>
  </si>
  <si>
    <t>72.4 ± 4.3</t>
  </si>
  <si>
    <t>Wood waste</t>
  </si>
  <si>
    <t>60.8 ± 9.0</t>
  </si>
  <si>
    <t>https://www.sciencedirect.com/science/article/pii/S0926669017300146</t>
  </si>
  <si>
    <t>Furfural production from biomass–derived carbohydrates and lignocellulosic residues via heterogeneous acid catalysts - ScienceDirect</t>
  </si>
  <si>
    <t>Table 3. Results of sugarcane bagasse and corncob conversion experimentsa.</t>
  </si>
  <si>
    <t>5–HMF yield</t>
  </si>
  <si>
    <t>average yield (g/g)</t>
  </si>
  <si>
    <t>mol%</t>
  </si>
  <si>
    <t>wt%c</t>
  </si>
  <si>
    <t>Al–Beta</t>
  </si>
  <si>
    <t>47.6 ± 1.0</t>
  </si>
  <si>
    <t>18.2 ± 0.8</t>
  </si>
  <si>
    <t>13.2 ± 0.4</t>
  </si>
  <si>
    <t>4.1 ± 0.3</t>
  </si>
  <si>
    <t>2b</t>
  </si>
  <si>
    <t>36.7 ± 1.9</t>
  </si>
  <si>
    <t>14.0 ± 0.7</t>
  </si>
  <si>
    <t>9.8 ± 0.7</t>
  </si>
  <si>
    <t>Fe–Beta</t>
  </si>
  <si>
    <t>40.1 ± 1.8</t>
  </si>
  <si>
    <t>15.4 ± 0.8</t>
  </si>
  <si>
    <t>11.6 ± 0.7</t>
  </si>
  <si>
    <t>3.6 ± 0.2</t>
  </si>
  <si>
    <t>Cr–Beta</t>
  </si>
  <si>
    <t>36.4 ± 1.6</t>
  </si>
  <si>
    <t>13.9 ± 0.7</t>
  </si>
  <si>
    <t>10.4 ± 0.6</t>
  </si>
  <si>
    <t>3.2 ± 0.2</t>
  </si>
  <si>
    <t>51.1 ± 2.0</t>
  </si>
  <si>
    <t>19.6 ± 0.7</t>
  </si>
  <si>
    <t>16.7 ± 0.8</t>
  </si>
  <si>
    <t>44.5 ± 2.0</t>
  </si>
  <si>
    <t>17.0 ± 0.7</t>
  </si>
  <si>
    <t>12.9 ± 0.8</t>
  </si>
  <si>
    <t>4.0 ± 0.2</t>
  </si>
  <si>
    <t>22.3 ± 1.0</t>
  </si>
  <si>
    <t>8.5 ± 0.7</t>
  </si>
  <si>
    <t>8.9 ± 0.4</t>
  </si>
  <si>
    <t>2.8 ± 0.2</t>
  </si>
  <si>
    <t>32.3 ± 1.5</t>
  </si>
  <si>
    <t>12.4 ± 0.8</t>
  </si>
  <si>
    <t>11.4 ± 0.6</t>
  </si>
  <si>
    <t>3.5 ± 0.3</t>
  </si>
  <si>
    <t>28.9 ± 1.2</t>
  </si>
  <si>
    <t>11.0 ± 0.7</t>
  </si>
  <si>
    <t>9.5 ± 0.4</t>
  </si>
  <si>
    <t>2.9 ± 0.2</t>
  </si>
  <si>
    <t>29.0 ± 1.3</t>
  </si>
  <si>
    <t>11.1 ± 0.6</t>
  </si>
  <si>
    <t>10.1 ± 0.5</t>
  </si>
  <si>
    <t>3.1 ± 0.2</t>
  </si>
  <si>
    <t>40.9 ± 1.4</t>
  </si>
  <si>
    <t>15.7 ± 0.7</t>
  </si>
  <si>
    <t>9.6 ± 0.5</t>
  </si>
  <si>
    <t>https://www.sciencedirect.com/science/article/pii/S138589471731803X</t>
  </si>
  <si>
    <t>Figure 1</t>
  </si>
  <si>
    <t>Rapid and simultaneous production of furfural and cellulose-rich residue from sugarcane bagasse using a pressurized phosphoric acid-acetone-water system - ScienceDirect</t>
  </si>
  <si>
    <t>Furfural yield (mol%)</t>
  </si>
  <si>
    <t>Furfural yield (g/g bagasse)</t>
  </si>
  <si>
    <t> The compositional analysis of the bagasse revealed that the biomass was composed of 38.55% glucan (42.83% glucose), 18.24% xylan (20.73% xylose), and 24.77% K-lignin on a dry weight basis.</t>
  </si>
  <si>
    <t>https://pubs.rsc.org/en/content/articlelanding/2014/ra/c4ra04119d</t>
  </si>
  <si>
    <t>Exceptionally high yields of furfural from assorted raw biomass over solid acids - RSC Advances (RSC Publishing)</t>
  </si>
  <si>
    <t>the literature.37 Fig. 2 illustrates that from real substrates a remarkably high yield of 93% is achievable for furfural when the reactions were performed at 443 K for 8 h. In particular, when bagasse is used a 92 _x0003_ 1% yield is possible</t>
  </si>
  <si>
    <t>Furfural yield (% hemicellulose)</t>
  </si>
  <si>
    <t xml:space="preserve">cellulose in bagasse </t>
  </si>
  <si>
    <t>Fufural yield (g/g bagasse)</t>
  </si>
  <si>
    <t>https://www.sciencedirect.com/science/article/pii/S1364032120304639#bib61</t>
  </si>
  <si>
    <t>A review on solvent systems for furfural production from lignocellulosic biomass - ScienceDirect</t>
  </si>
  <si>
    <r>
      <t>Temperature (</t>
    </r>
    <r>
      <rPr>
        <b/>
        <sz val="8"/>
        <color rgb="FF1F1F1F"/>
        <rFont val="ElsevierGulliver"/>
        <charset val="1"/>
      </rPr>
      <t>°</t>
    </r>
    <r>
      <rPr>
        <b/>
        <sz val="11"/>
        <color rgb="FF1F1F1F"/>
        <rFont val="ElsevierGulliver"/>
        <charset val="1"/>
      </rPr>
      <t>C)</t>
    </r>
  </si>
  <si>
    <t>Pressure (bar)</t>
  </si>
  <si>
    <t xml:space="preserve">Furfural yield (mol%) </t>
  </si>
  <si>
    <t>Westpro</t>
  </si>
  <si>
    <t>160–165</t>
  </si>
  <si>
    <r>
      <t>H</t>
    </r>
    <r>
      <rPr>
        <sz val="8"/>
        <color rgb="FF1F1F1F"/>
        <rFont val="ElsevierGulliver"/>
        <charset val="1"/>
      </rPr>
      <t>2</t>
    </r>
    <r>
      <rPr>
        <sz val="11"/>
        <color rgb="FF1F1F1F"/>
        <rFont val="ElsevierGulliver"/>
        <charset val="1"/>
      </rPr>
      <t>SO</t>
    </r>
    <r>
      <rPr>
        <sz val="8"/>
        <color rgb="FF1F1F1F"/>
        <rFont val="ElsevierGulliver"/>
        <charset val="1"/>
      </rPr>
      <t>4</t>
    </r>
  </si>
  <si>
    <t>Corn Cobs</t>
  </si>
  <si>
    <t>35–50</t>
  </si>
  <si>
    <t>[11]</t>
  </si>
  <si>
    <t>SupraYield®</t>
  </si>
  <si>
    <t>230–250</t>
  </si>
  <si>
    <t>Hardwood</t>
  </si>
  <si>
    <t>50–70</t>
  </si>
  <si>
    <t>[23]</t>
  </si>
  <si>
    <t>Quaker Oats</t>
  </si>
  <si>
    <t>Oat Hull</t>
  </si>
  <si>
    <t>&lt;50</t>
  </si>
  <si>
    <t>[24]</t>
  </si>
  <si>
    <t>ROSENLEW</t>
  </si>
  <si>
    <t>Autocatalysis (acetic acid, formic acid, higher carboxylic acids)</t>
  </si>
  <si>
    <t>DuPont</t>
  </si>
  <si>
    <t>100–250</t>
  </si>
  <si>
    <t>Corn cob</t>
  </si>
  <si>
    <t>61–84</t>
  </si>
  <si>
    <t>[25]</t>
  </si>
  <si>
    <t>Shell Oil Company</t>
  </si>
  <si>
    <t>150–200</t>
  </si>
  <si>
    <t>&lt;10.00</t>
  </si>
  <si>
    <t>HCl</t>
  </si>
  <si>
    <t>18–53</t>
  </si>
  <si>
    <t>max</t>
  </si>
  <si>
    <t>min</t>
  </si>
  <si>
    <t>Sugar cane molasses</t>
  </si>
  <si>
    <t>https://chemistry-europe.onlinelibrary.wiley.com/doi/10.1002/slct.201801814</t>
  </si>
  <si>
    <t>Eco‐Friendly Production of 5‐Hydroxymethylfurfural from Sucrose Using Commercially Available Dihydric Phosphate as a Catalyst - Ma - 2018 - ChemistrySelect - Wiley Online Library</t>
  </si>
  <si>
    <t>This environmentally friendly system is also broadly substrate-tolerant, high concen_x0002_tration of sucrose (86%), scalable catalytic system (scaled up 10 times), and sugarcane juice also give 62.5%, 70.1%, and 70.7% of HMF yield, respectively</t>
  </si>
  <si>
    <t>HMF yield (% from sg juice)</t>
  </si>
  <si>
    <t>https://www.sciencedirect.com/science/article/pii/S0959652622039555</t>
  </si>
  <si>
    <t>A consolidated bioprocess design to produce multiple high-value platform chemicals from lignocellulosic biomass and its technoeconomic feasibility - ScienceDirect</t>
  </si>
  <si>
    <t>Pretreatment (temperature; time)</t>
  </si>
  <si>
    <t>Total solubilized sugar recovery (% gdw)</t>
  </si>
  <si>
    <t>Total Structural sugar recovery (% gdw)</t>
  </si>
  <si>
    <t>HMF (% gdw)</t>
  </si>
  <si>
    <t>Furfurals (% gdw)</t>
  </si>
  <si>
    <t>Acetic acid (% gdw)</t>
  </si>
  <si>
    <t>Total recovery of bioproducts (% gdw)</t>
  </si>
  <si>
    <t>HMF yield (% dw)</t>
  </si>
  <si>
    <t>34.68 ± 1.59</t>
  </si>
  <si>
    <t>190 °C 10 min</t>
  </si>
  <si>
    <t>7.59 ± 0.02</t>
  </si>
  <si>
    <t>29.32 ± 0.24</t>
  </si>
  <si>
    <t>3.79 ± 0.12</t>
  </si>
  <si>
    <t>2.30 ± 0.02</t>
  </si>
  <si>
    <t>4.99 ± 0.01</t>
  </si>
  <si>
    <t>48.00 ± 0.41</t>
  </si>
  <si>
    <t>190 °C 20 min</t>
  </si>
  <si>
    <t>8.47 ± 0.41</t>
  </si>
  <si>
    <t>27.43 ± 0.25</t>
  </si>
  <si>
    <t>7.72 ± 0.22</t>
  </si>
  <si>
    <t>6.36 ± 0.21</t>
  </si>
  <si>
    <t>10.23 ± 0.31</t>
  </si>
  <si>
    <t>60.21 ± 1.40</t>
  </si>
  <si>
    <t>190 °C 30 min</t>
  </si>
  <si>
    <t>4.22 ± 0.07</t>
  </si>
  <si>
    <t>22.24 ± 0.22</t>
  </si>
  <si>
    <t>8.10 ± 0.42</t>
  </si>
  <si>
    <t>10.64 ± 0.57</t>
  </si>
  <si>
    <t>13.41 ± 0.64</t>
  </si>
  <si>
    <t>58.63 ± 1.92</t>
  </si>
  <si>
    <t>210 °C 10 min</t>
  </si>
  <si>
    <t>1.65 ± 0.01</t>
  </si>
  <si>
    <t>46.65 ± 2.21</t>
  </si>
  <si>
    <t>8.67 ± 0.23</t>
  </si>
  <si>
    <t>12.32 ± 0.12</t>
  </si>
  <si>
    <t>14.73 ± 0.03</t>
  </si>
  <si>
    <t>84.01 ± 2.60</t>
  </si>
  <si>
    <t>210 °C 15 min</t>
  </si>
  <si>
    <t>0.42 ± 0.03</t>
  </si>
  <si>
    <t>45.22 ± 1.67</t>
  </si>
  <si>
    <t>10.05 ± 0.02</t>
  </si>
  <si>
    <t>12.33 ± 0.14</t>
  </si>
  <si>
    <t>16.61 ± 0.47</t>
  </si>
  <si>
    <t>84.64 ± 2.33</t>
  </si>
  <si>
    <t>210 °C 20 min</t>
  </si>
  <si>
    <t>16.92 ± 1.41</t>
  </si>
  <si>
    <t>6.41 ± 0.56</t>
  </si>
  <si>
    <t>5.61 ± 0.42</t>
  </si>
  <si>
    <t>17.05 ± 1.26</t>
  </si>
  <si>
    <t>46.38 ± 3.77</t>
  </si>
  <si>
    <t>210 °C 30 min</t>
  </si>
  <si>
    <t>0.20 ± 0.01</t>
  </si>
  <si>
    <t>13.65 ± 6.06</t>
  </si>
  <si>
    <t>6.71 ± 0.23</t>
  </si>
  <si>
    <t>6.27 ± 0.23</t>
  </si>
  <si>
    <t>17.04 ± 0.51</t>
  </si>
  <si>
    <t>43.88 ± 7.04</t>
  </si>
  <si>
    <t>210 °C 40 min</t>
  </si>
  <si>
    <t>20.46 ± 0.38</t>
  </si>
  <si>
    <t>7.66 ± 0.01</t>
  </si>
  <si>
    <t>7.76 ± 0.05</t>
  </si>
  <si>
    <t>17.64 ± 0.03</t>
  </si>
  <si>
    <t>53.76 ± 0.48</t>
  </si>
  <si>
    <t>https://pubs.rsc.org/en/content/articlelanding/2016/cy/c6cy00820h#!</t>
  </si>
  <si>
    <t>High yield conversion of cellulosic biomass into 5-hydroxymethylfurfural and a study of the reaction kinetics of cellulose to HMF conversion in a biphasic system - Catalysis Science &amp; Technology (RSC Publishing)</t>
  </si>
  <si>
    <t>Re_x0002_markable yields of 72% and 65% HMF were produced from sugarcane bagasse and rice husk, respectively</t>
  </si>
  <si>
    <t>Yield HMF (%)</t>
  </si>
  <si>
    <t>% C6 sugar in bagasse</t>
  </si>
  <si>
    <t>Molar mass c6 sugar</t>
  </si>
  <si>
    <t>Molar mass HMF</t>
  </si>
  <si>
    <t>Yield HMF (g/g)</t>
  </si>
  <si>
    <t>https://link.springer.com/article/10.1007/s12155-020-10113-y</t>
  </si>
  <si>
    <t>Chemometric Approach to Quantify 5-Hydroxymethylfurfural and Furfural Obtained from Sugarcane Bagasse and Peanut Hull by UV | BioEnergy Research (springer.com)</t>
  </si>
  <si>
    <t>The yield study obtained for peanut hull was 0.057% (w/w) (each ton produces 572.6 g of HMF), and for sugarcane ba_x0002_gasse, it was 0.989% (w/w) (each ton of sugarcane bagasse produces 10 kg of HMF).</t>
  </si>
  <si>
    <t>Yield (kg HMF/ton sbp)</t>
  </si>
  <si>
    <t>yield (g/g)</t>
  </si>
  <si>
    <t>2c</t>
  </si>
  <si>
    <t>Sugarcane</t>
  </si>
  <si>
    <t>bagasse</t>
  </si>
  <si>
    <t>3c,d</t>
  </si>
  <si>
    <t>sugarcane</t>
  </si>
  <si>
    <t>https://www.scielo.br/j/jbchs/a/M5YG7fyrmvY9DCk7yhtCyYd/#ModalFigf4</t>
  </si>
  <si>
    <t>SciELO - Brazil - Production of Furan Compounds from Sugarcane Bagasse Using a Catalytic System Containing ZnCl&lt;sub&gt;2&lt;/sub&gt;/HCl or AlCl&lt;sub&gt;3&lt;/sub&gt;/HCl in a Biphasic System Production of Furan Compounds from Sugarcane Bagasse Using a Catalytic System Containing ZnCl&lt;sub&gt;2&lt;/sub&gt;/HCl or AlCl&lt;sub&gt;3&lt;/sub&gt;/HCl in a Biphasic System</t>
  </si>
  <si>
    <t>Reference (10%)</t>
  </si>
  <si>
    <t>px</t>
  </si>
  <si>
    <t>Native Bagasse a</t>
  </si>
  <si>
    <t>%wt</t>
  </si>
  <si>
    <t>g/g</t>
  </si>
  <si>
    <t>SE Bagasse a</t>
  </si>
  <si>
    <t>Native Bagasse b</t>
  </si>
  <si>
    <t>SE Bagasse b</t>
  </si>
  <si>
    <t>https://www.sciencedirect.com/science/article/pii/S0926860X17303691</t>
  </si>
  <si>
    <t>Production of 5-(hydroxymethyl)-furfural from water-soluble carbohydrates and sugarcane molasses - ScienceDirect</t>
  </si>
  <si>
    <r>
      <t>Compared to sucrose alone, lower HMF yields were obtained from sugarcane molasses (49.6 ± 0.4% for ZnCl</t>
    </r>
    <r>
      <rPr>
        <sz val="9"/>
        <color rgb="FF1F1F1F"/>
        <rFont val="ElsevierGulliver"/>
        <charset val="1"/>
      </rPr>
      <t>2</t>
    </r>
    <r>
      <rPr>
        <sz val="12"/>
        <color rgb="FF1F1F1F"/>
        <rFont val="ElsevierGulliver"/>
        <charset val="1"/>
      </rPr>
      <t>/HCl and 43.2 ± 1.0% for AlCl</t>
    </r>
    <r>
      <rPr>
        <sz val="9"/>
        <color rgb="FF1F1F1F"/>
        <rFont val="ElsevierGulliver"/>
        <charset val="1"/>
      </rPr>
      <t>3</t>
    </r>
    <r>
      <rPr>
        <sz val="12"/>
        <color rgb="FF1F1F1F"/>
        <rFont val="ElsevierGulliver"/>
        <charset val="1"/>
      </rPr>
      <t>/HCl) because part of the available sugars were found as glucose and fructose and these are less stable under the reaction conditions</t>
    </r>
  </si>
  <si>
    <t>HMF yield (%)</t>
  </si>
  <si>
    <t>Sucrose %</t>
  </si>
  <si>
    <t>Glucose %</t>
  </si>
  <si>
    <t>Fructose %</t>
  </si>
  <si>
    <t>glucose in Sugar cane</t>
  </si>
  <si>
    <t>yield (isoprene/Sugar cane)</t>
  </si>
  <si>
    <t>glucose in Sugar cane bagasse</t>
  </si>
  <si>
    <t>yield (isoprene/Sugar cane b)</t>
  </si>
  <si>
    <t>glucose in Sugar cane molasses</t>
  </si>
  <si>
    <t>yield (isoprene/Sugar cane m)</t>
  </si>
  <si>
    <t>Sugar Beet</t>
  </si>
  <si>
    <t>https://www.sciencedirect.com/science/article/pii/S0959652617309824</t>
  </si>
  <si>
    <t>Sugar beet ethanol (Beta vulgaris L.): A promising low-carbon pathway for ethanol production in California - ScienceDirect</t>
  </si>
  <si>
    <t>Ethanol (LEtOH/tdry sugar beet)</t>
  </si>
  <si>
    <t>Ethanol (kg/ kg dsb)</t>
  </si>
  <si>
    <t>Beet moisure %</t>
  </si>
  <si>
    <t>https://hrcak.srce.hr/file/87226</t>
  </si>
  <si>
    <t>Ethanol Production from Different Intermediates of
Sugar Beet Processing</t>
  </si>
  <si>
    <t>Production system</t>
  </si>
  <si>
    <t>t/h</t>
  </si>
  <si>
    <t>mDS,T/g</t>
  </si>
  <si>
    <t>mDP,T/g</t>
  </si>
  <si>
    <t>YP/S/(g/g)</t>
  </si>
  <si>
    <t>E/%</t>
  </si>
  <si>
    <t>Pr/(g/(L·h))</t>
  </si>
  <si>
    <t>Sucrose in sugar beets (%)</t>
  </si>
  <si>
    <t>Ethanol yield (g/g sugar beets)</t>
  </si>
  <si>
    <t>RSBJ+STB+BP</t>
  </si>
  <si>
    <t>RSBJ+STB+FBP</t>
  </si>
  <si>
    <t>RSBC+HRTB (9.1 % V/m of INM)</t>
  </si>
  <si>
    <t>RSBC+HRTB (13 % V/m of INM)</t>
  </si>
  <si>
    <t>RSBC+HRTB (16.7 % V/m of INM)</t>
  </si>
  <si>
    <t>RSBC+HRTB (20 % V/m of INM)</t>
  </si>
  <si>
    <t>RSBC+HRTB (23.1 % V/m of INM)</t>
  </si>
  <si>
    <t>N. Schmitz-Bioethanol in Deutschland- Bundesministerium für Verbraucherschutz, Ernaehrung und Landwirtschaft, Münster Deutschland (2003)</t>
  </si>
  <si>
    <t>L eth/kg beet</t>
  </si>
  <si>
    <t>https://www.mdpi.com/1996-1073/10/9/1255#B43-energies-10-01255</t>
  </si>
  <si>
    <t>Energies | Free Full-Text | Integrated Bioethanol Fermentation/Anaerobic Digestion for Valorization of Sugar Beet Pulp (mdpi.com)</t>
  </si>
  <si>
    <t>g eth/ 1 ton of beets</t>
  </si>
  <si>
    <t>g / g</t>
  </si>
  <si>
    <t>Sugar Beet Pulp</t>
  </si>
  <si>
    <t>https://www-sciencedirect-com.ezproxy.library.wur.nl/science/article/pii/S0306261911008907</t>
  </si>
  <si>
    <t>Integrating sugar beet pulp storage, hydrolysis and fermentation for fuel ethanol production - ScienceDirect (wur.nl)</t>
  </si>
  <si>
    <r>
      <t>The highest ethanol yields for </t>
    </r>
    <r>
      <rPr>
        <i/>
        <sz val="12"/>
        <color rgb="FF1F1F1F"/>
        <rFont val="ElsevierGulliver"/>
        <charset val="1"/>
      </rPr>
      <t>E. coli</t>
    </r>
    <r>
      <rPr>
        <sz val="12"/>
        <color rgb="FF1F1F1F"/>
        <rFont val="ElsevierGulliver"/>
        <charset val="1"/>
      </rPr>
      <t> KO11 (0.144 g ethanol/g-dry SBP) were much higher than those for </t>
    </r>
    <r>
      <rPr>
        <i/>
        <sz val="12"/>
        <color rgb="FF1F1F1F"/>
        <rFont val="ElsevierGulliver"/>
        <charset val="1"/>
      </rPr>
      <t>S. cerevisiae</t>
    </r>
    <r>
      <rPr>
        <sz val="12"/>
        <color rgb="FF1F1F1F"/>
        <rFont val="ElsevierGulliver"/>
        <charset val="1"/>
      </rPr>
      <t> (0.092 g ethanol/g-dry SBP).</t>
    </r>
  </si>
  <si>
    <t>Ethanol yield (g/g sugar beet pulp)</t>
  </si>
  <si>
    <t>https://onlinelibrary.wiley.com/doi/full/10.1002/jib.181</t>
  </si>
  <si>
    <t>Evaluation of ethanol fermentation parameters for bioethanol production from sugar beet pulp and juice - Gumienna - 2014 - Journal of the Institute of Brewing - Wiley Online Library</t>
  </si>
  <si>
    <t>Ethanol production</t>
  </si>
  <si>
    <t>Stillage</t>
  </si>
  <si>
    <t xml:space="preserve">Ethanol yield </t>
  </si>
  <si>
    <t>Concentration (%w/w dry solids)</t>
  </si>
  <si>
    <t>pH after fermentation</t>
  </si>
  <si>
    <t>(% v/ v)</t>
  </si>
  <si>
    <t>(L /100 kg sugar beet)</t>
  </si>
  <si>
    <t>(percentage theoretical yield)</t>
  </si>
  <si>
    <t>Reducing substances (mg mL−1)</t>
  </si>
  <si>
    <t>Dry matter (%)</t>
  </si>
  <si>
    <t>L/100kg SBP</t>
  </si>
  <si>
    <t>(g/g sugar beets)</t>
  </si>
  <si>
    <t>Pasteurization</t>
  </si>
  <si>
    <t>Stationary culture</t>
  </si>
  <si>
    <t>4.2 ± 0.1</t>
  </si>
  <si>
    <t>7.0 ± 0.3</t>
  </si>
  <si>
    <t>9.3 ± 0.3</t>
  </si>
  <si>
    <t>76.5 ± 0.4</t>
  </si>
  <si>
    <t>2.7 ± 0.1</t>
  </si>
  <si>
    <t>5.4 ± 0.1</t>
  </si>
  <si>
    <t>7.1 ± 0.1</t>
  </si>
  <si>
    <t>9.5 ± 0.2</t>
  </si>
  <si>
    <t>77.6 ± 0.2</t>
  </si>
  <si>
    <t>1.9 ± 0.1</t>
  </si>
  <si>
    <t>4.4 ± 0.1</t>
  </si>
  <si>
    <t>4.1 ± 0.1</t>
  </si>
  <si>
    <t>2.1 ± 0.1</t>
  </si>
  <si>
    <t>3.8 ± 0.1</t>
  </si>
  <si>
    <t>Shaken culture</t>
  </si>
  <si>
    <t>3.9 ± 0.1</t>
  </si>
  <si>
    <t>4.3 ± 0.1</t>
  </si>
  <si>
    <t>5.7 ± 0.2</t>
  </si>
  <si>
    <t>70.5 ± 0.2</t>
  </si>
  <si>
    <t>3.37 ± 0.1</t>
  </si>
  <si>
    <t>5.8 ± 0.1</t>
  </si>
  <si>
    <t>71.3 ± 0.2</t>
  </si>
  <si>
    <t>4.9 ± 0.1</t>
  </si>
  <si>
    <t>3.56 ± 0.1</t>
  </si>
  <si>
    <t>4.6 ± 0.1</t>
  </si>
  <si>
    <t>6.1 ± 0.2</t>
  </si>
  <si>
    <t>75.4 ± 0.2</t>
  </si>
  <si>
    <t>3.5 ± 0.1</t>
  </si>
  <si>
    <t>3.13 ± 0.2</t>
  </si>
  <si>
    <t>4.0 ± 0.1</t>
  </si>
  <si>
    <t>6.7 ± 0.1</t>
  </si>
  <si>
    <t>8.9 ± 0.2</t>
  </si>
  <si>
    <t>80.9 ± 0.2</t>
  </si>
  <si>
    <t>2.5 ± 0.1</t>
  </si>
  <si>
    <t>5.7 ± 0.1</t>
  </si>
  <si>
    <t>6.9 ± 0.1</t>
  </si>
  <si>
    <t>9.2 ± 0.2</t>
  </si>
  <si>
    <t>83.3 ± 0.2</t>
  </si>
  <si>
    <t>1.6 ± 0.1</t>
  </si>
  <si>
    <t>6.3 ± 0.1</t>
  </si>
  <si>
    <t>8.4 ± 0.2</t>
  </si>
  <si>
    <t>76.1 ± 0.2</t>
  </si>
  <si>
    <t>2.9 ± 0.1</t>
  </si>
  <si>
    <t>5.2 ± 0.2</t>
  </si>
  <si>
    <t>3.9 ± 0.2</t>
  </si>
  <si>
    <t>6.6 ± 0.6</t>
  </si>
  <si>
    <t>8.8 ± 0.6</t>
  </si>
  <si>
    <t>79.7 ± 0.9</t>
  </si>
  <si>
    <t>5.8 ± 0.2</t>
  </si>
  <si>
    <t>3.0 ± 0.1</t>
  </si>
  <si>
    <t>https://www.eurekaselect.com/article/70433</t>
  </si>
  <si>
    <t>Response Surface Optimization of the Thermal Acid Pretreatment of Sugar Beet Pulp for Bioethanol Production Using Trichoderma viride and Saccharomyces cerevisiae | Bentham Science (eurekaselect.com)</t>
  </si>
  <si>
    <t>https://www.sciencedirect.com/science/article/pii/S0016236115005967?via%3Dihub</t>
  </si>
  <si>
    <t>Ethanol fermentation characteristics of Pichia stipitis yeast from sugar beet pulp hydrolysate: Use of new detoxification methods - ScienceDirect</t>
  </si>
  <si>
    <t>Growth medium no.</t>
  </si>
  <si>
    <r>
      <t>Initial reducing sugar concentration (g l</t>
    </r>
    <r>
      <rPr>
        <b/>
        <sz val="8"/>
        <color rgb="FF1F1F1F"/>
        <rFont val="ElsevierGulliver"/>
        <charset val="1"/>
      </rPr>
      <t>−1</t>
    </r>
    <r>
      <rPr>
        <b/>
        <sz val="11"/>
        <color rgb="FF1F1F1F"/>
        <rFont val="ElsevierGulliver"/>
        <charset val="1"/>
      </rPr>
      <t>)</t>
    </r>
  </si>
  <si>
    <r>
      <t>μ</t>
    </r>
    <r>
      <rPr>
        <b/>
        <sz val="11"/>
        <color rgb="FF1F1F1F"/>
        <rFont val="ElsevierGulliver"/>
        <charset val="1"/>
      </rPr>
      <t> (h</t>
    </r>
    <r>
      <rPr>
        <b/>
        <sz val="8"/>
        <color rgb="FF1F1F1F"/>
        <rFont val="ElsevierGulliver"/>
        <charset val="1"/>
      </rPr>
      <t>−1</t>
    </r>
    <r>
      <rPr>
        <b/>
        <sz val="11"/>
        <color rgb="FF1F1F1F"/>
        <rFont val="ElsevierGulliver"/>
        <charset val="1"/>
      </rPr>
      <t>)</t>
    </r>
  </si>
  <si>
    <r>
      <t>X</t>
    </r>
    <r>
      <rPr>
        <b/>
        <sz val="8"/>
        <color rgb="FF1F1F1F"/>
        <rFont val="ElsevierGulliver"/>
        <charset val="1"/>
      </rPr>
      <t>m</t>
    </r>
    <r>
      <rPr>
        <b/>
        <sz val="11"/>
        <color rgb="FF1F1F1F"/>
        <rFont val="ElsevierGulliver"/>
        <charset val="1"/>
      </rPr>
      <t> (g l</t>
    </r>
    <r>
      <rPr>
        <b/>
        <sz val="8"/>
        <color rgb="FF1F1F1F"/>
        <rFont val="ElsevierGulliver"/>
        <charset val="1"/>
      </rPr>
      <t>−1</t>
    </r>
    <r>
      <rPr>
        <b/>
        <sz val="11"/>
        <color rgb="FF1F1F1F"/>
        <rFont val="ElsevierGulliver"/>
        <charset val="1"/>
      </rPr>
      <t>)</t>
    </r>
  </si>
  <si>
    <r>
      <t>η</t>
    </r>
    <r>
      <rPr>
        <b/>
        <sz val="11"/>
        <color rgb="FF1F1F1F"/>
        <rFont val="ElsevierGulliver"/>
        <charset val="1"/>
      </rPr>
      <t> (g g</t>
    </r>
    <r>
      <rPr>
        <b/>
        <sz val="8"/>
        <color rgb="FF1F1F1F"/>
        <rFont val="ElsevierGulliver"/>
        <charset val="1"/>
      </rPr>
      <t>−1</t>
    </r>
    <r>
      <rPr>
        <b/>
        <sz val="11"/>
        <color rgb="FF1F1F1F"/>
        <rFont val="ElsevierGulliver"/>
        <charset val="1"/>
      </rPr>
      <t> h</t>
    </r>
    <r>
      <rPr>
        <b/>
        <sz val="8"/>
        <color rgb="FF1F1F1F"/>
        <rFont val="ElsevierGulliver"/>
        <charset val="1"/>
      </rPr>
      <t>−1</t>
    </r>
    <r>
      <rPr>
        <b/>
        <sz val="11"/>
        <color rgb="FF1F1F1F"/>
        <rFont val="ElsevierGulliver"/>
        <charset val="1"/>
      </rPr>
      <t>)</t>
    </r>
  </si>
  <si>
    <r>
      <t>q</t>
    </r>
    <r>
      <rPr>
        <b/>
        <sz val="8"/>
        <color rgb="FF1F1F1F"/>
        <rFont val="ElsevierGulliver"/>
        <charset val="1"/>
      </rPr>
      <t>p</t>
    </r>
    <r>
      <rPr>
        <b/>
        <sz val="11"/>
        <color rgb="FF1F1F1F"/>
        <rFont val="ElsevierGulliver"/>
        <charset val="1"/>
      </rPr>
      <t> (g g</t>
    </r>
    <r>
      <rPr>
        <b/>
        <sz val="8"/>
        <color rgb="FF1F1F1F"/>
        <rFont val="ElsevierGulliver"/>
        <charset val="1"/>
      </rPr>
      <t>−1</t>
    </r>
    <r>
      <rPr>
        <b/>
        <sz val="11"/>
        <color rgb="FF1F1F1F"/>
        <rFont val="ElsevierGulliver"/>
        <charset val="1"/>
      </rPr>
      <t> h</t>
    </r>
    <r>
      <rPr>
        <b/>
        <sz val="8"/>
        <color rgb="FF1F1F1F"/>
        <rFont val="ElsevierGulliver"/>
        <charset val="1"/>
      </rPr>
      <t>−1</t>
    </r>
    <r>
      <rPr>
        <b/>
        <sz val="11"/>
        <color rgb="FF1F1F1F"/>
        <rFont val="ElsevierGulliver"/>
        <charset val="1"/>
      </rPr>
      <t>)</t>
    </r>
  </si>
  <si>
    <r>
      <t>Productivity (g l</t>
    </r>
    <r>
      <rPr>
        <b/>
        <sz val="8"/>
        <color rgb="FF1F1F1F"/>
        <rFont val="ElsevierGulliver"/>
        <charset val="1"/>
      </rPr>
      <t>−1</t>
    </r>
    <r>
      <rPr>
        <b/>
        <sz val="11"/>
        <color rgb="FF1F1F1F"/>
        <rFont val="ElsevierGulliver"/>
        <charset val="1"/>
      </rPr>
      <t> h</t>
    </r>
    <r>
      <rPr>
        <b/>
        <sz val="8"/>
        <color rgb="FF1F1F1F"/>
        <rFont val="ElsevierGulliver"/>
        <charset val="1"/>
      </rPr>
      <t>−1</t>
    </r>
    <r>
      <rPr>
        <b/>
        <sz val="11"/>
        <color rgb="FF1F1F1F"/>
        <rFont val="ElsevierGulliver"/>
        <charset val="1"/>
      </rPr>
      <t>)</t>
    </r>
  </si>
  <si>
    <r>
      <t>P</t>
    </r>
    <r>
      <rPr>
        <b/>
        <i/>
        <sz val="8"/>
        <color rgb="FF1F1F1F"/>
        <rFont val="ElsevierGulliver"/>
        <charset val="1"/>
      </rPr>
      <t>m</t>
    </r>
    <r>
      <rPr>
        <b/>
        <sz val="11"/>
        <color rgb="FF1F1F1F"/>
        <rFont val="ElsevierGulliver"/>
        <charset val="1"/>
      </rPr>
      <t> (g l</t>
    </r>
    <r>
      <rPr>
        <b/>
        <sz val="8"/>
        <color rgb="FF1F1F1F"/>
        <rFont val="ElsevierGulliver"/>
        <charset val="1"/>
      </rPr>
      <t>−1</t>
    </r>
    <r>
      <rPr>
        <b/>
        <sz val="11"/>
        <color rgb="FF1F1F1F"/>
        <rFont val="ElsevierGulliver"/>
        <charset val="1"/>
      </rPr>
      <t>)</t>
    </r>
  </si>
  <si>
    <r>
      <t>Y</t>
    </r>
    <r>
      <rPr>
        <b/>
        <i/>
        <sz val="8"/>
        <color rgb="FF1F1F1F"/>
        <rFont val="ElsevierGulliver"/>
        <charset val="1"/>
      </rPr>
      <t>P</t>
    </r>
    <r>
      <rPr>
        <b/>
        <sz val="8"/>
        <color rgb="FF1F1F1F"/>
        <rFont val="ElsevierGulliver"/>
        <charset val="1"/>
      </rPr>
      <t>/</t>
    </r>
    <r>
      <rPr>
        <b/>
        <i/>
        <sz val="8"/>
        <color rgb="FF1F1F1F"/>
        <rFont val="ElsevierGulliver"/>
        <charset val="1"/>
      </rPr>
      <t>S</t>
    </r>
    <r>
      <rPr>
        <b/>
        <sz val="11"/>
        <color rgb="FF1F1F1F"/>
        <rFont val="ElsevierGulliver"/>
        <charset val="1"/>
      </rPr>
      <t> (g max ethanol/g consumed reducing sugar)</t>
    </r>
  </si>
  <si>
    <r>
      <t>Y</t>
    </r>
    <r>
      <rPr>
        <b/>
        <i/>
        <sz val="8"/>
        <color rgb="FF1F1F1F"/>
        <rFont val="ElsevierGulliver"/>
        <charset val="1"/>
      </rPr>
      <t>P</t>
    </r>
    <r>
      <rPr>
        <b/>
        <sz val="8"/>
        <color rgb="FF1F1F1F"/>
        <rFont val="ElsevierGulliver"/>
        <charset val="1"/>
      </rPr>
      <t>/SBP</t>
    </r>
    <r>
      <rPr>
        <b/>
        <sz val="11"/>
        <color rgb="FF1F1F1F"/>
        <rFont val="ElsevierGulliver"/>
        <charset val="1"/>
      </rPr>
      <t> g max ethanol/g sugar beet pulp</t>
    </r>
  </si>
  <si>
    <t>Required time for max ethanol (h)</t>
  </si>
  <si>
    <t>Average (g/g)</t>
  </si>
  <si>
    <t>https://elibrary.asabe.org/abstract.asp??JID=3&amp;AID=37124&amp;CID=biee2010&amp;v=3&amp;i=4&amp;T=1</t>
  </si>
  <si>
    <t>Ethanol Production from Sugar Beet Pulp using Escherichia coli KO11 and Saccharomyces cerevisiae (asabe.org)</t>
  </si>
  <si>
    <t>S. cerevisiae. Ethanol yields were highest (0.34 g ethanol g-1 sugar) in the “reverse serial” method where S. cerevisiae was used to ferment available glucose prior to fermentation of remaining sugars by E. coli KO11.</t>
  </si>
  <si>
    <t>Glucose in sbp (%)</t>
  </si>
  <si>
    <t>Sugar Beet Molasses</t>
  </si>
  <si>
    <t>https://dergipark.org.tr/tr/download/article-file/1369920</t>
  </si>
  <si>
    <t>1369920 (dergipark.org.tr)</t>
  </si>
  <si>
    <t>glucose in sbm (%)</t>
  </si>
  <si>
    <t>Ethanol yield (g/g sbm)</t>
  </si>
  <si>
    <t>https://www.mdpi.com/2311-5637/7/2/86</t>
  </si>
  <si>
    <t>Fermentation | Free Full-Text | Optimization of Yeast, Sugar and Nutrient Concentrations for High Ethanol Production Rate Using Industrial Sugar Beet Molasses and Response Surface Methodology (mdpi.com)</t>
  </si>
  <si>
    <t>7.5 L</t>
  </si>
  <si>
    <t>100 L</t>
  </si>
  <si>
    <t>Process performances</t>
  </si>
  <si>
    <t> Ethanol (g/L)</t>
  </si>
  <si>
    <t>79.6 ± 0.7</t>
  </si>
  <si>
    <t>63.2 ± 1.1</t>
  </si>
  <si>
    <t> Ethanol productivity (g/L/d)</t>
  </si>
  <si>
    <t>29.9 ± 0.4</t>
  </si>
  <si>
    <t>23.7 ± 0.4</t>
  </si>
  <si>
    <t> Ethanol yield (%)</t>
  </si>
  <si>
    <t>99.5 ± 0.9</t>
  </si>
  <si>
    <t>78.9 ± 1.4</t>
  </si>
  <si>
    <t> Sugar utilization (%)</t>
  </si>
  <si>
    <t>99.2 ± 0.8</t>
  </si>
  <si>
    <t>100.0 ± 0.0</t>
  </si>
  <si>
    <t>https://onlinelibrary.wiley.com/doi/full/10.1002/jib.536?sid=worldcat.org</t>
  </si>
  <si>
    <t>Bioethanol production from sugar beet molasses and thick juice by free and immobilised Saccharomyces cerevisiae - Vučurović - 2019 - Journal of the Institute of Brewing - Wiley Online Library</t>
  </si>
  <si>
    <r>
      <t>Initial sugar concentration </t>
    </r>
    <r>
      <rPr>
        <i/>
        <sz val="12"/>
        <color rgb="FF000000"/>
        <rFont val="Open Sans"/>
        <family val="2"/>
      </rPr>
      <t>S</t>
    </r>
    <r>
      <rPr>
        <sz val="8"/>
        <color rgb="FF000000"/>
        <rFont val="Open Sans"/>
        <family val="2"/>
      </rPr>
      <t>o</t>
    </r>
    <r>
      <rPr>
        <sz val="12"/>
        <color rgb="FF000000"/>
        <rFont val="Open Sans"/>
        <family val="2"/>
      </rPr>
      <t> (g/L)</t>
    </r>
  </si>
  <si>
    <r>
      <t>Ethanol yield </t>
    </r>
    <r>
      <rPr>
        <i/>
        <sz val="12"/>
        <color rgb="FF000000"/>
        <rFont val="Open Sans"/>
        <family val="2"/>
      </rPr>
      <t>Y</t>
    </r>
    <r>
      <rPr>
        <sz val="12"/>
        <color rgb="FF000000"/>
        <rFont val="Open Sans"/>
        <family val="2"/>
      </rPr>
      <t> (L/100 kg)</t>
    </r>
  </si>
  <si>
    <t>Molasses</t>
  </si>
  <si>
    <t>Thick juice</t>
  </si>
  <si>
    <t>Free cells</t>
  </si>
  <si>
    <t>Immobilised cells</t>
  </si>
  <si>
    <t>Ethanol yield (L/100kg)</t>
  </si>
  <si>
    <t>28.8 ± 1.1</t>
  </si>
  <si>
    <t>31.7 ± 1.7</t>
  </si>
  <si>
    <t>33.4 ± 0.4</t>
  </si>
  <si>
    <t>33.4 ± 1.0</t>
  </si>
  <si>
    <t>27.8 ± 0.1</t>
  </si>
  <si>
    <t>30.5 ± 0.6</t>
  </si>
  <si>
    <t>33.7 ± 0.2</t>
  </si>
  <si>
    <t>32.5 ± 0.9</t>
  </si>
  <si>
    <t>27.6 ± 0.6</t>
  </si>
  <si>
    <t>31.2 ± 0.4</t>
  </si>
  <si>
    <t>32.9 ± 0.4</t>
  </si>
  <si>
    <t>33.6 ± 0.8</t>
  </si>
  <si>
    <t>30.0 ± 0.8</t>
  </si>
  <si>
    <t>31.7 ± 0.3</t>
  </si>
  <si>
    <t>36.3 ± 0.5</t>
  </si>
  <si>
    <t>37.6 ± 0.2</t>
  </si>
  <si>
    <t>27.5 ± 0.2</t>
  </si>
  <si>
    <t>29.1 ± 0.7</t>
  </si>
  <si>
    <t>36.1 ± 1.8</t>
  </si>
  <si>
    <t>36.8 ± 1.3</t>
  </si>
  <si>
    <t>20.3 ± 0.7</t>
  </si>
  <si>
    <t>22.1 ± 0.3</t>
  </si>
  <si>
    <t>33.0 ± 1.6</t>
  </si>
  <si>
    <t>34.9 ± 1.2</t>
  </si>
  <si>
    <t>12.0 ± 0.7</t>
  </si>
  <si>
    <t>13.7 ± 0.6</t>
  </si>
  <si>
    <t>30.2 ± 0.9</t>
  </si>
  <si>
    <t>32.8 ± 0.2</t>
  </si>
  <si>
    <t>4.1 ± 0.7</t>
  </si>
  <si>
    <t>8.4 ± 0.4</t>
  </si>
  <si>
    <t>27.2 ± 0.5</t>
  </si>
  <si>
    <t>2.0 ± 0.3</t>
  </si>
  <si>
    <t>4.5 ± 0.5</t>
  </si>
  <si>
    <t>19.3 ± 0.4</t>
  </si>
  <si>
    <t>23.4 ± 0.4</t>
  </si>
  <si>
    <t>https://www-sciencedirect-com.ezproxy.library.wur.nl/science/article/pii/S0141022911000044</t>
  </si>
  <si>
    <t>Ethanol production from sugar beet molasses by S. cerevisiae entrapped in an alginate–maize stem ground tissue matrix - ScienceDirect (wur.nl)</t>
  </si>
  <si>
    <t>Parametera</t>
  </si>
  <si>
    <t>F</t>
  </si>
  <si>
    <t>F + C</t>
  </si>
  <si>
    <t>AB</t>
  </si>
  <si>
    <t>AB + C</t>
  </si>
  <si>
    <t>ABC</t>
  </si>
  <si>
    <r>
      <t>Final ethanol concentration (</t>
    </r>
    <r>
      <rPr>
        <i/>
        <sz val="11"/>
        <color rgb="FF1F1F1F"/>
        <rFont val="ElsevierGulliver"/>
        <charset val="1"/>
      </rPr>
      <t>P</t>
    </r>
    <r>
      <rPr>
        <sz val="11"/>
        <color rgb="FF1F1F1F"/>
        <rFont val="ElsevierGulliver"/>
        <charset val="1"/>
      </rPr>
      <t>, g/l)</t>
    </r>
  </si>
  <si>
    <t>50.34 ± 1. 42</t>
  </si>
  <si>
    <t>56.18 ±  0.95</t>
  </si>
  <si>
    <t>57.12 ± 0.63 58</t>
  </si>
  <si>
    <t>94 ± 0.24</t>
  </si>
  <si>
    <t>60.36 ± 0.16</t>
  </si>
  <si>
    <r>
      <t>Ethanol yield (</t>
    </r>
    <r>
      <rPr>
        <i/>
        <sz val="11"/>
        <color rgb="FF1F1F1F"/>
        <rFont val="ElsevierGulliver"/>
        <charset val="1"/>
      </rPr>
      <t>Y</t>
    </r>
    <r>
      <rPr>
        <i/>
        <sz val="8"/>
        <color rgb="FF1F1F1F"/>
        <rFont val="ElsevierGulliver"/>
        <charset val="1"/>
      </rPr>
      <t>p</t>
    </r>
    <r>
      <rPr>
        <sz val="8"/>
        <color rgb="FF1F1F1F"/>
        <rFont val="ElsevierGulliver"/>
        <charset val="1"/>
      </rPr>
      <t>/</t>
    </r>
    <r>
      <rPr>
        <i/>
        <sz val="8"/>
        <color rgb="FF1F1F1F"/>
        <rFont val="ElsevierGulliver"/>
        <charset val="1"/>
      </rPr>
      <t>s</t>
    </r>
    <r>
      <rPr>
        <sz val="11"/>
        <color rgb="FF1F1F1F"/>
        <rFont val="ElsevierGulliver"/>
        <charset val="1"/>
      </rPr>
      <t>, g/g)</t>
    </r>
  </si>
  <si>
    <t>0.439 ± 0.001</t>
  </si>
  <si>
    <t>0.440 ± 0.006</t>
  </si>
  <si>
    <t>0.479 ± 0.003</t>
  </si>
  <si>
    <t>0.484 ± 0.011</t>
  </si>
  <si>
    <t>0.493 ± 0.001</t>
  </si>
  <si>
    <r>
      <t>Volumetric ethanol productivity (</t>
    </r>
    <r>
      <rPr>
        <i/>
        <sz val="11"/>
        <color rgb="FF1F1F1F"/>
        <rFont val="ElsevierGulliver"/>
        <charset val="1"/>
      </rPr>
      <t>Q</t>
    </r>
    <r>
      <rPr>
        <i/>
        <sz val="8"/>
        <color rgb="FF1F1F1F"/>
        <rFont val="ElsevierGulliver"/>
        <charset val="1"/>
      </rPr>
      <t>p</t>
    </r>
    <r>
      <rPr>
        <sz val="11"/>
        <color rgb="FF1F1F1F"/>
        <rFont val="ElsevierGulliver"/>
        <charset val="1"/>
      </rPr>
      <t>, g/l h)</t>
    </r>
  </si>
  <si>
    <t>1.68 ± 0.0 5</t>
  </si>
  <si>
    <t>2.34 ± 0.0 4</t>
  </si>
  <si>
    <t>2.38 ± 0.0 3</t>
  </si>
  <si>
    <t>2.46 ± 0.0 1</t>
  </si>
  <si>
    <t>2.51 ± 0.0 1</t>
  </si>
  <si>
    <t>88.23 ± 0.62</t>
  </si>
  <si>
    <t>98.31 ± 0.46</t>
  </si>
  <si>
    <t>91.82 ± 0.46</t>
  </si>
  <si>
    <t>93.58 ± 0.16</t>
  </si>
  <si>
    <t>94.10 ± 0.08</t>
  </si>
  <si>
    <r>
      <t>Volumetric sugar uptake (</t>
    </r>
    <r>
      <rPr>
        <i/>
        <sz val="11"/>
        <color rgb="FF1F1F1F"/>
        <rFont val="ElsevierGulliver"/>
        <charset val="1"/>
      </rPr>
      <t>Q</t>
    </r>
    <r>
      <rPr>
        <i/>
        <sz val="8"/>
        <color rgb="FF1F1F1F"/>
        <rFont val="ElsevierGulliver"/>
        <charset val="1"/>
      </rPr>
      <t>s</t>
    </r>
    <r>
      <rPr>
        <sz val="11"/>
        <color rgb="FF1F1F1F"/>
        <rFont val="ElsevierGulliver"/>
        <charset val="1"/>
      </rPr>
      <t>, g/l h)</t>
    </r>
  </si>
  <si>
    <t>3.82 ± 0.0 3</t>
  </si>
  <si>
    <t>5.33 ± 0.02</t>
  </si>
  <si>
    <t>4.97 ± 0.02</t>
  </si>
  <si>
    <t>5.07 ± 0.0 1</t>
  </si>
  <si>
    <t>5.10 ± 0.0 0</t>
  </si>
  <si>
    <t>Percentage of the theoretical yield of ethanol (%)</t>
  </si>
  <si>
    <t>Ethanol yield (Yp/s, g/g)</t>
  </si>
  <si>
    <t>https://www.mdpi.com/1996-1073/12/17/3222</t>
  </si>
  <si>
    <t>Energies | Free Full-Text | The Use of Acidic Hydrolysates after Furfural Production from Sugar Waste Biomass as a Fermentation Medium in the Biotechnological Production of Hydrogen (mdpi.com)</t>
  </si>
  <si>
    <r>
      <t>a</t>
    </r>
    <r>
      <rPr>
        <sz val="10"/>
        <color rgb="FF222222"/>
        <rFont val="Arial"/>
        <family val="2"/>
      </rPr>
      <t> yield of furfural based on the weight of the starting material.</t>
    </r>
  </si>
  <si>
    <t>Experimental Run</t>
  </si>
  <si>
    <t>Inoculum</t>
  </si>
  <si>
    <t>HSBP</t>
  </si>
  <si>
    <t>TSBP-1</t>
  </si>
  <si>
    <t>TSBP-2</t>
  </si>
  <si>
    <t>TSBP-3</t>
  </si>
  <si>
    <t>TASBP-1</t>
  </si>
  <si>
    <t>TASBP-2</t>
  </si>
  <si>
    <t>Dilution (SBP: water)</t>
  </si>
  <si>
    <t>Pretreatment time (h)</t>
  </si>
  <si>
    <t>Pretreatment temp (°C)</t>
  </si>
  <si>
    <r>
      <t>H</t>
    </r>
    <r>
      <rPr>
        <sz val="7.5"/>
        <color rgb="FF222222"/>
        <rFont val="Arial"/>
        <family val="2"/>
      </rPr>
      <t>2</t>
    </r>
    <r>
      <rPr>
        <sz val="9"/>
        <color rgb="FF222222"/>
        <rFont val="Arial"/>
        <family val="2"/>
      </rPr>
      <t>SO</t>
    </r>
    <r>
      <rPr>
        <sz val="7.5"/>
        <color rgb="FF222222"/>
        <rFont val="Arial"/>
        <family val="2"/>
      </rPr>
      <t>4</t>
    </r>
    <r>
      <rPr>
        <sz val="9"/>
        <color rgb="FF222222"/>
        <rFont val="Arial"/>
        <family val="2"/>
      </rPr>
      <t> dose</t>
    </r>
  </si>
  <si>
    <t>Total solids (g/kg)</t>
  </si>
  <si>
    <t>24.59 ± 0.18</t>
  </si>
  <si>
    <t>161.32 ± 1.98</t>
  </si>
  <si>
    <t>50.24 ± 0.25</t>
  </si>
  <si>
    <t>29.48 ± 0.89</t>
  </si>
  <si>
    <t>27.56 ± 0.94</t>
  </si>
  <si>
    <t>35.58 ± 0.52</t>
  </si>
  <si>
    <t>27.21 ± 0.33</t>
  </si>
  <si>
    <t>Volatile solids (g/kg)</t>
  </si>
  <si>
    <t>15.74 ± 0.12</t>
  </si>
  <si>
    <t>149.65 ± 1.87</t>
  </si>
  <si>
    <t>47.41 ± 0.34</t>
  </si>
  <si>
    <t>25.88 ± 0.56</t>
  </si>
  <si>
    <t>24.21 ± 0.53</t>
  </si>
  <si>
    <t>32.94 ± 0.37</t>
  </si>
  <si>
    <t>23.66 ± 0.63</t>
  </si>
  <si>
    <t>Furfural (g/L)</t>
  </si>
  <si>
    <t>0.00 ± 0.00</t>
  </si>
  <si>
    <t>1.63 ± 0.12</t>
  </si>
  <si>
    <t>1.19 ± 0.15</t>
  </si>
  <si>
    <t>1.16 ± 0.11</t>
  </si>
  <si>
    <t>4.05 ± 0.39</t>
  </si>
  <si>
    <t>12.12 ± 1.36</t>
  </si>
  <si>
    <r>
      <t>Yield (%) </t>
    </r>
    <r>
      <rPr>
        <sz val="7.5"/>
        <color rgb="FF222222"/>
        <rFont val="Arial"/>
        <family val="2"/>
      </rPr>
      <t>a</t>
    </r>
  </si>
  <si>
    <t>0.14 ± 0.02</t>
  </si>
  <si>
    <t>0.10 ± 0.01</t>
  </si>
  <si>
    <t>0.33 ± 0.02</t>
  </si>
  <si>
    <t>1.00 ± 0.05</t>
  </si>
  <si>
    <t>Yield (%) a</t>
  </si>
  <si>
    <t>Yield (g/g sbp)</t>
  </si>
  <si>
    <t>https://www.sciencedirect.com/science/article/pii/S0959652621019132</t>
  </si>
  <si>
    <t>Comparison of pyrolysis and hydrolysis processes for furfural production from sugar beet pulp: A case study in southern Idaho, USA - ScienceDirect</t>
  </si>
  <si>
    <t>Hydrolysis process is assumed to have 20 g furfural yield per 1 kg of wet SBP that enters into the hydrolyzer (Cieciura-Włoch et al., 2019).</t>
  </si>
  <si>
    <t>Pyrolysis pathway is assumed to have 77 g furfural yield per 1 kg of dried SBP that enters into the pyrolyzer.</t>
  </si>
  <si>
    <t>yield (g furf/kg sbp)</t>
  </si>
  <si>
    <t>hydrolysis</t>
  </si>
  <si>
    <t>pyrolysis</t>
  </si>
  <si>
    <t>https://www.mdpi.com/1996-1073/13/24/6684</t>
  </si>
  <si>
    <t>Energies | Free Full-Text | Potential of Waste Biomass from the Sugar Industry as a Source of Furfural and Its Derivatives for Use as Fuel Additives in Poland (mdpi.com)</t>
  </si>
  <si>
    <t>Raw Material</t>
  </si>
  <si>
    <t>Dry Matter
(%)</t>
  </si>
  <si>
    <t>Raw Material Weight (kg)
(Dry Matter of Raw Material (kg))</t>
  </si>
  <si>
    <t>Water Weight (kg)</t>
  </si>
  <si>
    <r>
      <t>H</t>
    </r>
    <r>
      <rPr>
        <b/>
        <sz val="7.5"/>
        <color rgb="FF222222"/>
        <rFont val="Arial"/>
        <family val="2"/>
      </rPr>
      <t>2</t>
    </r>
    <r>
      <rPr>
        <b/>
        <sz val="9"/>
        <color rgb="FF222222"/>
        <rFont val="Arial"/>
        <family val="2"/>
      </rPr>
      <t>SO</t>
    </r>
    <r>
      <rPr>
        <b/>
        <sz val="7.5"/>
        <color rgb="FF222222"/>
        <rFont val="Arial"/>
        <family val="2"/>
      </rPr>
      <t>4</t>
    </r>
    <r>
      <rPr>
        <b/>
        <sz val="9"/>
        <color rgb="FF222222"/>
        <rFont val="Arial"/>
        <family val="2"/>
      </rPr>
      <t xml:space="preserve">
Conc.
(%)</t>
    </r>
  </si>
  <si>
    <t>Temp. (°C)</t>
  </si>
  <si>
    <t>Furfural Conc.
(g/kg)</t>
  </si>
  <si>
    <t>Yield of Furfural (%)</t>
  </si>
  <si>
    <t>19.71
19.71
23.34
23.34
19.71</t>
  </si>
  <si>
    <t>10 (1.971)
10 (1.971)
10 (2.334)
10 (2.334)
20 (3.942)</t>
  </si>
  <si>
    <t>50
50
50
50
40</t>
  </si>
  <si>
    <t>0.5
2.0
5.0
0.5
0.5</t>
  </si>
  <si>
    <t>2
2
2
2
2</t>
  </si>
  <si>
    <t>140
140
140
120
140</t>
  </si>
  <si>
    <t>1.596
1.754
2.136
1.762
2.286</t>
  </si>
  <si>
    <t>4.86
5.34
5.49
4.53
3.48</t>
  </si>
  <si>
    <t>Sugar Beet Leaves</t>
  </si>
  <si>
    <t>11.75
11.75
11.75
11.75
11.75</t>
  </si>
  <si>
    <t>10 (1.175)
10 (1.175)
10 (1.175)
10 (1.175)
20 (2.350)</t>
  </si>
  <si>
    <t>0.5
0.5
0.5
2.0
0.5</t>
  </si>
  <si>
    <t>160
140
120
140
140</t>
  </si>
  <si>
    <t>0.497
0.359
0.298
0.467
0.496</t>
  </si>
  <si>
    <t>2.53
1.83
1.52
2.38
1.27</t>
  </si>
  <si>
    <t>https://chemistry-europe.onlinelibrary.wiley.com/doi/10.1002/cssc.201901115</t>
  </si>
  <si>
    <t>High‐Yield 5‐Hydroxymethylfurfural Synthesis from Crude Sugar Beet Juice in a Biphasic Microreactor - Abdilla‐Santes - 2019 - ChemSusChem - Wiley Online Library</t>
  </si>
  <si>
    <t>Setup</t>
  </si>
  <si>
    <t>fructose in sugar beets %</t>
  </si>
  <si>
    <t>HMF Yield (g/g)</t>
  </si>
  <si>
    <t>thick juice</t>
  </si>
  <si>
    <t>batch</t>
  </si>
  <si>
    <t>cont.</t>
  </si>
  <si>
    <t>https://www.researchgate.net/publication/349208963_5-Hydroxy-2-Methylfurfural_from_Sugar_Beet_Thick_Juice_Kinetic_and_Modeling_Studies</t>
  </si>
  <si>
    <t>(PDF) 5-Hydroxy-2-Methylfurfural from Sugar Beet Thick Juice: Kinetic and Modeling Studies (researchgate.net)</t>
  </si>
  <si>
    <t>run</t>
  </si>
  <si>
    <t>starting material</t>
  </si>
  <si>
    <t>thick sugar beet juice</t>
  </si>
  <si>
    <t>The SUC content of the thick juicesolution used for the experiments was determined by polarimetry (seesection 2.4). This method is a suitable alternative for routine high-performance liquid chromatography (HPLC), for which accurateSUC analyses are diﬃcult because of SUC hydrolysis to GLC andFRC in the HPLC column when using a typical acidic mobile phase.According to polarimetry, the thick juice used in this study consists of62 wt % SUC</t>
  </si>
  <si>
    <t>https://www.mdpi.com/1996-1073/13/21/5649</t>
  </si>
  <si>
    <t>Energies | Free Full-Text | Sustainable Production of 5-Hydroxymethylfurfural from Pectin-Free Sugar Beet Pulp in a Simple Aqueous Phase System-Optimization with Doehlert Design (mdpi.com)</t>
  </si>
  <si>
    <t>Experiment</t>
  </si>
  <si>
    <r>
      <t>x</t>
    </r>
    <r>
      <rPr>
        <b/>
        <sz val="7.5"/>
        <color rgb="FF222222"/>
        <rFont val="Arial"/>
        <family val="2"/>
      </rPr>
      <t>1</t>
    </r>
  </si>
  <si>
    <r>
      <t>x</t>
    </r>
    <r>
      <rPr>
        <b/>
        <sz val="7.5"/>
        <color rgb="FF222222"/>
        <rFont val="Arial"/>
        <family val="2"/>
      </rPr>
      <t>2</t>
    </r>
  </si>
  <si>
    <r>
      <t>u</t>
    </r>
    <r>
      <rPr>
        <b/>
        <sz val="7.5"/>
        <color rgb="FF222222"/>
        <rFont val="Arial"/>
        <family val="2"/>
      </rPr>
      <t>1</t>
    </r>
    <r>
      <rPr>
        <b/>
        <sz val="9"/>
        <color rgb="FF222222"/>
        <rFont val="Arial"/>
        <family val="2"/>
      </rPr>
      <t xml:space="preserve">
T (°C)</t>
    </r>
  </si>
  <si>
    <r>
      <t>u</t>
    </r>
    <r>
      <rPr>
        <b/>
        <sz val="7.5"/>
        <color rgb="FF222222"/>
        <rFont val="Arial"/>
        <family val="2"/>
      </rPr>
      <t>2</t>
    </r>
  </si>
  <si>
    <r>
      <t>Y</t>
    </r>
    <r>
      <rPr>
        <b/>
        <sz val="7.5"/>
        <color rgb="FF222222"/>
        <rFont val="Arial"/>
        <family val="2"/>
      </rPr>
      <t>5-HMF</t>
    </r>
    <r>
      <rPr>
        <b/>
        <sz val="9"/>
        <color rgb="FF222222"/>
        <rFont val="Arial"/>
        <family val="2"/>
      </rPr>
      <t>-exp. </t>
    </r>
    <r>
      <rPr>
        <b/>
        <sz val="7.5"/>
        <color rgb="FF222222"/>
        <rFont val="Arial"/>
        <family val="2"/>
      </rPr>
      <t>(2)</t>
    </r>
    <r>
      <rPr>
        <b/>
        <sz val="9"/>
        <color rgb="FF222222"/>
        <rFont val="Arial"/>
        <family val="2"/>
      </rPr>
      <t xml:space="preserve">
(g·kg</t>
    </r>
    <r>
      <rPr>
        <b/>
        <sz val="7.5"/>
        <color rgb="FF222222"/>
        <rFont val="Arial"/>
        <family val="2"/>
      </rPr>
      <t>−1</t>
    </r>
    <r>
      <rPr>
        <b/>
        <sz val="9"/>
        <color rgb="FF222222"/>
        <rFont val="Arial"/>
        <family val="2"/>
      </rPr>
      <t>)</t>
    </r>
  </si>
  <si>
    <r>
      <t>Y</t>
    </r>
    <r>
      <rPr>
        <b/>
        <sz val="7.5"/>
        <color rgb="FF222222"/>
        <rFont val="Arial"/>
        <family val="2"/>
      </rPr>
      <t>5-HMF</t>
    </r>
    <r>
      <rPr>
        <b/>
        <sz val="9"/>
        <color rgb="FF222222"/>
        <rFont val="Arial"/>
        <family val="2"/>
      </rPr>
      <t>-cal. </t>
    </r>
    <r>
      <rPr>
        <b/>
        <sz val="7.5"/>
        <color rgb="FF222222"/>
        <rFont val="Arial"/>
        <family val="2"/>
      </rPr>
      <t>(3)</t>
    </r>
    <r>
      <rPr>
        <b/>
        <sz val="9"/>
        <color rgb="FF222222"/>
        <rFont val="Arial"/>
        <family val="2"/>
      </rPr>
      <t xml:space="preserve">
(g·kg</t>
    </r>
    <r>
      <rPr>
        <b/>
        <sz val="7.5"/>
        <color rgb="FF222222"/>
        <rFont val="Arial"/>
        <family val="2"/>
      </rPr>
      <t>−1</t>
    </r>
    <r>
      <rPr>
        <b/>
        <sz val="9"/>
        <color rgb="FF222222"/>
        <rFont val="Arial"/>
        <family val="2"/>
      </rPr>
      <t>)</t>
    </r>
  </si>
  <si>
    <r>
      <t>t</t>
    </r>
    <r>
      <rPr>
        <b/>
        <sz val="7.5"/>
        <color rgb="FF222222"/>
        <rFont val="Arial"/>
        <family val="2"/>
      </rPr>
      <t>h</t>
    </r>
    <r>
      <rPr>
        <b/>
        <sz val="9"/>
        <color rgb="FF222222"/>
        <rFont val="Arial"/>
        <family val="2"/>
      </rPr>
      <t> (min)</t>
    </r>
  </si>
  <si>
    <t>t (min)</t>
  </si>
  <si>
    <t>−0.5</t>
  </si>
  <si>
    <t>−0.866</t>
  </si>
  <si>
    <r>
      <t>7′ </t>
    </r>
    <r>
      <rPr>
        <sz val="7.5"/>
        <color rgb="FF222222"/>
        <rFont val="Arial"/>
        <family val="2"/>
      </rPr>
      <t>(1)</t>
    </r>
  </si>
  <si>
    <r>
      <t>7′′ </t>
    </r>
    <r>
      <rPr>
        <sz val="7.5"/>
        <color rgb="FF222222"/>
        <rFont val="Arial"/>
        <family val="2"/>
      </rPr>
      <t>(1)</t>
    </r>
  </si>
  <si>
    <t>glucose in Sugar Beet</t>
  </si>
  <si>
    <t>yield (isoprene/Sugar Beet)</t>
  </si>
  <si>
    <t>glucose in Sugar Beet P</t>
  </si>
  <si>
    <t>yield (isoprene/Sugar Beet p)</t>
  </si>
  <si>
    <t>glucose in Sugar Beet molasses</t>
  </si>
  <si>
    <t>yield (isoprene/Sugar Beet m)</t>
  </si>
  <si>
    <t>Wheat germ</t>
  </si>
  <si>
    <t>sugar in wheat germ %</t>
  </si>
  <si>
    <t>ethanol /wheat germ  g/g</t>
  </si>
  <si>
    <t>https://elibrary.asabe.org/abstract.asp?aid=27102</t>
  </si>
  <si>
    <t>Evaluation of seven feedstocks for cellulosic ethanol production in the northwestern United States of America</t>
  </si>
  <si>
    <t>corn pericarp</t>
  </si>
  <si>
    <t>0.75% acid</t>
  </si>
  <si>
    <t>2.0% aicd</t>
  </si>
  <si>
    <t>2.0% alkali</t>
  </si>
  <si>
    <t>Figure 4. Measured final ethanol yields for feedstocks treated with different pretreatments.</t>
  </si>
  <si>
    <t>ethanol g/ 100 g dry matter</t>
  </si>
  <si>
    <t>1% alkali</t>
  </si>
  <si>
    <t>moisture in corn pericarp</t>
  </si>
  <si>
    <t>Corn pericarp</t>
  </si>
  <si>
    <t>Corn germ</t>
  </si>
  <si>
    <t>ethanol g/ g corn percicarp</t>
  </si>
  <si>
    <t>xylose content in corn germ</t>
  </si>
  <si>
    <t>xylose content in corn pericarp</t>
  </si>
  <si>
    <t xml:space="preserve">Corn germ </t>
  </si>
  <si>
    <t>fructose+glucose in corn germ %</t>
  </si>
  <si>
    <t>fructose+glucose in corn pericarp %</t>
  </si>
  <si>
    <t>theoretical yield g/ g corn germ</t>
  </si>
  <si>
    <t>theoretical yield g/ g Corn pericarp</t>
  </si>
  <si>
    <t>fru+glu in corn germ  %</t>
  </si>
  <si>
    <t>fru+glu in corn pericarp  %</t>
  </si>
  <si>
    <t>glucose in corn germ</t>
  </si>
  <si>
    <t>glucose in corn pericarp</t>
  </si>
  <si>
    <t>Corn  pericarp</t>
  </si>
  <si>
    <t>glu+fru+xyl in Corn germ</t>
  </si>
  <si>
    <t>glu+fru+xyl in Corn pericarp</t>
  </si>
  <si>
    <t>succinate yield g/g Corn pericarp</t>
  </si>
  <si>
    <t>3HP</t>
  </si>
  <si>
    <t>https://biotechnologyforbiofuels.biomedcentral.com/articles/10.1186/s13068-023-02288-1#Tab2</t>
  </si>
  <si>
    <t>Metabolic engineering to improve production of 3-hydroxypropionic acid from corn-stover hydrolysate in Aspergillus species</t>
  </si>
  <si>
    <r>
      <t>C-mol 3-HP C-mol</t>
    </r>
    <r>
      <rPr>
        <sz val="7"/>
        <color rgb="FF2E2E2E"/>
        <rFont val="Georgia"/>
        <family val="1"/>
      </rPr>
      <t>−1</t>
    </r>
    <r>
      <rPr>
        <sz val="10"/>
        <color rgb="FF2E2E2E"/>
        <rFont val="Georgia"/>
        <family val="1"/>
      </rPr>
      <t> glucose</t>
    </r>
  </si>
  <si>
    <t>Overexpression of pyruvate carboxylase</t>
  </si>
  <si>
    <t>Deletion or overexpression</t>
  </si>
  <si>
    <t>additional β-alanine pathway genes</t>
  </si>
  <si>
    <t> 0.48</t>
  </si>
  <si>
    <r>
      <t>g 3-HP g</t>
    </r>
    <r>
      <rPr>
        <sz val="7"/>
        <color rgb="FF2E2E2E"/>
        <rFont val="Georgia"/>
        <family val="1"/>
      </rPr>
      <t>−1</t>
    </r>
    <r>
      <rPr>
        <sz val="10"/>
        <color rgb="FF2E2E2E"/>
        <rFont val="Georgia"/>
        <family val="1"/>
      </rPr>
      <t> glucose</t>
    </r>
  </si>
  <si>
    <r>
      <t>Table 3</t>
    </r>
    <r>
      <rPr>
        <sz val="11"/>
        <color rgb="FF1F1F1F"/>
        <rFont val="Georgia"/>
        <family val="1"/>
      </rPr>
      <t>. Optimal treatment conditions obtained from the kinetic model.</t>
    </r>
  </si>
  <si>
    <t>T(°C)</t>
  </si>
  <si>
    <r>
      <t>[FeCl</t>
    </r>
    <r>
      <rPr>
        <b/>
        <sz val="6"/>
        <color theme="1"/>
        <rFont val="Georgia"/>
        <family val="1"/>
      </rPr>
      <t>3</t>
    </r>
    <r>
      <rPr>
        <b/>
        <sz val="8"/>
        <color theme="1"/>
        <rFont val="Georgia"/>
        <family val="1"/>
      </rPr>
      <t>](mol/L)</t>
    </r>
  </si>
  <si>
    <t>LA yield(%)</t>
  </si>
  <si>
    <t>https://www.sciencedirect.com/science/article/pii/S092666901530282X?via%3Dihub#tbl0015</t>
  </si>
  <si>
    <t>Kinetic study of levulinic acid production from corn stalk at relatively high temperature using FeCl3 as catalyst: A simplified model evaluated - ScienceDirect (wur.nl)</t>
  </si>
  <si>
    <t>yield (g LA / g glucan)</t>
  </si>
  <si>
    <t>glucan in corn (%)</t>
  </si>
  <si>
    <t>yield (g LA / g corn)</t>
  </si>
  <si>
    <r>
      <t>Table 1</t>
    </r>
    <r>
      <rPr>
        <sz val="11"/>
        <color rgb="FF1F1F1F"/>
        <rFont val="Georgia"/>
        <family val="1"/>
      </rPr>
      <t>. Experimental design and result of hydrothermal conversion of corncob to LA.</t>
    </r>
  </si>
  <si>
    <t>Run</t>
  </si>
  <si>
    <r>
      <t>X</t>
    </r>
    <r>
      <rPr>
        <b/>
        <sz val="6"/>
        <color theme="1"/>
        <rFont val="Georgia"/>
        <family val="1"/>
      </rPr>
      <t>1</t>
    </r>
    <r>
      <rPr>
        <b/>
        <sz val="8"/>
        <color theme="1"/>
        <rFont val="Georgia"/>
        <family val="1"/>
      </rPr>
      <t>, Biomass conc.</t>
    </r>
  </si>
  <si>
    <r>
      <t>X</t>
    </r>
    <r>
      <rPr>
        <b/>
        <sz val="6"/>
        <color theme="1"/>
        <rFont val="Georgia"/>
        <family val="1"/>
      </rPr>
      <t>2</t>
    </r>
    <r>
      <rPr>
        <b/>
        <sz val="8"/>
        <color theme="1"/>
        <rFont val="Georgia"/>
        <family val="1"/>
      </rPr>
      <t>, Time (min)</t>
    </r>
  </si>
  <si>
    <r>
      <t>X</t>
    </r>
    <r>
      <rPr>
        <b/>
        <sz val="6"/>
        <color theme="1"/>
        <rFont val="Georgia"/>
        <family val="1"/>
      </rPr>
      <t>3</t>
    </r>
    <r>
      <rPr>
        <b/>
        <sz val="8"/>
        <color theme="1"/>
        <rFont val="Georgia"/>
        <family val="1"/>
      </rPr>
      <t>, Temperature (</t>
    </r>
    <r>
      <rPr>
        <b/>
        <sz val="6"/>
        <color theme="1"/>
        <rFont val="Georgia"/>
        <family val="1"/>
      </rPr>
      <t>o</t>
    </r>
    <r>
      <rPr>
        <b/>
        <sz val="8"/>
        <color theme="1"/>
        <rFont val="Georgia"/>
        <family val="1"/>
      </rPr>
      <t>C)</t>
    </r>
  </si>
  <si>
    <r>
      <t>X</t>
    </r>
    <r>
      <rPr>
        <b/>
        <sz val="6"/>
        <color theme="1"/>
        <rFont val="Georgia"/>
        <family val="1"/>
      </rPr>
      <t>4</t>
    </r>
    <r>
      <rPr>
        <b/>
        <sz val="8"/>
        <color theme="1"/>
        <rFont val="Georgia"/>
        <family val="1"/>
      </rPr>
      <t>, Catalyst conc. (M)</t>
    </r>
  </si>
  <si>
    <t>LA production</t>
  </si>
  <si>
    <t>Conc. (g/L)</t>
  </si>
  <si>
    <t>yield (g LA / g carbohydrate)</t>
  </si>
  <si>
    <t>carbohydrate in corn (%)</t>
  </si>
  <si>
    <t>High concentration levulinic acid production from corn stover</t>
  </si>
  <si>
    <t>https://pubs.rsc.org/en/content/articlelanding/2016/ra/c6ra23768a</t>
  </si>
  <si>
    <t>Fig. 4 Fructose loading effects on fructose conversion, maximum LA yield, and LA loading (reaction conducted at 95 °C and HMF was completely consumed).</t>
  </si>
  <si>
    <t>yield</t>
  </si>
  <si>
    <t>mol weight fru</t>
  </si>
  <si>
    <t>mol weight LA</t>
  </si>
  <si>
    <t>yield (mol %)</t>
  </si>
  <si>
    <t>yield (g LA/ g fructose)</t>
  </si>
  <si>
    <t>g fructose / g corn</t>
  </si>
  <si>
    <t>yield (g LA/ g corn)</t>
  </si>
  <si>
    <t>Development of bioprocess for corncob-derived levulinic acid production</t>
  </si>
  <si>
    <t>https://www.sciencedirect.com/science/article/pii/S0960852423000548?via%3Dihub</t>
  </si>
  <si>
    <r>
      <t>Table 3</t>
    </r>
    <r>
      <rPr>
        <sz val="11"/>
        <color rgb="FF1F1F1F"/>
        <rFont val="Georgia"/>
        <family val="1"/>
      </rPr>
      <t>. Experimental design and analysis results for LA production.</t>
    </r>
  </si>
  <si>
    <r>
      <t>C</t>
    </r>
    <r>
      <rPr>
        <b/>
        <sz val="6"/>
        <color theme="1"/>
        <rFont val="Georgia"/>
        <family val="1"/>
      </rPr>
      <t>SnCl4</t>
    </r>
  </si>
  <si>
    <t>t</t>
  </si>
  <si>
    <t>Concentration g/L</t>
  </si>
  <si>
    <t>mM</t>
  </si>
  <si>
    <t>°C</t>
  </si>
  <si>
    <t>GLU</t>
  </si>
  <si>
    <t>XYL</t>
  </si>
  <si>
    <t>ARA</t>
  </si>
  <si>
    <t>FA</t>
  </si>
  <si>
    <t>AA</t>
  </si>
  <si>
    <t>LA</t>
  </si>
  <si>
    <t>FF</t>
  </si>
  <si>
    <t>https://www.sciencedirect.com/science/article/pii/S0960852418304243?via%3Dihub</t>
  </si>
  <si>
    <t>Kinetics study of levulinic acid production from corncobs by tin tetrachloride as catalyst</t>
  </si>
  <si>
    <t>LA yield %</t>
  </si>
  <si>
    <t>LA yield (g LA/g glucan)</t>
  </si>
  <si>
    <t>g glucan in g Corn</t>
  </si>
  <si>
    <t>LA yield (g LA/g corn)</t>
  </si>
  <si>
    <r>
      <t>Table 3</t>
    </r>
    <r>
      <rPr>
        <sz val="11"/>
        <color rgb="FF1F1F1F"/>
        <rFont val="Georgia"/>
        <family val="1"/>
      </rPr>
      <t>. Optimal treatment conditions of glucose and LA obtained from the kinetic model.</t>
    </r>
  </si>
  <si>
    <r>
      <t>FeCl</t>
    </r>
    <r>
      <rPr>
        <b/>
        <sz val="6"/>
        <color theme="1"/>
        <rFont val="Georgia"/>
        <family val="1"/>
      </rPr>
      <t>3</t>
    </r>
    <r>
      <rPr>
        <b/>
        <sz val="8"/>
        <color theme="1"/>
        <rFont val="Georgia"/>
        <family val="1"/>
      </rPr>
      <t> concentration (mol/L)</t>
    </r>
  </si>
  <si>
    <t>Maximum glucose yield (%)</t>
  </si>
  <si>
    <t>Maximum LA yield (%)</t>
  </si>
  <si>
    <t>Kinetic study of levulinic acid production from corn stalk at mild temperature using FeCl3 as catalyst</t>
  </si>
  <si>
    <t>https://www.sciencedirect.com/science/article/pii/S0016236116308754?via%3Dihub#t0015</t>
  </si>
  <si>
    <t>LA yield ( g LA/ g glucan)</t>
  </si>
  <si>
    <t>LA yield ( g LA/ g corn)</t>
  </si>
  <si>
    <t>corn germ</t>
  </si>
  <si>
    <t>glu+fru in corn germ (g/100g)</t>
  </si>
  <si>
    <t>glu+fru in corn pericarp (g/100g)</t>
  </si>
  <si>
    <t>Lactic acid production from corn stover using mixed cultures of Lactobacillus rhamnosus and Lactobacillus brevis</t>
  </si>
  <si>
    <t>https://linkinghub.elsevier.com/retrieve/pii/S0960852410015762</t>
  </si>
  <si>
    <t>Lactic acid concentration (g/L)</t>
  </si>
  <si>
    <t>Acetic acid concentration (g/L)</t>
  </si>
  <si>
    <t>Lactic acid productivity (g/L.h)</t>
  </si>
  <si>
    <t>L. rhamnosus</t>
  </si>
  <si>
    <t>L. brevis</t>
  </si>
  <si>
    <t>⁎</t>
  </si>
  <si>
    <t>Table 2. Summary of lactic acid production of single strain L. rhamnosus or L. brevis or mixed cultures from NaOH-treated corn stover.</t>
  </si>
  <si>
    <t>Culture strategy</t>
  </si>
  <si>
    <t>Lactic acid yield on substrate (g/g)⁎</t>
  </si>
  <si>
    <t>17.70 ± 0.46</t>
  </si>
  <si>
    <t>0.74 ± 0.04</t>
  </si>
  <si>
    <t>0.59 ± 0.02</t>
  </si>
  <si>
    <t>0.49 ± 0.04</t>
  </si>
  <si>
    <t>16.71 ± 0.73</t>
  </si>
  <si>
    <t>3.10 ± 0.18</t>
  </si>
  <si>
    <t>0.54 ± 0.02</t>
  </si>
  <si>
    <t>L. rhamnosus + L. brevis</t>
  </si>
  <si>
    <t>20.95 ± 0.54</t>
  </si>
  <si>
    <t>1.97 ± 0.12</t>
  </si>
  <si>
    <t>0.70 ± 0.03</t>
  </si>
  <si>
    <t>0.58 ± 0.03</t>
  </si>
  <si>
    <t>L. rhamnosus + L. brevis (12 h)</t>
  </si>
  <si>
    <t>17.75 ± 0.60</t>
  </si>
  <si>
    <t>1.05 ± 0.10</t>
  </si>
  <si>
    <t>Lactic acid yield was based on the total weight of NaOH-treated corn stover added.</t>
  </si>
  <si>
    <t>Table 1. Methodology and results from SSF experiments using wild-type microorganisms.</t>
  </si>
  <si>
    <t>Pretreatment a</t>
  </si>
  <si>
    <t>Saccharification</t>
  </si>
  <si>
    <t>Lactic Acid</t>
  </si>
  <si>
    <t>Xylose</t>
  </si>
  <si>
    <t>Utilization</t>
  </si>
  <si>
    <t>Yield</t>
  </si>
  <si>
    <t>Titer (g/L)</t>
  </si>
  <si>
    <t>Productivity (g/L⋅h)</t>
  </si>
  <si>
    <t>Optical</t>
  </si>
  <si>
    <t>Purity (%)</t>
  </si>
  <si>
    <t>Bacillus coagulans H-1</t>
  </si>
  <si>
    <t>Corncob residue</t>
  </si>
  <si>
    <t>Dilute acid</t>
  </si>
  <si>
    <t>Cellulase cocktail (10 U/g cellulose) supplemented with β-glucosidases (15 U/g cellulose)</t>
  </si>
  <si>
    <t>Batch culture at 50 °C, pH 6.0 and 10% (w/v) solids loading</t>
  </si>
  <si>
    <t>0.85 c</t>
  </si>
  <si>
    <t>100 g</t>
  </si>
  <si>
    <t>No</t>
  </si>
  <si>
    <t>[53]</t>
  </si>
  <si>
    <t>Bacillus coagulans L-LA 1507</t>
  </si>
  <si>
    <t>NaOH pretreatment, at 118 °C for 1 h.</t>
  </si>
  <si>
    <t>Commercial cocktail of cellulases from KDN Group</t>
  </si>
  <si>
    <t>Sixth subsequent fed-batch cultures with recycled streams, at 50 °C and pH 6.2</t>
  </si>
  <si>
    <t>0.396 b, d</t>
  </si>
  <si>
    <t>93.42 e</t>
  </si>
  <si>
    <t>2.14 d</t>
  </si>
  <si>
    <t>N. R.</t>
  </si>
  <si>
    <t>Yes</t>
  </si>
  <si>
    <t>Bacillus coagulans MXL-9</t>
  </si>
  <si>
    <t>Corn fiber</t>
  </si>
  <si>
    <t>Dilute acid (H2SO4) pretreatment, at 121°C for 1 h.</t>
  </si>
  <si>
    <t>Mixture of Celluclast® 1.5 L and Novozyme 188. Saccharification 18 h prior to inoculation</t>
  </si>
  <si>
    <t>Batch culture at 50°C, pH 6 and 10% (w/v) solids loading</t>
  </si>
  <si>
    <t>&gt;99 g</t>
  </si>
  <si>
    <t>[67]</t>
  </si>
  <si>
    <t>Bacillus coagulans LA204</t>
  </si>
  <si>
    <t>NaOH pretreatment, at 75 °C for 3 h</t>
  </si>
  <si>
    <t>Cellic® CTec2 at 30 FPU/g DM</t>
  </si>
  <si>
    <t>Fed-batch culture at 50 °C, pH 6 and 16% (w/w) solids loading</t>
  </si>
  <si>
    <t>0.77 b</t>
  </si>
  <si>
    <t>98 g</t>
  </si>
  <si>
    <t>NH3 for 1 day, and H2O2 for 7 days, without washing step</t>
  </si>
  <si>
    <t>0.74 b</t>
  </si>
  <si>
    <t>Fed-batch culture at 50 °C, pH 6 and 14.4% (w/w) solids loading</t>
  </si>
  <si>
    <t>0.68 b</t>
  </si>
  <si>
    <t>94.5 f, g</t>
  </si>
  <si>
    <t>NH3 for 2 days, and H2O2 for 7 days and biodetoxification</t>
  </si>
  <si>
    <t>Enzymes isolated from a Trichoderma viride culture at 2.0 FPU/g DM</t>
  </si>
  <si>
    <t>Fed-batch culture at 8% (w/w) solids loading</t>
  </si>
  <si>
    <t>0.54 b</t>
  </si>
  <si>
    <t>Pediococcus acidilactici DQ2</t>
  </si>
  <si>
    <t>Dry dilute sulphuric acid pretreatment and biodetoxification</t>
  </si>
  <si>
    <t>Accellerase 1000 at 15 FPU/g DM. Saccharification 8 h prior to inoculation</t>
  </si>
  <si>
    <t>Batch culture at 48 °C, pH 5.5 and 27% (w/w) solids loading</t>
  </si>
  <si>
    <t>77.2 d</t>
  </si>
  <si>
    <t>63.4 g</t>
  </si>
  <si>
    <t>Yes (at specific conditions)</t>
  </si>
  <si>
    <t>Pediococcus acidilactici PA204</t>
  </si>
  <si>
    <t>Fed-batch culture at 37 °C, pH 6.0 and 15% (w/w) solids loading</t>
  </si>
  <si>
    <t>0.69 b</t>
  </si>
  <si>
    <t>[38]</t>
  </si>
  <si>
    <t>Lactobacillus pentosus FL0421</t>
  </si>
  <si>
    <t>Fed-batch culture at 37 °C, pH 6.0 and 14% (w/w) solids loading</t>
  </si>
  <si>
    <t>0.66 b</t>
  </si>
  <si>
    <t>98.1 g</t>
  </si>
  <si>
    <t>[65]</t>
  </si>
  <si>
    <t>Lactobacillus pentosus ATCC 8041</t>
  </si>
  <si>
    <t>Aqueous ammonia at 90 °C for 24 h</t>
  </si>
  <si>
    <t>Spezyme CP cellulase at 5 FPU/g glucan</t>
  </si>
  <si>
    <t>Fed-batch culture at 37 °C</t>
  </si>
  <si>
    <t>[40]</t>
  </si>
  <si>
    <t>Lactobacillus delbrueckii ATCC 9649</t>
  </si>
  <si>
    <t>NaOH pretreatment, at 121 °C for 30 min.</t>
  </si>
  <si>
    <t>Cellic® CTec2 at 8 FPU/g DM</t>
  </si>
  <si>
    <t>Batch culture at 40 °C, pH 5.5, 4% (w/v) solids loading</t>
  </si>
  <si>
    <t>0.58 b</t>
  </si>
  <si>
    <t>99.9 h</t>
  </si>
  <si>
    <t>[69]</t>
  </si>
  <si>
    <t>Lactobacillus rhamnosus CECT-288</t>
  </si>
  <si>
    <t>Autohydrolysis with water at 202 °C</t>
  </si>
  <si>
    <t>Celluclast® at 30 FPU/g DM</t>
  </si>
  <si>
    <t>Batch culture at 45 °C and 16.7% (w/v) solids loading</t>
  </si>
  <si>
    <t>86.5 d</t>
  </si>
  <si>
    <t>N.R.</t>
  </si>
  <si>
    <t>[41]</t>
  </si>
  <si>
    <t>Lactobacillus rhamnosus + Lactobacillus brevis ATCC367</t>
  </si>
  <si>
    <t>NaOH pretreatment, at room temperature for 12 h</t>
  </si>
  <si>
    <t>Spezyme CP at 25 FPU/g glucan</t>
  </si>
  <si>
    <t>Batch culture at 37 °C, pH 5 and 3% (w/v) solids loading</t>
  </si>
  <si>
    <t>0.70 b</t>
  </si>
  <si>
    <t>Yes (by L. brevis)</t>
  </si>
  <si>
    <t>[70]</t>
  </si>
  <si>
    <t>Lactobacillus plantarum ATCC 21028 + Lactobacillus brevis ATCC 367</t>
  </si>
  <si>
    <t>NaOH pretreatment at 121 °C for 30 min</t>
  </si>
  <si>
    <t>Cellic ® CTec2 at 8 FPU/g DM</t>
  </si>
  <si>
    <t>Batch culture at 37 °C, pH 6.0 and 4% (w/v) solids loading</t>
  </si>
  <si>
    <t>0.78 b</t>
  </si>
  <si>
    <t>56.8 g</t>
  </si>
  <si>
    <t>[71]</t>
  </si>
  <si>
    <t>Acremonium thermophilus ATCC 24622 + Rhizopus sp. MK-96-1196</t>
  </si>
  <si>
    <t>Milled only</t>
  </si>
  <si>
    <t>Cellulase produced on-site by A. thermophilus</t>
  </si>
  <si>
    <t>Batch culture at 30 °C, initial pH 4.5, aeration rate of 2 vvm and 10% solids loading</t>
  </si>
  <si>
    <t>Yes (by Rhizopus sp. MK-96-1196)</t>
  </si>
  <si>
    <t>Rhizopus oryzae NLX-M-1</t>
  </si>
  <si>
    <t>NaOH at 85–90 °C for 1 h, and neutralized H2SO4 solution</t>
  </si>
  <si>
    <t>Cellic ® CTec2 at 60 mg protein/g DM</t>
  </si>
  <si>
    <t>Batch culture at 40 °C, pH &gt; 6.0 and aeration rate of 1 vvm and 10% (w/v) solids loading</t>
  </si>
  <si>
    <t>0.60 b</t>
  </si>
  <si>
    <t>[74]</t>
  </si>
  <si>
    <t>Trichoderma koningii</t>
  </si>
  <si>
    <t>Milled and dipped in an ammonia liquor (8%)</t>
  </si>
  <si>
    <t>Cellulase produced by T. koningii in a citric acid–sodium citrate buffer</t>
  </si>
  <si>
    <t>Batch culture</t>
  </si>
  <si>
    <t>0.204 c</t>
  </si>
  <si>
    <t>[75]</t>
  </si>
  <si>
    <t>a A washing step with water was performed after pretreatment in every experiment except for those that include a biodetoxification step or state it otherwise. b g LA/g loaded biomass. c g LA/g cellulose. d % with respect to maximum theoretical yield from cellulose. e Average from the six fermentation rounds. f Based on glucose as the only carbon source. g %L-LA. h</t>
  </si>
  <si>
    <t>Bioconversion of Corn Crop Residues: Lactic Acid Production through Simultaneous Saccharification and Fermentation</t>
  </si>
  <si>
    <t>https://www.mdpi.com/2071-1050/14/19/11799</t>
  </si>
  <si>
    <t>this is a review paper</t>
  </si>
  <si>
    <t>sugar from corn germ g/g</t>
  </si>
  <si>
    <t>sugar from corn pericarp g/g</t>
  </si>
  <si>
    <t>glu+ fru in corn %</t>
  </si>
  <si>
    <t>yield g/g corn</t>
  </si>
  <si>
    <t>COMPARISON OF XYLITOL PRODUCTION FROM THE ISOLATED STRAIN OF CANDIDA SP., IN STATISTICALLY OPTIMIZED MODIFIED MINIMAL MEDIUM AND CORNCOB HYDROLYZATE MEDIUM</t>
  </si>
  <si>
    <t>http://www.envirobiotechjournals.com/article_abstract.php?aid=6215&amp;iid=196&amp;jid=1</t>
  </si>
  <si>
    <t>The average maximum yield of xylitol after 120 hours of fermentation at 30°c and pH 5.0 using Corn Cob was 0.34 g/g of xylose. Under optimum conditions, modified minimum medium yield of xylitol was 0.42 g/g of xylose.</t>
  </si>
  <si>
    <t>g/g xylose</t>
  </si>
  <si>
    <t>yield g/g of xylose</t>
  </si>
  <si>
    <t>yield g/g xylose</t>
  </si>
  <si>
    <t xml:space="preserve">avrg </t>
  </si>
  <si>
    <t>xylose in corn %</t>
  </si>
  <si>
    <t>Optimization of dilute sulfuric acid pretreatment of corn stover for enhanced xylose recovery and xylitol production</t>
  </si>
  <si>
    <t>https://link.springer.com/article/10.1007/s12257-016-0483-z</t>
  </si>
  <si>
    <t>https://www.sciencedirect.com/science/article/pii/S096085242101018X</t>
  </si>
  <si>
    <t>Particle size influence on the composition of sugars in corncob hemicellulose hydrolysate for xylose fermentation by Meyerozyma caribbica</t>
  </si>
  <si>
    <r>
      <t>Table 1</t>
    </r>
    <r>
      <rPr>
        <sz val="11"/>
        <color rgb="FF1F1F1F"/>
        <rFont val="Georgia"/>
        <family val="1"/>
      </rPr>
      <t>. Over all mass balance analysis in synthetic, non detoxified and detoxified hydrolysate medium for xylitol fermentaion by </t>
    </r>
    <r>
      <rPr>
        <i/>
        <sz val="11"/>
        <color rgb="FF1F1F1F"/>
        <rFont val="Georgia"/>
        <family val="1"/>
      </rPr>
      <t>M. carribica.</t>
    </r>
  </si>
  <si>
    <r>
      <t>10.0 ± 0.5 % of V/V </t>
    </r>
    <r>
      <rPr>
        <b/>
        <i/>
        <sz val="8"/>
        <color theme="1"/>
        <rFont val="Georgia"/>
        <family val="1"/>
      </rPr>
      <t>M. caribbica</t>
    </r>
    <r>
      <rPr>
        <b/>
        <sz val="8"/>
        <color theme="1"/>
        <rFont val="Georgia"/>
        <family val="1"/>
      </rPr>
      <t> with 5 g/L concentration of yeast extract</t>
    </r>
  </si>
  <si>
    <t>Mass balance parameters</t>
  </si>
  <si>
    <t>Synthetic</t>
  </si>
  <si>
    <t>Non detoxified hydrolysate</t>
  </si>
  <si>
    <t>Detoxified hydrolysate</t>
  </si>
  <si>
    <t>Initial xylose concentration</t>
  </si>
  <si>
    <t>50.0 ± 5.0</t>
  </si>
  <si>
    <t>Final xylose concentration at 120 h</t>
  </si>
  <si>
    <t>0.310 ± 0.010</t>
  </si>
  <si>
    <t>3.90 ± 0.5</t>
  </si>
  <si>
    <t>0.15 ± 0.5</t>
  </si>
  <si>
    <t>Xylose consumption</t>
  </si>
  <si>
    <t>47.5 ± 1.290</t>
  </si>
  <si>
    <t>38.50 ± 1.50</t>
  </si>
  <si>
    <t>49.5 ± 1.00</t>
  </si>
  <si>
    <t>Initial glucose concentration</t>
  </si>
  <si>
    <t>0.00 ± 0.000</t>
  </si>
  <si>
    <t>10.50 ± 0.5.</t>
  </si>
  <si>
    <t>1.50 ± 0.50</t>
  </si>
  <si>
    <t>Final glucose concentration</t>
  </si>
  <si>
    <t>9.00 ± 0.5.</t>
  </si>
  <si>
    <t>5.00 ± 0.50</t>
  </si>
  <si>
    <t>Glucose consumption</t>
  </si>
  <si>
    <t>0.02 ± 0.05</t>
  </si>
  <si>
    <t>1.00 ± 0.50</t>
  </si>
  <si>
    <t>Initial xyitol concentration</t>
  </si>
  <si>
    <t>Final xylitol concentration</t>
  </si>
  <si>
    <t>22.50 ± 5.0</t>
  </si>
  <si>
    <t>3.50 ± 0.050</t>
  </si>
  <si>
    <t>25.00 ± 5.00</t>
  </si>
  <si>
    <t>Xylitol yield t = 120 h</t>
  </si>
  <si>
    <t>45.0 ± 1.00</t>
  </si>
  <si>
    <t>10.00 ± 1.00</t>
  </si>
  <si>
    <t>54.00 ± 1.00</t>
  </si>
  <si>
    <t>Initial cells concentration</t>
  </si>
  <si>
    <t>10.0 ± 0.50</t>
  </si>
  <si>
    <t>Final cells concentration</t>
  </si>
  <si>
    <t>(g cell/L)</t>
  </si>
  <si>
    <t>0.50 ± 0.50</t>
  </si>
  <si>
    <t>10 ± 0.50</t>
  </si>
  <si>
    <r>
      <t>(g/g) (Y</t>
    </r>
    <r>
      <rPr>
        <i/>
        <sz val="6"/>
        <color theme="1"/>
        <rFont val="Georgia"/>
        <family val="1"/>
      </rPr>
      <t>X/S</t>
    </r>
    <r>
      <rPr>
        <sz val="8"/>
        <color theme="1"/>
        <rFont val="Georgia"/>
        <family val="1"/>
      </rPr>
      <t>)</t>
    </r>
  </si>
  <si>
    <t>0.193 ± 0.012</t>
  </si>
  <si>
    <t>0.014 ± 0.50</t>
  </si>
  <si>
    <t>1.093 ± 0.05</t>
  </si>
  <si>
    <t>Xylitol productivity</t>
  </si>
  <si>
    <t>g/L/h</t>
  </si>
  <si>
    <t>0.166 ± 0.050</t>
  </si>
  <si>
    <t>0.033 ± 0.010</t>
  </si>
  <si>
    <t>0.250 ± 0.050</t>
  </si>
  <si>
    <t>Specific growth rate</t>
  </si>
  <si>
    <r>
      <t>(h</t>
    </r>
    <r>
      <rPr>
        <sz val="6"/>
        <color theme="1"/>
        <rFont val="Georgia"/>
        <family val="1"/>
      </rPr>
      <t>−1</t>
    </r>
    <r>
      <rPr>
        <sz val="8"/>
        <color theme="1"/>
        <rFont val="Georgia"/>
        <family val="1"/>
      </rPr>
      <t>) (μ)</t>
    </r>
  </si>
  <si>
    <t>0.056 ± 0.01</t>
  </si>
  <si>
    <t>0.026 ± 0.01</t>
  </si>
  <si>
    <t>0.054 ± 0.01</t>
  </si>
  <si>
    <t>NA: Not available; ND: Not detected; DNS: Data not showed in the study</t>
  </si>
  <si>
    <t>avrg (% g/g substrate)</t>
  </si>
  <si>
    <t>xylitol yield on consumed substrate coefficient (Yp/s) </t>
  </si>
  <si>
    <t>Scaling up on 3 L fermenter, with a fed-batch strategy, the best xylitol yield was 86.84% (w/w), against a 90% of theoretical yield. </t>
  </si>
  <si>
    <t>https://www.mdpi.com/2218-273X/5/3/1979</t>
  </si>
  <si>
    <t>Optimized Production of Xylitol from Xylose Using a Hyper-Acidophilic Candida tropicalis</t>
  </si>
  <si>
    <t>yield (% g/g xylose)</t>
  </si>
  <si>
    <t>https://link.springer.com/article/10.1007/s00253-019-10324-0</t>
  </si>
  <si>
    <t>Combination of the CRP mutation and ptsG deletion in Escherichia coli to efficiently synthesize xylitol from corncob hydrolysates</t>
  </si>
  <si>
    <t>g/g glucose</t>
  </si>
  <si>
    <t>yield (% g/g glucose)</t>
  </si>
  <si>
    <t>yield ( g/g xylose)</t>
  </si>
  <si>
    <t>yield ( g/g glucose)</t>
  </si>
  <si>
    <t>glucose in corn %</t>
  </si>
  <si>
    <t>xylose in corn germ %</t>
  </si>
  <si>
    <t>yield (g xylitol / g corn germ)</t>
  </si>
  <si>
    <t>xylose in corn pericarp %</t>
  </si>
  <si>
    <t>yield (g xylitol / g corn pericarp)</t>
  </si>
  <si>
    <t>xylose in wheat</t>
  </si>
  <si>
    <t>Utilisation of wheat bran as a substrate for bioethanol production using recombinant cellulases and amylolytic yeast</t>
  </si>
  <si>
    <t>https://www.sciencedirect.com/science/article/pii/S0306261915011691?via%3Dihub</t>
  </si>
  <si>
    <t>Table 3. Conversion of glucose and wheat bran’s starch and/or cellulose to ethanol by wild type S. cerevisiae yeast (MEL2 and M2n) and their respective engineered strains: MEL2[TLG1-SFA1] and M2n[TLG1-SFA1]. SSF of wheat bran (10% w/v) was conducted with or without RCC (recombinant cellulase cocktail).</t>
  </si>
  <si>
    <t>Highest ethanol concentration (g/L)</t>
  </si>
  <si>
    <t>Glucose utilisation (%)</t>
  </si>
  <si>
    <t>Starch utilisation (%)</t>
  </si>
  <si>
    <t>Cellulose utilisation (%)</t>
  </si>
  <si>
    <t>YE/S (g/g)</t>
  </si>
  <si>
    <t>Q (g/L/h)</t>
  </si>
  <si>
    <t>Qmax (g/L/h)</t>
  </si>
  <si>
    <t>Glucose (30 g/L) medium</t>
  </si>
  <si>
    <t>MEL2</t>
  </si>
  <si>
    <t>0.48 (94%)</t>
  </si>
  <si>
    <t>MEL2[TLG1-SFA1]</t>
  </si>
  <si>
    <t>0.47 (93%)</t>
  </si>
  <si>
    <t>M2n</t>
  </si>
  <si>
    <t>M2n[TLG1-SFA1]</t>
  </si>
  <si>
    <t>0.47 (91%)</t>
  </si>
  <si>
    <t>Wheat bran without RCC</t>
  </si>
  <si>
    <t>0.48 (85%)</t>
  </si>
  <si>
    <t>0.45 (81%)</t>
  </si>
  <si>
    <t>Wheat bran with RCC</t>
  </si>
  <si>
    <t>0.50 (89%)</t>
  </si>
  <si>
    <t>0.49 (88%)</t>
  </si>
  <si>
    <t>YE/S, ethanol yield per gram of consumed substrate calculated on the highest ethanol production and % of theoretical maximum indicated in brackets.</t>
  </si>
  <si>
    <t>yield (gethanol/g of consumed substrate)</t>
  </si>
  <si>
    <t>tot glucose in wheat bran</t>
  </si>
  <si>
    <t>yield (gethanol/g wheat bran)</t>
  </si>
  <si>
    <t>Using an efficient fermenting yeast enhances ethanol production from unfiltered wheat bran hydrolysates</t>
  </si>
  <si>
    <t>https://www.sciencedirect.com/science/article/pii/S0306261912004357?via%3Dihub</t>
  </si>
  <si>
    <t>Table 3. Products formation by S. cerevisiae strains after 21 days fermentation at 25 °C in MNS broth with glucose (200 g/L), glucose (150 g/L) and xylose (50 g/L), and glucose (100 g/L) and xylose (100 g/L) as substrate.</t>
  </si>
  <si>
    <t>MH1000</t>
  </si>
  <si>
    <t>MEL1</t>
  </si>
  <si>
    <t>MEL3</t>
  </si>
  <si>
    <t>MEL4</t>
  </si>
  <si>
    <t>MEL5</t>
  </si>
  <si>
    <t>F6</t>
  </si>
  <si>
    <t>F9</t>
  </si>
  <si>
    <t>DSM70449</t>
  </si>
  <si>
    <t>MNS (200 g/L glucose)</t>
  </si>
  <si>
    <t>Substrate remaining</t>
  </si>
  <si>
    <t>Products formed</t>
  </si>
  <si>
    <t>Ethanol yielda</t>
  </si>
  <si>
    <t>MNS (150 g/L glucose and 50 g/L xylose)</t>
  </si>
  <si>
    <t>MNS (100 g/L glucose and 100 g/L xylose)</t>
  </si>
  <si>
    <t>77%)</t>
  </si>
  <si>
    <t>Ethanol yield as g/g and % of theoretical maximum (0.51 g/g from glucose) indicated in brackets.</t>
  </si>
  <si>
    <t>yield (g/g glucose)</t>
  </si>
  <si>
    <t>Processing wheat bran into ethanol using mild treatments and highly fermentative yeasts</t>
  </si>
  <si>
    <t>https://www.sciencedirect.com/science/article/pii/S0961953412002784?via%3Dihub</t>
  </si>
  <si>
    <t>All fermentation kinetics were also evaluated considering the difference between the observed ethanol yields, displayed by the yeasts at the end of the fermentations, and the expected ones according to the alcohol yield obtained in the reference fermentations by S. diastaticus ATCC 13007 (0.41 g g_x0001_1 ) and S. cerevisiae (0.48 g g_x0001_1 ).</t>
  </si>
  <si>
    <t>yield (g ethanol /g consumed glucose)</t>
  </si>
  <si>
    <t>fructose+glucose in wheat bran %</t>
  </si>
  <si>
    <t>fructose+glucose in wheat germ %</t>
  </si>
  <si>
    <t>theoretical yield g/ g wheat bran</t>
  </si>
  <si>
    <t>theoretical yield g/ g wheat germ</t>
  </si>
  <si>
    <t>fru+glu in wheat germ %</t>
  </si>
  <si>
    <t>theoretical yield FDCA from wheat g/g</t>
  </si>
  <si>
    <t>theoretical yield FDCA from wheat bran g/g</t>
  </si>
  <si>
    <t>theoretical yield FDCA from wheat germ g/g</t>
  </si>
  <si>
    <t>yield (isoprene/Wheat germ)</t>
  </si>
  <si>
    <t>https://www.sciencedirect.com/science/article/pii/S0168165609002533?via%3Dihub#tbl3</t>
  </si>
  <si>
    <t>Cereal-based biorefinery development: Utilisation of wheat milling by-products for the production of succinic acid</t>
  </si>
  <si>
    <t>Table 3. Succinic acid fermentations of A. succinogenes on various media produced from wheat flour milling by-products.</t>
  </si>
  <si>
    <t>Batch number</t>
  </si>
  <si>
    <t>Initial content of fermentation media</t>
  </si>
  <si>
    <t>Maltose (g/L)</t>
  </si>
  <si>
    <t>Total sugar (g/L)</t>
  </si>
  <si>
    <t>Yeast extract (g/L)</t>
  </si>
  <si>
    <t>Inoculum volume (%, v/v)</t>
  </si>
  <si>
    <t>Fermentation outcome</t>
  </si>
  <si>
    <t>Succinic acid (g/L)</t>
  </si>
  <si>
    <t>Productivity (g/L h)</t>
  </si>
  <si>
    <t>Yielda (g/g glucose equivalent)</t>
  </si>
  <si>
    <t>Glucose consumption (g/L)</t>
  </si>
  <si>
    <t>Glucose utilisationb (g/g)</t>
  </si>
  <si>
    <t>Maltose consumption (g/L)</t>
  </si>
  <si>
    <t>Maltose utilisationb (g/g)</t>
  </si>
  <si>
    <t>Total sugar consumption (g/L)</t>
  </si>
  <si>
    <t>Total sugar utilisation (g/g)</t>
  </si>
  <si>
    <t>Yield was calculated by dividing the amount of succinic acid produced by the total amount of sugar consumed (in terms of glucose equivalent) throughout the fermentation.</t>
  </si>
  <si>
    <t>Sugar utilisation was calculated by dividing the amount of sugar consumed by the initial sugar concentration.</t>
  </si>
  <si>
    <t>yield (g/g glu eq)</t>
  </si>
  <si>
    <t>glu in wheat</t>
  </si>
  <si>
    <t>yield g / g wheat</t>
  </si>
  <si>
    <t>wheat bran</t>
  </si>
  <si>
    <t>Production of succinic acid and lactic acid by Corynebacterium crenatum under anaerobic conditions</t>
  </si>
  <si>
    <t>https://link.springer.com/article/10.1007/s13213-012-0441-8</t>
  </si>
  <si>
    <t>The yield of succinic acid and</t>
  </si>
  <si>
    <t>lactic acid was 0.27 g/g and 0.62 g/g, respectively (g/g,</t>
  </si>
  <si>
    <t>grams acid formed/grams glucose utilized) (Table 1).</t>
  </si>
  <si>
    <t>glu in wheat bran</t>
  </si>
  <si>
    <t>wheat germ</t>
  </si>
  <si>
    <t>glu+fru+xyl in wheat germ</t>
  </si>
  <si>
    <t>succinate yield g/g wheat germ</t>
  </si>
  <si>
    <t xml:space="preserve">wheat germ </t>
  </si>
  <si>
    <t>yield g / g wheat bran</t>
  </si>
  <si>
    <t>wheat</t>
  </si>
  <si>
    <t>LEVULINIC ACID</t>
  </si>
  <si>
    <r>
      <t>Table 6</t>
    </r>
    <r>
      <rPr>
        <sz val="11"/>
        <color rgb="FF1F1F1F"/>
        <rFont val="Georgia"/>
        <family val="1"/>
      </rPr>
      <t>. Literature values of yield of levulinic acid for various substrates</t>
    </r>
  </si>
  <si>
    <t>Cellulose content (%)</t>
  </si>
  <si>
    <t>Yield based on theoretical yield (%)</t>
  </si>
  <si>
    <t>Cha and Hanna (2002)</t>
  </si>
  <si>
    <t>Sorghum grain</t>
  </si>
  <si>
    <t>Fang and Hanna (2002)</t>
  </si>
  <si>
    <t>Paper</t>
  </si>
  <si>
    <t>Farone and Cuzens (2000)</t>
  </si>
  <si>
    <t>Paper sludge</t>
  </si>
  <si>
    <t>Fitzpatreck (1995)</t>
  </si>
  <si>
    <t>&gt;70</t>
  </si>
  <si>
    <t>https://www.sciencedirect.com/science/article/pii/S0960852406005815#tbl4</t>
  </si>
  <si>
    <t>Levulinic acid production from wheat straw - ScienceDirect (wur.nl)</t>
  </si>
  <si>
    <t xml:space="preserve"> yield g/g raw material</t>
  </si>
  <si>
    <t xml:space="preserve"> yield g/g raw material %</t>
  </si>
  <si>
    <t>Levulinic Acid Production from waste biomass</t>
  </si>
  <si>
    <t>https://www.researchgate.net/publication/258993284_Levulinic_Acid_Production_from_waste_biomass</t>
  </si>
  <si>
    <t>yield (wt%)</t>
  </si>
  <si>
    <t>glu+fru in wheat bran (g/100g)</t>
  </si>
  <si>
    <t>Theoretical yield (g/g wheat bran)</t>
  </si>
  <si>
    <t>glu+fru in wheat germ (g/100g)</t>
  </si>
  <si>
    <t>Theoretical yield (g/g wheat germ)</t>
  </si>
  <si>
    <t xml:space="preserve">wheat </t>
  </si>
  <si>
    <t>Lactic acid production from wheat straw hemicellulose hydrolysate by Lactobacillus pentosus and Lactobacillus brevis</t>
  </si>
  <si>
    <t>https://www.sciencedirect.com/science/article/pii/S0960852401001353</t>
  </si>
  <si>
    <r>
      <t>Table 2</t>
    </r>
    <r>
      <rPr>
        <sz val="11"/>
        <color rgb="FF1F1F1F"/>
        <rFont val="Georgia"/>
        <family val="1"/>
      </rPr>
      <t>. Lactic acid yields from fermentation of treated HH and MRS model medium by </t>
    </r>
    <r>
      <rPr>
        <i/>
        <sz val="11"/>
        <color rgb="FF1F1F1F"/>
        <rFont val="Georgia"/>
        <family val="1"/>
      </rPr>
      <t>Lb. pentosus</t>
    </r>
    <r>
      <rPr>
        <sz val="11"/>
        <color rgb="FF1F1F1F"/>
        <rFont val="Georgia"/>
        <family val="1"/>
      </rPr>
      <t> and </t>
    </r>
    <r>
      <rPr>
        <i/>
        <sz val="11"/>
        <color rgb="FF1F1F1F"/>
        <rFont val="Georgia"/>
        <family val="1"/>
      </rPr>
      <t>Lb.brevis</t>
    </r>
  </si>
  <si>
    <t>Lb. pentosus</t>
  </si>
  <si>
    <t>Lb. brevis</t>
  </si>
  <si>
    <t>Enzymatic treated HH</t>
  </si>
  <si>
    <t>Acidic treated HH</t>
  </si>
  <si>
    <t>MRS + 20 g/l glucose</t>
  </si>
  <si>
    <t>MRS + 20 g/l xylose</t>
  </si>
  <si>
    <t>MRS + 10 g/l glucose + 10 g/l xylose</t>
  </si>
  <si>
    <t>avrg (of the theoretical maximum yield)</t>
  </si>
  <si>
    <t>theroetical yield</t>
  </si>
  <si>
    <t>mol lactic acid produced/mol xylose</t>
  </si>
  <si>
    <t>mol lactic acid produced/mol glucose consumed</t>
  </si>
  <si>
    <t>glucose %</t>
  </si>
  <si>
    <t>xylose %</t>
  </si>
  <si>
    <t>yield g/g wheat</t>
  </si>
  <si>
    <t>yield g/ g wheat</t>
  </si>
  <si>
    <t>thoeretical yield g/100 g wheat</t>
  </si>
  <si>
    <t>Kinetic modeling of hydrogen and L-lactic acid production by Thermotoga neapolitana via capnophilic lactic fermentation of starch</t>
  </si>
  <si>
    <t>https://www.sciencedirect.com/science/article/pii/S0960852421004661</t>
  </si>
  <si>
    <r>
      <t>Table 4</t>
    </r>
    <r>
      <rPr>
        <sz val="11"/>
        <color rgb="FF1F1F1F"/>
        <rFont val="Georgia"/>
        <family val="1"/>
      </rPr>
      <t>. Potato and wheat starch (30.80 mM glucose equivalent) fermentation under CLF conditions by </t>
    </r>
    <r>
      <rPr>
        <i/>
        <sz val="11"/>
        <color rgb="FF1F1F1F"/>
        <rFont val="Georgia"/>
        <family val="1"/>
      </rPr>
      <t>T. neapolitana</t>
    </r>
    <r>
      <rPr>
        <sz val="11"/>
        <color rgb="FF1F1F1F"/>
        <rFont val="Georgia"/>
        <family val="1"/>
      </rPr>
      <t> in a CSTR system for 48 h.</t>
    </r>
  </si>
  <si>
    <t>NaCl (g/L)</t>
  </si>
  <si>
    <t>Substrate consumed (mM glucose eq.)</t>
  </si>
  <si>
    <t>AA (mM)</t>
  </si>
  <si>
    <t>LA (mM)</t>
  </si>
  <si>
    <t>ALA (mM)</t>
  </si>
  <si>
    <r>
      <t>H</t>
    </r>
    <r>
      <rPr>
        <b/>
        <sz val="6"/>
        <color theme="1"/>
        <rFont val="Georgia"/>
        <family val="1"/>
      </rPr>
      <t>2</t>
    </r>
    <r>
      <rPr>
        <b/>
        <sz val="8"/>
        <color theme="1"/>
        <rFont val="Georgia"/>
        <family val="1"/>
      </rPr>
      <t> (mol/mol glucose eq.)</t>
    </r>
  </si>
  <si>
    <t>AA (mol/mol glucose eq.)</t>
  </si>
  <si>
    <t>LA (mol/mol glucose eq.)</t>
  </si>
  <si>
    <t>PS10-R1</t>
  </si>
  <si>
    <t>26.84 (±1.25)</t>
  </si>
  <si>
    <t>27.84 (±4.56)</t>
  </si>
  <si>
    <t>22.53 (±10.59)</t>
  </si>
  <si>
    <t>2.03 (±0.06)</t>
  </si>
  <si>
    <t>3.34 (±0.17)</t>
  </si>
  <si>
    <t>1.04 (±0.21)</t>
  </si>
  <si>
    <t>0.88 (±0.39)</t>
  </si>
  <si>
    <t>PS35-R2</t>
  </si>
  <si>
    <t>26.03 (±0.26)</t>
  </si>
  <si>
    <t>19.89 (±1.08)</t>
  </si>
  <si>
    <t>26.32 (±1.03)</t>
  </si>
  <si>
    <t>1.64 (±0.03)</t>
  </si>
  <si>
    <t>2.20 (±0.26)</t>
  </si>
  <si>
    <t>0.76 (±0.03)</t>
  </si>
  <si>
    <t>1.01 (±0.05)</t>
  </si>
  <si>
    <t>WS10-R3</t>
  </si>
  <si>
    <t>26.29 (±0.16)</t>
  </si>
  <si>
    <t>38.05 (±2.22)</t>
  </si>
  <si>
    <t>8.26 (±2.83)</t>
  </si>
  <si>
    <t>1.58 (±0.04)</t>
  </si>
  <si>
    <t>2.79 (±0.17)</t>
  </si>
  <si>
    <t>1.45 (±0.09)</t>
  </si>
  <si>
    <t>0.33 (±0.11)</t>
  </si>
  <si>
    <t>Notes: PS10-R1 = potato starch with 10 g/L NaCl; PS35-R2 = potato starch with 35 g/L NaCl; WS10-R3 = wheat starch with 10 g/L NaCl; AA = acetic acid; LA = L-lactic acid; and ALA = alanine. The results are expressed as mean (±standard error).</t>
  </si>
  <si>
    <t>yield g/g glucose</t>
  </si>
  <si>
    <t xml:space="preserve">glucose in wheat </t>
  </si>
  <si>
    <t xml:space="preserve">yield g/g wheat </t>
  </si>
  <si>
    <t>https://pu.edu.pk/images/journal/zology/PDF-FILES/7_36_1_21.pdf</t>
  </si>
  <si>
    <t>Evolutionary Adaptation of Bacillus subtilis OCS SH-2 in Wheat Straw Hydrolysate for Bioethanol and Lactic Acid Production</t>
  </si>
  <si>
    <t>https://www.sciencedirect.com/science/article/pii/S0960852420311275#t0010</t>
  </si>
  <si>
    <t>Sustainable Biotechnology: Sources of Renewable EnergyOne-pot process for lactic acid production from wheat straw by an adapted Bacillus coagulans and identification of genes related to hydrolysate-tolerance</t>
  </si>
  <si>
    <t>Grewal and Khare (2018)</t>
  </si>
  <si>
    <t> (Maas et al., 2008)</t>
  </si>
  <si>
    <t>this study</t>
  </si>
  <si>
    <t>g/g from raw wheat straw</t>
  </si>
  <si>
    <r>
      <t> (</t>
    </r>
    <r>
      <rPr>
        <sz val="10"/>
        <color rgb="FF0272B1"/>
        <rFont val="Georgia"/>
        <family val="1"/>
      </rPr>
      <t>Aulitto et al., 2019</t>
    </r>
    <r>
      <rPr>
        <sz val="10"/>
        <color rgb="FF1F1F1F"/>
        <rFont val="Georgia"/>
        <family val="1"/>
      </rPr>
      <t>, </t>
    </r>
    <r>
      <rPr>
        <sz val="10"/>
        <color rgb="FF0272B1"/>
        <rFont val="Georgia"/>
        <family val="1"/>
      </rPr>
      <t>Zhang et al., 2014</t>
    </r>
    <r>
      <rPr>
        <sz val="10"/>
        <color rgb="FF1F1F1F"/>
        <rFont val="Georgia"/>
        <family val="1"/>
      </rPr>
      <t>)</t>
    </r>
  </si>
  <si>
    <r>
      <t>One-pot bioprocess for lactic acid production from lignocellulosic agro-wastes by using ionic liquid stable </t>
    </r>
    <r>
      <rPr>
        <i/>
        <sz val="11"/>
        <color rgb="FF1F1F1F"/>
        <rFont val="Georgia"/>
        <family val="1"/>
      </rPr>
      <t>Lactobacillus brevis</t>
    </r>
  </si>
  <si>
    <t>https://www.scopus.com/record/display.uri?eid=2-s2.0-85039148362&amp;origin=inward&amp;txGid=8765cb3b2451f1a00f4c1b7e2e9b1e5d</t>
  </si>
  <si>
    <t>ref 6</t>
  </si>
  <si>
    <t>ref 7 &amp; ref 8</t>
  </si>
  <si>
    <t xml:space="preserve">wheat bran </t>
  </si>
  <si>
    <t>g LA/g bran</t>
  </si>
  <si>
    <t>Fermentative production of l-lactic acid from hydrolysate of wheat bran by Lactobacillus rhamnosus - ScienceDirect (wur.nl)</t>
  </si>
  <si>
    <t>Wheat bran an inexpensive substrate for production of Lactic acid in solid state fermentation by Lactobacillus amylophilus GV6 - Optimization of fermentation conditions (researchgate.net)</t>
  </si>
  <si>
    <t>https://nopr.niscpr.res.in/bitstream/123456789/26284/1/JSIR%2062%285%29%20453-456.pdf</t>
  </si>
  <si>
    <t>Table 3. Fermentation efficiency of different nutrients.</t>
  </si>
  <si>
    <t>N source (g/l)</t>
  </si>
  <si>
    <t>l-Lactic acid (g/l)</t>
  </si>
  <si>
    <t>l-Lactic acid yielda (g/g)</t>
  </si>
  <si>
    <t>l-Lactic acid productivity (g/l/h)</t>
  </si>
  <si>
    <t>15 YEb</t>
  </si>
  <si>
    <t>25 WBc</t>
  </si>
  <si>
    <t>40 WB</t>
  </si>
  <si>
    <t>56 WB</t>
  </si>
  <si>
    <t>30 CSLd</t>
  </si>
  <si>
    <t>45 CSL</t>
  </si>
  <si>
    <t>60 CSL</t>
  </si>
  <si>
    <t>25 WB + 30 CSL</t>
  </si>
  <si>
    <t>25 WBHe</t>
  </si>
  <si>
    <t>40 WBH</t>
  </si>
  <si>
    <t>56 WBH</t>
  </si>
  <si>
    <t>25 WBH + 30 CSL</t>
  </si>
  <si>
    <t>avrg g l-lactic acid produced/g glucose consumed</t>
  </si>
  <si>
    <t>glucose in whear bran</t>
  </si>
  <si>
    <t>yield g LA/g WB</t>
  </si>
  <si>
    <t>https://www.sciencedirect.com/science/article/pii/S1369703X09003118#tbl3</t>
  </si>
  <si>
    <t>Direct fermentation of starch to L(+) lactic acid in SSF by Lactobacillus amylophilus GV6 using wheat bran as support and substrate: Medium optimization using RSM</t>
  </si>
  <si>
    <t>https://www.sciencedirect.com/science/article/pii/S0032959204000834</t>
  </si>
  <si>
    <t>Under these conditions a maximum of 36 g of lactic acid was produced per 100 g of wheat bran having 54 g of starch.</t>
  </si>
  <si>
    <t xml:space="preserve">Single step fermentation of starch to l(+) lactic acid by Lactobacillus amylophilus GV6 in SSF using inexpensive nitrogen sources to replace peptone and yeast extract – Optimization by RSM </t>
  </si>
  <si>
    <t>https://www.sciencedirect.com/science/article/pii/S1359511305003181#tbl3</t>
  </si>
  <si>
    <t>The maximum lactic acid production of 46.3 g/100 g wheat bran </t>
  </si>
  <si>
    <t>Effect of different carbon sources on l(+) -lactic acid production by Rhizopus oryzae</t>
  </si>
  <si>
    <t>https://www.sciencedirect.com/science/article/pii/S1369703X04000920?via%3Dihub#TBL1</t>
  </si>
  <si>
    <t>n that case, the lactic acid yield was approximately 60% by weight based on the amount of glucose consumed.</t>
  </si>
  <si>
    <t xml:space="preserve">glucose in wheat bran </t>
  </si>
  <si>
    <t>yield g/g wheat bran</t>
  </si>
  <si>
    <t>sugar from wheat germ g/g</t>
  </si>
  <si>
    <t>theoretical yield (g lactic acid per g wheat germ )</t>
  </si>
  <si>
    <t>glu+ fru in wheat %</t>
  </si>
  <si>
    <t>glu+ fru in wheat bran %</t>
  </si>
  <si>
    <t>glu+ fru in wheat germ %</t>
  </si>
  <si>
    <t>yield g/g wheat germ</t>
  </si>
  <si>
    <t>Prospective evaluation of xylitol production using Dabaryomyces hansenii var hansenii, Pachysolen tannophilus, and Candida guillermondii with sustainable agricultural residues</t>
  </si>
  <si>
    <t>https://link.springer.com/article/10.1007/s13399-020-01221-y</t>
  </si>
  <si>
    <t>Table 11 Model parameters for xylitol production from hemicelluloses hydrolyzate of wheat straw using Debaryomyces hansenii var hansenii, Pachysolen tannophilus, and Candida guilluirmondii</t>
  </si>
  <si>
    <t>From: Prospective evaluation of xylitol production using Dabaryomyces hansenii var hansenii, Pachysolen tannophilus, and Candida guillermondii with sustainable agricultural residues</t>
  </si>
  <si>
    <t>Wheat straw hemicelluloses hydrolysate</t>
  </si>
  <si>
    <t>Xylitol yield, YPS (g/g)</t>
  </si>
  <si>
    <t>Logistic model</t>
  </si>
  <si>
    <t>Substrate utilization kinetics</t>
  </si>
  <si>
    <t>Luedeking-Piret model</t>
  </si>
  <si>
    <t>CCD design matrix from RSM</t>
  </si>
  <si>
    <t>k (h−1)</t>
  </si>
  <si>
    <t>R2</t>
  </si>
  <si>
    <t>Error (%)</t>
  </si>
  <si>
    <t>YXS</t>
  </si>
  <si>
    <t>αLP</t>
  </si>
  <si>
    <t>βLP</t>
  </si>
  <si>
    <t>Experimental</t>
  </si>
  <si>
    <t>predicted</t>
  </si>
  <si>
    <t>Debaryomyces hansenii var hansenii</t>
  </si>
  <si>
    <t>Pachysolen tannophilus</t>
  </si>
  <si>
    <t>Candida guilluirmondii</t>
  </si>
  <si>
    <t>yield g/g</t>
  </si>
  <si>
    <t>xylose in wheat germ %</t>
  </si>
  <si>
    <t>yield (g xylitol / g wheat germ)</t>
  </si>
  <si>
    <t>https://www.sciencedirect.com/science/article/pii/S0960852421015418?via%3Dihub</t>
  </si>
  <si>
    <t>Xylitol production from plant biomass by Aspergillus niger through metabolic engineering - ScienceDirect (wur.nl)</t>
  </si>
  <si>
    <t>due to low loading concentration, this study will not be used for further analysis.</t>
  </si>
  <si>
    <t>https://www.sciencedirect.com/science/article/pii/S095965262302824X?casa_token=AJVwBlQT4awAAAAA:iBE6Ui5a4rPA9r4mYyLL37VyFgt7coeu9x2puuBiwdn-YedaKrYdNlUSC4CAOSj830Yn6MA#tbl1</t>
  </si>
  <si>
    <t>Life cycle assessment of fermentative xylitol production from wheat bran: A comparative evaluation of sulphuric acid and chemical-free wet air oxidation-based pretreatment - ScienceDirect (wur.nl)</t>
  </si>
  <si>
    <r>
      <t>Table 2</t>
    </r>
    <r>
      <rPr>
        <sz val="11"/>
        <color rgb="FF1F1F1F"/>
        <rFont val="Georgia"/>
        <family val="1"/>
      </rPr>
      <t>. Data inventory of Wet Air Oxidation (WAO) pretreatment-based fermentative xylitol production.</t>
    </r>
  </si>
  <si>
    <t>WAO pretreatment</t>
  </si>
  <si>
    <t>Value</t>
  </si>
  <si>
    <t>Input</t>
  </si>
  <si>
    <t>Wheat bran</t>
  </si>
  <si>
    <t>300 g</t>
  </si>
  <si>
    <t>Water</t>
  </si>
  <si>
    <t>3 L</t>
  </si>
  <si>
    <t>Electrical energy</t>
  </si>
  <si>
    <t>6 kWh</t>
  </si>
  <si>
    <t>Output</t>
  </si>
  <si>
    <t>Hemicellulose hydrolysate</t>
  </si>
  <si>
    <t>2.5 L (xylose concentration: 4.33 g/L)</t>
  </si>
  <si>
    <t>Solid pretreated biomass</t>
  </si>
  <si>
    <t>100 g (dry weight)</t>
  </si>
  <si>
    <t>Concentration by forward osmosis membrane</t>
  </si>
  <si>
    <t>WAO pretreated hydrolysate</t>
  </si>
  <si>
    <t>2.5 L</t>
  </si>
  <si>
    <r>
      <t>MgSO</t>
    </r>
    <r>
      <rPr>
        <sz val="6"/>
        <color theme="1"/>
        <rFont val="Georgia"/>
        <family val="1"/>
      </rPr>
      <t>4</t>
    </r>
  </si>
  <si>
    <t>50 g</t>
  </si>
  <si>
    <t>1 L</t>
  </si>
  <si>
    <t>1.5 kWh</t>
  </si>
  <si>
    <t>Concentrated xylose-rich hydrolysate</t>
  </si>
  <si>
    <t>0.5 L (xylose concentration:13.75 g/L)</t>
  </si>
  <si>
    <r>
      <t>MgSO</t>
    </r>
    <r>
      <rPr>
        <sz val="6"/>
        <color theme="1"/>
        <rFont val="Georgia"/>
        <family val="1"/>
      </rPr>
      <t>4</t>
    </r>
    <r>
      <rPr>
        <sz val="8"/>
        <color theme="1"/>
        <rFont val="Georgia"/>
        <family val="1"/>
      </rPr>
      <t> draw solution (diluted)</t>
    </r>
  </si>
  <si>
    <t>2.7 L</t>
  </si>
  <si>
    <t>Concentrated xylose-rich hydrolysatea</t>
  </si>
  <si>
    <r>
      <t>Yeast (</t>
    </r>
    <r>
      <rPr>
        <i/>
        <sz val="8"/>
        <color theme="1"/>
        <rFont val="Georgia"/>
        <family val="1"/>
      </rPr>
      <t>Pichia stipitis</t>
    </r>
    <r>
      <rPr>
        <sz val="8"/>
        <color theme="1"/>
        <rFont val="Georgia"/>
        <family val="1"/>
      </rPr>
      <t>)</t>
    </r>
  </si>
  <si>
    <t>0.05 kg</t>
  </si>
  <si>
    <r>
      <t>KH</t>
    </r>
    <r>
      <rPr>
        <sz val="6"/>
        <color theme="1"/>
        <rFont val="Georgia"/>
        <family val="1"/>
      </rPr>
      <t>2</t>
    </r>
    <r>
      <rPr>
        <sz val="8"/>
        <color theme="1"/>
        <rFont val="Georgia"/>
        <family val="1"/>
      </rPr>
      <t>PO</t>
    </r>
    <r>
      <rPr>
        <sz val="6"/>
        <color theme="1"/>
        <rFont val="Georgia"/>
        <family val="1"/>
      </rPr>
      <t>4</t>
    </r>
  </si>
  <si>
    <t>0.002 kg</t>
  </si>
  <si>
    <t>(NH₄)₂SO₄</t>
  </si>
  <si>
    <t>0.001 kg</t>
  </si>
  <si>
    <t>216 kWh</t>
  </si>
  <si>
    <t>Xylitol rich fermentation broth</t>
  </si>
  <si>
    <t>1 L (xylitol concentration: 6.134 g/L)</t>
  </si>
  <si>
    <t>Concentrated hemicellulosic hydrolysate normalized to 1 L for xylitol fermentation.</t>
  </si>
  <si>
    <t>yield g xylitol/g wheat bran</t>
  </si>
  <si>
    <t>Table 2. Results of xylitol fermentation during the designed experiments (32) by using Candida boidinii NCAIM Y.01308. (OTR: oxygen transfer rate, IXC: initial xylose concentration).</t>
  </si>
  <si>
    <t>OTR</t>
  </si>
  <si>
    <t>IXC</t>
  </si>
  <si>
    <t>(Nominal Values)</t>
  </si>
  <si>
    <t>Max. Xylitol Yield</t>
  </si>
  <si>
    <t>Time of Max. Xylitol Yield</t>
  </si>
  <si>
    <t>Max. Xylitol Productivity</t>
  </si>
  <si>
    <t>24-h Xylitol Yield</t>
  </si>
  <si>
    <t>Xylose at Max. Xylitol Yield</t>
  </si>
  <si>
    <t>Spec. Xylitol Yield at Max. Xylitol Yield</t>
  </si>
  <si>
    <t>Max. Ethanol</t>
  </si>
  <si>
    <t>mmol O2/(L × h)</t>
  </si>
  <si>
    <t>g/L</t>
  </si>
  <si>
    <t>g/(L × h)</t>
  </si>
  <si>
    <t>49 *</t>
  </si>
  <si>
    <t>58 *</t>
  </si>
  <si>
    <t>* Equal to the maximum xylitol yield.</t>
  </si>
  <si>
    <t>The specific xylitol yield was calculated as the amount of xylitol produced divided by the amount of xylose consumed and expressed as g/g.</t>
  </si>
  <si>
    <t>https://www.mdpi.com/2073-4395/11/1/79</t>
  </si>
  <si>
    <t>Optimized Bioconversion of Xylose Derived from Pre-Treated Crop Residues into Xylitol by Using Candida boidinii</t>
  </si>
  <si>
    <t xml:space="preserve">xylose in wheat bran </t>
  </si>
  <si>
    <t xml:space="preserve">yield g/g wheat bran </t>
  </si>
  <si>
    <t>Xylitol yields obtained in xylitol fermentation experiments were expressed as a percentage of theoretical or as the amount of xylitol produced divided by the amount of xylose consumed. Theoretical xylitol yield was calculated from the initial xylose concentration by assuming a complete (stoichiometric) conversion.</t>
  </si>
  <si>
    <t>the xylitol yields were 0.72 and 0.68 g xylitol/g xylose consumed on the II/A and II/B hydrolysates, respectively.</t>
  </si>
  <si>
    <t>https://www.sciencedirect.com/science/article/pii/S0926669019305163?via%3Dihub#sec0010</t>
  </si>
  <si>
    <t>Optimised fractionation of wheat bran for arabinose biopurification and xylitol fermentation by Ogataea zsoltii within a biorefinery process</t>
  </si>
  <si>
    <t>yield g xylitol/g xylose</t>
  </si>
  <si>
    <t xml:space="preserve">ehtnaol </t>
  </si>
  <si>
    <t>potato</t>
  </si>
  <si>
    <t>Enzymatically hydrolyzed waste potato mash at pH 5.5 and 30 °C after 48 h of fermentation</t>
  </si>
  <si>
    <t>Ethanol Production from Waste Potato Mash by Using Saccharomyces Cerevisiae  †</t>
  </si>
  <si>
    <t>https://www.mdpi.com/2076-3417/2/4/738</t>
  </si>
  <si>
    <t>Yields of the fermentations (product produced/substrate consumed) were similar; 46.23% and 44.55% for controlled and uncontrolled pH profiles, respectively.</t>
  </si>
  <si>
    <t>g ethanol/g glucose</t>
  </si>
  <si>
    <t>glucose in potato</t>
  </si>
  <si>
    <t>yield g/g potato</t>
  </si>
  <si>
    <t>Table 3. Kinetic parameters of ethanol fermentation in biofilm reactors under statistically optimized conditions.</t>
  </si>
  <si>
    <t>Ethanol produced (g/L)</t>
  </si>
  <si>
    <t>37.05 ± 0.56</t>
  </si>
  <si>
    <t>80.57 ± 1.2</t>
  </si>
  <si>
    <t>Production rate (g/L/h)</t>
  </si>
  <si>
    <t>2.31 ± 0.89</t>
  </si>
  <si>
    <t>Consumption rate (g/L/h)</t>
  </si>
  <si>
    <t>−5.77 ± 0.96</t>
  </si>
  <si>
    <t>Yield (product/subs)</t>
  </si>
  <si>
    <t>Theoretical yield</t>
  </si>
  <si>
    <t>https://www.sciencedirect.com/science/article/pii/S0016236116303623?via%3Dihub#t0015</t>
  </si>
  <si>
    <t>Ethanol production in biofilm reactors from potato waste hydrolysate and optimization of growth parameters for Saccharomyces cerevisiae</t>
  </si>
  <si>
    <t>Production of a high concentration of ethanol from potato tuber by high gravity fermentation</t>
  </si>
  <si>
    <t>https://link.springer.com/article/10.1007/s10068-013-0099-4</t>
  </si>
  <si>
    <t>The theoretical yield of 0.511 g of ethanol is produced from 1 g of glucose.</t>
  </si>
  <si>
    <t>91.0% of theoretical yield </t>
  </si>
  <si>
    <t>These conditions reveal 0.44 g ethanol/g glucose, which is equal 86.7% of the theoretical yield.</t>
  </si>
  <si>
    <t>https://www.mdpi.com/1422-0067/16/10/24490</t>
  </si>
  <si>
    <t>Enhanced Bio-Ethanol Production from Industrial Potato Waste by Statistical Medium Optimization</t>
  </si>
  <si>
    <t>The optimal condition was corresponded to the predicted ethanol yield of 17.4% (v/v), which was 94% of theoretical yield.</t>
  </si>
  <si>
    <t>At the optimal fermentation time (61.5 h), ethanol yield was 16.61% (v/v), which was 89.7% of the theoretical yield. </t>
  </si>
  <si>
    <t>https://www.sciencedirect.com/science/article/pii/S0961953409000233?via%3Dihub#sec2</t>
  </si>
  <si>
    <t>Simultaneous saccharification and fermentation (SSF) of very high gravity (VHG) potato mash for the production of ethanol</t>
  </si>
  <si>
    <t>Table 3 One-gram scale synthesis of 5-HMF from carbohydrates and biomass</t>
  </si>
  <si>
    <t>bYields were calculated with respect to raw biomass weight</t>
  </si>
  <si>
    <t>Raw potato</t>
  </si>
  <si>
    <t>Raw potato paste</t>
  </si>
  <si>
    <t>5-HMF yield b (g/kg)</t>
  </si>
  <si>
    <t>Lignocellulosic biomass and carbohydrates as feed-stock for scalable production of 5-hydroxymethylfurfural</t>
  </si>
  <si>
    <t>fru+glu in potato  %</t>
  </si>
  <si>
    <t>theoretical yield FDCA from potato g/g</t>
  </si>
  <si>
    <r>
      <t>able 4</t>
    </r>
    <r>
      <rPr>
        <sz val="11"/>
        <color rgb="FF1F1F1F"/>
        <rFont val="Georgia"/>
        <family val="1"/>
      </rPr>
      <t>. Summary of published studies on the production of succinic acid with </t>
    </r>
    <r>
      <rPr>
        <i/>
        <sz val="11"/>
        <color rgb="FF1F1F1F"/>
        <rFont val="Georgia"/>
        <family val="1"/>
      </rPr>
      <t>A. succinogenes</t>
    </r>
    <r>
      <rPr>
        <sz val="11"/>
        <color rgb="FF1F1F1F"/>
        <rFont val="Georgia"/>
        <family val="1"/>
      </rPr>
      <t> depending on the type of operation and the carbon and nitrogen sources.</t>
    </r>
  </si>
  <si>
    <t>Type of operation</t>
  </si>
  <si>
    <t>Cell state</t>
  </si>
  <si>
    <r>
      <t>Y</t>
    </r>
    <r>
      <rPr>
        <b/>
        <sz val="6"/>
        <color theme="1"/>
        <rFont val="Georgia"/>
        <family val="1"/>
      </rPr>
      <t>P</t>
    </r>
    <r>
      <rPr>
        <b/>
        <sz val="8"/>
        <color theme="1"/>
        <rFont val="Georgia"/>
        <family val="1"/>
      </rPr>
      <t> (g</t>
    </r>
    <r>
      <rPr>
        <b/>
        <sz val="6"/>
        <color theme="1"/>
        <rFont val="Georgia"/>
        <family val="1"/>
      </rPr>
      <t>P</t>
    </r>
    <r>
      <rPr>
        <b/>
        <sz val="8"/>
        <color theme="1"/>
        <rFont val="Georgia"/>
        <family val="1"/>
      </rPr>
      <t>‧g</t>
    </r>
    <r>
      <rPr>
        <b/>
        <sz val="6"/>
        <color theme="1"/>
        <rFont val="Georgia"/>
        <family val="1"/>
      </rPr>
      <t>S−1</t>
    </r>
    <r>
      <rPr>
        <b/>
        <sz val="8"/>
        <color theme="1"/>
        <rFont val="Georgia"/>
        <family val="1"/>
      </rPr>
      <t>)</t>
    </r>
  </si>
  <si>
    <r>
      <t>P</t>
    </r>
    <r>
      <rPr>
        <b/>
        <sz val="6"/>
        <color theme="1"/>
        <rFont val="Georgia"/>
        <family val="1"/>
      </rPr>
      <t>P</t>
    </r>
    <r>
      <rPr>
        <b/>
        <sz val="8"/>
        <color theme="1"/>
        <rFont val="Georgia"/>
        <family val="1"/>
      </rPr>
      <t> (g</t>
    </r>
    <r>
      <rPr>
        <b/>
        <sz val="6"/>
        <color theme="1"/>
        <rFont val="Georgia"/>
        <family val="1"/>
      </rPr>
      <t>P</t>
    </r>
    <r>
      <rPr>
        <b/>
        <sz val="8"/>
        <color theme="1"/>
        <rFont val="Georgia"/>
        <family val="1"/>
      </rPr>
      <t>‧L</t>
    </r>
    <r>
      <rPr>
        <b/>
        <sz val="6"/>
        <color theme="1"/>
        <rFont val="Georgia"/>
        <family val="1"/>
      </rPr>
      <t>−1</t>
    </r>
    <r>
      <rPr>
        <b/>
        <sz val="8"/>
        <color theme="1"/>
        <rFont val="Georgia"/>
        <family val="1"/>
      </rPr>
      <t>‧h</t>
    </r>
    <r>
      <rPr>
        <b/>
        <sz val="6"/>
        <color theme="1"/>
        <rFont val="Georgia"/>
        <family val="1"/>
      </rPr>
      <t>−1</t>
    </r>
    <r>
      <rPr>
        <b/>
        <sz val="8"/>
        <color theme="1"/>
        <rFont val="Georgia"/>
        <family val="1"/>
      </rPr>
      <t>)</t>
    </r>
  </si>
  <si>
    <r>
      <t>C</t>
    </r>
    <r>
      <rPr>
        <b/>
        <sz val="6"/>
        <color theme="1"/>
        <rFont val="Georgia"/>
        <family val="1"/>
      </rPr>
      <t>P</t>
    </r>
    <r>
      <rPr>
        <b/>
        <sz val="8"/>
        <color theme="1"/>
        <rFont val="Georgia"/>
        <family val="1"/>
      </rPr>
      <t> (g</t>
    </r>
    <r>
      <rPr>
        <b/>
        <sz val="6"/>
        <color theme="1"/>
        <rFont val="Georgia"/>
        <family val="1"/>
      </rPr>
      <t>P</t>
    </r>
    <r>
      <rPr>
        <b/>
        <sz val="8"/>
        <color theme="1"/>
        <rFont val="Georgia"/>
        <family val="1"/>
      </rPr>
      <t>‧L</t>
    </r>
    <r>
      <rPr>
        <b/>
        <sz val="6"/>
        <color theme="1"/>
        <rFont val="Georgia"/>
        <family val="1"/>
      </rPr>
      <t>−1</t>
    </r>
    <r>
      <rPr>
        <b/>
        <sz val="8"/>
        <color theme="1"/>
        <rFont val="Georgia"/>
        <family val="1"/>
      </rPr>
      <t>)</t>
    </r>
  </si>
  <si>
    <t>Growing</t>
  </si>
  <si>
    <t>Fresh Cassava Root</t>
  </si>
  <si>
    <t>[39]</t>
  </si>
  <si>
    <t>Oil palm trunk</t>
  </si>
  <si>
    <t>Resting</t>
  </si>
  <si>
    <t>None</t>
  </si>
  <si>
    <t>Grape Must</t>
  </si>
  <si>
    <t>[42]</t>
  </si>
  <si>
    <t>Napier grass</t>
  </si>
  <si>
    <t>[43]</t>
  </si>
  <si>
    <t>Repeated batch</t>
  </si>
  <si>
    <t>Immobilized</t>
  </si>
  <si>
    <t>0.49a</t>
  </si>
  <si>
    <t>∼0.38a</t>
  </si>
  <si>
    <t>∼30a</t>
  </si>
  <si>
    <t>Tequilana agave bagasse</t>
  </si>
  <si>
    <t>0.39a</t>
  </si>
  <si>
    <t>1.10a</t>
  </si>
  <si>
    <t>∼6.72a</t>
  </si>
  <si>
    <t>Continuous cell recycling reactor</t>
  </si>
  <si>
    <t>Growing Free</t>
  </si>
  <si>
    <t>Yeast extract, Corn steep liquor</t>
  </si>
  <si>
    <t>Continuous fluidized bed</t>
  </si>
  <si>
    <t>Continuous</t>
  </si>
  <si>
    <t>Citrus peel waste</t>
  </si>
  <si>
    <t>Corn steep liquor, vitamins</t>
  </si>
  <si>
    <t>Olive pits</t>
  </si>
  <si>
    <t>Grape pomace and stalks</t>
  </si>
  <si>
    <t>Wine lees</t>
  </si>
  <si>
    <t>[22]</t>
  </si>
  <si>
    <t>0.62a</t>
  </si>
  <si>
    <t>2.32a</t>
  </si>
  <si>
    <t>24.7a</t>
  </si>
  <si>
    <t>DPPH</t>
  </si>
  <si>
    <t>0.76a</t>
  </si>
  <si>
    <t>2.03a</t>
  </si>
  <si>
    <t>28.8a</t>
  </si>
  <si>
    <t>SBYH</t>
  </si>
  <si>
    <t>0.78a</t>
  </si>
  <si>
    <t>1.32a</t>
  </si>
  <si>
    <t>31.5a</t>
  </si>
  <si>
    <t>0.84a</t>
  </si>
  <si>
    <t>1.19a</t>
  </si>
  <si>
    <t>33.6a</t>
  </si>
  <si>
    <r>
      <t>Y</t>
    </r>
    <r>
      <rPr>
        <sz val="7"/>
        <color rgb="FF1F1F1F"/>
        <rFont val="Georgia"/>
        <family val="1"/>
      </rPr>
      <t>P</t>
    </r>
    <r>
      <rPr>
        <sz val="10"/>
        <color rgb="FF1F1F1F"/>
        <rFont val="Georgia"/>
        <family val="1"/>
      </rPr>
      <t> is the yield of product with respect to the initial amount of substrate (S)</t>
    </r>
  </si>
  <si>
    <t>DPPH (Discarded Potato Pieces Hydrolysate)</t>
  </si>
  <si>
    <t>https://www.sciencedirect.com/science/article/pii/S0961953423003331?via%3Dihub#tbl6</t>
  </si>
  <si>
    <t>Succinic acid production by Actinobacillus succinogenes using acid and enzymatic hydrolysates of potato and beer wastes and repeated batch operation</t>
  </si>
  <si>
    <t xml:space="preserve">potato </t>
  </si>
  <si>
    <t>Optically pure L-lactic acid production directly from leftover bits and pieces of potato starch using an amylolytic pellet-form complex Rhizopus oryzae ASC081</t>
  </si>
  <si>
    <t>A condition, LBPPS concentration 140 g/L, pH 5.2, temperature 32 °C, inoculum size 15%, phytic acid addition 0.05 g/L and bitter salt addition 0.5 g/L, was favourable for the optically pure L-(+)-lactic acid production, resulting in the optically pure L-(+)-lactic acid yield of 0.12 g / 1.0 g LBPPS.</t>
  </si>
  <si>
    <t>http://jase.tku.edu.tw/articles/jase-201306-16-2-12</t>
  </si>
  <si>
    <t>leftover bits and pieces of potato starch (LBPPS)</t>
  </si>
  <si>
    <t>yield g/g raw material</t>
  </si>
  <si>
    <t>In the presence of CO2, L-lactic acid production by the acetyl-CoA carboxylation was significantly higher for the potato starch (0.88 ± 0.39 mol lactic acid/mol glucose eq.) than wheat starch (0.33 ± 0.11 mol lactic acid/mol glucose eq.).</t>
  </si>
  <si>
    <t>Kinetic modeling of hydrogen and L-lactic acid production by Thermotoga neapolitana via capnophilic lactic fermentation of starch</t>
  </si>
  <si>
    <t>https://www.sciencedirect.com/science/article/pii/S0960852421004661?via%3Dihub</t>
  </si>
  <si>
    <t>0.88 ± 0.39</t>
  </si>
  <si>
    <t>Yield (potato starch) ( mol lactic acid/mol glucose eq.)</t>
  </si>
  <si>
    <t>88 g/L lactic acid was produced from waste potato starch (equivalent to 100 g/L glucose) in a bubble column reactor using appropriate acid-adapted precultures of Rhizopus arrhizus. </t>
  </si>
  <si>
    <t>Enhancement of l(+)-lactic acid production using acid-adapted precultures of Rhizopus arrhizus in a bubble column reactor</t>
  </si>
  <si>
    <t>https://www.sciencedirect.com/science/article/pii/S138917230900200X?via%3Dihub</t>
  </si>
  <si>
    <t>A growth condition with starch concentration 20 g/L at pH 6 and 30°C was favorable for both starch saccharification and lactic acid fermentation, resulting in lactic acid yield of 0.87-0.97 g/g starch associated with 1.5-2 g/L fungal biomass produced in 36 hr fermentation. </t>
  </si>
  <si>
    <t>Direct fermentation of potato starch wastewater to lactic acid by Rhizopus oryzae and Rhizopus arrhizus</t>
  </si>
  <si>
    <t>yield g/g starch</t>
  </si>
  <si>
    <t>https://link.springer.com/article/10.1007/s00449-005-0398-0</t>
  </si>
  <si>
    <t>starch in potato</t>
  </si>
  <si>
    <t>Effects of cultivation parameters on the morphology of Rhizopus arrhizus and the lactic acid production in a bubble column reactor</t>
  </si>
  <si>
    <t>https://analyticalsciencejournals.onlinelibrary.wiley.com/doi/10.1002/elsc.200700002</t>
  </si>
  <si>
    <t>Optimal cultivation conditions at pH 6.0 and an aeration rate of 0.4 vvm resulted in the formation of freely dispersed small pellets and 103.8 g/L lactic acid with a yield of 87 % from 120 g/L liquefied potato starch in 48 h.</t>
  </si>
  <si>
    <t>g/L lactic acid</t>
  </si>
  <si>
    <t> g/L liquefied potato starch</t>
  </si>
  <si>
    <t>glu+ fru in potato  %</t>
  </si>
  <si>
    <t xml:space="preserve">yield g/g potato </t>
  </si>
  <si>
    <t>yield (g xylitol / g potato)</t>
  </si>
  <si>
    <t>xylose in potato pulp %</t>
  </si>
  <si>
    <t>xylose in potato  %</t>
  </si>
  <si>
    <t>m3 Gg−1wb</t>
  </si>
  <si>
    <t>gigagram wet based</t>
  </si>
  <si>
    <t>glu+fru+xyl in Tomato</t>
  </si>
  <si>
    <t>succinate yield g/g Tomato</t>
  </si>
  <si>
    <t>glu+fru+xyl in Tomato Pomace</t>
  </si>
  <si>
    <t>succinate yield g/g Tomato Pomace</t>
  </si>
  <si>
    <t>yield (3-HP/Tomato)</t>
  </si>
  <si>
    <t>glucose inTomato Pomace</t>
  </si>
  <si>
    <t>yield (3-HP/Tomato Pomace)</t>
  </si>
  <si>
    <t>glu+fru Tomato (g/100g)</t>
  </si>
  <si>
    <t>Theoretical yield (g/g Tomato)</t>
  </si>
  <si>
    <t>glu+fru Tomato pomace (g/100g)</t>
  </si>
  <si>
    <t>Theoretical yield (g/g Tomato pomace)</t>
  </si>
  <si>
    <t>sugar from tomato g/g</t>
  </si>
  <si>
    <t>Fermentation as a Strategy for Bio-Transforming Waste into Resources: Lactic Acid Production from Agri-Food Residues</t>
  </si>
  <si>
    <t>https://mdpi.com/2311-5637/7/1/3</t>
  </si>
  <si>
    <t>Table 4. Small-scale lactic acid fermentations (100 mL).</t>
  </si>
  <si>
    <t>Waste</t>
  </si>
  <si>
    <t>Ratio</t>
  </si>
  <si>
    <t>Total Fermentable Carbohydrates (g/L)</t>
  </si>
  <si>
    <t>Lactic Acid (g/L)</t>
  </si>
  <si>
    <t>MW</t>
  </si>
  <si>
    <t>51.4 ± 1.0</t>
  </si>
  <si>
    <t>15.3 ± 0.9</t>
  </si>
  <si>
    <t>30.4 ± 1.7%</t>
  </si>
  <si>
    <t>RCW</t>
  </si>
  <si>
    <t>85.3 ± 2.2</t>
  </si>
  <si>
    <t>34.0 ± 0.3</t>
  </si>
  <si>
    <t>40 ± 2.2%</t>
  </si>
  <si>
    <t>PPR pretreated</t>
  </si>
  <si>
    <t>80.3 ± 2.3</t>
  </si>
  <si>
    <t>29.6 ± 2.3</t>
  </si>
  <si>
    <t>36.8 ± 2.5%</t>
  </si>
  <si>
    <t>TP pretreated</t>
  </si>
  <si>
    <t>33.3 ± 0.5</t>
  </si>
  <si>
    <t>8.91 ± 0.2</t>
  </si>
  <si>
    <t>27.0 ± 0.3%</t>
  </si>
  <si>
    <t>PP pretreated</t>
  </si>
  <si>
    <t>68.7 ± 1.3</t>
  </si>
  <si>
    <t>20.2 ± 1.5</t>
  </si>
  <si>
    <t>30.6 ± 2.1%</t>
  </si>
  <si>
    <t>MW + PPR pretreated</t>
  </si>
  <si>
    <t>65.8 ± 3.3</t>
  </si>
  <si>
    <t>28.6 ± 1.5</t>
  </si>
  <si>
    <t>44.0 ± 1.3%</t>
  </si>
  <si>
    <t>30:70</t>
  </si>
  <si>
    <t>71.7 ± 2.7</t>
  </si>
  <si>
    <t>25.6 ± 0.6</t>
  </si>
  <si>
    <t>36 ± 3.2%</t>
  </si>
  <si>
    <t>59.7 ± 1.4</t>
  </si>
  <si>
    <t>24.8 ± 2.2</t>
  </si>
  <si>
    <t>41.5 ± 1.6%</t>
  </si>
  <si>
    <t>RCW + PPR pretreated</t>
  </si>
  <si>
    <t>82.4 ± 1.4</t>
  </si>
  <si>
    <t>29.9 ± 0.6</t>
  </si>
  <si>
    <t>35.4 ± 0.8%</t>
  </si>
  <si>
    <t>81.5 ± 2.3</t>
  </si>
  <si>
    <t>25.4 ± 1.9</t>
  </si>
  <si>
    <t>31,2 ± 1.4%</t>
  </si>
  <si>
    <t>84.3 ± 1.6</t>
  </si>
  <si>
    <t>38.8 ± 0.4</t>
  </si>
  <si>
    <t>46.0 ± 0.7%</t>
  </si>
  <si>
    <t>RCW + PP</t>
  </si>
  <si>
    <t>59.4 ± 1.7</t>
  </si>
  <si>
    <t>24.6 ± 0.6</t>
  </si>
  <si>
    <t>41.4 ± 1.8%</t>
  </si>
  <si>
    <t>RCW + PP + TP</t>
  </si>
  <si>
    <t>71.6 ± 0.5</t>
  </si>
  <si>
    <t>21.5 ± 1.3</t>
  </si>
  <si>
    <t>29.8 ± 0.7%</t>
  </si>
  <si>
    <r>
      <t>Yield of LA per gram of sugars (Y</t>
    </r>
    <r>
      <rPr>
        <sz val="7.5"/>
        <color rgb="FF222222"/>
        <rFont val="Arial"/>
        <family val="2"/>
      </rPr>
      <t>LA</t>
    </r>
    <r>
      <rPr>
        <sz val="8"/>
        <color rgb="FF222222"/>
        <rFont val="Arial"/>
        <family val="2"/>
      </rPr>
      <t>) was calculated by dividing the LA concentration by the total fermentable carbohydrates concentrations present in the starting material. </t>
    </r>
  </si>
  <si>
    <t>yield  g LA/g fermentable Carbohydrates</t>
  </si>
  <si>
    <t xml:space="preserve"> fermentable Carbohydrates in TP</t>
  </si>
  <si>
    <t>yield g LA /g TP</t>
  </si>
  <si>
    <t>https://www.aidic.it/cet/18/65/100.pdf</t>
  </si>
  <si>
    <t>Lactic Acid production from Tomato Pomace Fermentable Sugars using Innovative Biological Treatments</t>
  </si>
  <si>
    <t>The total solid (TS)</t>
  </si>
  <si>
    <t>TS % in TP</t>
  </si>
  <si>
    <t>yield g/g TP</t>
  </si>
  <si>
    <t>glu+ fru in Tomato %</t>
  </si>
  <si>
    <t>yield g/g Tomato</t>
  </si>
  <si>
    <t>glu+ fru in Tomato pomace %</t>
  </si>
  <si>
    <t>yield g/g Tomato pomace</t>
  </si>
  <si>
    <t>xylose in Tomato %</t>
  </si>
  <si>
    <t>yield (g xylitol / g Tomato)</t>
  </si>
  <si>
    <t>xylose in Tomato pomace %</t>
  </si>
  <si>
    <t>yield (g xylitol / g Tomato pomace)</t>
  </si>
  <si>
    <t>Enhanced ethanol production from sugarcane juice by galactose adaptation of a newly isolated thermotolerant strain of Pichia kudriavzevii</t>
  </si>
  <si>
    <t>https://www.sciencedirect.com/science/article/pii/S0960852411002008</t>
  </si>
  <si>
    <t>Table 3. Yields and efficiencies of the fermentations of the hydrolysates of non-delignified (ND) and delignified (D) bagasse from fed-batch enzymatic hydrolyses.</t>
  </si>
  <si>
    <t>Hydrolysates</t>
  </si>
  <si>
    <t>YX/S (g/g)</t>
  </si>
  <si>
    <t>YG/S (g/g)</t>
  </si>
  <si>
    <t>YAC/S (g/g)</t>
  </si>
  <si>
    <t>EF (%)</t>
  </si>
  <si>
    <t>ND12</t>
  </si>
  <si>
    <t>0.03 ± 0.01</t>
  </si>
  <si>
    <t>0.367 ± 0.02</t>
  </si>
  <si>
    <t>0.024 ± 0.001</t>
  </si>
  <si>
    <t>0.013 ± 0.003</t>
  </si>
  <si>
    <t>73.00 ± 7.93</t>
  </si>
  <si>
    <t>ND24</t>
  </si>
  <si>
    <t>0.11 ± 0.01</t>
  </si>
  <si>
    <t>0.289 ± 0.03</t>
  </si>
  <si>
    <t>0.053 ± 0.001</t>
  </si>
  <si>
    <t>0.019 ± 0.003</t>
  </si>
  <si>
    <t>57.66 ± 0.49</t>
  </si>
  <si>
    <t>ND48</t>
  </si>
  <si>
    <t>0.09 ± 0.02</t>
  </si>
  <si>
    <t>0.232 ± 0.20</t>
  </si>
  <si>
    <t>0.061 ± 0.003</t>
  </si>
  <si>
    <t>0.027 ± 0.001</t>
  </si>
  <si>
    <t>46.47 ± 5.22</t>
  </si>
  <si>
    <t>D12</t>
  </si>
  <si>
    <t>0.392 ± 0.007</t>
  </si>
  <si>
    <t>0.048 ± 0.002</t>
  </si>
  <si>
    <t>0.011 ± 0.001</t>
  </si>
  <si>
    <t>78.47 ± 2.24</t>
  </si>
  <si>
    <t>D24</t>
  </si>
  <si>
    <t>0.06 ± 0.01</t>
  </si>
  <si>
    <t>0.357 ± 0.30</t>
  </si>
  <si>
    <t>0.047 ± 0.003</t>
  </si>
  <si>
    <t>0.012 ± 0.001</t>
  </si>
  <si>
    <t>70.51 ± 0.45</t>
  </si>
  <si>
    <t>D48</t>
  </si>
  <si>
    <t>0.368 ± 0.010</t>
  </si>
  <si>
    <t>0.057 ± 0.003</t>
  </si>
  <si>
    <t>0.013 ± 0.002</t>
  </si>
  <si>
    <t>73.18 ± 9.65</t>
  </si>
  <si>
    <t>YX/S, biomass yield; YE/S, ethanol yield; YG/S, glycerol yield; YAC/S, acetic acid yield; EF, efficiency.</t>
  </si>
  <si>
    <t>Increase in ethanol production from sugarcane bagasse based on combined pretreatments and fed-batch enzymatic hydrolysis</t>
  </si>
  <si>
    <t>https://www.sciencedirect.com/science/article/pii/S0960852412016409#t0015</t>
  </si>
  <si>
    <t>glucose in sugarcane</t>
  </si>
  <si>
    <t>TABLE 4. Kinetic parameters of ethanol production by Z. mobilis S912 under different nitrogen sources conditions</t>
  </si>
  <si>
    <t>Nitrogen sources</t>
  </si>
  <si>
    <t>Consumed sugar (g/L)</t>
  </si>
  <si>
    <t>Parameters (mean ± SD)a</t>
  </si>
  <si>
    <t>Byproducts</t>
  </si>
  <si>
    <t>Cell density (OD600)</t>
  </si>
  <si>
    <t>P (g/L)</t>
  </si>
  <si>
    <t>Qp (g/L/h)</t>
  </si>
  <si>
    <t>Yps (g/g)</t>
  </si>
  <si>
    <t>Sorbitol (g/L)</t>
  </si>
  <si>
    <t>Levan (g/L)</t>
  </si>
  <si>
    <t>Acetic acid (g/L)</t>
  </si>
  <si>
    <t>Propionic acid (g/L)</t>
  </si>
  <si>
    <t>Z. mobilis S912</t>
  </si>
  <si>
    <t>Controlb</t>
  </si>
  <si>
    <t>101.45 ± 0.15</t>
  </si>
  <si>
    <t>1.88 ± 0.05</t>
  </si>
  <si>
    <t>36.60 ± 0.59</t>
  </si>
  <si>
    <t>2.03 ± 0.03</t>
  </si>
  <si>
    <t>8.30 ± 0.15</t>
  </si>
  <si>
    <t>2.50 ± 0.09</t>
  </si>
  <si>
    <t>0.77 ± 0.01</t>
  </si>
  <si>
    <t>3.88 ± 0.06</t>
  </si>
  <si>
    <t>0.5 g/L Urea</t>
  </si>
  <si>
    <t>110.26 ± 0.12</t>
  </si>
  <si>
    <t>1.50 ± 0.04</t>
  </si>
  <si>
    <t>37.92 ± 0.68</t>
  </si>
  <si>
    <t>1.05 ± 0.02</t>
  </si>
  <si>
    <t>15.37 ± 0.75</t>
  </si>
  <si>
    <t>4.13 ± 0.13</t>
  </si>
  <si>
    <t>0.72 ± 0.03</t>
  </si>
  <si>
    <t>3.01 ± 0.33</t>
  </si>
  <si>
    <t>1 g/L (NH4)2SO4</t>
  </si>
  <si>
    <t>109.53 ± 0.14</t>
  </si>
  <si>
    <t>1.47 ± 0.02</t>
  </si>
  <si>
    <t>37.86 ± 0.99</t>
  </si>
  <si>
    <t>1.04 ± 0.03</t>
  </si>
  <si>
    <t>12.44 ± 0.31</t>
  </si>
  <si>
    <t>4.80 ± 0.01</t>
  </si>
  <si>
    <t>0.72 ± 0.04</t>
  </si>
  <si>
    <t>2.60 ± 0.08</t>
  </si>
  <si>
    <t>1 g/L (NH4)2SO4 and 1 g/L YE</t>
  </si>
  <si>
    <t>94.80 ± 0.09</t>
  </si>
  <si>
    <t>1.97 ± 0.04</t>
  </si>
  <si>
    <t>39.39 ± 0.67</t>
  </si>
  <si>
    <t>2.07 ± 0.04</t>
  </si>
  <si>
    <t>2.27 ± 0.33</t>
  </si>
  <si>
    <t>5.96 ± 0.26</t>
  </si>
  <si>
    <t>0.43 ± 0.04</t>
  </si>
  <si>
    <t>0.30 ± 0.08</t>
  </si>
  <si>
    <t>a E, fermentation efficiency; P, ethanol concentration; Qp, volumetric ethanol productivity; YE, yeast extract; Yps, ethanol yield. The experiments were performed in triplicate.</t>
  </si>
  <si>
    <t>b No nitrogen source added, diluted with sterilized water.</t>
  </si>
  <si>
    <t>https://onlinelibrary.wiley.com/doi/full/10.1111/gcbb.12891</t>
  </si>
  <si>
    <t>Lowering whole cost for sugarcane-based ethanol production by engineered Zymomonas mobilis</t>
  </si>
  <si>
    <t>https://www.sciencedirect.com/science/article/pii/S0960852406004512?casa_token=DCUUSwqzhwEAAAAA:AAb0EcEw6557QDvSW4FnO_HMzZ2lNRJFKv_YbEeusuUBFDllci87FSqGp6XZBwC-wa_0KQY#tbl2</t>
  </si>
  <si>
    <t>Table 3. 22 Central composite design and star design investigating the effects of TRS in molasses and temperature on the ethanol production by Z. mobilis ATCC 29191</t>
  </si>
  <si>
    <t>Coded levels</t>
  </si>
  <si>
    <t>Real levels</t>
  </si>
  <si>
    <t>Measured responses</t>
  </si>
  <si>
    <t>X1</t>
  </si>
  <si>
    <t>X2</t>
  </si>
  <si>
    <t>TRS (g L−1)</t>
  </si>
  <si>
    <t>Ypra (%)</t>
  </si>
  <si>
    <t>Yp/sb (g g−1)</t>
  </si>
  <si>
    <t>Qpc (g L−1 h−1)</t>
  </si>
  <si>
    <t>Biomass (g L−1)</t>
  </si>
  <si>
    <t>−1414</t>
  </si>
  <si>
    <t>Ypr (%) = substrate conversion.</t>
  </si>
  <si>
    <t>Yp/s (g g−10) = yield ethanol for substrate.</t>
  </si>
  <si>
    <t>Qp (g L−1 h−1) = ethanol productivity.</t>
  </si>
  <si>
    <t>Fermentation of molasses by Zymomonas mobilis: Effects of temperature and sugar concentration on ethanol production</t>
  </si>
  <si>
    <t>glucose in Sugar cane Molasses</t>
  </si>
  <si>
    <t>yield g/g sugar</t>
  </si>
  <si>
    <t>Economical Succinic Acid Production from Sugarcane Juice by Actinobacillus succinogenes Supplemented with Corn Steep Liquor and Peanut Meal as Nitrogen Sources</t>
  </si>
  <si>
    <t>https://link.springer.com/article/10.1007/s12355-015-0401-2</t>
  </si>
  <si>
    <t>Table 1 Effects of initial total sugars of sugarcane juice concentration on the succinic production</t>
  </si>
  <si>
    <t>Initial total sugars of SCJ (g/L) 50 60 70 80 90</t>
  </si>
  <si>
    <t>Succinic acid (g/L) 37.08 ± 0.4 45.57 ± 0.6 54.62 ± 0.2 52.33 ± 0.3 41.19 ± 0.4</t>
  </si>
  <si>
    <t>Acetic acid (g/L) 4.51 ± 0.2 5.57 ± 0.4 6.62 ± 0.3 6.21 ± 0.4 5.04 ± 0.5</t>
  </si>
  <si>
    <t>Formic acid (g/L) 0.81 ± 0.5 0.93 ± 0.3 1.12 ± 0.5 1.03 ± 0.3 0.89 ± 0.4</t>
  </si>
  <si>
    <t>Cell concentration (OD660) 6.32 ± 0.8 6.85 ± 0.6 6.56 ± 0.8 6.31 ± 0.7 5.45 ± 0.5</t>
  </si>
  <si>
    <t>Residual total sugar (g/L) 3.85 ± 0.2 5.93 ± 0.3 6.34 ± 0.4 9.67 ± 0.3 28.37 ± 0.2</t>
  </si>
  <si>
    <t>Succinic acid yield (%) 74.16 ± 0.4 75.95 ± 0.2 78.03 ± 0.4 65.41 ± 0.5 45.77 ± 0.3</t>
  </si>
  <si>
    <t>Total sugar utilization (%) 80.35 ± 0.3 84.28 ± 0.5 85.80 ± 0.6 74.41 ± 0.3 66.83 ± 0.4</t>
  </si>
  <si>
    <t>Succinic acid yield (%) g/g sugar consumed</t>
  </si>
  <si>
    <t>Succinic acid yield was</t>
  </si>
  <si>
    <t>defined as the amount of final succinic acid from one gram</t>
  </si>
  <si>
    <t>sugar consumed, and expressed as a percentage</t>
  </si>
  <si>
    <t>glu+fru in suarcane</t>
  </si>
  <si>
    <t>yield g/g sugarcane</t>
  </si>
  <si>
    <t xml:space="preserve">The maximum succinic acid concentration (41.39 g/L) was obtained at the end of fermentation (48 h) with residual glucose of 2.03 g/L. </t>
  </si>
  <si>
    <t>https://www.sciencedirect.com/science/article/pii/S1878818122001013?casa_token=lcsD2luuiMoAAAAA:vlJMbzQYVmhyG1HUNkeo1C9N4gNYO4MbU_P2YawXe8_OKkZukWqS8vICy9SNTzMjSgHqZwk#sec3</t>
  </si>
  <si>
    <t>The SCT hydrolysate containing a high amount of sugar was diluted to 50 g/L in other to start fermentation using A. succinogenes TISTR 1994T based on the result from glucose optimization for succinic acid production.</t>
  </si>
  <si>
    <t>sugar used g/L</t>
  </si>
  <si>
    <t>SA g/L</t>
  </si>
  <si>
    <t>yield gSA/g sugar</t>
  </si>
  <si>
    <t>Optimization of alkaline-assisted organosolv pretreatment of sugarcane trash for the production of succinic acid using response surface methodology</t>
  </si>
  <si>
    <t>sugar in sugarcane</t>
  </si>
  <si>
    <t>yield gSA/g sugarcane</t>
  </si>
  <si>
    <t>Table 1 High succinic acid production by metabolically engineered microorganisms</t>
  </si>
  <si>
    <t>From: An end-to-end pipeline for succinic acid production at an industrially relevant scale using Issatchenkia orientalis</t>
  </si>
  <si>
    <t>Yield (g/g glucose equivalent)</t>
  </si>
  <si>
    <t>Productivity (g/L/h)</t>
  </si>
  <si>
    <t>pH/neutralizers</t>
  </si>
  <si>
    <t>Mode</t>
  </si>
  <si>
    <t>Working volume (L)/Reactor size (L)</t>
  </si>
  <si>
    <t>M. succiniciproducens</t>
  </si>
  <si>
    <t>CDM with glucose and glycerol</t>
  </si>
  <si>
    <t>2.5/6.6</t>
  </si>
  <si>
    <t>E. coli</t>
  </si>
  <si>
    <t>Corn stalk hydrolysate supplemented with yeast extract</t>
  </si>
  <si>
    <t>1.2/3.0</t>
  </si>
  <si>
    <t>C. glutamicum</t>
  </si>
  <si>
    <t>NaCl solution with glucose and formate</t>
  </si>
  <si>
    <t>6.9/KOH</t>
  </si>
  <si>
    <t>0.45/1.4</t>
  </si>
  <si>
    <t>Y. lipolytica</t>
  </si>
  <si>
    <t>YP with glucose</t>
  </si>
  <si>
    <t>5.5/unspecified</t>
  </si>
  <si>
    <t>Unspecified/1.0</t>
  </si>
  <si>
    <t>YP with glycerol</t>
  </si>
  <si>
    <t>No neutralizer; final pH 3.4</t>
  </si>
  <si>
    <t>1.0/2.5</t>
  </si>
  <si>
    <t>I. orientalis</t>
  </si>
  <si>
    <t>SC-URA with glucose and glycerol</t>
  </si>
  <si>
    <t>3.0/KOH</t>
  </si>
  <si>
    <t>0.1/0.35</t>
  </si>
  <si>
    <t>Sugarcane juice</t>
  </si>
  <si>
    <t>3.0/ammonia solution</t>
  </si>
  <si>
    <t>30/75</t>
  </si>
  <si>
    <t>6.5/ammonia and Mg(OH)2 solutions</t>
  </si>
  <si>
    <t>6.6–7.0/Mg(OH)2 and NH3·H2O</t>
  </si>
  <si>
    <t>https://www.nature.com/articles/s41467-023-41616-9#Tab1</t>
  </si>
  <si>
    <t>An end-to-end pipeline for succinic acid production at an industrially relevant scale using Issatchenkia orientalis</t>
  </si>
  <si>
    <t>Table 2 Effect of the total sugar concentration on succinic acid production</t>
  </si>
  <si>
    <t>From: Ultrasonic pretreatment and acid hydrolysis of sugarcane bagasse for succinic acid production using Actinobacillus succinogenes</t>
  </si>
  <si>
    <t>Total sugar concentration (g/L)</t>
  </si>
  <si>
    <t>DCW (g/L)</t>
  </si>
  <si>
    <t>Formic acid (g/L)</t>
  </si>
  <si>
    <t>2.14 ± 0.21a</t>
  </si>
  <si>
    <t>7.8 ± 0.4</t>
  </si>
  <si>
    <t>1.0 ± 0.1</t>
  </si>
  <si>
    <t>2.3 ± 0.3</t>
  </si>
  <si>
    <t>78.0 ± 0.4</t>
  </si>
  <si>
    <t>3.43 ± 0.16</t>
  </si>
  <si>
    <t>16.9 ± 1.2</t>
  </si>
  <si>
    <t>7.7 ± 0.8</t>
  </si>
  <si>
    <t>84.5 ± 0.7</t>
  </si>
  <si>
    <t>4.28 ± 0.27</t>
  </si>
  <si>
    <t>19.7 ± 1.0</t>
  </si>
  <si>
    <t>9.0 ± 0.5</t>
  </si>
  <si>
    <t>65.7 ± 1.2</t>
  </si>
  <si>
    <t>2.37 ± 0.13</t>
  </si>
  <si>
    <t>12.5 ± 0.9</t>
  </si>
  <si>
    <t>4.6 ± 0.2</t>
  </si>
  <si>
    <t>31.3 ± 0.7</t>
  </si>
  <si>
    <t>1.56 ± 0.19</t>
  </si>
  <si>
    <t>4.6 ± 0.5</t>
  </si>
  <si>
    <t>8.3 ± 0.3</t>
  </si>
  <si>
    <t>9.2 ± 0.3</t>
  </si>
  <si>
    <t>Cells were grown in anaerobic bottles with different total sugar concentrations for 48 h</t>
  </si>
  <si>
    <t>aEach value is an average of three parallel replicates and is represented as mean ± standard deviation</t>
  </si>
  <si>
    <t>sugar in sugarcane bagasse</t>
  </si>
  <si>
    <t>yield g/g sugarcane bagasse</t>
  </si>
  <si>
    <t>https://link.springer.com/article/10.1007/s00449-013-0953-z#Tab2</t>
  </si>
  <si>
    <t>Ultrasonic pretreatment and acid hydrolysis of sugarcane bagasse for succinic acid production using Actinobacillus succinogenes</t>
  </si>
  <si>
    <t>Results of the fermentation process for succinic acid production carried out in a bioreactor under controlled conditions (37°C, pH 7.0, 150 rpm)</t>
  </si>
  <si>
    <t>Fermentation process</t>
  </si>
  <si>
    <t>Maximum values</t>
  </si>
  <si>
    <t>So (g l−1)</t>
  </si>
  <si>
    <t>Low CO2 tension</t>
  </si>
  <si>
    <t>High CO2 tension</t>
  </si>
  <si>
    <t>AS (g l−1)</t>
  </si>
  <si>
    <t>Q  P (g l−1 h−1)</t>
  </si>
  <si>
    <t>Y  P/S (g/g)</t>
  </si>
  <si>
    <t>E  f (%)</t>
  </si>
  <si>
    <t>AS (g/l)</t>
  </si>
  <si>
    <t>Y  P/S (g g−1)</t>
  </si>
  <si>
    <t>Q  p (g l−1  h−1)</t>
  </si>
  <si>
    <t>Hydrolysate</t>
  </si>
  <si>
    <t>S  0 Initial xylose concentration (g l−1), AS succinic acid (g l−1), Q  P productivity (g l−1 h−1), Y  P/S product yield in relation to the substrate, E  f efficiency</t>
  </si>
  <si>
    <t>https://academic.oup.com/jimb/article/38/8/1001/5994396</t>
  </si>
  <si>
    <t xml:space="preserve">Succinic acid production from sugarcane bagasse hemicellulose hydrolysate by Actinobacillus succinogenes </t>
  </si>
  <si>
    <t>xylose in sugarcane bagasse</t>
  </si>
  <si>
    <t>succinic acid yield was defined as the amount of succinic acid produced from 1 g of xylose (expressed as a percentage).</t>
  </si>
  <si>
    <t>https://www.sciencedirect.com/science/article/pii/S096085241730809X?casa_token=bLKGiNWU0BMAAAAA:QJa_ZpGXFvDGvSth9KHLNquMjPW-13VIhm8DOvEqyi5bopp3JkRAuEhkD1-1U4riEtP3Lwg</t>
  </si>
  <si>
    <t>Characterization of a β-glucosidase from Paenibacillus species and its application for succinic acid production from sugarcane bagasse hydrolysate</t>
  </si>
  <si>
    <r>
      <t>The final succinic acid concentration reached 26.50 g·L</t>
    </r>
    <r>
      <rPr>
        <sz val="7"/>
        <color rgb="FF1F1F1F"/>
        <rFont val="Georgia"/>
        <family val="1"/>
      </rPr>
      <t>−1</t>
    </r>
    <r>
      <rPr>
        <sz val="10"/>
        <color rgb="FF1F1F1F"/>
        <rFont val="Georgia"/>
        <family val="1"/>
      </rPr>
      <t> with a yield of 0.88 g·g</t>
    </r>
    <r>
      <rPr>
        <sz val="7"/>
        <color rgb="FF1F1F1F"/>
        <rFont val="Georgia"/>
        <family val="1"/>
      </rPr>
      <t>−1</t>
    </r>
    <r>
      <rPr>
        <sz val="10"/>
        <color rgb="FF1F1F1F"/>
        <rFont val="Georgia"/>
        <family val="1"/>
      </rPr>
      <t> cellobiose and 24.30 g·L</t>
    </r>
    <r>
      <rPr>
        <sz val="7"/>
        <color rgb="FF1F1F1F"/>
        <rFont val="Georgia"/>
        <family val="1"/>
      </rPr>
      <t>−1</t>
    </r>
    <r>
      <rPr>
        <sz val="10"/>
        <color rgb="FF1F1F1F"/>
        <rFont val="Georgia"/>
        <family val="1"/>
      </rPr>
      <t> with a yield of 0.81 g·g</t>
    </r>
    <r>
      <rPr>
        <sz val="7"/>
        <color rgb="FF1F1F1F"/>
        <rFont val="Georgia"/>
        <family val="1"/>
      </rPr>
      <t>−1</t>
    </r>
    <r>
      <rPr>
        <sz val="10"/>
        <color rgb="FF1F1F1F"/>
        <rFont val="Georgia"/>
        <family val="1"/>
      </rPr>
      <t> total sugar, respectively. </t>
    </r>
  </si>
  <si>
    <t>yield g/g tot sugar</t>
  </si>
  <si>
    <t>yield g/g tot sugarcane bagasse</t>
  </si>
  <si>
    <t>tot sugar in sugarcane bagasse</t>
  </si>
  <si>
    <t>Efficient succinic acid production from lignocellulosic biomass by simultaneous utilization of glucose and xylose in engineered Escherichia coli</t>
  </si>
  <si>
    <t>https://www.sciencedirect.com/science/article/pii/S0960852413014831?casa_token=P13LkwXWp-YAAAAA:XkFECrqCkYh4WfnPql-Xa_X8BUrJCgMOcgm-QUWn-npMdfX2RN596xT1q98FyPeRAxQXWBo</t>
  </si>
  <si>
    <t>The succinic acid concentration reached 5.3 g L−1 and the yield of succinic acid was 0.46 g g−1 total sugars (Fig. 3A). </t>
  </si>
  <si>
    <t>The yield of succinic acid in BA305 was 0.66 g g−1 total sugars which was 43% higher than that in BA204, and the sugar consumption rate was 34% higher than that in BA204 due to simultaneous utilization of the sugars in BA305. </t>
  </si>
  <si>
    <t>https://www.sciencedirect.com/science/article/pii/S0960852412015210?casa_token=4jsm4Bw_dosAAAAA:0wNVsgfeB2TW7rtOZmGULsRXcl6b1jDKk-7ooQu9UQfCp1j6_4hlLcVXko-qUFyfKjdZdWE#t0015</t>
  </si>
  <si>
    <t>Succinic acid production from cellobiose by Actinobacillus succinogenes</t>
  </si>
  <si>
    <t>In batch fermentation with 18 g/l of cellobiose and 17 g/l of other sugars from sugarcane bagasse cellulose hydrolysates, a succinic acid concentration of 20.0 g/l was obtained, with a corresponding yield of 64.7%.</t>
  </si>
  <si>
    <t>yield (g/g tot sugar)</t>
  </si>
  <si>
    <t>sugarcane molasses</t>
  </si>
  <si>
    <t xml:space="preserve">Production of succinic acid from sucrose and sugarcane molasses by metabolically engineered Escherichia coli </t>
  </si>
  <si>
    <t>https://www.sciencedirect.com/science/article/pii/S0960852411013848?casa_token=24Py_gt2_bgAAAAA:SYA1hM30BO6HFD-bCHt6kBOJcmCiXB0lI5eUU4KDzcg1ROG2d1U-ErPZX4BLZIHBnfMMOh4</t>
  </si>
  <si>
    <t>Table 3. Comparisons of succinate production from sucrose and sugarcane molasses by biocatalysts.</t>
  </si>
  <si>
    <t>Organism</t>
  </si>
  <si>
    <t>Medium/condition</t>
  </si>
  <si>
    <t>Succinate</t>
  </si>
  <si>
    <t>Yielda (g/g)</t>
  </si>
  <si>
    <t>Productivityb (g/L/h)</t>
  </si>
  <si>
    <t>Specific productivityc (g/gCDW/h)</t>
  </si>
  <si>
    <t>KJ122-pKJSUC-24T (cscKB and cscA from E. coli KO11)</t>
  </si>
  <si>
    <t>150 g/L Sugarcane molasses with 10 g/L KHCO3, 10 L bioreactor simple batch fermentation, 72 h incubation, pH maintained with 1:1 mixture of 6 M KOH + 3 M K2CO3</t>
  </si>
  <si>
    <t>70 g/L Sucrose with 10 g/L KHCO3, 10 L bioreactor with simple batch fermentation, 72 h incubation, pH maintained with 1:1 mixture of 6 M KOH + 3 M K2CO3</t>
  </si>
  <si>
    <t>E. coli SBS550MG transformed with pHL413 (pyc from L. lactis) pUR400 (scrKYABR from E. coli K12)</t>
  </si>
  <si>
    <t>Sucrose, 20 g/L peptone, 10 g/L yeast extract, 1.0 mg/L biotin, and 1.0 mg/L thiamine, 100 mg/L ampicillin supplemented in a complex medium, fed batch (dual-phase fermentation), 90 h incubation, 0.2 L/min CO2 for maintenance of anaerobic conditions, pH maintained at 7.0 with 2.0 M Na2CO3</t>
  </si>
  <si>
    <t>Wang et al., 2011</t>
  </si>
  <si>
    <t>E. coli isolated from the rumen of buffalo</t>
  </si>
  <si>
    <t>Sugarcane molasses (10% (v/v)) supplemented to 10% CSL, 20 mM NaCO3, CO2 providing, 72 h incubation time</t>
  </si>
  <si>
    <t>Agarwal et al., 2006</t>
  </si>
  <si>
    <t>A. succinogenes CGMCC1593</t>
  </si>
  <si>
    <t>Sugarcane molasses supplemented to AS medium, 15 g/L yeast extract, 0.05 vvm CO2 gas, 5 L bioreactor fed-batch fermentation, 48 h incubation, pH controlled at 7.0 by 3.0 M Na2CO3</t>
  </si>
  <si>
    <t>NAd</t>
  </si>
  <si>
    <t>Liu et al., 2008</t>
  </si>
  <si>
    <t>Sugarcane molasses (65 g/L of sugar mixture) supplemented to AS medium, 15 g/L yeast extract, and MgCO3, anaerobic bottles, batch fermentation, 60 h incubation</t>
  </si>
  <si>
    <t>NA</t>
  </si>
  <si>
    <t>Sucrose (50 g/L) supplemented to AS medium, 15 g/L yeast extract, and MgCO3, anaerobic bottles, batch fermentation, 60 h incubation</t>
  </si>
  <si>
    <t>The succinate yield was calculated as grams of succinate produced divided by grams of the sugar consumed.</t>
  </si>
  <si>
    <t>The succinate productivity was calculated as succinate concentration produced divided by overall incubation time.</t>
  </si>
  <si>
    <t>The specific succinate productivity was calculated on the basis of the cell concentration (gram cell dry weight; gCDW) at the moment of taking sample.</t>
  </si>
  <si>
    <t>ND = No data was available.</t>
  </si>
  <si>
    <t>yield g/g sugar consumed</t>
  </si>
  <si>
    <t>tot sugar in sugarcane molasses</t>
  </si>
  <si>
    <t>yield g/g tot sugarcane molasses</t>
  </si>
  <si>
    <r>
      <t>The yield of succinic acid was 1.20 mol mol</t>
    </r>
    <r>
      <rPr>
        <sz val="7"/>
        <color rgb="FF1F1F1F"/>
        <rFont val="Georgia"/>
        <family val="1"/>
      </rPr>
      <t>−1</t>
    </r>
    <r>
      <rPr>
        <sz val="10"/>
        <color rgb="FF1F1F1F"/>
        <rFont val="Georgia"/>
        <family val="1"/>
      </rPr>
      <t> hexose. </t>
    </r>
  </si>
  <si>
    <t>https://www.sciencedirect.com/science/article/pii/S1369703X14002319?casa_token=B_222GSyp9IAAAAA:ZGvgnWAdT6ozgL0TOD2O1_hCpjJlhbd0dVQdmjJVq9XWRRbwwkNEDLFlyZNgLZKzZNU1Yqk#tbl0020</t>
  </si>
  <si>
    <t>Succinic acid production from sucrose and molasses by metabolically engineered E. coli using a cell surface display system - ScienceDirect (wur.nl)</t>
  </si>
  <si>
    <t>hexose in sugarcane molasses</t>
  </si>
  <si>
    <t>yield g/g sugarcane molasses</t>
  </si>
  <si>
    <t>yield (3-HP/Sugar cane)</t>
  </si>
  <si>
    <t>yield (3-HP/Sugar cane bagasse)</t>
  </si>
  <si>
    <t>yield (3-HP/Sugar cane molasses)</t>
  </si>
  <si>
    <t>glucose in sugarcane molasses</t>
  </si>
  <si>
    <t>glu+fru Sugar cane (g/100g)</t>
  </si>
  <si>
    <t>Theoretical yield (g/g Sugar cane)</t>
  </si>
  <si>
    <t>https://www.sciencedirect.com/science/article/pii/S1385894712015884</t>
  </si>
  <si>
    <t>A kinetic study of acid catalysed hydrolysis of sugar cane bagasse to levulinic acid</t>
  </si>
  <si>
    <t>The highest LA yield was obtained at 150 °C and 0.55 M H2SO4 at 63 mol%, which equates to the production of 194 kg of LA from 1 dry tonne of sugar cane bagasse. </t>
  </si>
  <si>
    <t>https://pubs.rsc.org/en/content/articlehtml/2014/ra/c4ra06246a</t>
  </si>
  <si>
    <t>Levulinic acid production from Cicer arietinum, cotton, Pinus radiata and sugarcane bagasse</t>
  </si>
  <si>
    <t>Under optimal reaction conditions (423 K, 1 M HCl, 2 h) the yields of levulinic acid obtained from Cicer arietinum, cotton, Pinus radiata and sugarcane bagasse were 32.6, 44.0, 19.0 and 36.5 wt%.</t>
  </si>
  <si>
    <t>https://link.springer.com/article/10.1007/s12649-020-01221-z</t>
  </si>
  <si>
    <t>Optimization of Levulinic Acid Production from Depithed Sugarcane Bagasse in 1- Ethyl-3-methylimidazolium hydrogen sulfate [EMim][HSO4]</t>
  </si>
  <si>
    <t>The optimum conditions were found to be 100 °C, 7 h, and 4 g of IL, which yielded 54.6% of LA from DSB. </t>
  </si>
  <si>
    <t>LA yield wt%</t>
  </si>
  <si>
    <t>Yact</t>
  </si>
  <si>
    <t>Yth</t>
  </si>
  <si>
    <t>Cellulose content %</t>
  </si>
  <si>
    <t>Production of Levulinic Acid from Bagasse andPaddy Straw by Liquefaction in the Presence ofHydrochloride Acid</t>
  </si>
  <si>
    <t>https://onlinelibrary.wiley.com/doi/abs/10.1002/clen.200700100</t>
  </si>
  <si>
    <t>Maximum yields of 23.7 and 22.8% levulinic acid were reached at2208C, 45 min of reaction time, and 4.45% of hydrochloride acid byweight for paddy straw and bagasse, respectively.</t>
  </si>
  <si>
    <t>yield wt%</t>
  </si>
  <si>
    <t>Thereby, a</t>
  </si>
  <si>
    <t>satisfactory concordance was reached between the</t>
  </si>
  <si>
    <t>high yields of LA of 61.1 mol%, 67.7 mol% and</t>
  </si>
  <si>
    <t>61.4 mol% calculated by the model, and the experimental</t>
  </si>
  <si>
    <t>yields of 60.5 ± 2.1 mol%, 65.2 ± 2.9 mol%</t>
  </si>
  <si>
    <t>and 61.5 ± 4.0 mol% (under optimum conditions of</t>
  </si>
  <si>
    <t>190 _x0003_C, 7.0% w/v of H2SO4, 75 min) for SCB, RH and</t>
  </si>
  <si>
    <t>SS, respectively.</t>
  </si>
  <si>
    <t>Kinetic insights into the lignocellulosic biomass-based levulinic acid production by a mechanistic model | Cellulose (wur.nl)</t>
  </si>
  <si>
    <t>yield mol %</t>
  </si>
  <si>
    <t>Concentrated Levulinic Acid Production from Sugar Cane Molasses</t>
  </si>
  <si>
    <t>https://pubs.acs.org/doi/full/10.1021/acs.energyfuels.7b03987</t>
  </si>
  <si>
    <t>Table 1. Comparison of the One-Pot Batch Reaction and Superimposed Reactions</t>
  </si>
  <si>
    <t>reaction condition</t>
  </si>
  <si>
    <t>total cane molasses used for 1 L reaction solution (g)</t>
  </si>
  <si>
    <t>average yield of LA (wt %)</t>
  </si>
  <si>
    <t>average yield of formic acid (wt %)</t>
  </si>
  <si>
    <t>first run of the superimposed reaction</t>
  </si>
  <si>
    <t>36.5 ± 0.4</t>
  </si>
  <si>
    <t>13.5 ± 0.3</t>
  </si>
  <si>
    <t>first two runs of the superimposed reaction</t>
  </si>
  <si>
    <t>368 (=184 × 2)</t>
  </si>
  <si>
    <t>33.8 ± 0.5</t>
  </si>
  <si>
    <t>11.6 ± 0.4</t>
  </si>
  <si>
    <t>first three runs of the superimposed reaction</t>
  </si>
  <si>
    <t>552 (=184 × 3)</t>
  </si>
  <si>
    <t>30.5 ± 0.7</t>
  </si>
  <si>
    <t>first four runs of the superimposed reaction</t>
  </si>
  <si>
    <t>736 (=184 × 4)</t>
  </si>
  <si>
    <t>26.6 ± 1.1</t>
  </si>
  <si>
    <t>8.1 ± 0.4</t>
  </si>
  <si>
    <t>first five runs of the superimposed reaction</t>
  </si>
  <si>
    <t>920 (=184 × 5)</t>
  </si>
  <si>
    <t>23.9 ± 1.3</t>
  </si>
  <si>
    <t>one-pot batch reaction of 277 g/L cane molasses</t>
  </si>
  <si>
    <t>29.2 ± 0.9</t>
  </si>
  <si>
    <t>11.2 ± 0.3</t>
  </si>
  <si>
    <t>one-pot batch reaction of 368 g/L cane molasses</t>
  </si>
  <si>
    <t>24.8 ± 1.0</t>
  </si>
  <si>
    <t>9.1 ± 0.4</t>
  </si>
  <si>
    <t>one-pot batch reaction of 552 g/L cane molasses</t>
  </si>
  <si>
    <t>18.1 ± 1.</t>
  </si>
  <si>
    <t>Table 2 Fermentative production indicators under varying feed dilutions at specific time periods</t>
  </si>
  <si>
    <t>From: Fermentative lactic acid production from a renewable carbon source under response surface optimized conditions without alkali addition: a membrane-based green approach</t>
  </si>
  <si>
    <t>Total sugar concentration (g l−1)</t>
  </si>
  <si>
    <t>Total residual sugar after 72 h (g l−1)</t>
  </si>
  <si>
    <t>Specific growth rate at 18th (hr−1)</t>
  </si>
  <si>
    <t>Lactic acid concentration (g l−1)</t>
  </si>
  <si>
    <t>% Yieldsp/s</t>
  </si>
  <si>
    <t>Productivity at 72 h (g l−1 h−1)</t>
  </si>
  <si>
    <t>Fermentative lactic acid production from a renewable carbon source under response surface optimized conditions without alkali addition: a membrane-based green approach</t>
  </si>
  <si>
    <t>https://link.springer.com/article/10.1007/s10098-011-0448-z</t>
  </si>
  <si>
    <t>tot sugar in sugarcane</t>
  </si>
  <si>
    <t>Kinetic of lactic acid production from sugarcane juice using Lactobacillus plantarum</t>
  </si>
  <si>
    <t>https://onlinelibrary.wiley.com/doi/full/10.1002/apj.1806</t>
  </si>
  <si>
    <t>Stoichiometric parameters have been estimated to be the maximum product yield coefficient YPS, 0.83 g, lactic acid/g sucrose and average cell mass yield coefficient Yxs, 0.47.</t>
  </si>
  <si>
    <t>g LA/g sucrose</t>
  </si>
  <si>
    <t>sucrose in sugarcane</t>
  </si>
  <si>
    <t>g LA/g sugarcane</t>
  </si>
  <si>
    <t>Lactic acid production from sugar-cane juice by a newly isolated Lactobacillus</t>
  </si>
  <si>
    <t>https://link.springer.com/article/10.1007/s10529-006-9003-0</t>
  </si>
  <si>
    <t>% yield p/s</t>
  </si>
  <si>
    <t>ref3</t>
  </si>
  <si>
    <t>Modelling and simulation of continuous L (+) lactic acid production from sugarcane juice in membrane integrated hybrid-reactor system</t>
  </si>
  <si>
    <t>https://www.sciencedirect.com/science/article/pii/S1369703X13001964#tbl0010</t>
  </si>
  <si>
    <r>
      <t> The yield (</t>
    </r>
    <r>
      <rPr>
        <i/>
        <sz val="10"/>
        <color rgb="FF1F1F1F"/>
        <rFont val="Georgia"/>
        <family val="1"/>
      </rPr>
      <t>Y</t>
    </r>
    <r>
      <rPr>
        <i/>
        <sz val="7"/>
        <color rgb="FF1F1F1F"/>
        <rFont val="Georgia"/>
        <family val="1"/>
      </rPr>
      <t>ps</t>
    </r>
    <r>
      <rPr>
        <sz val="10"/>
        <color rgb="FF1F1F1F"/>
        <rFont val="Georgia"/>
        <family val="1"/>
      </rPr>
      <t>) of the product on substrate consumptions at different cross flow velocities were experimentally calculated as 0.96 g/g, 0.94 g/g and 0.92 g/g, respectively. </t>
    </r>
  </si>
  <si>
    <t>y ps</t>
  </si>
  <si>
    <t>avrg g/g tot sugar</t>
  </si>
  <si>
    <t>Lactic acid production from sugarcane field residue as renewable and economical bioresource by newly isolated Pediococcus pentosaceus HLV1 | SpringerLink (wur.nl)</t>
  </si>
  <si>
    <t>https://link.springer.com/article/10.1007/s13399-022-03267-6</t>
  </si>
  <si>
    <t>As shown in Fig. 5b, the strain P. pentosaceus HLV1 produced a good amount of lactic acid 61.90 g/L with a yield of 1.12 g of lactic acid/g of the substrate and 0.86 g/L/h productivity. </t>
  </si>
  <si>
    <t>Acid hydrolysis of sugarcane bagasse for lactic acid production</t>
  </si>
  <si>
    <t>https://www.sciencedirect.com/science/article/pii/S0960852409011584</t>
  </si>
  <si>
    <t>The results showed that 7 g l−1 of yeast extract gave the highest yield of lactic acid (0.26 g lactic per g sugar utilised), while microbial growth and lactic acid production were not detected in the broth containing ammonium sulphate at all concentrations (data not shown). </t>
  </si>
  <si>
    <t xml:space="preserve">tot sugar in sugarcane bagasse </t>
  </si>
  <si>
    <t>Enhanced cellulosic d-lactic acid production from sugarcane bagasse by pre-fermentation of water-soluble carbohydrates before acid pretreatmen</t>
  </si>
  <si>
    <t>https://www.sciencedirect.com/science/article/pii/S0960852422016571</t>
  </si>
  <si>
    <t>Consequently, a higher d-lactic acid titer (57.0 g/L vs 33.2 g/L) was achieved from the whole slurry of the undetoxified and pretreated sugarcane bagasse by one-pot simultaneous saccharification and co-fermentation (SSCF), with the overall yield of 0.58 g/g dry bagasse. </t>
  </si>
  <si>
    <t>g/g dry bagasse</t>
  </si>
  <si>
    <t>DM in sugarcane bagasse</t>
  </si>
  <si>
    <t>https://www.foodwasteexplorer.eu/byWasteStream?foodname=&amp;wastestream=Sugar%20cane%20bagasse&amp;compgroup=&amp;ftc=Dry%20Matter</t>
  </si>
  <si>
    <t>https://www.sciencedirect.com/science/article/pii/S2589014X1930026X</t>
  </si>
  <si>
    <t>Polymer grade l-lactic acid production from sugarcane bagasse hemicellulosic hydrolysate using Bacillus coagulans</t>
  </si>
  <si>
    <t>In this work, a Bacillus coagulans strain is evaluated as an l-lactic acid producer using sugarcane bagasse hemicellulosic hydrolysate. l-Lactic acid production reached 55.99 g/L, 0.87 g/g of yield, 1.7 g/ L h −1 of productivity and 99.4% of isomeric purity. </t>
  </si>
  <si>
    <t>Yield = lactic acid (g) / total sugar consumed (g).</t>
  </si>
  <si>
    <t>Assessment of multiple pretreatment strategies for 2G L-lactic acid production from sugarcane bagasse | SpringerLink (wur.nl)</t>
  </si>
  <si>
    <t>https://link.springer.com/article/10.1007/s13399-020-01163-5</t>
  </si>
  <si>
    <t>From 100.0 g of SCB, L-lactic acid production of 26.16 g, 8.78 g, 14.15 g, 14.33 g, and 24.61 g in alkali, acid, sequential acid-alkali, sequential alkali-acid, and cavitation with alkali pretreatment was obtained, respectively. </t>
  </si>
  <si>
    <t>g/100gscb</t>
  </si>
  <si>
    <t>yield g/g SCB</t>
  </si>
  <si>
    <t>Lactic acid production from sugarcane bagasse hydrolysates by Lactobacillus pentosus: Integrating xylose and glucose fermentation - Wischral - 2019 - Biotechnology Progress</t>
  </si>
  <si>
    <t>https://aiche.onlinelibrary.wiley.com/doi/full/10.1002/btpr.2718</t>
  </si>
  <si>
    <t>the high fermentability of these process herein developed was demonstrated by the total consumption of xylose and glucose by Lactobacillus pentosus, reaching at 65.0 g/L of lactic acid, 0.93 g/g of yield, and 1.01 g/L h of productivity. </t>
  </si>
  <si>
    <t>yield g/g xyl +glu</t>
  </si>
  <si>
    <t xml:space="preserve"> xyl +glu in sugarcane bagasse</t>
  </si>
  <si>
    <t xml:space="preserve">Different Strategies To Improve Lactic Acid Productivity Based on Microorganism Physiology and Optimum Operating Conditions | Industrial &amp; Engineering Chemistry Research </t>
  </si>
  <si>
    <t>https://pubs.acs.org/doi/full/10.1021/acs.iecr.8b01655</t>
  </si>
  <si>
    <r>
      <t>With these strategies and using molasses as a substrate, it was possible to obtain a yield of 95%, with a productivity of 5.38 g L</t>
    </r>
    <r>
      <rPr>
        <sz val="8"/>
        <color rgb="FF000000"/>
        <rFont val="Georgia"/>
        <family val="1"/>
      </rPr>
      <t>–1</t>
    </r>
    <r>
      <rPr>
        <sz val="10"/>
        <color rgb="FF000000"/>
        <rFont val="Georgia"/>
        <family val="1"/>
      </rPr>
      <t> h</t>
    </r>
    <r>
      <rPr>
        <sz val="8"/>
        <color rgb="FF000000"/>
        <rFont val="Georgia"/>
        <family val="1"/>
      </rPr>
      <t>–1</t>
    </r>
    <r>
      <rPr>
        <sz val="10"/>
        <color rgb="FF000000"/>
        <rFont val="Georgia"/>
        <family val="1"/>
      </rPr>
      <t>, and a titer of 157.95 g/L of lactic acid.</t>
    </r>
  </si>
  <si>
    <t>total sugar after inversion (TSAI)</t>
  </si>
  <si>
    <t>tot sugar in sm</t>
  </si>
  <si>
    <t>The maximum recovery of lactic acid with respect to initial total sugar contents of the media (9.91±0.20 g/100 ml) was 78.30%.</t>
  </si>
  <si>
    <t>OPTIMIZATION OF LACTIC ACID PRODUCTION FROM CHEAP RAW MATERIAL: SUGARCANE MOLASSES</t>
  </si>
  <si>
    <t>https://pakbs.org/pjbot/PDFs/44(1)/49.pdf</t>
  </si>
  <si>
    <t>yield g/g SM</t>
  </si>
  <si>
    <t>https://www.redalyc.org/journal/1803/180376043012/html/</t>
  </si>
  <si>
    <t>Optimization of lactic acid production by Lactobacillus plantarum strain Hui1 in a medium containing sugarcane molasses - ProQuest</t>
  </si>
  <si>
    <r>
      <t>Several carbon, nitrogen and ion sources were tested, and the optimum concentration of lactic acid achieved was 84.2 g L</t>
    </r>
    <r>
      <rPr>
        <vertAlign val="superscript"/>
        <sz val="11"/>
        <color rgb="FF777777"/>
        <rFont val="OpenSans-Regular"/>
      </rPr>
      <t>-1</t>
    </r>
    <r>
      <rPr>
        <sz val="9"/>
        <color rgb="FF777777"/>
        <rFont val="OpenSans-Regular"/>
      </rPr>
      <t> in a medium containing as follows (in g L</t>
    </r>
    <r>
      <rPr>
        <vertAlign val="superscript"/>
        <sz val="11"/>
        <color rgb="FF777777"/>
        <rFont val="OpenSans-Regular"/>
      </rPr>
      <t>-1</t>
    </r>
    <r>
      <rPr>
        <sz val="9"/>
        <color rgb="FF777777"/>
        <rFont val="OpenSans-Regular"/>
      </rPr>
      <t>): meat extract, 18.69; tryptone, 7.88; sugar cane molasses, 140; calcium carbonate, 15; dipotassium phosphate, 1; manganese phosphate, 0.03; sodium acetate, 5, and magnesium sulphate, 0.2. In addition, a high degree of conversion from sugar cane molasses to lactic acid was obtained (Y</t>
    </r>
    <r>
      <rPr>
        <vertAlign val="subscript"/>
        <sz val="11"/>
        <color rgb="FF777777"/>
        <rFont val="OpenSans-Regular"/>
      </rPr>
      <t>p/e</t>
    </r>
    <r>
      <rPr>
        <sz val="9"/>
        <color rgb="FF777777"/>
        <rFont val="OpenSans-Regular"/>
      </rPr>
      <t> 0.898 g g</t>
    </r>
    <r>
      <rPr>
        <vertAlign val="superscript"/>
        <sz val="11"/>
        <color rgb="FF777777"/>
        <rFont val="OpenSans-Regular"/>
      </rPr>
      <t>-1</t>
    </r>
    <r>
      <rPr>
        <sz val="9"/>
        <color rgb="FF777777"/>
        <rFont val="OpenSans-Regular"/>
      </rPr>
      <t>).</t>
    </r>
  </si>
  <si>
    <t>yp/s g/g</t>
  </si>
  <si>
    <t>https://pubs.acs.org/doi/full/10.1021/acs.jafc.0c00259</t>
  </si>
  <si>
    <t>Improvement and Metabolomics-Based Analysis of d-Lactic Acid Production from Agro-Industrial Wastes by Lactobacillus delbrueckii Submitted to Adaptive Laboratory Evolution</t>
  </si>
  <si>
    <t>Finally, fed-batch simultaneous enzymatic hydrolysis of soybean meal and fermentation process by evolved strain resulted in d-lactic acid levels of 112.3 g/L, with an average production efficiency of 2.4 g/(L × h), a yield of 0.98 g/g sugar, and optical purity of 99.6%. </t>
  </si>
  <si>
    <t>In batch fermentations using sugarcane molasses of 350 g/L and corn steep liquor powder of 18.5 g/L without additional nutrients, CEE-DL15 produced 112.34 g/L lactic acid (107.40 g/L L-lactic acid and 4.94 g/L D-lactic acid), with a yield of 0.81 g/g and a maximum productivity of 4.49 g/(L.h), which is the best lactic acid productivity from molasses published so far.</t>
  </si>
  <si>
    <t>https://www.sciencedirect.com/science/article/pii/S1359511318316404</t>
  </si>
  <si>
    <t>Efficient production of lactic acid from sugarcane molasses by a newly microbial consortium CEE-DL15 - ScienceDirect (wur.nl)</t>
  </si>
  <si>
    <t>yield g/g hexose</t>
  </si>
  <si>
    <t>hexose in SM</t>
  </si>
  <si>
    <t>SORBITOL</t>
  </si>
  <si>
    <t>glu+ fru in sugarcane %</t>
  </si>
  <si>
    <t>sugarcane bagasse</t>
  </si>
  <si>
    <t>Table 3. Experimental design 22 and planning in star design for investigating the effect of TRS and time of growth (runs 1–7) and TRS and temperature (runs 8–11)</t>
  </si>
  <si>
    <t>Measured response</t>
  </si>
  <si>
    <t>TRSa initial (g/l)</t>
  </si>
  <si>
    <t>Sorbitol (g/l)</t>
  </si>
  <si>
    <t>Consumption of TRS (g/l)</t>
  </si>
  <si>
    <t>Ypr (%)</t>
  </si>
  <si>
    <t>Yp/s (g/g)</t>
  </si>
  <si>
    <t>Yp (g/(l h))</t>
  </si>
  <si>
    <t>TRSa (g/l)</t>
  </si>
  <si>
    <t>−1.141</t>
  </si>
  <si>
    <t>ndb</t>
  </si>
  <si>
    <t>nd</t>
  </si>
  <si>
    <t>TRS: total reducing sugar.</t>
  </si>
  <si>
    <t>nd: not determined.</t>
  </si>
  <si>
    <t>https://www.sciencedirect.com/science/article/pii/S0032959204000780</t>
  </si>
  <si>
    <t>Optimization study for sorbitol production by Zymomonas mobilis in sugar cane molasses</t>
  </si>
  <si>
    <t>yield avrg</t>
  </si>
  <si>
    <t>sugar in Sugar cane molasses</t>
  </si>
  <si>
    <t>glu+ fru in sugarcane bagasse %</t>
  </si>
  <si>
    <t>Characteristics of adapted and non-adapted Candida tropicalis InaCC Y799 during fermentation of detoxified and undetoxified hemicellulosic hydrolysate from sugarcane trash for xylitol production</t>
  </si>
  <si>
    <t>https://link.springer.com/article/10.1007/s13399-021-02087-4</t>
  </si>
  <si>
    <t>The yeast adaptation in 75% hydrolysates and detoxification of fermentation medium produced higher xylitol yields (0.54–0.56 g xylitol/g initial xylose; 53.72–54.98% theoretical yield),</t>
  </si>
  <si>
    <t> g xylitol/g initial xylose</t>
  </si>
  <si>
    <t> in a shorter time (24 h) than did the adapted yeast to 50% hydrolysate and non-adapted yeast grown in non-detoxified medium (0.51–0.57 g xylitol/g initial xylose</t>
  </si>
  <si>
    <t>xylose in sugarcane</t>
  </si>
  <si>
    <t>Biochemical conversion of sugarcane straw hemicellulosic hydrolyzate supplemented with co-substrates for xylitol production</t>
  </si>
  <si>
    <t>https://www.sciencedirect.com/science/article/pii/S096085241501562X</t>
  </si>
  <si>
    <t>Fermentation efficiency was calculated as the ratio between experimental and theoretical xylitol yield, which corresponds to 0.917 gg−1 according to Barbosa et al. (1988).</t>
  </si>
  <si>
    <t>able 1. Effect of co-substrate supplementation to sugarcane straw hemicellulosic hydrolyzate on xylose consumption and xylitol production by C. guilliermondii FTI 20037.</t>
  </si>
  <si>
    <t>Co-substrate (g L−1)</t>
  </si>
  <si>
    <t>Xylose uptake rate (g L−1 h−1)a</t>
  </si>
  <si>
    <t>Final xylitol concentration (g L−1)</t>
  </si>
  <si>
    <t>Xylitol volumetric productivity (g L−1 h−1)b</t>
  </si>
  <si>
    <t>Fermentation efficiency (%)c</t>
  </si>
  <si>
    <t>Control</t>
  </si>
  <si>
    <t>1.02 ± 0.02</t>
  </si>
  <si>
    <t>31.99 ± 0.21</t>
  </si>
  <si>
    <t>0.67 ± 0.00</t>
  </si>
  <si>
    <t>70.03 ± 1.03</t>
  </si>
  <si>
    <t>0.96 ± 0.03</t>
  </si>
  <si>
    <t>29.35 ± 0.71</t>
  </si>
  <si>
    <t>0.61 ± 0.01</t>
  </si>
  <si>
    <t>68.66 ± 1.19</t>
  </si>
  <si>
    <t>0.91 ± 0.02</t>
  </si>
  <si>
    <t>28.26 ± 1.20</t>
  </si>
  <si>
    <t>0.59 ± 0.03</t>
  </si>
  <si>
    <t>70.03 ± 4.49</t>
  </si>
  <si>
    <t>0.93 ± 0.01</t>
  </si>
  <si>
    <t>26.06 ± 0.64</t>
  </si>
  <si>
    <t>0.54 ± 0.01</t>
  </si>
  <si>
    <t>63.51 ± 1.57</t>
  </si>
  <si>
    <t>1.07 ± 0.02</t>
  </si>
  <si>
    <t>32.73 ± 1.89</t>
  </si>
  <si>
    <t>0.68 ± 0.04</t>
  </si>
  <si>
    <t>63.17 ± 3.15</t>
  </si>
  <si>
    <t>1.11 ± 0.02</t>
  </si>
  <si>
    <t>36.11 ± 0.83</t>
  </si>
  <si>
    <t>0.75 ± 0.02</t>
  </si>
  <si>
    <t>70.37 ± 2.59</t>
  </si>
  <si>
    <t>32.64 ± 0.48</t>
  </si>
  <si>
    <t>0.68 ± 0.01</t>
  </si>
  <si>
    <t>66.94 ± 1.46</t>
  </si>
  <si>
    <t>Cellobiose</t>
  </si>
  <si>
    <t>0.95 ± 0.03</t>
  </si>
  <si>
    <t>29.35 ± 0.62</t>
  </si>
  <si>
    <t>68.66 ± 3.15</t>
  </si>
  <si>
    <t>0.96 ± 0.01</t>
  </si>
  <si>
    <t>30.16 ± 0.78</t>
  </si>
  <si>
    <t>0.63 ± 0.02</t>
  </si>
  <si>
    <t>67.28 ± 3.31</t>
  </si>
  <si>
    <t>31.79 ± 1.32</t>
  </si>
  <si>
    <t>0.66 ± 0.03</t>
  </si>
  <si>
    <t>75.52 ± 2.14</t>
  </si>
  <si>
    <t>1.09 ± 0.02</t>
  </si>
  <si>
    <t>31.82 ± 0.82</t>
  </si>
  <si>
    <t>0.66 ± 0.02</t>
  </si>
  <si>
    <t>66.25 ± 2.97</t>
  </si>
  <si>
    <t>0.98 ± 0.03</t>
  </si>
  <si>
    <t>31.76 ± 0.82</t>
  </si>
  <si>
    <t>72.09 ± 3.09</t>
  </si>
  <si>
    <t>1.08 ± 0.02</t>
  </si>
  <si>
    <t>33.25 ± 2.05</t>
  </si>
  <si>
    <t>0.69 ± 0.04</t>
  </si>
  <si>
    <t>70.72 ± 6.21</t>
  </si>
  <si>
    <t xml:space="preserve"> theoretical xylitol yield gg−1</t>
  </si>
  <si>
    <t xml:space="preserve">Rational engineering of industrial S. cerevisiae: towards xylitol production from sugarcane straw | Journal of Genetic Engineering and Biotechnology </t>
  </si>
  <si>
    <t>https://link.springer.com/article/10.1186/s43141-022-00359-8</t>
  </si>
  <si>
    <t>Table 2 Xylitol productivity of strains FMYX and CENPKX in YPDX under varying cultivation conditions</t>
  </si>
  <si>
    <t>From: Rational engineering of industrial S. cerevisiae: towards xylitol production from sugarcane straw</t>
  </si>
  <si>
    <t>Varying condition</t>
  </si>
  <si>
    <t>Titre (g/L)</t>
  </si>
  <si>
    <t>Productivity (g/L.h)</t>
  </si>
  <si>
    <t>Co-substrate ratio</t>
  </si>
  <si>
    <t>Fixed 20 g/L xylose; initial OD 0.5 and full aeration</t>
  </si>
  <si>
    <t>FMYX</t>
  </si>
  <si>
    <t>10 g/L glucose</t>
  </si>
  <si>
    <t>13.06 ± 1.03a</t>
  </si>
  <si>
    <t>0.78 ± 0.06a</t>
  </si>
  <si>
    <t>0.13 ± 0.01a</t>
  </si>
  <si>
    <t>20 g/L glucose</t>
  </si>
  <si>
    <t>15.60 ± 3.71a</t>
  </si>
  <si>
    <t>0.80 ± 0.20a</t>
  </si>
  <si>
    <t>0.15 ± 0.04a</t>
  </si>
  <si>
    <t>30 g/L glucose</t>
  </si>
  <si>
    <t>15.74 ± 0.36a*</t>
  </si>
  <si>
    <t>0.91 ± 0.02a*</t>
  </si>
  <si>
    <t>0.15 ± 0.00a*</t>
  </si>
  <si>
    <t>CENPKX</t>
  </si>
  <si>
    <t>14.29 ± 0.89ab</t>
  </si>
  <si>
    <t>0.83 ± 0.06a</t>
  </si>
  <si>
    <t>0.14 ± 0.01ab</t>
  </si>
  <si>
    <t>14.54 ± 0.09a</t>
  </si>
  <si>
    <t>0.74 ± 0.00ab</t>
  </si>
  <si>
    <t>0.14 ± 0.00a</t>
  </si>
  <si>
    <t>12.84 ± 0.27b</t>
  </si>
  <si>
    <t>0.69 ± 0.02b</t>
  </si>
  <si>
    <t>0.12 ± 0.00b</t>
  </si>
  <si>
    <t>Aeration</t>
  </si>
  <si>
    <t>Fixed 20 g/L xylose; 30 g/L glucose and initial OD 0.5</t>
  </si>
  <si>
    <t>Semi-anaerobic</t>
  </si>
  <si>
    <t>10.75 ± 1.51b</t>
  </si>
  <si>
    <t>0.71 ± 0.04b</t>
  </si>
  <si>
    <t>0.10 ± 0.01b</t>
  </si>
  <si>
    <t>12.84 ± 0.27a</t>
  </si>
  <si>
    <t>0.69 ± 0.02a</t>
  </si>
  <si>
    <t>0.12 ± 0.00a</t>
  </si>
  <si>
    <t>9.92 ± 0.39b</t>
  </si>
  <si>
    <t>0.78 ± 0.05a</t>
  </si>
  <si>
    <t>0.10 ± 0.00b</t>
  </si>
  <si>
    <t>Inoculum concentration</t>
  </si>
  <si>
    <t>Fixed 20 g/L xylose; 30 g/L glucose and full aeration</t>
  </si>
  <si>
    <t>OD 0.5</t>
  </si>
  <si>
    <t>15.74 ± 0.36b*</t>
  </si>
  <si>
    <t>0.15 ± 0.00b*</t>
  </si>
  <si>
    <t>OD 1.0</t>
  </si>
  <si>
    <t>16.97 ± 0.10a*</t>
  </si>
  <si>
    <t>0.93 ± 0.02a*</t>
  </si>
  <si>
    <t>0.16 ± 0.00a*</t>
  </si>
  <si>
    <t>15.38 ± 0.24a</t>
  </si>
  <si>
    <t>0.83 ± 0.01a</t>
  </si>
  <si>
    <t>0.15 ± 0.00a</t>
  </si>
  <si>
    <t>Letters (a, b, c) represent statistical differences (Tukey test) observed in different cultivation conditions within the same experiment and strain. Asterisk (*) represents statistical difference (Tukey test) observed between strains within the same experiment condition</t>
  </si>
  <si>
    <t xml:space="preserve">Sugarcane straw as a feedstock for xylitol production by Candida guilliermondii FTI 20037 </t>
  </si>
  <si>
    <t>https://www.scielo.br/j/bjm/a/GzLCVkXzjv7yBpQtQQxLqNS/?lang=en</t>
  </si>
  <si>
    <r>
      <t>In this condition the maximum xylitol yield (0.67 g g</t>
    </r>
    <r>
      <rPr>
        <sz val="6"/>
        <color rgb="FF403D39"/>
        <rFont val="Arial"/>
        <family val="2"/>
      </rPr>
      <t>-1</t>
    </r>
    <r>
      <rPr>
        <sz val="8"/>
        <color rgb="FF403D39"/>
        <rFont val="Arial"/>
        <family val="2"/>
      </rPr>
      <t>) was obtained under reduced initial oxygen availability</t>
    </r>
  </si>
  <si>
    <t>Influence of Different Pretreatment Methods and Yeast Strains on Xylitol Production from Sugarcane Trash Hemicellulose Hydrolysate</t>
  </si>
  <si>
    <t>https://link.springer.com/chapter/10.1007/978-981-19-0308-3_45</t>
  </si>
  <si>
    <t>Xylitol yield (Yp/s) was calculated as the ratio between xylitol concentration and consumed xylose concentration</t>
  </si>
  <si>
    <t>the yield ranged from 0.06 to 0.15 g xylitol/g xylose consumed </t>
  </si>
  <si>
    <r>
      <t>K. marxianus</t>
    </r>
    <r>
      <rPr>
        <sz val="11"/>
        <color rgb="FF222222"/>
        <rFont val="Merriweather"/>
      </rPr>
      <t> TBRC 1524 produced the highest xylitol concentration (2.3 g/L) with volumetric productivity of 0.096 g/L/h, yielding 0.15 g xylitol/g xylose consumed </t>
    </r>
  </si>
  <si>
    <t>https://www.sciencedirect.com/science/article/pii/S003295920200290X</t>
  </si>
  <si>
    <t>Response surface methodology for xylitol production from sugarcane bagasse hemicellulosic hydrolyzate using controlled vacuum evaporation process variables</t>
  </si>
  <si>
    <t>nder these conditions, the xylose, acetic acid and arabinose consumption levels were 93, 57 and 13.62%, respectively, and xylitol yield and production were 0.54 g/g and 24.33 g/l, respectively. </t>
  </si>
  <si>
    <t xml:space="preserve">yield g/g sugarcane </t>
  </si>
  <si>
    <t>https://www.sciencedirect.com/science/article/pii/S0926669018305806</t>
  </si>
  <si>
    <t>Integrated lignocellulosic bioprocess for co-production of ethanol and xylitol from sugarcane bagasse</t>
  </si>
  <si>
    <t>Of the total glucose and xylose available in bagasse, the product yield of 0.44 g/g (ethanol) and 0.50 g/g (xylitol) were reached. </t>
  </si>
  <si>
    <t>https://www.sciencedirect.com/science/article/pii/S0032959202002443</t>
  </si>
  <si>
    <t>The influence of pH and dilution rate on continuous production of xylitol from sugarcane bagasse hemicellulosic hydrolysate by C. guilliermondii</t>
  </si>
  <si>
    <t>Table 2. Effect of the pH, kLa and D on xylitol and cell yield factors, xylitol volumetric productivity and fermentation efficiency obtained by continuous fermentation of sugarcane bagasse hemicellulosic hydrolysate by C. guilliermondii</t>
  </si>
  <si>
    <t>Factors</t>
  </si>
  <si>
    <t>Fermentative parameters</t>
  </si>
  <si>
    <t>kLa (1/h)</t>
  </si>
  <si>
    <t>D (1/h)</t>
  </si>
  <si>
    <t>Yx/s (g/g)</t>
  </si>
  <si>
    <t>Qp (g/l h)</t>
  </si>
  <si>
    <t>ε (%)</t>
  </si>
  <si>
    <t>Yp/s, xylitol yield factor; Yx/s, cell yield factor; Qp, xylitol volumetric productivity; ε, fermentation efficiency.</t>
  </si>
  <si>
    <t>Cunha et al. (2006), using C. guilliermondii cells immobilized in 5 g of PVA-hydrogel to ferment 45 mL of sugarcane bagasse hemicellulosic hydrolyzate in 125-mL Erlenmeyer flasks, observed that the biocatalyst remained stable and exhibited a similar fermentative profile in five repeated-batch fermentations and obtained as an average P = 35.1 g/L, Q P = 0.49 g/L h and Y P/S = 0.58 g/g. </t>
  </si>
  <si>
    <t>https://link.springer.com/chapter/10.1007/978-3-642-31887-0_7</t>
  </si>
  <si>
    <t>Fermentation Strategies Explored for Xylitol Production</t>
  </si>
  <si>
    <t>Y P/S  g/g</t>
  </si>
  <si>
    <r>
      <t>A maximum volumetric productivity (</t>
    </r>
    <r>
      <rPr>
        <i/>
        <sz val="11"/>
        <color rgb="FF222222"/>
        <rFont val="Merriweather"/>
      </rPr>
      <t>Q</t>
    </r>
    <r>
      <rPr>
        <sz val="11"/>
        <color rgb="FF222222"/>
        <rFont val="Merriweather"/>
      </rPr>
      <t> </t>
    </r>
    <r>
      <rPr>
        <sz val="8"/>
        <color rgb="FF222222"/>
        <rFont val="Merriweather"/>
      </rPr>
      <t>P</t>
    </r>
    <r>
      <rPr>
        <sz val="11"/>
        <color rgb="FF222222"/>
        <rFont val="Merriweather"/>
      </rPr>
      <t>) of 0.60 g/L h and a product yield (</t>
    </r>
    <r>
      <rPr>
        <i/>
        <sz val="11"/>
        <color rgb="FF222222"/>
        <rFont val="Merriweather"/>
      </rPr>
      <t>Y</t>
    </r>
    <r>
      <rPr>
        <sz val="11"/>
        <color rgb="FF222222"/>
        <rFont val="Merriweather"/>
      </rPr>
      <t> </t>
    </r>
    <r>
      <rPr>
        <sz val="8"/>
        <color rgb="FF222222"/>
        <rFont val="Merriweather"/>
      </rPr>
      <t>P/S</t>
    </r>
    <r>
      <rPr>
        <sz val="11"/>
        <color rgb="FF222222"/>
        <rFont val="Merriweather"/>
      </rPr>
      <t>) of 0.66 g/g were achieved at a dilution rate (</t>
    </r>
    <r>
      <rPr>
        <i/>
        <sz val="11"/>
        <color rgb="FF222222"/>
        <rFont val="Merriweather"/>
      </rPr>
      <t>D</t>
    </r>
    <r>
      <rPr>
        <sz val="11"/>
        <color rgb="FF222222"/>
        <rFont val="Merriweather"/>
      </rPr>
      <t>) of 0.048 h</t>
    </r>
    <r>
      <rPr>
        <vertAlign val="superscript"/>
        <sz val="11"/>
        <color rgb="FF222222"/>
        <rFont val="Merriweather"/>
      </rPr>
      <t>−1</t>
    </r>
    <r>
      <rPr>
        <sz val="11"/>
        <color rgb="FF222222"/>
        <rFont val="Merriweather"/>
      </rPr>
      <t>, leaving 11 g/L of xylose in the fermented broth.</t>
    </r>
  </si>
  <si>
    <t xml:space="preserve">xylitol </t>
  </si>
  <si>
    <t>Sugarcane molasses</t>
  </si>
  <si>
    <t>xylose in sugarcane molasses</t>
  </si>
  <si>
    <t>Final Ethanol Concentration (g/L)</t>
  </si>
  <si>
    <t>(g Ethanol/kg Treated Corn)</t>
  </si>
  <si>
    <t>(g Ethanol/kg Raw Corn)</t>
  </si>
  <si>
    <t>Corn treated with 2.5 wt% ammonia without cellulase</t>
  </si>
  <si>
    <t>103.91 ± 1.05</t>
  </si>
  <si>
    <t>349.9 ± 3.1</t>
  </si>
  <si>
    <t>340.7 ± 3.0</t>
  </si>
  <si>
    <t>Corn treated with 2.5 wt% ammonia with cellulase</t>
  </si>
  <si>
    <t>106.31 ± 0.76</t>
  </si>
  <si>
    <t>359.3 ± 2.2</t>
  </si>
  <si>
    <t>349.7 ± 2.2</t>
  </si>
  <si>
    <t>Corn treated with 5 wt% ammonia without cellulase</t>
  </si>
  <si>
    <t>108.79 ± 0.24</t>
  </si>
  <si>
    <t>369.0 ± 0.7</t>
  </si>
  <si>
    <t>357.7 ± 0.7</t>
  </si>
  <si>
    <t>Corn treated with 5 wt% ammonia with cellulase</t>
  </si>
  <si>
    <t>110.83 ± 0.58</t>
  </si>
  <si>
    <t>377.0 ± 1.7</t>
  </si>
  <si>
    <t>365.5 ± 1.6</t>
  </si>
  <si>
    <t>Corn treated with 7.5 wt% ammonia without cellulase</t>
  </si>
  <si>
    <t>112.16 ± 1.40</t>
  </si>
  <si>
    <t>382.3 ± 4.1</t>
  </si>
  <si>
    <t>361.7 ± 3.9</t>
  </si>
  <si>
    <t>Corn treated with 7.5 wt% ammonia with cellulase</t>
  </si>
  <si>
    <t>116.84 ± 0.36</t>
  </si>
  <si>
    <t>401.0 ± 1.1</t>
  </si>
  <si>
    <t>379.5 ± 1.0</t>
  </si>
  <si>
    <t>Corn treated with 7.5 wt% ammonia with cellulase plus urea</t>
  </si>
  <si>
    <t>114.69 ± 1.0</t>
  </si>
  <si>
    <t>392.4 ± 3.7</t>
  </si>
  <si>
    <t>371.3 ± 3.5</t>
  </si>
  <si>
    <t>Corn treated with 10 wt% ammonia without cellulase</t>
  </si>
  <si>
    <t>104.86 ± 0.36</t>
  </si>
  <si>
    <t>353.6 ± 2.9</t>
  </si>
  <si>
    <t>334.6 ± 2.8</t>
  </si>
  <si>
    <t>Corn treated with 10 wt% ammonia with cellulase</t>
  </si>
  <si>
    <t>112.98 ± 0.54</t>
  </si>
  <si>
    <t>385.6 ± 1.1</t>
  </si>
  <si>
    <t>364.8 ± 1.0</t>
  </si>
  <si>
    <t>Untreated corn without cellulase</t>
  </si>
  <si>
    <t>99.84 ± 1.67</t>
  </si>
  <si>
    <t>334.2 ± 1.6</t>
  </si>
  <si>
    <t>Untreated corn with cellulase</t>
  </si>
  <si>
    <t>102.64 ± 1.25</t>
  </si>
  <si>
    <t>345.0 ± 4.9</t>
  </si>
  <si>
    <t>able 3. Final ethanol concentrations and calculated yields in control experiment and experiments using aqueous ammonia-treated corn.</t>
  </si>
  <si>
    <t>https://www.mdpi.com/2311-5637/4/4/87</t>
  </si>
  <si>
    <t>Soaking in Aqueous Ammonia (SAA) Pretreatment of Whole Corn Kernels for Cellulosic Ethanol Production from the Fiber Fractions</t>
  </si>
  <si>
    <t>Biorefinery of corn cob for microbial lipid and bio-ethanol production: An environmental friendly process</t>
  </si>
  <si>
    <t>https://www.sciencedirect.com/science/article/pii/S096085241630462X?via%3Dihub</t>
  </si>
  <si>
    <t>131.3 g ethanol and 11.5 g lipid were co-generated from 1 kg raw material.</t>
  </si>
  <si>
    <t>Yield g/g corn cob</t>
  </si>
  <si>
    <t>this is corn stover so we dont use it to calculate the avrg yield</t>
  </si>
  <si>
    <t>Process integration for ethanol production from corn and corn stover as mixed substrates</t>
  </si>
  <si>
    <t>https://www.sciencedirect.com/science/article/pii/S0960852419301361?via%3Dihub#t0005</t>
  </si>
  <si>
    <t>Table 1. Total Starch Content, Ethanol Titers, Ethanol Yields, and Starch–Ethanol Conversion Efficiencies of Normal and Waxy Corna</t>
  </si>
  <si>
    <t>starch content (%)</t>
  </si>
  <si>
    <t>ethanol concentration (mL/100 mL)</t>
  </si>
  <si>
    <t>ethanol yield (g/100 g dry grain)</t>
  </si>
  <si>
    <t>conversion efficiencyb (%)</t>
  </si>
  <si>
    <t>line</t>
  </si>
  <si>
    <t>2009 crop year</t>
  </si>
  <si>
    <t>2010 crop year</t>
  </si>
  <si>
    <t>Waxy</t>
  </si>
  <si>
    <t>71.1 ± 0.3</t>
  </si>
  <si>
    <t>72.3 ± 0.2</t>
  </si>
  <si>
    <t>18.7 ± 0.2</t>
  </si>
  <si>
    <t>18.9 ± 0.1</t>
  </si>
  <si>
    <t>37.6 ± 0.5</t>
  </si>
  <si>
    <t>37.9 ± 0.2</t>
  </si>
  <si>
    <t>71.0 ± 0.6</t>
  </si>
  <si>
    <t>72.8 ± 0.0</t>
  </si>
  <si>
    <t>18.1 ± 0.1</t>
  </si>
  <si>
    <t>18.4 ± 0.1</t>
  </si>
  <si>
    <t>36.3 ± 0.1</t>
  </si>
  <si>
    <t>37.0 ± 0.3</t>
  </si>
  <si>
    <t>67.3 ± 0.7</t>
  </si>
  <si>
    <t>17.9 ± 0.0</t>
  </si>
  <si>
    <t>35.9 ± 0.1</t>
  </si>
  <si>
    <t>68.0 ± 0.6</t>
  </si>
  <si>
    <t>69.2 ± 0.0</t>
  </si>
  <si>
    <t>17.8 ± 0.4</t>
  </si>
  <si>
    <t>17.9 ± 0.2</t>
  </si>
  <si>
    <t>35.7 ± 0.8</t>
  </si>
  <si>
    <t>36.0 ± 0.4</t>
  </si>
  <si>
    <t>66.6 ± 0.3</t>
  </si>
  <si>
    <t>66.4 ± 0.2</t>
  </si>
  <si>
    <t>17.6 ± 0.1</t>
  </si>
  <si>
    <t>17.6 ± 0.3</t>
  </si>
  <si>
    <t>35.4 ± 0.2</t>
  </si>
  <si>
    <t>35.3 ± 0.6</t>
  </si>
  <si>
    <t>64.1 ± 0.0</t>
  </si>
  <si>
    <t>65.3 ± 0.1</t>
  </si>
  <si>
    <t>17.2 ± 0.2</t>
  </si>
  <si>
    <t>17.4 ± 0.3</t>
  </si>
  <si>
    <t>34.6 ± 0.3</t>
  </si>
  <si>
    <t>34.8 ± 0.5</t>
  </si>
  <si>
    <t>68.9 ± 0.7</t>
  </si>
  <si>
    <t>66.7 ± 0.2</t>
  </si>
  <si>
    <t>18.0 ± 0.3</t>
  </si>
  <si>
    <t>17.8 ± 0.2</t>
  </si>
  <si>
    <t>36.2 ± 0.5</t>
  </si>
  <si>
    <t>35.7 ± 0.4</t>
  </si>
  <si>
    <t>68.1 ± 1.0</t>
  </si>
  <si>
    <t>17.9 ± 0.1</t>
  </si>
  <si>
    <t>17.8 ± 0.1</t>
  </si>
  <si>
    <t>35.6 ± 0.2</t>
  </si>
  <si>
    <t>LSM ± SEMc</t>
  </si>
  <si>
    <t>68.3b ± 0.6</t>
  </si>
  <si>
    <t>17.9a ± 0.1</t>
  </si>
  <si>
    <t>36.0a ± 0.3</t>
  </si>
  <si>
    <t>93.0a ± 0.3</t>
  </si>
  <si>
    <t>Normal</t>
  </si>
  <si>
    <t>74.3 ± 0.7</t>
  </si>
  <si>
    <t>74.1 ± 0.5</t>
  </si>
  <si>
    <t>18.6 ± 0.2</t>
  </si>
  <si>
    <t>37.2 ± 0.5</t>
  </si>
  <si>
    <t>37.5 ± 0.4</t>
  </si>
  <si>
    <t>71.5 ± 0.8</t>
  </si>
  <si>
    <t>70.5 ± 0.4</t>
  </si>
  <si>
    <t>17.5 ± 0.4</t>
  </si>
  <si>
    <t>17.5 ± 0.2</t>
  </si>
  <si>
    <t>35.2 ± 0.8</t>
  </si>
  <si>
    <t>35.1 ± 0.4</t>
  </si>
  <si>
    <t>68.2 ± 0.5</t>
  </si>
  <si>
    <t>68.1 ± 0.1</t>
  </si>
  <si>
    <t>17.1 ± 0.2</t>
  </si>
  <si>
    <t>17.1 ± 0.6</t>
  </si>
  <si>
    <t>34.2 ± 0.4</t>
  </si>
  <si>
    <t>34.3 ± 1.3</t>
  </si>
  <si>
    <t>74.1 ± 0.7</t>
  </si>
  <si>
    <t>74.1 ± 0.6</t>
  </si>
  <si>
    <t>18.5 ± 0.3</t>
  </si>
  <si>
    <t>18.4 ± 0.5</t>
  </si>
  <si>
    <t>37.2 ± 0.7</t>
  </si>
  <si>
    <t>37.0 ± 1.1</t>
  </si>
  <si>
    <t>LSM ± SEM</t>
  </si>
  <si>
    <t>71.9a ± 0.9</t>
  </si>
  <si>
    <t>17.9a ± 0.2</t>
  </si>
  <si>
    <t>36.0a ± 0.4</t>
  </si>
  <si>
    <t>88.2b ± 0.5</t>
  </si>
  <si>
    <t>Values are the mean ± standard deviation of two replicates.</t>
  </si>
  <si>
    <t>Conversion efficiency (%) = 100 × ethanol yield (w/w)/theoretical yield of ethanol.</t>
  </si>
  <si>
    <t>Least-squares means (LSM) ± standard errors (SEM). Different letters following the LSM values within the same column indicate statistically different mean values (p &lt; 0.05).</t>
  </si>
  <si>
    <r>
      <t>moisture content of maize grain ranged from </t>
    </r>
    <r>
      <rPr>
        <b/>
        <sz val="8"/>
        <color rgb="FF5F6368"/>
        <rFont val="Arial"/>
        <family val="2"/>
      </rPr>
      <t>26.25 to 34.15</t>
    </r>
    <r>
      <rPr>
        <sz val="8"/>
        <color rgb="FF4D5156"/>
        <rFont val="Arial"/>
        <family val="2"/>
      </rPr>
      <t>%</t>
    </r>
  </si>
  <si>
    <t>https://www.researchgate.net/figure/Average-moisture-content-of-grain-and-corn-cob-cores-at-harvest_tbl1_359924478</t>
  </si>
  <si>
    <t>moisture ocntent</t>
  </si>
  <si>
    <t>yield g/g dry grain</t>
  </si>
  <si>
    <t>yield g/g  grain</t>
  </si>
  <si>
    <t>https://www.sciencedirect.com/science/article/pii/S1359511309000439?pes=vor#bib39</t>
  </si>
  <si>
    <t>Particulate bioprocessing: A novel process strategy for biorefineries</t>
  </si>
  <si>
    <t>The glucose to ethanol yield reached 0.41 g g−1, equivalent to 80% of the theoretical value, proving that our feedstock and the system proposed is suitable for biofuel production</t>
  </si>
  <si>
    <t>Table 2. Ethanol, glycerol, and biomass yields of M. hiemalis during anaerobic cultivation on wheat hydrolysate</t>
  </si>
  <si>
    <t>Maximum yield of fermentation products (g g-1)</t>
  </si>
  <si>
    <t>Glucose (g L−1)</t>
  </si>
  <si>
    <t>Consumed glucosea (g L−1)</t>
  </si>
  <si>
    <t>Time to reach maximum ethanol concentration (h)</t>
  </si>
  <si>
    <t>Initial average glucose uptake rateb (g L−1 h−1)</t>
  </si>
  <si>
    <t>Biomassc</t>
  </si>
  <si>
    <t>a After 24 h.</t>
  </si>
  <si>
    <t>b During 24 h.</t>
  </si>
  <si>
    <t>c The biomass yield was measured at 72 h.</t>
  </si>
  <si>
    <t>https://analyticalsciencejournals.onlinelibrary.wiley.com/doi/full/10.1002/jctb.3822</t>
  </si>
  <si>
    <t>Ethanol and chitosan production from wheat hydrolysate by Mucor hiemalis</t>
  </si>
  <si>
    <r>
      <t>Table 2. Ethanol and biomass yield in cultivation of </t>
    </r>
    <r>
      <rPr>
        <i/>
        <sz val="11"/>
        <color theme="1"/>
        <rFont val="Calibri"/>
        <family val="2"/>
        <scheme val="minor"/>
      </rPr>
      <t>M. hiemalis</t>
    </r>
    <r>
      <rPr>
        <sz val="11"/>
        <color theme="1"/>
        <rFont val="Calibri"/>
        <family val="2"/>
        <scheme val="minor"/>
      </rPr>
      <t> with different initial glucose concentration from wheat hydrolysate.</t>
    </r>
  </si>
  <si>
    <r>
      <t>Glucose [g L</t>
    </r>
    <r>
      <rPr>
        <sz val="6"/>
        <color rgb="FF000000"/>
        <rFont val="Open Sans"/>
        <family val="2"/>
      </rPr>
      <t>−1</t>
    </r>
    <r>
      <rPr>
        <sz val="11"/>
        <color rgb="FF000000"/>
        <rFont val="Open Sans"/>
        <family val="2"/>
      </rPr>
      <t>]</t>
    </r>
  </si>
  <si>
    <r>
      <t>Maximum concentration of fermentation products [g L</t>
    </r>
    <r>
      <rPr>
        <sz val="6"/>
        <color rgb="FF000000"/>
        <rFont val="Open Sans"/>
        <family val="2"/>
      </rPr>
      <t>−1</t>
    </r>
    <r>
      <rPr>
        <sz val="11"/>
        <color rgb="FF000000"/>
        <rFont val="Open Sans"/>
        <family val="2"/>
      </rPr>
      <t>]</t>
    </r>
  </si>
  <si>
    <r>
      <t>Maximum yield of fermentation products [g g</t>
    </r>
    <r>
      <rPr>
        <sz val="6"/>
        <color rgb="FF000000"/>
        <rFont val="Open Sans"/>
        <family val="2"/>
      </rPr>
      <t>−1</t>
    </r>
    <r>
      <rPr>
        <sz val="11"/>
        <color rgb="FF000000"/>
        <rFont val="Open Sans"/>
        <family val="2"/>
      </rPr>
      <t>]</t>
    </r>
  </si>
  <si>
    <t>14.2 ± 1.5</t>
  </si>
  <si>
    <t>0.35 ± 0.02</t>
  </si>
  <si>
    <t>0.30 ± 0.01</t>
  </si>
  <si>
    <t>27.7 ± 3.2</t>
  </si>
  <si>
    <t>0.44 ± 0.02</t>
  </si>
  <si>
    <t>0.11 ± 0.015</t>
  </si>
  <si>
    <t>34.0 ± 2.9</t>
  </si>
  <si>
    <t>0.43 ± 0.03</t>
  </si>
  <si>
    <t>0.07 ± 0.002</t>
  </si>
  <si>
    <t>34.5 ± 2</t>
  </si>
  <si>
    <t>0.38 ± 0.01</t>
  </si>
  <si>
    <t>0.05 ± 0.003</t>
  </si>
  <si>
    <t>https://onlinelibrary.wiley.com/doi/10.1002/ceat.201400763</t>
  </si>
  <si>
    <t>Modeling of High-Concentration Ethanol Production by Mucor hiemalis</t>
  </si>
  <si>
    <t>corn stover</t>
  </si>
  <si>
    <t>The fermentation took almost 72 h resulting in the production of 694 g acid per kg of mashed corn utilized.</t>
  </si>
  <si>
    <t>Kinetics of lactic acid fermentation on glucose and corn by Lactobacillus amylophilus</t>
  </si>
  <si>
    <t>https://analyticalsciencejournals.onlinelibrary.wiley.com/doi/pdf/10.1002/jctb.280550204?casa_token=m_61vklgVJoAAAAA%3A2A_V9FGn4lW3mKab-7ep4yjb2KUl9pS0kGCydds9UHPkyFiBQig9M81uYAEAUmtuGBsGvvUEEZOa</t>
  </si>
  <si>
    <t>g LA/g cellulose</t>
  </si>
  <si>
    <t>g LA/g loaded biomass</t>
  </si>
  <si>
    <t>% of maximum theoretical yield from cellulose</t>
  </si>
  <si>
    <t>corncob</t>
  </si>
  <si>
    <t>theoretical yield g/ g corn pericarp</t>
  </si>
  <si>
    <t>Furfural yield (g/g xylosein wheat)</t>
  </si>
  <si>
    <t>Xylose in wheat (%)</t>
  </si>
  <si>
    <t>Furfural yield % (g/ g xylan+arb)</t>
  </si>
  <si>
    <t>fructose+glucose in wheat  %</t>
  </si>
  <si>
    <t xml:space="preserve">theoretical yield g/ g wheat </t>
  </si>
  <si>
    <t>glucose in wheat</t>
  </si>
  <si>
    <t>glucose in wheat germ</t>
  </si>
  <si>
    <t>avrg g/g</t>
  </si>
  <si>
    <t>Table 3. The lactic acid production cost at different wheat flour concentrations for Process 1</t>
  </si>
  <si>
    <t>Glucose concentration (g/l)</t>
  </si>
  <si>
    <t>Cost (US$/ kg lactic acida)</t>
  </si>
  <si>
    <t>Amount of 70% lactic acid produced per unit mass raw material (kg/kg)</t>
  </si>
  <si>
    <t>Lactic acid with a concentration of 70%.</t>
  </si>
  <si>
    <t>https://www.sciencedirect.com/science/article/pii/S0960852400000572?via%3Dihub</t>
  </si>
  <si>
    <t>An economic evaluation of the fermentative production of lactic acid from wheat flour</t>
  </si>
  <si>
    <t>able 3 Identified values of the model parameters</t>
  </si>
  <si>
    <t>From: Modeling the continuous lactic acid production process from wheat flour</t>
  </si>
  <si>
    <t>Identified value</t>
  </si>
  <si>
    <t>μmax (h−1)</t>
  </si>
  <si>
    <t>P max (g L−1)</t>
  </si>
  <si>
    <t>Y X (g cell g−1 glucose)</t>
  </si>
  <si>
    <t>Y P (g product g−1 cell)</t>
  </si>
  <si>
    <t>K M (h−1)</t>
  </si>
  <si>
    <t>K S (g L−1)</t>
  </si>
  <si>
    <t>0.5 (fixed from literature)</t>
  </si>
  <si>
    <t>n</t>
  </si>
  <si>
    <t>3 (fixed after several trials)</t>
  </si>
  <si>
    <t>Modeling the continuous lactic acid production process from wheat flour</t>
  </si>
  <si>
    <t>https://link.springer.com/article/10.1007/s00253-015-6949-7</t>
  </si>
  <si>
    <t>yield g product/g glucose</t>
  </si>
  <si>
    <t>xylose in wheat %</t>
  </si>
  <si>
    <t>yield (g xylitol / g wheat )</t>
  </si>
  <si>
    <t>3-HP yield g/g wheat</t>
  </si>
  <si>
    <t>3-HP yield g/g wheat bran</t>
  </si>
  <si>
    <t>3-HP yield g/g wheat germ</t>
  </si>
  <si>
    <t>Microsoft Word - Y90409_FINAL_Zhuang_LWSL_Hydrol_Wheat_Straw_Hemi_Detox_Xylitol.doc (ncsu.edu)</t>
  </si>
  <si>
    <t>% xylose</t>
  </si>
  <si>
    <t>Evaluation of antioxidant activity of dilute acid hydrolysate of wheat straw during xylose production - ScienceDirect (wur.nl)</t>
  </si>
  <si>
    <t>g/g wheat straw</t>
  </si>
  <si>
    <t>Xylitol bioproduction from wheat straw: hemicellulose hydrolysis and hydrolyzate fermentation - Canilha - 2006 - Journal of the Science of Food and Agriculture - Wiley Online Library (wur.nl)</t>
  </si>
  <si>
    <t>Optimization of parameters for xylitol production by Aspergillus terreus</t>
  </si>
  <si>
    <t>c/c xylose</t>
  </si>
  <si>
    <t>Batch xylitol production from wheat straw hemicellulosic hydrolysate using Candida guilliermondii in a stirred tank reactor - ProQuest</t>
  </si>
  <si>
    <t>Xylitol production from wheat straw hemicellulosic hydrolysate: hydrolysate detoxification and carbon source used for inoculum preparation - ProQuest</t>
  </si>
  <si>
    <t xml:space="preserve">ref 7 </t>
  </si>
  <si>
    <t>Table 1. Ethanol production from raw and steam treated sugar beets.a</t>
  </si>
  <si>
    <t>Ethanol (%w/v)c fermentation time and conditions</t>
  </si>
  <si>
    <t>Ethanol (% of Dry Weight)e fermentation time and conditions</t>
  </si>
  <si>
    <t>State/Month</t>
  </si>
  <si>
    <t>Dry weight (wt%)</t>
  </si>
  <si>
    <t>24 h</t>
  </si>
  <si>
    <t>24 h SSF</t>
  </si>
  <si>
    <t>48 h</t>
  </si>
  <si>
    <t>48 h SSF</t>
  </si>
  <si>
    <t>FL/Apr</t>
  </si>
  <si>
    <t>Raw</t>
  </si>
  <si>
    <t>14.48 ± 0.23</t>
  </si>
  <si>
    <t>3.87 ± 0.00b</t>
  </si>
  <si>
    <t>4.08 ± 0.00b</t>
  </si>
  <si>
    <t>Steam Gun-A</t>
  </si>
  <si>
    <t>9.54 ± 0.12</t>
  </si>
  <si>
    <t>3.07 ± 0.00b</t>
  </si>
  <si>
    <t>3.24 ± 0.00b</t>
  </si>
  <si>
    <t>2.80 ± 0.00b</t>
  </si>
  <si>
    <t>3.31 ± 0.01b</t>
  </si>
  <si>
    <t>MN/Sep</t>
  </si>
  <si>
    <t>21.23 ± 0.22</t>
  </si>
  <si>
    <t>ND</t>
  </si>
  <si>
    <t>7.81 ± 0.11</t>
  </si>
  <si>
    <t>8.41 ± 0.01</t>
  </si>
  <si>
    <t>Steam Gun-B</t>
  </si>
  <si>
    <t>11.58 ± 0.06</t>
  </si>
  <si>
    <t>3.94 ± 0.01</t>
  </si>
  <si>
    <t>4.46 ± 0.02</t>
  </si>
  <si>
    <t>3.88 ± 0.06</t>
  </si>
  <si>
    <t>4.30 ± 0.04</t>
  </si>
  <si>
    <t>17.38 ± 0.11</t>
  </si>
  <si>
    <t>7.83 ± 0.18</t>
  </si>
  <si>
    <t>8.53 ± 0.03</t>
  </si>
  <si>
    <t>Pilot Scale-A</t>
  </si>
  <si>
    <t>16.80 ± 0.48</t>
  </si>
  <si>
    <t>5.57 ± 0.18</t>
  </si>
  <si>
    <t>5.92 ± 0.01</t>
  </si>
  <si>
    <t>5.48 ± 0.12</t>
  </si>
  <si>
    <t>5.83 ± 0.11</t>
  </si>
  <si>
    <t>FL/May</t>
  </si>
  <si>
    <t>18.26 ± 0.27</t>
  </si>
  <si>
    <t>6.95 ± 0.31d</t>
  </si>
  <si>
    <t>7.23 ± 0.37d</t>
  </si>
  <si>
    <t>Pilot Scale-B</t>
  </si>
  <si>
    <t>16.03 ± 0.11</t>
  </si>
  <si>
    <t>5.73 ± 0.03d</t>
  </si>
  <si>
    <t>5.91 ± 0.00d</t>
  </si>
  <si>
    <t>Pilot Scale-C</t>
  </si>
  <si>
    <t>17.64 ± 0.19</t>
  </si>
  <si>
    <t>6.25 ± 0.05</t>
  </si>
  <si>
    <t>6.75 ± 0.05</t>
  </si>
  <si>
    <t>6.21 ± 0.01</t>
  </si>
  <si>
    <t>6.72 ± 0.08</t>
  </si>
  <si>
    <t>https://www.sciencedirect.com/science/article/pii/S1878818117301998?pes=vor#t0005</t>
  </si>
  <si>
    <t>Steam explosion and fermentation of sugar beets from Southern Florida and the Midwestern United States</t>
  </si>
  <si>
    <t>ethanol yield (g/g fresh weight)</t>
  </si>
  <si>
    <t>Durchschnittlicher Ertrag</t>
  </si>
  <si>
    <t xml:space="preserve"> 43 t/ha</t>
  </si>
  <si>
    <t>average yield of sugar beet</t>
  </si>
  <si>
    <t>Ethanolertrag</t>
  </si>
  <si>
    <t>3,55 m³/ha</t>
  </si>
  <si>
    <t>ethanol yield</t>
  </si>
  <si>
    <t>Abb. 9: Kartoffelerzeugung in Deutschland</t>
  </si>
  <si>
    <t>Inputs</t>
  </si>
  <si>
    <t>Sugar beets</t>
  </si>
  <si>
    <t>0.10 (490.40)</t>
  </si>
  <si>
    <t>Table 4. Conversion facility inputs and outputs.</t>
  </si>
  <si>
    <t>kg dry sugar beet/MJEtOH (LEtOH/tdry sugar beet)</t>
  </si>
  <si>
    <t>https://www.sciencedirect.com/science/article/pii/S0959652617309824#tbl4</t>
  </si>
  <si>
    <t>Sugar beet ethanol (Beta vulgaris L.): A promising low-carbon pathway for ethanol production in California</t>
  </si>
  <si>
    <t>harvested with 78% moisture, or 19.7 dry t/ha</t>
  </si>
  <si>
    <t>yield (L EtOH/t dry sugar beet)</t>
  </si>
  <si>
    <t>dry of whole</t>
  </si>
  <si>
    <t>yield (g ethanol / g sugarbeet)</t>
  </si>
  <si>
    <t>Ethanol yield (g/g drysugar beet pulp)</t>
  </si>
  <si>
    <t>moisture %</t>
  </si>
  <si>
    <t>Conclusion: Applying the proposed integrated process, approximately 97.5 gallon of ethanol would be produced from a ton (dry weight) of SBP.</t>
  </si>
  <si>
    <t>gallon ethanol per ton dry SBP</t>
  </si>
  <si>
    <t>L</t>
  </si>
  <si>
    <t>g ethanol /g dry SBP</t>
  </si>
  <si>
    <t>moisture</t>
  </si>
  <si>
    <t>g ethanol /g SBP</t>
  </si>
  <si>
    <t>REFRESH</t>
  </si>
  <si>
    <t>Glucose in sbm (%)</t>
  </si>
  <si>
    <t>Table 3: Reducing sugar and bio-ethanol yield using two molasses as substrate.</t>
  </si>
  <si>
    <t>Sugar cane molasses</t>
  </si>
  <si>
    <t>Sugar beet molasses</t>
  </si>
  <si>
    <t>Reducing sugar</t>
  </si>
  <si>
    <t>Bio-ethanol yield (g/L)</t>
  </si>
  <si>
    <t>S. Cerevisiae F514</t>
  </si>
  <si>
    <t>40.8 ± 2.2b</t>
  </si>
  <si>
    <t>94.9 ± 0.8a</t>
  </si>
  <si>
    <t>8.74 ± 1.9c</t>
  </si>
  <si>
    <t>62.4 ±1.5a</t>
  </si>
  <si>
    <t>S. cerevisiae ATTCC4098</t>
  </si>
  <si>
    <t>38.0 ± 0.4b</t>
  </si>
  <si>
    <t>52.4 ± 1.5c</t>
  </si>
  <si>
    <t>11.5 ± 0.5ab</t>
  </si>
  <si>
    <t>50.6 ± 0.7c</t>
  </si>
  <si>
    <t>C. kefyr</t>
  </si>
  <si>
    <t>47.8 ± 2.3a</t>
  </si>
  <si>
    <t>55.7 ± 0.7b</t>
  </si>
  <si>
    <t>13.7 ± 2.3a</t>
  </si>
  <si>
    <t>56.1 ± 0.4b</t>
  </si>
  <si>
    <t>C. tropicalis</t>
  </si>
  <si>
    <t>34.6 ± 3.2c</t>
  </si>
  <si>
    <t>54.6 ± 1.3b</t>
  </si>
  <si>
    <t>9.4 ± 0.6 bc</t>
  </si>
  <si>
    <t>29.4 ± 2.6 f</t>
  </si>
  <si>
    <t>37.7 ± 1.8bc</t>
  </si>
  <si>
    <t>9.87 ± 1.1e</t>
  </si>
  <si>
    <t>12.7 ± 2.4a</t>
  </si>
  <si>
    <t>34.7 ± 3.3e</t>
  </si>
  <si>
    <t>P. stipites</t>
  </si>
  <si>
    <t>34.9 ± 0.3c</t>
  </si>
  <si>
    <t>51.2 ± 0.2c</t>
  </si>
  <si>
    <t>4.58 ± 0.5d</t>
  </si>
  <si>
    <t>4.67 ± 0.3g</t>
  </si>
  <si>
    <t>Zymomon as mobilis</t>
  </si>
  <si>
    <t>31.6±2.5d</t>
  </si>
  <si>
    <t>45.8±0.96d</t>
  </si>
  <si>
    <t>12.2±0.21a</t>
  </si>
  <si>
    <t>44.2±3.5d</t>
  </si>
  <si>
    <t>Means ± standard deviation within a column followed by the same letter are not significantly different at P= 0.05 when compared by Duncan test.</t>
  </si>
  <si>
    <t>https://nexusacademicpublishers.com/table_contents_detail/4/1983/html</t>
  </si>
  <si>
    <t>Maximization of Bio-Ethanol Production by Yeasts using Sugar Cane and Sugar Beet Molasses</t>
  </si>
  <si>
    <t>Reducing sugar (g/L)</t>
  </si>
  <si>
    <t>ethanol yield (g ethanol/g sugar)</t>
  </si>
  <si>
    <t xml:space="preserve">free ethanol yield </t>
  </si>
  <si>
    <t>https://www.sciencedirect.com/science/article/pii/0922338X9290224I?pes=vor</t>
  </si>
  <si>
    <t>Continuous ethanol production from sugar beet molasses using an osmotolerant mutant strain of Zymomonas mobilis</t>
  </si>
  <si>
    <t>Y p/s (g/g sugar)</t>
  </si>
  <si>
    <t>sugar in SBM</t>
  </si>
  <si>
    <t>Yield (g/g SBM)</t>
  </si>
  <si>
    <t xml:space="preserve">This study demonstrated that hydrolysates after furfural production from sugar waste biomass can potentially be used as fermentation media for methane and hydrogen production, so it is not suitable for estimate furfural production </t>
  </si>
  <si>
    <t>Table 4. Result for 5-HMF production from the acidic dehydration of C6 sugars obtained from the sucrose hydrolysis.</t>
  </si>
  <si>
    <t>Initial conc. of C6 sugars (g/L)</t>
  </si>
  <si>
    <t>Final conc. of C6 sugars (g/L)</t>
  </si>
  <si>
    <t>5-HMF selectivity (%)</t>
  </si>
  <si>
    <t>Fructose</t>
  </si>
  <si>
    <t>b.d.l.a</t>
  </si>
  <si>
    <t>100b</t>
  </si>
  <si>
    <t>Below detection limit.</t>
  </si>
  <si>
    <t>Close to 100%.</t>
  </si>
  <si>
    <t>https://www.sciencedirect.com/science/article/pii/S0263876222000077?pes=vor#tbl0020</t>
  </si>
  <si>
    <r>
      <t xml:space="preserve">Effect of membrane purification and concentration of sucrose in </t>
    </r>
    <r>
      <rPr>
        <sz val="11"/>
        <color rgb="FFFF0000"/>
        <rFont val="Calibri"/>
        <family val="2"/>
        <scheme val="minor"/>
      </rPr>
      <t xml:space="preserve">sugar beet molasses </t>
    </r>
    <r>
      <rPr>
        <sz val="11"/>
        <color theme="1"/>
        <rFont val="Calibri"/>
        <family val="2"/>
        <scheme val="minor"/>
      </rPr>
      <t>for the production of 5-hydroxymethylfurfural</t>
    </r>
  </si>
  <si>
    <t>Y HMF max (fru+glu mol %)</t>
  </si>
  <si>
    <t>fru+glu in SB %</t>
  </si>
  <si>
    <t>HMF yield (g/g glu+fru)%</t>
  </si>
  <si>
    <t>yield g/g SB</t>
  </si>
  <si>
    <t>aqueous/MTHF 1:4, 150 °C, 20 min, pH 0.6, 0.3 g mL−1 NaCl</t>
  </si>
  <si>
    <t>aqueous/MTHF 1:4, 150 °C, 20 min, pH 1.2, 0.1 g mL−1 NaCl</t>
  </si>
  <si>
    <r>
      <t>X</t>
    </r>
    <r>
      <rPr>
        <sz val="8"/>
        <color rgb="FF000000"/>
        <rFont val="Open Sans"/>
        <family val="2"/>
      </rPr>
      <t>FRC [mol %]</t>
    </r>
  </si>
  <si>
    <r>
      <t>S</t>
    </r>
    <r>
      <rPr>
        <sz val="8"/>
        <color rgb="FF000000"/>
        <rFont val="Open Sans"/>
        <family val="2"/>
      </rPr>
      <t>HMF [mol %]</t>
    </r>
  </si>
  <si>
    <r>
      <t>Y</t>
    </r>
    <r>
      <rPr>
        <b/>
        <vertAlign val="subscript"/>
        <sz val="8"/>
        <color rgb="FFFA7D00"/>
        <rFont val="Calibri"/>
        <family val="2"/>
        <scheme val="minor"/>
      </rPr>
      <t>HMF(FRC)</t>
    </r>
    <r>
      <rPr>
        <b/>
        <sz val="8"/>
        <color rgb="FFFA7D00"/>
        <rFont val="Calibri"/>
        <family val="2"/>
        <scheme val="minor"/>
      </rPr>
      <t xml:space="preserve"> (mol HMF/mol FRC)</t>
    </r>
  </si>
  <si>
    <r>
      <t>Y</t>
    </r>
    <r>
      <rPr>
        <b/>
        <vertAlign val="subscript"/>
        <sz val="8"/>
        <color rgb="FFFA7D00"/>
        <rFont val="Calibri"/>
        <family val="2"/>
        <scheme val="minor"/>
      </rPr>
      <t>HMF(FRC)</t>
    </r>
    <r>
      <rPr>
        <b/>
        <sz val="8"/>
        <color rgb="FFFA7D00"/>
        <rFont val="Calibri"/>
        <family val="2"/>
        <scheme val="minor"/>
      </rPr>
      <t xml:space="preserve"> (g HMF/g FRC)</t>
    </r>
  </si>
  <si>
    <t>CM (Crude molasses)</t>
  </si>
  <si>
    <t>UF (ultrafiltration)</t>
  </si>
  <si>
    <t>NF ( nanofiltration)</t>
  </si>
  <si>
    <t>fructose+glucose in SBM%</t>
  </si>
  <si>
    <t>theoretical yield g/ g SBM</t>
  </si>
  <si>
    <t>theoretical yield g/ g apple</t>
  </si>
  <si>
    <t>fru+glu in Sugar Beet %</t>
  </si>
  <si>
    <t>theoretical yield FDCA from Sugar Beet g/g</t>
  </si>
  <si>
    <t>fru+glu in Sugar Beet Pulp %</t>
  </si>
  <si>
    <t>theoretical yield FDCA from Sugar Beet Pulp g/g</t>
  </si>
  <si>
    <t>SUCCINIC ACID</t>
  </si>
  <si>
    <t>glu+fru+xyl in Sugar Beet</t>
  </si>
  <si>
    <t>succinate yield g/g Sugar Beet</t>
  </si>
  <si>
    <t>sugar beet pulp</t>
  </si>
  <si>
    <t>Restructuring the Conventional Sugar Beet Industry into a Novel Biorefinery: Fractionation and Bioconversion of Sugar Beet Pulp into Succinic Acid and Value-Added Coproducts | ACS Sustainable Chemistry &amp; Engineering (wur.nl)</t>
  </si>
  <si>
    <t>https://pubs.acs.org/doi/10.1021/acssuschemeng.8b04874?src=getftr</t>
  </si>
  <si>
    <r>
      <t>Laboratory-scale fed-batch fermentations were carried out with the bacterial strain </t>
    </r>
    <r>
      <rPr>
        <i/>
        <sz val="10"/>
        <color rgb="FF000000"/>
        <rFont val="Georgia"/>
        <family val="1"/>
      </rPr>
      <t>Actinobacillus succinogenes</t>
    </r>
    <r>
      <rPr>
        <sz val="10"/>
        <color rgb="FF000000"/>
        <rFont val="Georgia"/>
        <family val="1"/>
      </rPr>
      <t> cultivated on SBP hydrolysate resulting in the production of 30 g/L of succinic acid concentration with productivity of 0.62 g/L/h and yield of 0.8 g/g. </t>
    </r>
  </si>
  <si>
    <t>Table 5. Fermentation Results Carried-out Using SBP-Derived Hydrolysates</t>
  </si>
  <si>
    <t>fermentation mode</t>
  </si>
  <si>
    <t>initial sugars (g/L)</t>
  </si>
  <si>
    <t>consumed sugars (g/L)</t>
  </si>
  <si>
    <t>SA produced (g/L)</t>
  </si>
  <si>
    <t>SA yieldb (g/g)</t>
  </si>
  <si>
    <t>SA productivity (g/L/h)</t>
  </si>
  <si>
    <t>formic acid (g/L)</t>
  </si>
  <si>
    <t>acetic acid (g/L)</t>
  </si>
  <si>
    <t>batch 1, YE</t>
  </si>
  <si>
    <t>32.2 ± 1.7</t>
  </si>
  <si>
    <t>32.2 ± 0.8</t>
  </si>
  <si>
    <t>20.0 ± 0.8</t>
  </si>
  <si>
    <t>0.62 ± 0.01</t>
  </si>
  <si>
    <t>0.69 ± 0.07</t>
  </si>
  <si>
    <t>6.3 ± 0.3</t>
  </si>
  <si>
    <t>batch 2, no YE</t>
  </si>
  <si>
    <t>33.3 ± 1.5</t>
  </si>
  <si>
    <t>30.4 ± 2.3</t>
  </si>
  <si>
    <t>19.9 ± 1.1</t>
  </si>
  <si>
    <t>1.8 ± 0.2</t>
  </si>
  <si>
    <t>3.3 ± 0.4</t>
  </si>
  <si>
    <t>fed-batch lab scale</t>
  </si>
  <si>
    <t>29.2 ± 1.6</t>
  </si>
  <si>
    <t>154.7a ± 19.2</t>
  </si>
  <si>
    <t>31.1 ± 1.5</t>
  </si>
  <si>
    <t>0.80 ± 0.09</t>
  </si>
  <si>
    <t>0.62 ± 0.15</t>
  </si>
  <si>
    <t>7.5 ± 3.2</t>
  </si>
  <si>
    <t>6.2 ± 0.01</t>
  </si>
  <si>
    <t>fed-batch pilot-scale</t>
  </si>
  <si>
    <t>23.1 ± 2.5</t>
  </si>
  <si>
    <t>1260.8a ± 300.2</t>
  </si>
  <si>
    <t>30.1 ± 1.8</t>
  </si>
  <si>
    <t>0.90 ± 0.26</t>
  </si>
  <si>
    <t>0.75 ± 0.15</t>
  </si>
  <si>
    <t>7.1 ± 1.9</t>
  </si>
  <si>
    <t>Grams of consumed sugars.</t>
  </si>
  <si>
    <t>Yield was calculated by taking into account the amount of total sugars and succinic acid losses from sampling.</t>
  </si>
  <si>
    <t>sugar in sugar beet pulp %</t>
  </si>
  <si>
    <t>SA yield g/g</t>
  </si>
  <si>
    <t>Metabolic engineering of Aspergillus niger via ribonucleoprotein-based CRISPR–Cas9 system for succinic acid production from renewable biomass</t>
  </si>
  <si>
    <t>https://link.springer.com/article/10.1186/s13068-020-01850-5</t>
  </si>
  <si>
    <r>
      <t xml:space="preserve"> In terms of succinic acid production, the highest amount and yield (17 g/L and </t>
    </r>
    <r>
      <rPr>
        <sz val="11"/>
        <color rgb="FFFF0000"/>
        <rFont val="Calibri"/>
        <family val="2"/>
        <scheme val="minor"/>
      </rPr>
      <t>0.18 g/g glucose</t>
    </r>
    <r>
      <rPr>
        <sz val="11"/>
        <color theme="1"/>
        <rFont val="Calibri"/>
        <family val="2"/>
        <scheme val="minor"/>
      </rPr>
      <t>) were obtained at 35 °C on day 3 (Fig. 3b, c).</t>
    </r>
  </si>
  <si>
    <r>
      <t xml:space="preserve">The yield of succinic acid at 30 °C reached </t>
    </r>
    <r>
      <rPr>
        <sz val="11"/>
        <color rgb="FFFF0000"/>
        <rFont val="Calibri"/>
        <family val="2"/>
        <scheme val="minor"/>
      </rPr>
      <t>0.17 g/g glucose</t>
    </r>
    <r>
      <rPr>
        <sz val="11"/>
        <color theme="1"/>
        <rFont val="Calibri"/>
        <family val="2"/>
        <scheme val="minor"/>
      </rPr>
      <t>, which was close to the yield at 35 °C, but the sugar consumption and the amount of succinic acid was lower.</t>
    </r>
  </si>
  <si>
    <t>avrg yield g/g glucose</t>
  </si>
  <si>
    <t>glucose in SBM%</t>
  </si>
  <si>
    <t>yield g/g SBM</t>
  </si>
  <si>
    <t>yield (3-HP/Sugar Beet)</t>
  </si>
  <si>
    <t>glucose in Sugar Beet pulp</t>
  </si>
  <si>
    <t>yield (3-HP/Sugar Beet pulp)</t>
  </si>
  <si>
    <t>glucose in Sugar Beet Molasses</t>
  </si>
  <si>
    <t>yield (3-HP/Sugar Beet Molasses)</t>
  </si>
  <si>
    <t>Levulinic Acid</t>
  </si>
  <si>
    <t>glu+fru Sugar Beet (g/100g)</t>
  </si>
  <si>
    <t>Theoretical yield (g/g Sugar Beet)</t>
  </si>
  <si>
    <t>glu+fru Sugar Beet pulp (g/100g)</t>
  </si>
  <si>
    <t>Theoretical yield (g/g Sugar Beet pulp)</t>
  </si>
  <si>
    <t>Maintenance of a Highly Active Solid Acid Catalyst in Sugar Beet Molasses for Levulinic Acid Production</t>
  </si>
  <si>
    <t>https://link.springer.com/article/10.1007/s12355-017-0543-5</t>
  </si>
  <si>
    <t>Table 2 Catalytic performance of Amberlyst-36™ in different molasses solutions at 140 °C for 3 h</t>
  </si>
  <si>
    <t>From: Maintenance of a Highly Active Solid Acid Catalyst in Sugar Beet Molasses for Levulinic Acid Production</t>
  </si>
  <si>
    <t>Solutions</t>
  </si>
  <si>
    <t>Without Amberlyst-36™</t>
  </si>
  <si>
    <t>With Amberlyst-36™</t>
  </si>
  <si>
    <t>Glucose (mol%)</t>
  </si>
  <si>
    <t>Fructose (mol%)</t>
  </si>
  <si>
    <t>HMF (mol%)</t>
  </si>
  <si>
    <t>LA (mol%)</t>
  </si>
  <si>
    <r>
      <t>Working molasses solution</t>
    </r>
    <r>
      <rPr>
        <vertAlign val="superscript"/>
        <sz val="11"/>
        <color theme="1"/>
        <rFont val="Merriweather Sans"/>
      </rPr>
      <t>a</t>
    </r>
  </si>
  <si>
    <r>
      <t>Acidified (pH 1.50)</t>
    </r>
    <r>
      <rPr>
        <vertAlign val="superscript"/>
        <sz val="11"/>
        <color theme="1"/>
        <rFont val="Merriweather Sans"/>
      </rPr>
      <t>b</t>
    </r>
  </si>
  <si>
    <r>
      <t>Acidified (pH 1.65)</t>
    </r>
    <r>
      <rPr>
        <vertAlign val="superscript"/>
        <sz val="11"/>
        <color theme="1"/>
        <rFont val="Merriweather Sans"/>
      </rPr>
      <t>b</t>
    </r>
  </si>
  <si>
    <r>
      <t>Acidified (pH 1.77)</t>
    </r>
    <r>
      <rPr>
        <vertAlign val="superscript"/>
        <sz val="11"/>
        <color theme="1"/>
        <rFont val="Merriweather Sans"/>
      </rPr>
      <t>b</t>
    </r>
  </si>
  <si>
    <r>
      <t>IE-1</t>
    </r>
    <r>
      <rPr>
        <vertAlign val="superscript"/>
        <sz val="11"/>
        <color theme="1"/>
        <rFont val="Merriweather Sans"/>
      </rPr>
      <t>c</t>
    </r>
  </si>
  <si>
    <r>
      <t>IE-2</t>
    </r>
    <r>
      <rPr>
        <vertAlign val="superscript"/>
        <sz val="11"/>
        <color theme="1"/>
        <rFont val="Merriweather Sans"/>
      </rPr>
      <t>c</t>
    </r>
  </si>
  <si>
    <r>
      <t>IE-3</t>
    </r>
    <r>
      <rPr>
        <vertAlign val="superscript"/>
        <sz val="11"/>
        <color theme="1"/>
        <rFont val="Merriweather Sans"/>
      </rPr>
      <t>c</t>
    </r>
  </si>
  <si>
    <r>
      <t>IE-4</t>
    </r>
    <r>
      <rPr>
        <vertAlign val="superscript"/>
        <sz val="11"/>
        <color theme="1"/>
        <rFont val="Merriweather Sans"/>
      </rPr>
      <t>c</t>
    </r>
  </si>
  <si>
    <r>
      <t>IE-5</t>
    </r>
    <r>
      <rPr>
        <vertAlign val="superscript"/>
        <sz val="11"/>
        <color theme="1"/>
        <rFont val="Merriweather Sans"/>
      </rPr>
      <t>c</t>
    </r>
  </si>
  <si>
    <r>
      <t>IE-6</t>
    </r>
    <r>
      <rPr>
        <vertAlign val="superscript"/>
        <sz val="11"/>
        <color theme="1"/>
        <rFont val="Merriweather Sans"/>
      </rPr>
      <t>c</t>
    </r>
  </si>
  <si>
    <r>
      <t>a</t>
    </r>
    <r>
      <rPr>
        <sz val="11"/>
        <color rgb="FF222222"/>
        <rFont val="Merriweather"/>
      </rPr>
      <t>100 g/L sucrose</t>
    </r>
  </si>
  <si>
    <r>
      <t>b</t>
    </r>
    <r>
      <rPr>
        <sz val="11"/>
        <color rgb="FF222222"/>
        <rFont val="Merriweather"/>
      </rPr>
      <t>Acidified working molasses solution with sulfuric acid</t>
    </r>
  </si>
  <si>
    <t>cIon-exchange working molasses solution with fresh Amberlyst-36™. The composition and pH of the solution are given in Table 1</t>
  </si>
  <si>
    <t>La g/g surcrose</t>
  </si>
  <si>
    <t>LA g/g SBM</t>
  </si>
  <si>
    <t>sucrose g/gSBM</t>
  </si>
  <si>
    <t>sugar from sugar beet g/g</t>
  </si>
  <si>
    <t>theoretical yield (g lactic acid per g sugar beet)</t>
  </si>
  <si>
    <t>Feasibility of exhausted sugar beet pulp as raw material for lactic acid production</t>
  </si>
  <si>
    <t>https://onlinelibrary.wiley.com/doi/10.1002/jsfa.10334</t>
  </si>
  <si>
    <t>Table 1. Maximum concentration, yield and maximum productivity of lactic acid in conditions tested using Lactobacillus casei 2246</t>
  </si>
  <si>
    <t>Maximum concentration and yield</t>
  </si>
  <si>
    <t>Maximum productivity</t>
  </si>
  <si>
    <t>t (h)</t>
  </si>
  <si>
    <t>Cmax (g L−1)</t>
  </si>
  <si>
    <t>Yield (g g–1)</t>
  </si>
  <si>
    <t>Pmax (g L−1 h−1)</t>
  </si>
  <si>
    <t>SSF (0 h)</t>
  </si>
  <si>
    <t>15.36 ± 0.16</t>
  </si>
  <si>
    <t>0.15 ± 0.00</t>
  </si>
  <si>
    <t>0.23 ± 0.01</t>
  </si>
  <si>
    <t>SSF (8 h)</t>
  </si>
  <si>
    <t>14.79 ± 0.31</t>
  </si>
  <si>
    <t>0.17 ± 0.00</t>
  </si>
  <si>
    <t>SSF (24 h)</t>
  </si>
  <si>
    <t>13.36 ± 0.82</t>
  </si>
  <si>
    <t>0.13 ± 0.01</t>
  </si>
  <si>
    <t>0.11 ± 0.00</t>
  </si>
  <si>
    <t>SHF (168 h)</t>
  </si>
  <si>
    <t>10.87 ± 0.84</t>
  </si>
  <si>
    <t>0.11 ± 0.01</t>
  </si>
  <si>
    <t>0.03 ± 0.00</t>
  </si>
  <si>
    <t>SSF with CaCO3</t>
  </si>
  <si>
    <t>16.68 ± 0.35</t>
  </si>
  <si>
    <t>0.65 ± 0.03</t>
  </si>
  <si>
    <t>SSF fed-batch</t>
  </si>
  <si>
    <t>18.02 ± 0.61</t>
  </si>
  <si>
    <t>0.09 ± 0.01</t>
  </si>
  <si>
    <t>0.25 ± 0.02</t>
  </si>
  <si>
    <t>SSF fed-batch, MRS and CaCO3</t>
  </si>
  <si>
    <t>26.88 ± 0.69</t>
  </si>
  <si>
    <t>0.63 ± 0.01</t>
  </si>
  <si>
    <t>Cmax, maximum concentration of lactic acid obtained in each experiment.</t>
  </si>
  <si>
    <t>Yield, maximum yield, expressed in grams of lactic acid per gram of initial total dry matter.</t>
  </si>
  <si>
    <t>Pmax, maximum productivity of each experiment. Productivity is calculated at each process time as the quotient between the lactic acid concentration and that specific time. The highest value among them is Pmax.</t>
  </si>
  <si>
    <t>avrg Yield (g g–1 dry matter)</t>
  </si>
  <si>
    <t>DM in raw material</t>
  </si>
  <si>
    <t>refresh</t>
  </si>
  <si>
    <t>yield (g g–1 SBP)</t>
  </si>
  <si>
    <t>Effect of Several Pretreatments on the Lactic Acid Production from Exhausted Sugar Beet Pulp</t>
  </si>
  <si>
    <t>https://www.mdpi.com/2304-8158/10/10/2414</t>
  </si>
  <si>
    <t xml:space="preserve">notes: we take the data at 48h because the concentration of LA starts increasing and glucose starts decreasing </t>
  </si>
  <si>
    <t>glucose (g/L)</t>
  </si>
  <si>
    <t>yield g/g SBP</t>
  </si>
  <si>
    <t>glucose in SBP</t>
  </si>
  <si>
    <t>glucose in SBP%</t>
  </si>
  <si>
    <t>figure 3</t>
  </si>
  <si>
    <t>Simultaneous Saccharification and Fermentation of Sugar Beet Pulp with Mixed Bacterial Cultures for Lactic Acid and Propylene Glycol Production</t>
  </si>
  <si>
    <t>https://www.mdpi.com/1420-3049/21/10/1380</t>
  </si>
  <si>
    <t>yield g LA/g dry weight</t>
  </si>
  <si>
    <t>avrg yield  g LA/g dry weight</t>
  </si>
  <si>
    <t>figure 4</t>
  </si>
  <si>
    <t>reaction 1</t>
  </si>
  <si>
    <t xml:space="preserve"> the quantity of LA formed by Reaction (1) is only the frac-tionYL/Gof the total glucose consumed</t>
  </si>
  <si>
    <t>TheYLGcoefficient, which represents the fraction of glucoseconverted to LA by Reaction (1), takes a narrow range of valuesof 0.75–0.90, without significant pH influence (Table 1).</t>
  </si>
  <si>
    <t>https://onlinelibrary.wiley.com/doi/10.1002/jsfa.11046</t>
  </si>
  <si>
    <t>Table 1. Kinetic parameters estimated for LA fermentation in three different media by L. plantarum: ESBPP hydrolysate; synthetic medium of MRS with glucose as main carbon source (MRS-glu); and synthetic medium of MRS with arabinose as main carbon source (MRS-ara). The pH was regulated by adding NaOH or a specific concentration of calcium carbonate</t>
  </si>
  <si>
    <t>Parameter (units)</t>
  </si>
  <si>
    <t>pH regulation method</t>
  </si>
  <si>
    <t>ESBPP hydrolysate</t>
  </si>
  <si>
    <t>MRS-gluc</t>
  </si>
  <si>
    <t>MRS-ara</t>
  </si>
  <si>
    <t>9 g L−1 a</t>
  </si>
  <si>
    <t>18 g L−1 a</t>
  </si>
  <si>
    <t>27 g L−1 a</t>
  </si>
  <si>
    <t>55 g L−1 a</t>
  </si>
  <si>
    <t>75 g L−1 a</t>
  </si>
  <si>
    <t>18 g L−1a</t>
  </si>
  <si>
    <t>kd</t>
  </si>
  <si>
    <t>(h−1 L mol−1)</t>
  </si>
  <si>
    <t>μGo</t>
  </si>
  <si>
    <t>(h−1)</t>
  </si>
  <si>
    <t>μAo</t>
  </si>
  <si>
    <t>μLo</t>
  </si>
  <si>
    <t>YLG</t>
  </si>
  <si>
    <t>(mol mol−1)</t>
  </si>
  <si>
    <t>KMG</t>
  </si>
  <si>
    <t>(g L−1)</t>
  </si>
  <si>
    <t>KMA</t>
  </si>
  <si>
    <t>KML</t>
  </si>
  <si>
    <t>YGX</t>
  </si>
  <si>
    <t>(μmol Gcell−1)</t>
  </si>
  <si>
    <t>YAX</t>
  </si>
  <si>
    <t>YLX</t>
  </si>
  <si>
    <t>(—)</t>
  </si>
  <si>
    <t>a Concentration of CaCO3.</t>
  </si>
  <si>
    <t>avrg YLG</t>
  </si>
  <si>
    <t>Yield g/g glucose</t>
  </si>
  <si>
    <t>Valorisation of fungal hydrolysates of exhausted sugar beet pulp for lactic acid production</t>
  </si>
  <si>
    <t>Table 1. TEA indicators for PBS and PLA production at the optimum plant capacity considering pectin-rich extract market prices of $4/kg in the case of PBS and $3/kg in the case of PLA. A 70% water content has been assumed for SBP.</t>
  </si>
  <si>
    <t>OPC (kt/year)</t>
  </si>
  <si>
    <t>COM ($/kg)</t>
  </si>
  <si>
    <t>MSP ($/kg)</t>
  </si>
  <si>
    <t>DPP (year)</t>
  </si>
  <si>
    <t>MFR (kt/year)</t>
  </si>
  <si>
    <t>PBS</t>
  </si>
  <si>
    <t>Sugar beet pulp</t>
  </si>
  <si>
    <t>PLA</t>
  </si>
  <si>
    <t>MFR:Minimum Feedstock Requirements</t>
  </si>
  <si>
    <t>Optimum Plant Capacity (OPC)</t>
  </si>
  <si>
    <t>https://www.sciencedirect.com/science/article/pii/S0048969721056722#t0005</t>
  </si>
  <si>
    <t>Techno-economic risk assessment, life cycle analysis and life cycle costing for poly(butylene succinate) and poly(lactic acid) production using renewable resources</t>
  </si>
  <si>
    <t>sugar beet molasses</t>
  </si>
  <si>
    <t>Lactic acid production on a combined distillery stillage and sugar beet molasses substrate - Mladenović - 2016 - Journal of Chemical Technology &amp; Biotechnology - Wiley Online Library (wur.nl)</t>
  </si>
  <si>
    <t>https://analyticalsciencejournals.onlinelibrary.wiley.com/doi/full/10.1002/jctb.4838</t>
  </si>
  <si>
    <t>Table 2. Values of significant parameters of lactic acid fermentation on stillage/molasses media by L. paracasei NRRL B-4564</t>
  </si>
  <si>
    <t>Initial sugar concentration (g L−1)</t>
  </si>
  <si>
    <t>LA concentration (g L−1)</t>
  </si>
  <si>
    <t>LA yield (g g−1)</t>
  </si>
  <si>
    <t>Volumetric LA productivity (g L−1 h−1)</t>
  </si>
  <si>
    <t>Number of viable cells (109 CFU mL−1)</t>
  </si>
  <si>
    <t>Biomass productivity (107 CFU mL−1 h−1)</t>
  </si>
  <si>
    <t>56.74 ± 1.03</t>
  </si>
  <si>
    <t>51.55 ± 0.54</t>
  </si>
  <si>
    <t>0.91 ± 0.03</t>
  </si>
  <si>
    <t>3.9 ± 0.14a</t>
  </si>
  <si>
    <t>8.12 ± 0.01a</t>
  </si>
  <si>
    <t>78.22 ± 0.49</t>
  </si>
  <si>
    <t>70.03 ± 1.44</t>
  </si>
  <si>
    <t>0.90 ± 0.01</t>
  </si>
  <si>
    <t>1.14 ± 0.01</t>
  </si>
  <si>
    <t>5.3 ± 1.13b</t>
  </si>
  <si>
    <t>7.36 ± 0.02b</t>
  </si>
  <si>
    <t>104.17 ± 0.86</t>
  </si>
  <si>
    <t>89.19 ± 1.27</t>
  </si>
  <si>
    <t>0.85 ± 0.02</t>
  </si>
  <si>
    <t>1.23 ± 0.02</t>
  </si>
  <si>
    <t>4.5 ± 0.85b</t>
  </si>
  <si>
    <t>6.25 ± 0.01b</t>
  </si>
  <si>
    <t>a Value obtained at 48th hour of fermentation.</t>
  </si>
  <si>
    <t>b Value obtained at 72nd hour of fermentation.</t>
  </si>
  <si>
    <t>yield avrg g/g sugar</t>
  </si>
  <si>
    <t>yield  g/g</t>
  </si>
  <si>
    <t>Optimization of lactic acid production from beet molasses by Lactobacillus delbrueckii NCIMB 8130</t>
  </si>
  <si>
    <t>https://link.springer.com/article/10.1023/A:1015523126741</t>
  </si>
  <si>
    <t>The maximum lactic acid concentration (88.0 g/l) was obtained at concentrations for sucrose, yeast extract and CaCO3 of 89.93, 45.71 and 59.95 g/l, respectively.</t>
  </si>
  <si>
    <t>sucrose g/L</t>
  </si>
  <si>
    <t>LA g/L</t>
  </si>
  <si>
    <t>yield g LA/g sucrose</t>
  </si>
  <si>
    <t>sucrose in SBM</t>
  </si>
  <si>
    <t>yield g LA/g SBM</t>
  </si>
  <si>
    <t>Table 2. Kinetic parameters for lactic acid production by Enterococcus hirae ds10 in repeated batch fermentation.</t>
  </si>
  <si>
    <t>Batch number ds10</t>
  </si>
  <si>
    <t>Initial sugar conc. (g/L)</t>
  </si>
  <si>
    <t>Max.OD600nma</t>
  </si>
  <si>
    <t>Maximum lactic acid (g/L)b</t>
  </si>
  <si>
    <t>YLA (g/g)c 36 h</t>
  </si>
  <si>
    <t>PLA (g/L/h)d</t>
  </si>
  <si>
    <t>Max PLA (g/L/h)e (0–12)</t>
  </si>
  <si>
    <t>12 h</t>
  </si>
  <si>
    <t>30 or 36 h</t>
  </si>
  <si>
    <t>End of fermentation time (30/36)</t>
  </si>
  <si>
    <t>0.460 ± 0.01</t>
  </si>
  <si>
    <t>40.0 ± 1.47</t>
  </si>
  <si>
    <t>12.6 ± 0.88</t>
  </si>
  <si>
    <t>20.7 ± 0.71</t>
  </si>
  <si>
    <t>36.7 ± 0.61 (36 h)</t>
  </si>
  <si>
    <t>0.92 ± 0.02</t>
  </si>
  <si>
    <t>0.470 ± 0.02</t>
  </si>
  <si>
    <t>31.7 ± 0.46</t>
  </si>
  <si>
    <t>9.95 ± 0.61</t>
  </si>
  <si>
    <t>17.4 ± 0.86</t>
  </si>
  <si>
    <t>30.3 ± 0.35 (36 h)</t>
  </si>
  <si>
    <t>0.95 ± 0.02</t>
  </si>
  <si>
    <t>0.760 ± 0.01</t>
  </si>
  <si>
    <t>40.7 ± 0.46</t>
  </si>
  <si>
    <t>13.2 ± 0.73</t>
  </si>
  <si>
    <t>23.8 ± 0.92</t>
  </si>
  <si>
    <t>37.9 ± 1.07 (36 h)</t>
  </si>
  <si>
    <t>0.890 ± 0.04</t>
  </si>
  <si>
    <t>47.3 ± 1.15</t>
  </si>
  <si>
    <t>13.7 ± 0.53</t>
  </si>
  <si>
    <t>25.1 ± 0.35</t>
  </si>
  <si>
    <t>38.3 ± 0.73 (36 h)</t>
  </si>
  <si>
    <t>0.81 ± 0.03</t>
  </si>
  <si>
    <t>0.810 ± 0.08</t>
  </si>
  <si>
    <t>13.8 ± 0.64</t>
  </si>
  <si>
    <t>23.8 ± 0.32</t>
  </si>
  <si>
    <t>0.93 ± 0.02</t>
  </si>
  <si>
    <t>1.18 ± 0.220</t>
  </si>
  <si>
    <t>46.4 ± 0.79</t>
  </si>
  <si>
    <t>24.6 ± 0.35</t>
  </si>
  <si>
    <t>34.6 ± 0.61</t>
  </si>
  <si>
    <t>42.4 ± 0.35 (36 h)</t>
  </si>
  <si>
    <t>0.91 ± 0.03</t>
  </si>
  <si>
    <t>1.18 ± 0.040</t>
  </si>
  <si>
    <t>46.0 ± 0.70</t>
  </si>
  <si>
    <t>26.9 ± 0.73</t>
  </si>
  <si>
    <t>37.6 ± 0.64</t>
  </si>
  <si>
    <t>44.4 ± 2.55 (36 h)</t>
  </si>
  <si>
    <t>1.32 ± 0.200</t>
  </si>
  <si>
    <t>52.0 ± 0.46</t>
  </si>
  <si>
    <t>39.3 ± 0.76</t>
  </si>
  <si>
    <t>43.7 ± 1.22</t>
  </si>
  <si>
    <t>45.5 ± 1.83 (30 h)</t>
  </si>
  <si>
    <t>0.87 ± 0.06</t>
  </si>
  <si>
    <t>1.32 ± 0.080</t>
  </si>
  <si>
    <t>50.7 ± 0.70</t>
  </si>
  <si>
    <t>37.9 ± 1.13</t>
  </si>
  <si>
    <t>42.5 ± 0.42</t>
  </si>
  <si>
    <t>44.4 ± 0.53 (30 h)</t>
  </si>
  <si>
    <t>1.37 ± 0.070</t>
  </si>
  <si>
    <t>49.2 ± 0.46</t>
  </si>
  <si>
    <t>38.9 ± 0.35</t>
  </si>
  <si>
    <t>42.7 ± 0.20</t>
  </si>
  <si>
    <t>45.6 ± 0.35 (30 h)</t>
  </si>
  <si>
    <t>1.84 ± 0.160</t>
  </si>
  <si>
    <t>56.5 ± 0.92</t>
  </si>
  <si>
    <t>40.1 ± 0.88</t>
  </si>
  <si>
    <t>45.4 ± 1.06</t>
  </si>
  <si>
    <t>48.1 ± 0.73 (30 h)</t>
  </si>
  <si>
    <t>0.85 ± 0.07</t>
  </si>
  <si>
    <t>2.41 ± 0.440</t>
  </si>
  <si>
    <t>64.6 ± 0.26</t>
  </si>
  <si>
    <t>49.2 ± 0.53</t>
  </si>
  <si>
    <t>53.8 ± 0.54</t>
  </si>
  <si>
    <t>57.4 ± 0.73 (30 h)</t>
  </si>
  <si>
    <t>0.89 ± 0.03</t>
  </si>
  <si>
    <t>3.18 ± 0.230</t>
  </si>
  <si>
    <t>62.5 ± 0.73</t>
  </si>
  <si>
    <t>52.5 ± 0.73</t>
  </si>
  <si>
    <t>55.2 ± 0.20</t>
  </si>
  <si>
    <t>58.8 ± 0.61 (30 h)</t>
  </si>
  <si>
    <t>0.94 ± 0.02</t>
  </si>
  <si>
    <t>2.70 ± 0.250</t>
  </si>
  <si>
    <t>53.9 ± 0.31</t>
  </si>
  <si>
    <t>45.1 ± 0.88</t>
  </si>
  <si>
    <t>45.3 ± 0.73</t>
  </si>
  <si>
    <t>45.7 ± 0.74 (30 h)</t>
  </si>
  <si>
    <t>0.84 ± 0.04</t>
  </si>
  <si>
    <t>3.25 ± 0.280</t>
  </si>
  <si>
    <t>58.6 ± 0.34</t>
  </si>
  <si>
    <t>48.6 ± 0.73</t>
  </si>
  <si>
    <t>51.8 ± 0.41</t>
  </si>
  <si>
    <t>55.2 ± 0.20 (30 h)</t>
  </si>
  <si>
    <t>4.48 ± 0.000</t>
  </si>
  <si>
    <t>63.6 ± 0.13</t>
  </si>
  <si>
    <t>53.9 ± 0.89</t>
  </si>
  <si>
    <t>59.3 ± 0.35</t>
  </si>
  <si>
    <t>61.7 ± 0.20 (30 h)</t>
  </si>
  <si>
    <t>0.97 ± 0.03</t>
  </si>
  <si>
    <t>OD600nm, maximum optical density.</t>
  </si>
  <si>
    <t>Lactic acid concentration at the indicated time.</t>
  </si>
  <si>
    <t>Lactic acid yield.</t>
  </si>
  <si>
    <t>Lactic acid productivity at the end of fermentation time.</t>
  </si>
  <si>
    <t>Maximum lactic acid productivity at the indicated time.</t>
  </si>
  <si>
    <t>YLA (g/g sugar</t>
  </si>
  <si>
    <t>yield g LA/g sugar</t>
  </si>
  <si>
    <t>yield g LA/ g SBM</t>
  </si>
  <si>
    <t xml:space="preserve">ref 4 </t>
  </si>
  <si>
    <t>https://www.sciencedirect.com/science/article/pii/S2589014X20302395#t0010</t>
  </si>
  <si>
    <t>Subsequent improvement of lactic acid production from beet molasses by Enterococcus hirae ds10 using different fermentation strategies</t>
  </si>
  <si>
    <t>Initial sugar, fermentation time, yeast extract and inoculum size are of crucial importance to produce lactic acid. They were determined to be 80–100 g/L, around 96 h, 3–7%, 7–10% respectively by single factor experiment.</t>
  </si>
  <si>
    <t>Maximum lactic acid production of 53.61 g/L was obtained</t>
  </si>
  <si>
    <t xml:space="preserve"> lactic acid production   g/L</t>
  </si>
  <si>
    <t xml:space="preserve"> 80–100</t>
  </si>
  <si>
    <t>Initial sugar  g/L</t>
  </si>
  <si>
    <r>
      <t>Meng, X., Ma, H., Wang, Q., &amp; Wang, X. (2009). </t>
    </r>
    <r>
      <rPr>
        <i/>
        <sz val="9"/>
        <color rgb="FF000000"/>
        <rFont val="Courier New"/>
        <family val="3"/>
      </rPr>
      <t>Optimisation of lactic acid fermentation from beet molasses by strain FD173. International Journal of Environment and Pollution, 38(1/2), 116.</t>
    </r>
    <r>
      <rPr>
        <sz val="9"/>
        <color rgb="FF000000"/>
        <rFont val="Courier New"/>
        <family val="3"/>
      </rPr>
      <t> doi:10.1504/ijep.2009.026655</t>
    </r>
  </si>
  <si>
    <t>Optimisation of lactic acid fermentation from beet molasses by strain FD173</t>
  </si>
  <si>
    <t>https://sci-hub.se/https://doi.org/10.1504/IJEP.2009.026655</t>
  </si>
  <si>
    <t>https://www.sciencedirect.com/science/article/pii/S1369703X04000920?pes=vor#TBL1</t>
  </si>
  <si>
    <t>molasses g/L</t>
  </si>
  <si>
    <t>yield g/g molasses</t>
  </si>
  <si>
    <t>sugar beet</t>
  </si>
  <si>
    <t>glu+ fru in sugar beet %</t>
  </si>
  <si>
    <t>yield g/g sugar beet</t>
  </si>
  <si>
    <t>glu+ fru in sugar beet pulp %</t>
  </si>
  <si>
    <t>yield g/g sugar beet pulp</t>
  </si>
  <si>
    <t>glu+ fru in sugar beet molasses%</t>
  </si>
  <si>
    <t>yield g/g sugar beet molasses</t>
  </si>
  <si>
    <t>xylose in sugar beet %</t>
  </si>
  <si>
    <t>yield (g xylitol / g sugar beet)</t>
  </si>
  <si>
    <t>yield (g xylitol / g sugar beet pulp)</t>
  </si>
  <si>
    <t>yield (g xylitol / g sugar beet molasses)</t>
  </si>
  <si>
    <t>b: Yields were calculated with respect to raw biomass weight</t>
  </si>
  <si>
    <t>HMF yield (g/kg) b</t>
  </si>
  <si>
    <t>LACTIC ACID</t>
  </si>
  <si>
    <t/>
  </si>
  <si>
    <t>g LA/g glucose consumed</t>
  </si>
  <si>
    <t>Full article: Swollenin pre-conditioning: optimization studies and application aiming at d-lactic acid production from sugarcane bagasse (wur.nl)</t>
  </si>
  <si>
    <t>Above theoretical max og 1g/g due to addition of high yeast extract concentration to fermentation medium</t>
  </si>
  <si>
    <t>g LA/g glucose</t>
  </si>
  <si>
    <t>Lactic acid production from sugarcane bagasse by an integrated system of lignocellulose fractionation, saccharification, fermentation, and ex-situ nanofiltration - ScienceDirect (wur.nl)</t>
  </si>
  <si>
    <t>w/w on total lignocellulosic sugars</t>
  </si>
  <si>
    <t>Production of l(+)-lactic acid from acid pretreated sugarcane bagasse using Bacillus coagulans DSM2314 in a simultaneous saccharification and fermentation strategy | Biotechnology for Biofuels and Bioproducts | Full Text (biomedcentral.com)</t>
  </si>
  <si>
    <t>w/w on total monomeric sugars</t>
  </si>
  <si>
    <t>g LA/g xylose</t>
  </si>
  <si>
    <t>Fermentative valorisation of xylose-rich hemicellulosic hydrolysates from agricultural waste residues for lactic acid production under non-sterile conditions - ScienceDirect (wur.nl)</t>
  </si>
  <si>
    <t>xylose rich scb</t>
  </si>
  <si>
    <t>g LA/g dry bagasse</t>
  </si>
  <si>
    <t>One-pot bioprocess for lactic acid production from lignocellulosic agro-wastes by using ionic liquid stable Lactobacillus brevis - ScienceDirect (wur.nl)</t>
  </si>
  <si>
    <t>g LA/g carbohydrate</t>
  </si>
  <si>
    <t>Fermentation | Free Full-Text | Lactic Acid Production from Steam-Exploded Sugarcane Bagasse Using Bacillus coagulans DSM2314 (mdpi.com)</t>
  </si>
  <si>
    <t>g LA/g C5 sugars</t>
  </si>
  <si>
    <t>detoxified C5 stream</t>
  </si>
  <si>
    <t>g LA/g sugars</t>
  </si>
  <si>
    <t>Lactic Acid Production from Renewable Feedstocks Using Poly(vinyl alcohol)-Immobilized Lactobacillus plantarum 23 | Industrial &amp; Engineering Chemistry Research (wur.nl)</t>
  </si>
  <si>
    <t>Lactic acid production from waste sugarcane bagasse derived cellulose - Green Chemistry (RSC Publishing) (wur.nl)</t>
  </si>
  <si>
    <t>% theoretical, cellulose</t>
  </si>
  <si>
    <t>Microbial conversion of agro-wastes for lactic acid production</t>
  </si>
  <si>
    <t>g LA/g glucan</t>
  </si>
  <si>
    <t>D-Lactic Acid Production from Sugarcane Bagasse by Genetically Engineered Saccharomyces cerevisiae - ProQuest</t>
  </si>
  <si>
    <t>%theoretical yield sugars</t>
  </si>
  <si>
    <t>Highly selective catalytic conversion of raw sugar and sugarcane bagasse to lactic acid over YbCl3, ErCl3, and CeCl3 Lewis acid catalysts without alkaline in a hot-compressed water reaction system - ScienceDirect (wur.nl)</t>
  </si>
  <si>
    <t>ErCl3 catalyst</t>
  </si>
  <si>
    <t>g LA/g total reducing sugars</t>
  </si>
  <si>
    <t>Efficient Open Fermentative Production of Polymer-Grade L-Lactate from Sugarcane Bagasse Hydrolysate by Thermotolerant Bacillus sp. Strain P38 - ProQuest</t>
  </si>
  <si>
    <t>Succinic acid</t>
  </si>
  <si>
    <t>Barley</t>
  </si>
  <si>
    <t>(PDF) Ethanol Production from Winter Hulless Barley (researchgate.net)</t>
  </si>
  <si>
    <t>Sample</t>
  </si>
  <si>
    <t>Starch (% w/w)</t>
  </si>
  <si>
    <t>Ethanol (g L-1)</t>
  </si>
  <si>
    <t>Theoretical Ethanol (g L-1)</t>
  </si>
  <si>
    <t>Fermentation Efficiency (%)</t>
  </si>
  <si>
    <t>Whole Grain</t>
  </si>
  <si>
    <t>60.7±2.8</t>
  </si>
  <si>
    <t>52.5±0.2</t>
  </si>
  <si>
    <t>6.7±0.02</t>
  </si>
  <si>
    <t>59.2</t>
  </si>
  <si>
    <t>88.6±0.3</t>
  </si>
  <si>
    <t>Eve Flour</t>
  </si>
  <si>
    <t>75.4±2.7</t>
  </si>
  <si>
    <t>59.0±0.4</t>
  </si>
  <si>
    <t>7.6±0.1</t>
  </si>
  <si>
    <t>68.8</t>
  </si>
  <si>
    <t>85.8±0.6</t>
  </si>
  <si>
    <t>58.1±0.95</t>
  </si>
  <si>
    <t>41.7±0.2</t>
  </si>
  <si>
    <t>5.3±0.02</t>
  </si>
  <si>
    <t>83.9±0.4</t>
  </si>
  <si>
    <t>VA125 Flour</t>
  </si>
  <si>
    <t>76.2±1.2</t>
  </si>
  <si>
    <t>62.4±0.2</t>
  </si>
  <si>
    <t>8.0±0.02</t>
  </si>
  <si>
    <t>75.1</t>
  </si>
  <si>
    <t>83.0±0.2</t>
  </si>
  <si>
    <t xml:space="preserve">Table 1. </t>
  </si>
  <si>
    <t>Fermentation efficient of whole grain and flour</t>
  </si>
  <si>
    <t>Sugar content in barley (g/g)</t>
  </si>
  <si>
    <t>total sugar  (g g−1 barley)</t>
  </si>
  <si>
    <t>Yield (g ethanol/ g barley)</t>
  </si>
  <si>
    <t>Thoretical glucose need  (g/L)</t>
  </si>
  <si>
    <t>Theoretical barley need (g/L)</t>
  </si>
  <si>
    <t>Average Yield (g ethanol/ g barley)</t>
  </si>
  <si>
    <t>Scale-up of Ethanol Production from Winter Barley by the EDGE (Enhanced Dry Grind Enzymatic) Process in Fermentors up to 300 l | Applied Biochemistry and Biotechnology (springer.com)</t>
  </si>
  <si>
    <t>7.5 l</t>
  </si>
  <si>
    <t>70 l</t>
  </si>
  <si>
    <t>300 l</t>
  </si>
  <si>
    <t>Final ethanol (% v/v)</t>
  </si>
  <si>
    <t>Thoroughbred</t>
  </si>
  <si>
    <t>Eve—28.15% solids</t>
  </si>
  <si>
    <t>Eve—30% solids</t>
  </si>
  <si>
    <t>Yield (% theoretical)</t>
  </si>
  <si>
    <t>Amount of barley</t>
  </si>
  <si>
    <t>g of barley/L</t>
  </si>
  <si>
    <t>Liters used</t>
  </si>
  <si>
    <t>Amount of glucose in barley</t>
  </si>
  <si>
    <t>Amount of ethanol</t>
  </si>
  <si>
    <t>Theoretical yield (g g-1)</t>
  </si>
  <si>
    <t>Actual yield</t>
  </si>
  <si>
    <t>Worth</t>
  </si>
  <si>
    <t>Fermented broth</t>
  </si>
  <si>
    <t>Amylolytic enzymes</t>
  </si>
  <si>
    <t>B-0</t>
  </si>
  <si>
    <t>B-1225</t>
  </si>
  <si>
    <t>Ethanol yields*</t>
  </si>
  <si>
    <t>Combined treatment</t>
  </si>
  <si>
    <r>
      <t xml:space="preserve">18.1 </t>
    </r>
    <r>
      <rPr>
        <sz val="6"/>
        <color theme="1"/>
        <rFont val="LM Roman 10"/>
      </rPr>
      <t xml:space="preserve">± </t>
    </r>
    <r>
      <rPr>
        <sz val="6"/>
        <color theme="1"/>
        <rFont val="Georgia"/>
        <family val="1"/>
      </rPr>
      <t>0.2</t>
    </r>
  </si>
  <si>
    <r>
      <t xml:space="preserve">20.3 </t>
    </r>
    <r>
      <rPr>
        <sz val="6"/>
        <color theme="1"/>
        <rFont val="LM Roman 10"/>
      </rPr>
      <t xml:space="preserve">± </t>
    </r>
    <r>
      <rPr>
        <sz val="6"/>
        <color theme="1"/>
        <rFont val="Georgia"/>
        <family val="1"/>
      </rPr>
      <t>0.2</t>
    </r>
  </si>
  <si>
    <r>
      <t xml:space="preserve">3.5 </t>
    </r>
    <r>
      <rPr>
        <sz val="6"/>
        <color theme="1"/>
        <rFont val="LM Roman 10"/>
      </rPr>
      <t xml:space="preserve">± </t>
    </r>
    <r>
      <rPr>
        <sz val="6"/>
        <color theme="1"/>
        <rFont val="Georgia"/>
        <family val="1"/>
      </rPr>
      <t>0.02</t>
    </r>
  </si>
  <si>
    <r>
      <t xml:space="preserve">2.2 </t>
    </r>
    <r>
      <rPr>
        <sz val="6"/>
        <color theme="1"/>
        <rFont val="LM Roman 10"/>
      </rPr>
      <t xml:space="preserve">± </t>
    </r>
    <r>
      <rPr>
        <sz val="6"/>
        <color theme="1"/>
        <rFont val="Georgia"/>
        <family val="1"/>
      </rPr>
      <t>0.02</t>
    </r>
  </si>
  <si>
    <r>
      <t xml:space="preserve">16.4 </t>
    </r>
    <r>
      <rPr>
        <sz val="6"/>
        <color theme="1"/>
        <rFont val="LM Roman 10"/>
      </rPr>
      <t xml:space="preserve">± </t>
    </r>
    <r>
      <rPr>
        <sz val="6"/>
        <color theme="1"/>
        <rFont val="Georgia"/>
        <family val="1"/>
      </rPr>
      <t>0.1</t>
    </r>
  </si>
  <si>
    <r>
      <t xml:space="preserve">19.6 </t>
    </r>
    <r>
      <rPr>
        <sz val="6"/>
        <color theme="1"/>
        <rFont val="LM Roman 10"/>
      </rPr>
      <t xml:space="preserve">± </t>
    </r>
    <r>
      <rPr>
        <sz val="6"/>
        <color theme="1"/>
        <rFont val="Georgia"/>
        <family val="1"/>
      </rPr>
      <t>0.2</t>
    </r>
  </si>
  <si>
    <r>
      <t xml:space="preserve">4.2 </t>
    </r>
    <r>
      <rPr>
        <sz val="6"/>
        <color theme="1"/>
        <rFont val="LM Roman 10"/>
      </rPr>
      <t xml:space="preserve">± </t>
    </r>
    <r>
      <rPr>
        <sz val="6"/>
        <color theme="1"/>
        <rFont val="Georgia"/>
        <family val="1"/>
      </rPr>
      <t>0.02</t>
    </r>
  </si>
  <si>
    <r>
      <t xml:space="preserve">2.6 </t>
    </r>
    <r>
      <rPr>
        <sz val="6"/>
        <color theme="1"/>
        <rFont val="LM Roman 10"/>
      </rPr>
      <t xml:space="preserve">± </t>
    </r>
    <r>
      <rPr>
        <sz val="6"/>
        <color theme="1"/>
        <rFont val="Georgia"/>
        <family val="1"/>
      </rPr>
      <t>0.02</t>
    </r>
  </si>
  <si>
    <t>g/g of sugar</t>
  </si>
  <si>
    <t>Average yields g/g of sugar</t>
  </si>
  <si>
    <t>Yield (g/g barley)</t>
  </si>
  <si>
    <t xml:space="preserve">table 4 </t>
  </si>
  <si>
    <t>Ethanol yield (L/ton)</t>
  </si>
  <si>
    <t>Potential yield (L/ha)</t>
  </si>
  <si>
    <t>70–90</t>
  </si>
  <si>
    <t>6470–6660</t>
  </si>
  <si>
    <t>[74,76,77]</t>
  </si>
  <si>
    <t>Sugar beet</t>
  </si>
  <si>
    <t>95–107</t>
  </si>
  <si>
    <t>1605–5500</t>
  </si>
  <si>
    <t>370–470</t>
  </si>
  <si>
    <t>[74,77,78]</t>
  </si>
  <si>
    <t>Sorghum stalk juice</t>
  </si>
  <si>
    <t>40–86</t>
  </si>
  <si>
    <t>2062–2595</t>
  </si>
  <si>
    <t>[77–79]</t>
  </si>
  <si>
    <t>Sorghum bagasse</t>
  </si>
  <si>
    <t>1796–6591</t>
  </si>
  <si>
    <t>[78,80]</t>
  </si>
  <si>
    <t>[76,78]</t>
  </si>
  <si>
    <t>[77]</t>
  </si>
  <si>
    <t>[81]</t>
  </si>
  <si>
    <t>Oat</t>
  </si>
  <si>
    <t>Triticale</t>
  </si>
  <si>
    <t>Sweet potatoes</t>
  </si>
  <si>
    <t>125–170</t>
  </si>
  <si>
    <t>1989–4800</t>
  </si>
  <si>
    <t>[76,77,82]</t>
  </si>
  <si>
    <t>Cassava</t>
  </si>
  <si>
    <t>363–455</t>
  </si>
  <si>
    <t>[76]</t>
  </si>
  <si>
    <t>1821–5930</t>
  </si>
  <si>
    <t>[62,81]</t>
  </si>
  <si>
    <t>Arrowroot</t>
  </si>
  <si>
    <t>Potato</t>
  </si>
  <si>
    <t>80–100</t>
  </si>
  <si>
    <t>[76,77]</t>
  </si>
  <si>
    <t>376–435</t>
  </si>
  <si>
    <t>1001–1700</t>
  </si>
  <si>
    <t>[76,81]</t>
  </si>
  <si>
    <t>Yam</t>
  </si>
  <si>
    <t>[62,83]</t>
  </si>
  <si>
    <t>[62]</t>
  </si>
  <si>
    <t xml:space="preserve">Ethanol yield (L/ton) </t>
  </si>
  <si>
    <t>ethanol yield (kg/ton)</t>
  </si>
  <si>
    <t>ethanol yield g/g</t>
  </si>
  <si>
    <t>rapeseed</t>
  </si>
  <si>
    <t>https://www.sciencedirect.com/science/article/pii/S0960852409000479?pes=vor#tbl4</t>
  </si>
  <si>
    <t>Table 4. Results of high solid content fed-batch SHF and SSF.</t>
  </si>
  <si>
    <t>Residual glucose (g/L)</t>
  </si>
  <si>
    <t>ECCa (g/L)</t>
  </si>
  <si>
    <t>WISb (%)</t>
  </si>
  <si>
    <t>Bermudagrass</t>
  </si>
  <si>
    <t>24c</t>
  </si>
  <si>
    <t>48d</t>
  </si>
  <si>
    <t>56.1(74.0e)</t>
  </si>
  <si>
    <t>65.1(82.3e)</t>
  </si>
  <si>
    <t>Reed</t>
  </si>
  <si>
    <t>55.0(75.3e)</t>
  </si>
  <si>
    <t>59.9(77.0e)</t>
  </si>
  <si>
    <t>(SHF result)</t>
  </si>
  <si>
    <t>Rapeseed</t>
  </si>
  <si>
    <t>24d</t>
  </si>
  <si>
    <t>36.6(38.3e)</t>
  </si>
  <si>
    <t>84.7(88.2e)</t>
  </si>
  <si>
    <t>Simultaneous saccharification and fermentation of lignocellulosic residues pretreated with phosphoric acid–acetone for bioethanol production</t>
  </si>
  <si>
    <t>we calculated the ethanol yield as a percentage of the theoretical yield on the basis of the total effective cellulose in the pretreated materials.</t>
  </si>
  <si>
    <t>(rapeseed straw)</t>
  </si>
  <si>
    <t>rapeseed is mainly used for biodiesel production (Fatty acid methyl ester (FAME)) but not ethanol</t>
  </si>
  <si>
    <t>Acid</t>
  </si>
  <si>
    <r>
      <t>20% (w/v) biomass, 1% H</t>
    </r>
    <r>
      <rPr>
        <sz val="6"/>
        <color rgb="FF1F1F1F"/>
        <rFont val="Georgia"/>
        <family val="1"/>
      </rPr>
      <t>2</t>
    </r>
    <r>
      <rPr>
        <sz val="8"/>
        <color rgb="FF1F1F1F"/>
        <rFont val="Georgia"/>
        <family val="1"/>
      </rPr>
      <t>SO</t>
    </r>
    <r>
      <rPr>
        <sz val="6"/>
        <color rgb="FF1F1F1F"/>
        <rFont val="Georgia"/>
        <family val="1"/>
      </rPr>
      <t>4</t>
    </r>
    <r>
      <rPr>
        <sz val="8"/>
        <color rgb="FF1F1F1F"/>
        <rFont val="Georgia"/>
        <family val="1"/>
      </rPr>
      <t>, 180 °C, 10 min</t>
    </r>
  </si>
  <si>
    <t>Cellic® CTec2, 13% (w/w) of biomass</t>
  </si>
  <si>
    <t>50 °C, 48 h</t>
  </si>
  <si>
    <t>Glucose + xylose: 27.2 g/L, 80.9%</t>
  </si>
  <si>
    <t>30 °C, 48 h</t>
  </si>
  <si>
    <t>9.8 b</t>
  </si>
  <si>
    <t>Enzyme cocktail of 90% Cellic® CTec2 and 10% Cellic® HTec2, 13% (w/w) of biomass</t>
  </si>
  <si>
    <t>Glucose + xylose: 27.8 g/L, 82.5%</t>
  </si>
  <si>
    <t>https://doi.org/10.1016/j.biortech.2018.05.099</t>
  </si>
  <si>
    <t>Hydrolysis</t>
  </si>
  <si>
    <t>Type</t>
  </si>
  <si>
    <t>Enzyme, loading</t>
  </si>
  <si>
    <t>Reducing sugar concentration/yield</t>
  </si>
  <si>
    <t>Ethanol conc. (g/L)</t>
  </si>
  <si>
    <t>Ethanol yield a</t>
  </si>
  <si>
    <r>
      <t>where </t>
    </r>
    <r>
      <rPr>
        <i/>
        <sz val="10"/>
        <color rgb="FF1F1F1F"/>
        <rFont val="Georgia"/>
        <family val="1"/>
      </rPr>
      <t>c</t>
    </r>
    <r>
      <rPr>
        <sz val="10"/>
        <color rgb="FF1F1F1F"/>
        <rFont val="Georgia"/>
        <family val="1"/>
      </rPr>
      <t> is the ethanol concentration in mg/mL, </t>
    </r>
    <r>
      <rPr>
        <i/>
        <sz val="10"/>
        <color rgb="FF1F1F1F"/>
        <rFont val="Georgia"/>
        <family val="1"/>
      </rPr>
      <t>V</t>
    </r>
    <r>
      <rPr>
        <sz val="10"/>
        <color rgb="FF1F1F1F"/>
        <rFont val="Georgia"/>
        <family val="1"/>
      </rPr>
      <t> is total volume of fermentation broth in mL, </t>
    </r>
    <r>
      <rPr>
        <i/>
        <sz val="10"/>
        <color rgb="FF1F1F1F"/>
        <rFont val="Georgia"/>
        <family val="1"/>
      </rPr>
      <t>m</t>
    </r>
    <r>
      <rPr>
        <sz val="10"/>
        <color rgb="FF1F1F1F"/>
        <rFont val="Georgia"/>
        <family val="1"/>
      </rPr>
      <t xml:space="preserve"> is the initial dry weight of </t>
    </r>
    <r>
      <rPr>
        <sz val="10"/>
        <color rgb="FFFF0000"/>
        <rFont val="Georgia"/>
        <family val="1"/>
      </rPr>
      <t>glucose</t>
    </r>
    <r>
      <rPr>
        <sz val="10"/>
        <color rgb="FF1F1F1F"/>
        <rFont val="Georgia"/>
        <family val="1"/>
      </rPr>
      <t xml:space="preserve"> in mg, and 0.51 is the conversion factor of glucose to ethanol </t>
    </r>
  </si>
  <si>
    <r>
      <t xml:space="preserve">Integrated production of cellulosic bioethanol and succinic acid from </t>
    </r>
    <r>
      <rPr>
        <sz val="11"/>
        <color rgb="FFFF0000"/>
        <rFont val="Georgia"/>
        <family val="1"/>
      </rPr>
      <t>rapeseed straw</t>
    </r>
    <r>
      <rPr>
        <sz val="11"/>
        <color rgb="FF1F1F1F"/>
        <rFont val="Georgia"/>
        <family val="1"/>
      </rPr>
      <t xml:space="preserve"> after dilute-acid pretreatment</t>
    </r>
  </si>
  <si>
    <t>glucose in Rapeseed  (g%)</t>
  </si>
  <si>
    <t>Rapeseed needed (g/L)</t>
  </si>
  <si>
    <t>Yield (g ethanol/g Rapeseed)</t>
  </si>
  <si>
    <t>Reducing sugar concentration/yield g/L</t>
  </si>
  <si>
    <t>yield g ethanol / g glu+xyl</t>
  </si>
  <si>
    <t>glu+xyl g /g rapeseed</t>
  </si>
  <si>
    <t>yield g ethanol / g rapeseed</t>
  </si>
  <si>
    <t>rapeseed meal</t>
  </si>
  <si>
    <t>https://www.sciencedirect.com/science/article/pii/S1878818120307659?pes=vor</t>
  </si>
  <si>
    <t>Canola meal as a promising source of fermentable sugars: Potential of the Penicillium glabrum crude extract for biomass hydrolysis</t>
  </si>
  <si>
    <t>Enhanced bioenergy recovery from rapeseed plant in a biorefinery concept</t>
  </si>
  <si>
    <t>https://doi.org/10.1016/j.biortech.2010.09.071</t>
  </si>
  <si>
    <t>DM in rape seed</t>
  </si>
  <si>
    <t>only staw is used to produce ehtanol</t>
  </si>
  <si>
    <t>fermentable sugar</t>
  </si>
  <si>
    <t xml:space="preserve">theoratical </t>
  </si>
  <si>
    <t>yield g ethonal /g  fermentable sugar</t>
  </si>
  <si>
    <t>fermentable sugar in rapeseed cake</t>
  </si>
  <si>
    <t>yield g ethonal /g  rapeseed meal</t>
  </si>
  <si>
    <r>
      <t>C6H12O6 (Fructose) → C5H4O2CHO (Hydroxymethylfurfural) + 2H2O</t>
    </r>
    <r>
      <rPr>
        <sz val="11"/>
        <color rgb="FF4D5156"/>
        <rFont val="Arial"/>
        <family val="2"/>
      </rPr>
      <t>.</t>
    </r>
  </si>
  <si>
    <r>
      <t>C6H12O6 (Fructose) → C5H4O2CHO (</t>
    </r>
    <r>
      <rPr>
        <sz val="11"/>
        <color rgb="FF5F6368"/>
        <rFont val="Arial"/>
        <family val="2"/>
      </rPr>
      <t>Hydroxymethylfurfural</t>
    </r>
    <r>
      <rPr>
        <b/>
        <sz val="11"/>
        <color rgb="FF5F6368"/>
        <rFont val="Arial"/>
        <family val="2"/>
      </rPr>
      <t>) + 2H2O</t>
    </r>
    <r>
      <rPr>
        <sz val="11"/>
        <color rgb="FF4D5156"/>
        <rFont val="Arial"/>
        <family val="2"/>
      </rPr>
      <t>.</t>
    </r>
  </si>
  <si>
    <t>xylose content %</t>
  </si>
  <si>
    <t>fructose+glucosecontent%</t>
  </si>
  <si>
    <t>theoretical yield g/ g biomass</t>
  </si>
  <si>
    <t>fru+glu in rapeseed  %</t>
  </si>
  <si>
    <t>fru+glu in rapeseed meal  %</t>
  </si>
  <si>
    <t>theoretical yield FDCA from rapeseed meal g/g</t>
  </si>
  <si>
    <t>glucose in rapeseed</t>
  </si>
  <si>
    <t>yield (isoprene/rapeseed)</t>
  </si>
  <si>
    <t>glucose in rapeseed meal</t>
  </si>
  <si>
    <t>yield (isoprene/rapeseed meal)</t>
  </si>
  <si>
    <t>glu+fru+xyl in rapeseed</t>
  </si>
  <si>
    <t>succinate yield g/g rapeseed</t>
  </si>
  <si>
    <t>glu+fru+xyl in rapeseed meal</t>
  </si>
  <si>
    <t>succinate yield g/g rapeseed meal</t>
  </si>
  <si>
    <t>a succinic acid concentration of 15.5 g/L was obtained at a yield of 12.4 g/100 g dry matter</t>
  </si>
  <si>
    <t>https://doi.org/10.1016/j.enzmictec.2010.12.009</t>
  </si>
  <si>
    <t>Simultaneous saccharification and fermentation of acid-pretreated rapeseed meal for succinic acid production using Actinobacillus succinogenes</t>
  </si>
  <si>
    <t xml:space="preserve">DM in rapeseed meal </t>
  </si>
  <si>
    <t>Refresh</t>
  </si>
  <si>
    <t>yield g SA/g rapeseed meal</t>
  </si>
  <si>
    <t>yield (3-HP/rapeseed)</t>
  </si>
  <si>
    <t>glucose in rapeseed meal pomace</t>
  </si>
  <si>
    <t>yield (3-HP/rapeseed meal)</t>
  </si>
  <si>
    <t>glu+fru rapeseed (g/100g)</t>
  </si>
  <si>
    <t>Theoretical yield (g/g rapeseed)</t>
  </si>
  <si>
    <t>glu+fru rapeseed meal (g/100g)</t>
  </si>
  <si>
    <t>Theoretical yield (g/g rapeseed meal)</t>
  </si>
  <si>
    <t>sugar from rapeseed g/g</t>
  </si>
  <si>
    <t>theoretical yield (g lactic acid per g rapeseed)</t>
  </si>
  <si>
    <t>the yields (produced lactic acid per consumed glucose)</t>
  </si>
  <si>
    <t>Impact of Hydrolysis Methods on the Utilization of Agricultural Residues as Nutrient Source for D-lactic Acid Production by Sporolactobacillus inulinus</t>
  </si>
  <si>
    <t>https://doi.org/10.3390/fermentation5010012</t>
  </si>
  <si>
    <t>In a fed-batch experiment with chemically hydrolyzed rapeseed meal and minimal supplementation, a lactic acid titer of 221 g L−1 and an overall productivity of 1.55 g (L h)−1 (96% yield) were obtained.</t>
  </si>
  <si>
    <t>yield (produced lactic acid per consumed glucose)</t>
  </si>
  <si>
    <t>yield la/rapeseed</t>
  </si>
  <si>
    <t>glu+ fru in rapeseed %</t>
  </si>
  <si>
    <t>yield g/g rapeseed</t>
  </si>
  <si>
    <t>glu+ fru in rapeseed meal %</t>
  </si>
  <si>
    <t>yield g/g rapeseed meal</t>
  </si>
  <si>
    <t>xylose in rapeseed %</t>
  </si>
  <si>
    <t>glucose in rapeseed meal %</t>
  </si>
  <si>
    <t>Spent grains</t>
  </si>
  <si>
    <t>Evaluation of Fusarium oxysporum as an enzyme factory for the hydrolysis of brewer's spent grain with improved biodegradability for ethanol production - ScienceDirect (uu.nl)</t>
  </si>
  <si>
    <t>Average yield g/kg of spent grains</t>
  </si>
  <si>
    <t>Yield (g/g spent )</t>
  </si>
  <si>
    <t>Average yield Lethanol/ton of spent grain</t>
  </si>
  <si>
    <t>One-pot bioethanol production from brewery spent grain using the ethanologenic Escherichia coli MS04 - ScienceDirect (uu.nl)</t>
  </si>
  <si>
    <t>Density of ethanol g/L</t>
  </si>
  <si>
    <t>Yield (g/g spent)</t>
  </si>
  <si>
    <t>Ethanol Production from Brewers’ Spent Grain Pretreated by Dilute Phosphoric Acid | Energy &amp; Fuels (acs.org)</t>
  </si>
  <si>
    <t>Average yield g ethanol/100 g of SG</t>
  </si>
  <si>
    <t xml:space="preserve">table 3 </t>
  </si>
  <si>
    <t>Yeast Condition</t>
  </si>
  <si>
    <t>Gtf (g L−1)</t>
  </si>
  <si>
    <t>CEtOH (g L−1)</t>
  </si>
  <si>
    <t>YEtOH (%)</t>
  </si>
  <si>
    <t>BLGII Whole slurry D 25%</t>
  </si>
  <si>
    <t>0.27 ± 0.02</t>
  </si>
  <si>
    <t>32.2 ± 0.6</t>
  </si>
  <si>
    <t>73 ± 1</t>
  </si>
  <si>
    <t>BLGII Whole slurry E 25%</t>
  </si>
  <si>
    <t>0.23 ± 0.04</t>
  </si>
  <si>
    <t>42.27 ± 0.03</t>
  </si>
  <si>
    <t>94 ± 0.6</t>
  </si>
  <si>
    <t>PE-2 Whole slurry D 25%</t>
  </si>
  <si>
    <t>0.081 ± 0.001</t>
  </si>
  <si>
    <t>28.7 ± 0.6</t>
  </si>
  <si>
    <t>59.5 ± 1.2</t>
  </si>
  <si>
    <t>PE-2 Whole slurry E 25%</t>
  </si>
  <si>
    <t>0.261 ± 0.006</t>
  </si>
  <si>
    <t>40.3 ± 0.4</t>
  </si>
  <si>
    <t>82.0 ± 2</t>
  </si>
  <si>
    <t>Average concentration of ethanol g/L</t>
  </si>
  <si>
    <t>Average yield from theoretical</t>
  </si>
  <si>
    <t>Theoretical yield in g/L</t>
  </si>
  <si>
    <t>Theoretical sugar need g L</t>
  </si>
  <si>
    <t>total sugar  (g g−1 sg)</t>
  </si>
  <si>
    <t>Yield (g ethanol/ g sg)</t>
  </si>
  <si>
    <t>Intensifying ethanol production from brewer’s spent grain waste: Use of whole slurry at high solid loadings - ScienceDirect (uu.nl)</t>
  </si>
  <si>
    <t>Improved ethanol production from the slurry of pretreated brewers’ spent grain through different co-fermentation strategies - ScienceDirect (uu.nl)</t>
  </si>
  <si>
    <t>yield g/g BSG</t>
  </si>
  <si>
    <t>Successive process for efficient biovalorization of Brewers’ spent grain to lignocellulolytic enzymes and lactic acid production through simultaneous saccharification and fermentation - ScienceDirect (uu.nl)</t>
  </si>
  <si>
    <t>Effects of medium supplementation and pH control on lactic acid production from brewer's spent grain - ScienceDirect (uu.nl)</t>
  </si>
  <si>
    <t>yield g/ g of glucose</t>
  </si>
  <si>
    <t>g of gluc/g of sg</t>
  </si>
  <si>
    <t>g of LA/g SG</t>
  </si>
  <si>
    <t>Wastes from bioethanol and beer productions as substrates for l(+) lactic acid production – A comparative study - ScienceDirect (uu.nl)</t>
  </si>
  <si>
    <t>Brewer’s spent grain as raw material for lactic acid production by Lactobacillus delbrueckii | Biotechnology Letters (uu.nl)</t>
  </si>
  <si>
    <t xml:space="preserve">ref 5 </t>
  </si>
  <si>
    <t>Liquid/solid ratio (g g−1)</t>
  </si>
  <si>
    <t>Acid conc. (mg g−1)</t>
  </si>
  <si>
    <t>Initial xylose (g dm−3)</t>
  </si>
  <si>
    <t>Xylose consumed (%)</t>
  </si>
  <si>
    <t>Cells (g dm−3)</t>
  </si>
  <si>
    <t>Xylitol (g dm−3)</t>
  </si>
  <si>
    <t>YP/S (g g−1)</t>
  </si>
  <si>
    <t>QP (g dm−3 h−1)</t>
  </si>
  <si>
    <t>YX/S (g g−1)</t>
  </si>
  <si>
    <t>1.88</t>
  </si>
  <si>
    <t>78.7</t>
  </si>
  <si>
    <t>3.86</t>
  </si>
  <si>
    <t>10.76</t>
  </si>
  <si>
    <t>0.70</t>
  </si>
  <si>
    <t>0.45</t>
  </si>
  <si>
    <t>4.28</t>
  </si>
  <si>
    <t>89.3</t>
  </si>
  <si>
    <t>3.97</t>
  </si>
  <si>
    <t>6.30</t>
  </si>
  <si>
    <t>0.46</t>
  </si>
  <si>
    <t>0.26</t>
  </si>
  <si>
    <t>1.44</t>
  </si>
  <si>
    <t>75.2</t>
  </si>
  <si>
    <t>3.65</t>
  </si>
  <si>
    <t>9.28</t>
  </si>
  <si>
    <t>0.53</t>
  </si>
  <si>
    <t>0.39</t>
  </si>
  <si>
    <t>5.11</t>
  </si>
  <si>
    <t>86.1</t>
  </si>
  <si>
    <t>3.61</t>
  </si>
  <si>
    <t>6.98</t>
  </si>
  <si>
    <t>0.50</t>
  </si>
  <si>
    <t>0.96</t>
  </si>
  <si>
    <t>82.5</t>
  </si>
  <si>
    <t>4.15</t>
  </si>
  <si>
    <t>9.07</t>
  </si>
  <si>
    <t>4.36</t>
  </si>
  <si>
    <t>94.5</t>
  </si>
  <si>
    <t>4.51</t>
  </si>
  <si>
    <t>5.32</t>
  </si>
  <si>
    <t>0.22</t>
  </si>
  <si>
    <t>2.62</t>
  </si>
  <si>
    <t>67.0</t>
  </si>
  <si>
    <t>3.18</t>
  </si>
  <si>
    <t>9.08</t>
  </si>
  <si>
    <t>0.55</t>
  </si>
  <si>
    <t>5.48</t>
  </si>
  <si>
    <t>87.2</t>
  </si>
  <si>
    <t>3.98</t>
  </si>
  <si>
    <t>6.43</t>
  </si>
  <si>
    <t>0.43</t>
  </si>
  <si>
    <t>0.27</t>
  </si>
  <si>
    <t>8.16</t>
  </si>
  <si>
    <t>79.1</t>
  </si>
  <si>
    <t>3.27</t>
  </si>
  <si>
    <t>7.87</t>
  </si>
  <si>
    <t>7.69</t>
  </si>
  <si>
    <t>88.1</t>
  </si>
  <si>
    <t>4.46</t>
  </si>
  <si>
    <t>8.05</t>
  </si>
  <si>
    <t>0.51</t>
  </si>
  <si>
    <t>7.60</t>
  </si>
  <si>
    <t>7.76</t>
  </si>
  <si>
    <t>0.48</t>
  </si>
  <si>
    <t>0.32</t>
  </si>
  <si>
    <t>6.94</t>
  </si>
  <si>
    <t>96.9</t>
  </si>
  <si>
    <t>4.57</t>
  </si>
  <si>
    <t>7.45</t>
  </si>
  <si>
    <t>0.41</t>
  </si>
  <si>
    <t>Acid hydrolysis and fermentation of brewer's spent grain to produce xylitol (uu.nl)</t>
  </si>
  <si>
    <t>yield g/ g of xylose</t>
  </si>
  <si>
    <t>g of xylose/g of sg</t>
  </si>
  <si>
    <t xml:space="preserve">ref </t>
  </si>
  <si>
    <t>Xylitol production by Debaryomyces hansenii in brewery spent grain dilute-acid hydrolysate: effect of supplementation | Biotechnology Letters (uu.nl)</t>
  </si>
  <si>
    <t>Evaluation of the detoxification of brewery’s spent grain hydrolysate for xylitol production by Debaryomyces hansenii CCMI 941 - ScienceDirect</t>
  </si>
  <si>
    <t>Kinetic Behavior of Candida guilliermondii Yeast during Xylitol Production from Brewerapos;s Spent Grain Hemicellulosic Hydrolysate (uu.nl)</t>
  </si>
  <si>
    <t>theoretical yield FDCA from barley g/g</t>
  </si>
  <si>
    <t>theoretical yield FDCA from spent grains g/g</t>
  </si>
  <si>
    <t>glucose in barley</t>
  </si>
  <si>
    <t>glucose in spent grains</t>
  </si>
  <si>
    <t>yield (isoprene/barley)</t>
  </si>
  <si>
    <t>yield (isoprene/spent grains)</t>
  </si>
  <si>
    <t>succinate yield g/g barley</t>
  </si>
  <si>
    <t>succinate yield g/g spent grains</t>
  </si>
  <si>
    <t>glu+fru+xyl in spent grains</t>
  </si>
  <si>
    <t>yield (3-HP/barley)</t>
  </si>
  <si>
    <t>yield (3-HP/spent grains)</t>
  </si>
  <si>
    <t>xylose in barley %</t>
  </si>
  <si>
    <t>yield (g xylitol / g barley)</t>
  </si>
  <si>
    <t>HMF yield mol%</t>
  </si>
  <si>
    <t>YE/Sa (</t>
  </si>
  <si>
    <t>YE/S represents percentage of the maximum theoretical ethanol yield as calculated from total available glucose equivalents.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</si>
</sst>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06">
    <font>
      <sz val="11"/>
      <color theme="1"/>
      <name val="Calibri"/>
      <family val="2"/>
      <scheme val="minor"/>
    </font>
    <font>
      <b/>
      <sz val="11"/>
      <color rgb="FFFA7D00"/>
      <name val="Calibri"/>
      <family val="2"/>
      <scheme val="minor"/>
    </font>
    <font>
      <sz val="11"/>
      <color rgb="FFFF0000"/>
      <name val="Calibri"/>
      <family val="2"/>
      <scheme val="minor"/>
    </font>
    <font>
      <sz val="10"/>
      <color theme="1"/>
      <name val="Segoe UI"/>
      <family val="2"/>
    </font>
    <font>
      <sz val="10.5"/>
      <color theme="1"/>
      <name val="Calibri"/>
      <family val="2"/>
      <scheme val="minor"/>
    </font>
    <font>
      <b/>
      <sz val="10.5"/>
      <color theme="1"/>
      <name val="Calibri"/>
      <family val="2"/>
      <scheme val="minor"/>
    </font>
    <font>
      <u/>
      <sz val="11"/>
      <color theme="10"/>
      <name val="Calibri"/>
      <family val="2"/>
      <scheme val="minor"/>
    </font>
    <font>
      <b/>
      <sz val="12"/>
      <color theme="1"/>
      <name val="Source Sans Pro"/>
      <family val="2"/>
    </font>
    <font>
      <b/>
      <vertAlign val="superscript"/>
      <sz val="12"/>
      <color theme="1"/>
      <name val="Source Sans Pro"/>
      <family val="2"/>
    </font>
    <font>
      <sz val="12"/>
      <color theme="1"/>
      <name val="Source Sans Pro"/>
      <family val="2"/>
    </font>
    <font>
      <vertAlign val="subscript"/>
      <sz val="12"/>
      <color theme="1"/>
      <name val="Source Sans Pro"/>
      <family val="2"/>
    </font>
    <font>
      <sz val="9"/>
      <color indexed="81"/>
      <name val="Tahoma"/>
      <family val="2"/>
    </font>
    <font>
      <b/>
      <sz val="9"/>
      <color indexed="81"/>
      <name val="Tahoma"/>
      <family val="2"/>
    </font>
    <font>
      <sz val="11"/>
      <color rgb="FF1F1F1F"/>
      <name val="Georgia"/>
      <family val="1"/>
    </font>
    <font>
      <i/>
      <sz val="11"/>
      <color rgb="FF1F1F1F"/>
      <name val="Georgia"/>
      <family val="1"/>
    </font>
    <font>
      <b/>
      <sz val="11"/>
      <color theme="1"/>
      <name val="Georgia"/>
      <family val="1"/>
    </font>
    <font>
      <b/>
      <sz val="8"/>
      <color theme="1"/>
      <name val="Georgia"/>
      <family val="1"/>
    </font>
    <font>
      <sz val="11"/>
      <color theme="1"/>
      <name val="Georgia"/>
      <family val="1"/>
    </font>
    <font>
      <b/>
      <i/>
      <sz val="11"/>
      <color theme="1"/>
      <name val="Georgia"/>
      <family val="1"/>
    </font>
    <font>
      <b/>
      <i/>
      <sz val="8"/>
      <color theme="1"/>
      <name val="Georgia"/>
      <family val="1"/>
    </font>
    <font>
      <sz val="11"/>
      <color rgb="FFFF0000"/>
      <name val="Georgia"/>
      <family val="1"/>
    </font>
    <font>
      <sz val="10"/>
      <color theme="1"/>
      <name val="Calibri"/>
      <family val="2"/>
      <scheme val="minor"/>
    </font>
    <font>
      <sz val="8"/>
      <color theme="1"/>
      <name val="Calibri"/>
      <family val="2"/>
      <scheme val="minor"/>
    </font>
    <font>
      <sz val="11"/>
      <color theme="1"/>
      <name val="Segoe UI"/>
      <family val="2"/>
    </font>
    <font>
      <b/>
      <sz val="11"/>
      <color theme="1"/>
      <name val="Segoe UI"/>
      <family val="2"/>
    </font>
    <font>
      <sz val="9"/>
      <color theme="1"/>
      <name val="Segoe UI"/>
      <family val="2"/>
    </font>
    <font>
      <i/>
      <sz val="10"/>
      <color theme="1"/>
      <name val="Segoe UI"/>
      <family val="2"/>
    </font>
    <font>
      <sz val="11"/>
      <color rgb="FF222222"/>
      <name val="Segoe UI"/>
      <family val="2"/>
    </font>
    <font>
      <sz val="9"/>
      <color rgb="FF222222"/>
      <name val="Segoe UI"/>
      <family val="2"/>
    </font>
    <font>
      <vertAlign val="superscript"/>
      <sz val="11"/>
      <color theme="1"/>
      <name val="Calibri"/>
      <family val="2"/>
      <scheme val="minor"/>
    </font>
    <font>
      <sz val="11"/>
      <color theme="1"/>
      <name val="Calibri"/>
      <family val="2"/>
      <scheme val="minor"/>
    </font>
    <font>
      <i/>
      <sz val="11"/>
      <color theme="1"/>
      <name val="Calibri"/>
      <family val="2"/>
      <scheme val="minor"/>
    </font>
    <font>
      <sz val="11"/>
      <color rgb="FF000000"/>
      <name val="Open Sans"/>
      <family val="2"/>
    </font>
    <font>
      <i/>
      <sz val="11"/>
      <color rgb="FF000000"/>
      <name val="Open Sans"/>
      <family val="2"/>
    </font>
    <font>
      <i/>
      <sz val="8"/>
      <color rgb="FF000000"/>
      <name val="Open Sans"/>
      <family val="2"/>
    </font>
    <font>
      <sz val="8"/>
      <color rgb="FF000000"/>
      <name val="Open Sans"/>
      <family val="2"/>
    </font>
    <font>
      <sz val="11"/>
      <color rgb="FF1C1D1E"/>
      <name val="Open Sans"/>
      <family val="2"/>
    </font>
    <font>
      <i/>
      <sz val="11"/>
      <color rgb="FF1C1D1E"/>
      <name val="Open Sans"/>
      <family val="2"/>
    </font>
    <font>
      <sz val="9"/>
      <color rgb="FF1C1D1E"/>
      <name val="Open Sans"/>
      <family val="2"/>
    </font>
    <font>
      <i/>
      <sz val="9"/>
      <color rgb="FF1C1D1E"/>
      <name val="Open Sans"/>
      <family val="2"/>
    </font>
    <font>
      <sz val="12"/>
      <color rgb="FF000000"/>
      <name val="Open Sans"/>
      <family val="2"/>
    </font>
    <font>
      <b/>
      <sz val="12"/>
      <color rgb="FF000000"/>
      <name val="Open Sans"/>
      <family val="2"/>
    </font>
    <font>
      <b/>
      <i/>
      <sz val="12"/>
      <color rgb="FF000000"/>
      <name val="Open Sans"/>
      <family val="2"/>
    </font>
    <font>
      <b/>
      <i/>
      <sz val="9"/>
      <color rgb="FF000000"/>
      <name val="Open Sans"/>
      <family val="2"/>
    </font>
    <font>
      <sz val="9"/>
      <color rgb="FF1F1F1F"/>
      <name val="Georgia"/>
      <family val="1"/>
    </font>
    <font>
      <sz val="10"/>
      <color theme="1"/>
      <name val="Georgia"/>
      <family val="1"/>
    </font>
    <font>
      <i/>
      <sz val="11"/>
      <color theme="1"/>
      <name val="Georgia"/>
      <family val="1"/>
    </font>
    <font>
      <i/>
      <sz val="8"/>
      <color theme="1"/>
      <name val="Georgia"/>
      <family val="1"/>
    </font>
    <font>
      <vertAlign val="subscript"/>
      <sz val="10"/>
      <color theme="1"/>
      <name val="Georgia"/>
      <family val="1"/>
    </font>
    <font>
      <vertAlign val="superscript"/>
      <sz val="10"/>
      <color theme="1"/>
      <name val="Georgia"/>
      <family val="1"/>
    </font>
    <font>
      <sz val="13"/>
      <color rgb="FF000000"/>
      <name val="Georgia"/>
      <family val="1"/>
    </font>
    <font>
      <b/>
      <sz val="11"/>
      <color theme="1"/>
      <name val="Merriweather Sans"/>
    </font>
    <font>
      <sz val="11"/>
      <color theme="1"/>
      <name val="Merriweather Sans"/>
    </font>
    <font>
      <sz val="9"/>
      <color theme="1"/>
      <name val="Merriweather Sans"/>
    </font>
    <font>
      <b/>
      <sz val="14"/>
      <color theme="1"/>
      <name val="Calibri"/>
      <family val="2"/>
      <scheme val="minor"/>
    </font>
    <font>
      <b/>
      <i/>
      <sz val="14"/>
      <color theme="1"/>
      <name val="Calibri"/>
      <family val="2"/>
      <scheme val="minor"/>
    </font>
    <font>
      <b/>
      <sz val="11"/>
      <color theme="1"/>
      <name val="Calibri"/>
      <family val="2"/>
      <scheme val="minor"/>
    </font>
    <font>
      <sz val="9"/>
      <color theme="1"/>
      <name val="Times New Roman"/>
      <family val="1"/>
    </font>
    <font>
      <sz val="6"/>
      <color theme="1"/>
      <name val="Times New Roman"/>
      <family val="1"/>
    </font>
    <font>
      <sz val="14"/>
      <color rgb="FF222222"/>
      <name val="Merriweather"/>
    </font>
    <font>
      <b/>
      <i/>
      <sz val="11"/>
      <color theme="1"/>
      <name val="Merriweather Sans"/>
    </font>
    <font>
      <vertAlign val="superscript"/>
      <sz val="11"/>
      <color theme="1"/>
      <name val="Merriweather Sans"/>
    </font>
    <font>
      <sz val="10"/>
      <color rgb="FF222222"/>
      <name val="Merriweather"/>
    </font>
    <font>
      <vertAlign val="superscript"/>
      <sz val="11"/>
      <color rgb="FF222222"/>
      <name val="Merriweather"/>
    </font>
    <font>
      <sz val="8"/>
      <color rgb="FF222222"/>
      <name val="Merriweather"/>
    </font>
    <font>
      <vertAlign val="superscript"/>
      <sz val="8"/>
      <color rgb="FF222222"/>
      <name val="Merriweather"/>
    </font>
    <font>
      <b/>
      <vertAlign val="superscript"/>
      <sz val="11"/>
      <color theme="1"/>
      <name val="Merriweather Sans"/>
    </font>
    <font>
      <b/>
      <sz val="9"/>
      <color theme="1"/>
      <name val="Merriweather Sans"/>
    </font>
    <font>
      <i/>
      <sz val="14"/>
      <color rgb="FF222222"/>
      <name val="Merriweather"/>
    </font>
    <font>
      <b/>
      <sz val="16"/>
      <color theme="1"/>
      <name val="Calibri"/>
      <family val="2"/>
      <scheme val="minor"/>
    </font>
    <font>
      <b/>
      <i/>
      <sz val="16"/>
      <color theme="1"/>
      <name val="Calibri"/>
      <family val="2"/>
      <scheme val="minor"/>
    </font>
    <font>
      <b/>
      <i/>
      <sz val="11"/>
      <color theme="1"/>
      <name val="Calibri"/>
      <family val="2"/>
      <scheme val="minor"/>
    </font>
    <font>
      <i/>
      <sz val="8"/>
      <color rgb="FF222222"/>
      <name val="Merriweather"/>
    </font>
    <font>
      <vertAlign val="subscript"/>
      <sz val="11"/>
      <color theme="1"/>
      <name val="Calibri"/>
      <family val="2"/>
      <scheme val="minor"/>
    </font>
    <font>
      <sz val="8"/>
      <color theme="1"/>
      <name val="Georgia"/>
      <family val="1"/>
    </font>
    <font>
      <b/>
      <vertAlign val="subscript"/>
      <sz val="11"/>
      <color theme="1"/>
      <name val="Georgia"/>
      <family val="1"/>
    </font>
    <font>
      <sz val="12"/>
      <color rgb="FF1F1F1F"/>
      <name val="Georgia"/>
      <family val="1"/>
    </font>
    <font>
      <sz val="8"/>
      <name val="Calibri"/>
      <family val="2"/>
      <scheme val="minor"/>
    </font>
    <font>
      <b/>
      <sz val="11"/>
      <color theme="1"/>
      <name val="Source Sans Pro"/>
      <family val="2"/>
    </font>
    <font>
      <b/>
      <vertAlign val="superscript"/>
      <sz val="11"/>
      <color theme="1"/>
      <name val="Source Sans Pro"/>
      <family val="2"/>
    </font>
    <font>
      <sz val="11"/>
      <color theme="1"/>
      <name val="Source Sans Pro"/>
      <family val="2"/>
    </font>
    <font>
      <b/>
      <sz val="11"/>
      <color rgb="FF007AAF"/>
      <name val="Source Sans Pro"/>
      <family val="2"/>
    </font>
    <font>
      <b/>
      <i/>
      <sz val="11"/>
      <color theme="1"/>
      <name val="Source Sans Pro"/>
      <family val="2"/>
    </font>
    <font>
      <sz val="12"/>
      <color rgb="FF2E2E2E"/>
      <name val="Georgia"/>
      <family val="1"/>
    </font>
    <font>
      <b/>
      <sz val="24"/>
      <color theme="1"/>
      <name val="Calibri"/>
      <family val="2"/>
      <scheme val="minor"/>
    </font>
    <font>
      <b/>
      <sz val="10"/>
      <color theme="1"/>
      <name val="Calibri"/>
      <family val="2"/>
      <scheme val="minor"/>
    </font>
    <font>
      <b/>
      <sz val="8"/>
      <color theme="1"/>
      <name val="Merriweather Sans"/>
    </font>
    <font>
      <sz val="11"/>
      <color rgb="FF006100"/>
      <name val="Calibri"/>
      <family val="2"/>
      <scheme val="minor"/>
    </font>
    <font>
      <sz val="11"/>
      <color theme="6"/>
      <name val="Georgia"/>
      <family val="1"/>
    </font>
    <font>
      <sz val="8"/>
      <color rgb="FF1F1F1F"/>
      <name val="Georgia"/>
      <family val="1"/>
    </font>
    <font>
      <b/>
      <sz val="6"/>
      <color theme="1"/>
      <name val="Georgia"/>
      <family val="1"/>
    </font>
    <font>
      <sz val="6"/>
      <color rgb="FF1F1F1F"/>
      <name val="Georgia"/>
      <family val="1"/>
    </font>
    <font>
      <sz val="11"/>
      <color rgb="FF222222"/>
      <name val="Merriweather"/>
    </font>
    <font>
      <b/>
      <sz val="12"/>
      <color theme="1"/>
      <name val="Calibri"/>
      <family val="2"/>
      <scheme val="minor"/>
    </font>
    <font>
      <b/>
      <i/>
      <sz val="12"/>
      <color theme="1"/>
      <name val="Calibri"/>
      <family val="2"/>
      <scheme val="minor"/>
    </font>
    <font>
      <b/>
      <vertAlign val="superscript"/>
      <sz val="12"/>
      <color theme="1"/>
      <name val="Calibri"/>
      <family val="2"/>
      <scheme val="minor"/>
    </font>
    <font>
      <sz val="10"/>
      <color rgb="FF1F1F1F"/>
      <name val="Georgia"/>
      <family val="1"/>
    </font>
    <font>
      <sz val="6"/>
      <color rgb="FF000000"/>
      <name val="Open Sans"/>
      <family val="2"/>
    </font>
    <font>
      <b/>
      <sz val="11"/>
      <color rgb="FF5F6368"/>
      <name val="Arial"/>
      <family val="2"/>
    </font>
    <font>
      <sz val="11"/>
      <color rgb="FF4D5156"/>
      <name val="Arial"/>
      <family val="2"/>
    </font>
    <font>
      <sz val="7"/>
      <color rgb="FF1F1F1F"/>
      <name val="Georgia"/>
      <family val="1"/>
    </font>
    <font>
      <sz val="7"/>
      <color theme="1"/>
      <name val="Calibri"/>
      <family val="2"/>
      <scheme val="minor"/>
    </font>
    <font>
      <sz val="7"/>
      <color rgb="FF000000"/>
      <name val="Open Sans"/>
      <family val="2"/>
    </font>
    <font>
      <sz val="5"/>
      <color rgb="FF000000"/>
      <name val="Open Sans"/>
      <family val="2"/>
    </font>
    <font>
      <sz val="6"/>
      <color theme="1"/>
      <name val="Georgia"/>
      <family val="1"/>
    </font>
    <font>
      <sz val="10"/>
      <color theme="9"/>
      <name val="Georgia"/>
      <family val="1"/>
    </font>
    <font>
      <sz val="10"/>
      <color rgb="FF000000"/>
      <name val="Roboto"/>
    </font>
    <font>
      <sz val="8"/>
      <color rgb="FF000000"/>
      <name val="Roboto"/>
    </font>
    <font>
      <b/>
      <sz val="11"/>
      <color theme="9"/>
      <name val="Calibri"/>
      <family val="2"/>
      <scheme val="minor"/>
    </font>
    <font>
      <sz val="11"/>
      <color theme="9"/>
      <name val="Calibri"/>
      <family val="2"/>
      <scheme val="minor"/>
    </font>
    <font>
      <sz val="10"/>
      <color rgb="FFFF0000"/>
      <name val="Georgia"/>
      <family val="1"/>
    </font>
    <font>
      <sz val="10"/>
      <color rgb="FF222222"/>
      <name val="Arial"/>
      <family val="2"/>
    </font>
    <font>
      <sz val="12"/>
      <color rgb="FF000000"/>
      <name val="STIXGeneral-Bold"/>
    </font>
    <font>
      <sz val="11"/>
      <color rgb="FF000000"/>
      <name val="Times New Roman"/>
      <family val="1"/>
    </font>
    <font>
      <i/>
      <sz val="11"/>
      <color rgb="FF000000"/>
      <name val="Times New Roman"/>
      <family val="1"/>
    </font>
    <font>
      <sz val="11"/>
      <color theme="1"/>
      <name val="Times New Roman"/>
      <family val="1"/>
    </font>
    <font>
      <sz val="9"/>
      <color theme="1"/>
      <name val="Calibri"/>
      <family val="2"/>
      <scheme val="minor"/>
    </font>
    <font>
      <i/>
      <sz val="11"/>
      <color theme="1"/>
      <name val="Times New Roman"/>
      <family val="1"/>
    </font>
    <font>
      <i/>
      <sz val="11"/>
      <color rgb="FF222222"/>
      <name val="Merriweather"/>
    </font>
    <font>
      <b/>
      <sz val="14"/>
      <color rgb="FF191919"/>
      <name val="Arial"/>
      <family val="2"/>
    </font>
    <font>
      <vertAlign val="superscript"/>
      <sz val="7.5"/>
      <color theme="1"/>
      <name val="Source Sans Pro"/>
      <family val="2"/>
    </font>
    <font>
      <b/>
      <sz val="8"/>
      <color rgb="FF0272B1"/>
      <name val="Georgia"/>
      <family val="1"/>
    </font>
    <font>
      <b/>
      <sz val="11"/>
      <color rgb="FF1F1F1F"/>
      <name val="Georgia"/>
      <family val="1"/>
    </font>
    <font>
      <sz val="9"/>
      <color rgb="FF000000"/>
      <name val="Open Sans"/>
      <family val="2"/>
    </font>
    <font>
      <sz val="11"/>
      <color rgb="FF9C0006"/>
      <name val="Calibri"/>
      <family val="2"/>
      <scheme val="minor"/>
    </font>
    <font>
      <sz val="8.8000000000000007"/>
      <color rgb="FF222222"/>
      <name val="Merriweather"/>
    </font>
    <font>
      <i/>
      <sz val="11"/>
      <color theme="1"/>
      <name val="Merriweather Sans"/>
    </font>
    <font>
      <sz val="9"/>
      <color rgb="FF222222"/>
      <name val="Merriweather"/>
    </font>
    <font>
      <b/>
      <sz val="9"/>
      <color theme="1"/>
      <name val="Calibri"/>
      <family val="2"/>
      <scheme val="minor"/>
    </font>
    <font>
      <vertAlign val="superscript"/>
      <sz val="9"/>
      <color rgb="FF222222"/>
      <name val="Merriweather"/>
    </font>
    <font>
      <b/>
      <sz val="9"/>
      <color rgb="FF222222"/>
      <name val="Arial"/>
      <family val="2"/>
    </font>
    <font>
      <sz val="9"/>
      <color rgb="FF222222"/>
      <name val="Arial"/>
      <family val="2"/>
    </font>
    <font>
      <b/>
      <sz val="11"/>
      <color rgb="FF1F1F1F"/>
      <name val="ElsevierGulliver"/>
      <charset val="1"/>
    </font>
    <font>
      <b/>
      <sz val="8"/>
      <color rgb="FF1F1F1F"/>
      <name val="ElsevierGulliver"/>
      <charset val="1"/>
    </font>
    <font>
      <sz val="11"/>
      <color rgb="FF1F1F1F"/>
      <name val="ElsevierGulliver"/>
      <charset val="1"/>
    </font>
    <font>
      <sz val="8"/>
      <color rgb="FF1F1F1F"/>
      <name val="ElsevierGulliver"/>
      <charset val="1"/>
    </font>
    <font>
      <b/>
      <i/>
      <sz val="11"/>
      <color rgb="FF1F1F1F"/>
      <name val="ElsevierGulliver"/>
      <charset val="1"/>
    </font>
    <font>
      <b/>
      <sz val="11"/>
      <color rgb="FF1F1F1F"/>
      <name val="ElsevierGulliver"/>
    </font>
    <font>
      <b/>
      <sz val="10"/>
      <color rgb="FF1F1F1F"/>
      <name val="ElsevierGulliver"/>
    </font>
    <font>
      <sz val="12"/>
      <color rgb="FF1F1F1F"/>
      <name val="ElsevierGulliver"/>
      <charset val="1"/>
    </font>
    <font>
      <u/>
      <sz val="11"/>
      <color theme="10"/>
      <name val="Calibri"/>
      <family val="2"/>
      <charset val="1"/>
      <scheme val="minor"/>
    </font>
    <font>
      <sz val="11"/>
      <color rgb="FF0272B1"/>
      <name val="ElsevierGulliver"/>
      <charset val="1"/>
    </font>
    <font>
      <b/>
      <sz val="11"/>
      <color rgb="FF333333"/>
      <name val="-Apple-System"/>
      <charset val="1"/>
    </font>
    <font>
      <sz val="11"/>
      <color rgb="FF333333"/>
      <name val="-Apple-System"/>
      <charset val="1"/>
    </font>
    <font>
      <i/>
      <sz val="11"/>
      <color rgb="FF1F1F1F"/>
      <name val="ElsevierGulliver"/>
      <charset val="1"/>
    </font>
    <font>
      <i/>
      <sz val="8"/>
      <color rgb="FF1F1F1F"/>
      <name val="ElsevierGulliver"/>
      <charset val="1"/>
    </font>
    <font>
      <sz val="9"/>
      <color rgb="FF1F1F1F"/>
      <name val="ElsevierGulliver"/>
      <charset val="1"/>
    </font>
    <font>
      <b/>
      <i/>
      <sz val="8"/>
      <color rgb="FF1F1F1F"/>
      <name val="ElsevierGulliver"/>
      <charset val="1"/>
    </font>
    <font>
      <i/>
      <sz val="12"/>
      <color rgb="FF1F1F1F"/>
      <name val="ElsevierGulliver"/>
      <charset val="1"/>
    </font>
    <font>
      <i/>
      <sz val="9"/>
      <color rgb="FF1F1F1F"/>
      <name val="ElsevierGulliver"/>
      <charset val="1"/>
    </font>
    <font>
      <sz val="11"/>
      <color rgb="FF000000"/>
      <name val="Aptos Narrow"/>
      <family val="2"/>
    </font>
    <font>
      <b/>
      <sz val="9"/>
      <color rgb="FF222222"/>
      <name val="Arial"/>
      <family val="2"/>
    </font>
    <font>
      <sz val="9"/>
      <color rgb="FF222222"/>
      <name val="Arial"/>
      <family val="2"/>
    </font>
    <font>
      <i/>
      <sz val="12"/>
      <color rgb="FF000000"/>
      <name val="Open Sans"/>
      <family val="2"/>
    </font>
    <font>
      <sz val="8"/>
      <color rgb="FF000000"/>
      <name val="Open Sans"/>
      <family val="2"/>
    </font>
    <font>
      <sz val="12"/>
      <color rgb="FF000000"/>
      <name val="Open Sans"/>
      <family val="2"/>
    </font>
    <font>
      <sz val="12"/>
      <color rgb="FF0272B1"/>
      <name val="ElsevierGulliver"/>
      <charset val="1"/>
    </font>
    <font>
      <sz val="7.5"/>
      <color rgb="FF222222"/>
      <name val="Arial"/>
      <family val="2"/>
    </font>
    <font>
      <b/>
      <sz val="7.5"/>
      <color rgb="FF222222"/>
      <name val="Arial"/>
      <family val="2"/>
    </font>
    <font>
      <sz val="14"/>
      <color rgb="FF222222"/>
      <name val="Merriweather"/>
      <family val="1"/>
      <charset val="1"/>
    </font>
    <font>
      <sz val="10"/>
      <color rgb="FF2E2E2E"/>
      <name val="Georgia"/>
      <family val="1"/>
    </font>
    <font>
      <sz val="7"/>
      <color rgb="FF2E2E2E"/>
      <name val="Georgia"/>
      <family val="1"/>
    </font>
    <font>
      <sz val="8"/>
      <color rgb="FF222222"/>
      <name val="Arial"/>
      <family val="2"/>
    </font>
    <font>
      <b/>
      <sz val="8"/>
      <color rgb="FF03336D"/>
      <name val="Arial"/>
      <family val="2"/>
    </font>
    <font>
      <b/>
      <sz val="24"/>
      <color rgb="FFFFFFFF"/>
      <name val="Merriweather Sans"/>
    </font>
    <font>
      <i/>
      <sz val="6"/>
      <color theme="1"/>
      <name val="Georgia"/>
      <family val="1"/>
    </font>
    <font>
      <sz val="10"/>
      <color rgb="FF0272B1"/>
      <name val="Georgia"/>
      <family val="1"/>
    </font>
    <font>
      <i/>
      <sz val="10"/>
      <color rgb="FF1F1F1F"/>
      <name val="Georgia"/>
      <family val="1"/>
    </font>
    <font>
      <sz val="10"/>
      <color rgb="FF444444"/>
      <name val="Arial"/>
      <family val="2"/>
    </font>
    <font>
      <sz val="10"/>
      <color rgb="FF2E2E2E"/>
      <name val="Arial"/>
      <family val="2"/>
    </font>
    <font>
      <sz val="10"/>
      <color rgb="FF000000"/>
      <name val="Open Sans"/>
      <family val="2"/>
    </font>
    <font>
      <sz val="11"/>
      <color rgb="FF000000"/>
      <name val="Open Sans"/>
      <family val="2"/>
    </font>
    <font>
      <sz val="10"/>
      <color rgb="FF000000"/>
      <name val="Georgia"/>
      <family val="1"/>
    </font>
    <font>
      <b/>
      <sz val="10"/>
      <color rgb="FF000000"/>
      <name val="Roboto"/>
    </font>
    <font>
      <sz val="11"/>
      <color rgb="FF000000"/>
      <name val="Roboto"/>
    </font>
    <font>
      <sz val="11"/>
      <color theme="1"/>
      <name val="Roboto"/>
    </font>
    <font>
      <i/>
      <sz val="7"/>
      <color rgb="FF1F1F1F"/>
      <name val="Georgia"/>
      <family val="1"/>
    </font>
    <font>
      <sz val="8"/>
      <color rgb="FF000000"/>
      <name val="Georgia"/>
      <family val="1"/>
    </font>
    <font>
      <sz val="9"/>
      <color rgb="FF777777"/>
      <name val="OpenSans-Regular"/>
    </font>
    <font>
      <vertAlign val="superscript"/>
      <sz val="11"/>
      <color rgb="FF777777"/>
      <name val="OpenSans-Regular"/>
    </font>
    <font>
      <vertAlign val="subscript"/>
      <sz val="11"/>
      <color rgb="FF777777"/>
      <name val="OpenSans-Regular"/>
    </font>
    <font>
      <sz val="8"/>
      <color rgb="FF403D39"/>
      <name val="Arial"/>
      <family val="2"/>
    </font>
    <font>
      <sz val="6"/>
      <color rgb="FF403D39"/>
      <name val="Arial"/>
      <family val="2"/>
    </font>
    <font>
      <sz val="11"/>
      <color rgb="FF000000"/>
      <name val="Arial"/>
      <family val="2"/>
    </font>
    <font>
      <sz val="8"/>
      <color rgb="FF4D5156"/>
      <name val="Arial"/>
      <family val="2"/>
    </font>
    <font>
      <b/>
      <sz val="8"/>
      <color rgb="FF5F6368"/>
      <name val="Arial"/>
      <family val="2"/>
    </font>
    <font>
      <sz val="11"/>
      <color rgb="FFC00000"/>
      <name val="Calibri"/>
      <family val="2"/>
      <scheme val="minor"/>
    </font>
    <font>
      <sz val="11"/>
      <color theme="0"/>
      <name val="Calibri"/>
      <family val="2"/>
      <scheme val="minor"/>
    </font>
    <font>
      <b/>
      <vertAlign val="subscript"/>
      <sz val="8"/>
      <color rgb="FFFA7D00"/>
      <name val="Calibri"/>
      <family val="2"/>
      <scheme val="minor"/>
    </font>
    <font>
      <b/>
      <sz val="8"/>
      <color rgb="FFFA7D00"/>
      <name val="Calibri"/>
      <family val="2"/>
      <scheme val="minor"/>
    </font>
    <font>
      <i/>
      <sz val="8"/>
      <color rgb="FF000000"/>
      <name val="Open Sans"/>
      <family val="2"/>
    </font>
    <font>
      <b/>
      <sz val="11"/>
      <color rgb="FF5F6368"/>
      <name val="Arial"/>
      <family val="2"/>
    </font>
    <font>
      <i/>
      <sz val="10"/>
      <color rgb="FF000000"/>
      <name val="Georgia"/>
      <family val="1"/>
    </font>
    <font>
      <i/>
      <sz val="9"/>
      <color rgb="FF000000"/>
      <name val="Courier New"/>
      <family val="3"/>
    </font>
    <font>
      <sz val="9"/>
      <color rgb="FF000000"/>
      <name val="Courier New"/>
      <family val="3"/>
    </font>
    <font>
      <sz val="9.6"/>
      <color rgb="FF0D0D0D"/>
      <name val="Segoe UI"/>
      <family val="2"/>
    </font>
    <font>
      <sz val="9.6"/>
      <color rgb="FF0D0D0D"/>
      <name val="Segoe UI"/>
      <family val="2"/>
    </font>
    <font>
      <sz val="6"/>
      <color rgb="FF231F20"/>
      <name val="Georgia"/>
      <family val="1"/>
    </font>
    <font>
      <sz val="7"/>
      <color theme="1"/>
      <name val="Times New Roman"/>
      <family val="1"/>
    </font>
    <font>
      <sz val="6"/>
      <color theme="1"/>
      <name val="LM Roman 10"/>
    </font>
    <font>
      <i/>
      <sz val="8"/>
      <color rgb="FF1F1F1F"/>
      <name val="Georgia"/>
      <family val="1"/>
    </font>
    <font>
      <b/>
      <sz val="8"/>
      <color theme="1"/>
      <name val="Calibri"/>
      <family val="2"/>
      <scheme val="minor"/>
    </font>
    <font>
      <b/>
      <sz val="8"/>
      <color rgb="FF1F1F1F"/>
      <name val="Georgia"/>
      <family val="1"/>
    </font>
    <font>
      <sz val="11"/>
      <color rgb="FF5F6368"/>
      <name val="Arial"/>
      <family val="2"/>
    </font>
    <font>
      <sz val="8"/>
      <color rgb="FF222222"/>
      <name val="Arial"/>
      <family val="2"/>
    </font>
    <font>
      <sz val="9.6"/>
      <color rgb="FF0D0D0D"/>
      <name val="Segoe UI"/>
      <family val="2"/>
    </font>
  </fonts>
  <fills count="12">
    <fill>
      <patternFill patternType="none"/>
    </fill>
    <fill>
      <patternFill patternType="gray125"/>
    </fill>
    <fill>
      <patternFill patternType="solid">
        <fgColor rgb="FFF2F2F2"/>
      </patternFill>
    </fill>
    <fill>
      <patternFill patternType="solid">
        <fgColor rgb="FFFFFFFF"/>
        <bgColor indexed="64"/>
      </patternFill>
    </fill>
    <fill>
      <patternFill patternType="solid">
        <fgColor rgb="FFEEEEEE"/>
        <bgColor indexed="64"/>
      </patternFill>
    </fill>
    <fill>
      <patternFill patternType="solid">
        <fgColor rgb="FFC6EFCE"/>
      </patternFill>
    </fill>
    <fill>
      <patternFill patternType="solid">
        <fgColor rgb="FFFFC7CE"/>
      </patternFill>
    </fill>
    <fill>
      <patternFill patternType="solid">
        <fgColor rgb="FFF9F9F9"/>
        <bgColor indexed="64"/>
      </patternFill>
    </fill>
    <fill>
      <patternFill patternType="solid">
        <fgColor rgb="FFE6E6E6"/>
        <bgColor indexed="64"/>
      </patternFill>
    </fill>
    <fill>
      <patternFill patternType="solid">
        <fgColor theme="1" tint="0.499984740745262"/>
        <bgColor indexed="64"/>
      </patternFill>
    </fill>
    <fill>
      <patternFill patternType="solid">
        <fgColor theme="3" tint="0.39997558519241921"/>
        <bgColor indexed="64"/>
      </patternFill>
    </fill>
    <fill>
      <patternFill patternType="solid">
        <fgColor rgb="FFFFFF00"/>
        <bgColor indexed="64"/>
      </patternFill>
    </fill>
  </fills>
  <borders count="152">
    <border>
      <left/>
      <right/>
      <top/>
      <bottom/>
      <diagonal/>
    </border>
    <border>
      <left style="thin">
        <color rgb="FF7F7F7F"/>
      </left>
      <right style="thin">
        <color rgb="FF7F7F7F"/>
      </right>
      <top style="thin">
        <color rgb="FF7F7F7F"/>
      </top>
      <bottom style="thin">
        <color rgb="FF7F7F7F"/>
      </bottom>
      <diagonal/>
    </border>
    <border>
      <left style="medium">
        <color rgb="FFA3A3A3"/>
      </left>
      <right style="medium">
        <color rgb="FFA3A3A3"/>
      </right>
      <top style="medium">
        <color rgb="FFA3A3A3"/>
      </top>
      <bottom style="medium">
        <color rgb="FFA3A3A3"/>
      </bottom>
      <diagonal/>
    </border>
    <border>
      <left style="medium">
        <color rgb="FFA3A3A3"/>
      </left>
      <right style="medium">
        <color rgb="FFA3A3A3"/>
      </right>
      <top style="medium">
        <color rgb="FFA3A3A3"/>
      </top>
      <bottom/>
      <diagonal/>
    </border>
    <border>
      <left style="medium">
        <color rgb="FFA3A3A3"/>
      </left>
      <right style="medium">
        <color rgb="FFA3A3A3"/>
      </right>
      <top/>
      <bottom style="medium">
        <color rgb="FFA3A3A3"/>
      </bottom>
      <diagonal/>
    </border>
    <border>
      <left/>
      <right/>
      <top/>
      <bottom style="thick">
        <color rgb="FF191919"/>
      </bottom>
      <diagonal/>
    </border>
    <border>
      <left/>
      <right/>
      <top/>
      <bottom style="medium">
        <color rgb="FF8E8E8E"/>
      </bottom>
      <diagonal/>
    </border>
    <border>
      <left/>
      <right/>
      <top style="medium">
        <color rgb="FF8E8E8E"/>
      </top>
      <bottom style="medium">
        <color rgb="FF8E8E8E"/>
      </bottom>
      <diagonal/>
    </border>
    <border>
      <left/>
      <right/>
      <top style="medium">
        <color rgb="FF8E8E8E"/>
      </top>
      <bottom/>
      <diagonal/>
    </border>
    <border>
      <left style="medium">
        <color rgb="FFA3A3A3"/>
      </left>
      <right/>
      <top/>
      <bottom/>
      <diagonal/>
    </border>
    <border>
      <left/>
      <right style="medium">
        <color rgb="FFD5D5D5"/>
      </right>
      <top/>
      <bottom/>
      <diagonal/>
    </border>
    <border>
      <left/>
      <right style="medium">
        <color rgb="FFD5D5D5"/>
      </right>
      <top style="medium">
        <color rgb="FFD5D5D5"/>
      </top>
      <bottom/>
      <diagonal/>
    </border>
    <border>
      <left style="thick">
        <color rgb="FFD5D5D5"/>
      </left>
      <right style="medium">
        <color rgb="FFD5D5D5"/>
      </right>
      <top style="thick">
        <color rgb="FFD5D5D5"/>
      </top>
      <bottom style="medium">
        <color rgb="FFD5D5D5"/>
      </bottom>
      <diagonal/>
    </border>
    <border>
      <left/>
      <right style="medium">
        <color rgb="FFD5D5D5"/>
      </right>
      <top style="thick">
        <color rgb="FFD5D5D5"/>
      </top>
      <bottom style="medium">
        <color rgb="FFD5D5D5"/>
      </bottom>
      <diagonal/>
    </border>
    <border>
      <left/>
      <right style="thick">
        <color rgb="FFD5D5D5"/>
      </right>
      <top style="thick">
        <color rgb="FFD5D5D5"/>
      </top>
      <bottom style="medium">
        <color rgb="FFD5D5D5"/>
      </bottom>
      <diagonal/>
    </border>
    <border>
      <left style="thick">
        <color rgb="FFD5D5D5"/>
      </left>
      <right style="medium">
        <color rgb="FFD5D5D5"/>
      </right>
      <top/>
      <bottom/>
      <diagonal/>
    </border>
    <border>
      <left/>
      <right style="thick">
        <color rgb="FFD5D5D5"/>
      </right>
      <top/>
      <bottom/>
      <diagonal/>
    </border>
    <border>
      <left style="thick">
        <color rgb="FFD5D5D5"/>
      </left>
      <right style="medium">
        <color rgb="FFD5D5D5"/>
      </right>
      <top style="medium">
        <color rgb="FFD5D5D5"/>
      </top>
      <bottom/>
      <diagonal/>
    </border>
    <border>
      <left/>
      <right style="thick">
        <color rgb="FFD5D5D5"/>
      </right>
      <top style="medium">
        <color rgb="FFD5D5D5"/>
      </top>
      <bottom/>
      <diagonal/>
    </border>
    <border>
      <left style="thick">
        <color rgb="FFD5D5D5"/>
      </left>
      <right style="medium">
        <color rgb="FFD5D5D5"/>
      </right>
      <top style="medium">
        <color rgb="FFD5D5D5"/>
      </top>
      <bottom style="thick">
        <color rgb="FFD5D5D5"/>
      </bottom>
      <diagonal/>
    </border>
    <border>
      <left/>
      <right style="medium">
        <color rgb="FFD5D5D5"/>
      </right>
      <top style="medium">
        <color rgb="FFD5D5D5"/>
      </top>
      <bottom style="thick">
        <color rgb="FFD5D5D5"/>
      </bottom>
      <diagonal/>
    </border>
    <border>
      <left/>
      <right style="thick">
        <color rgb="FFD5D5D5"/>
      </right>
      <top style="medium">
        <color rgb="FFD5D5D5"/>
      </top>
      <bottom style="thick">
        <color rgb="FFD5D5D5"/>
      </bottom>
      <diagonal/>
    </border>
    <border>
      <left style="thick">
        <color rgb="FFD5D5D5"/>
      </left>
      <right style="medium">
        <color rgb="FFD5D5D5"/>
      </right>
      <top style="thick">
        <color rgb="FFD5D5D5"/>
      </top>
      <bottom/>
      <diagonal/>
    </border>
    <border>
      <left style="thick">
        <color rgb="FFD5D5D5"/>
      </left>
      <right style="medium">
        <color rgb="FFD5D5D5"/>
      </right>
      <top style="thick">
        <color rgb="FFD5D5D5"/>
      </top>
      <bottom style="thick">
        <color rgb="FFD5D5D5"/>
      </bottom>
      <diagonal/>
    </border>
    <border>
      <left/>
      <right style="medium">
        <color rgb="FFD5D5D5"/>
      </right>
      <top style="thick">
        <color rgb="FFD5D5D5"/>
      </top>
      <bottom style="thick">
        <color rgb="FFD5D5D5"/>
      </bottom>
      <diagonal/>
    </border>
    <border>
      <left/>
      <right style="thick">
        <color rgb="FFD5D5D5"/>
      </right>
      <top style="thick">
        <color rgb="FFD5D5D5"/>
      </top>
      <bottom style="thick">
        <color rgb="FFD5D5D5"/>
      </bottom>
      <diagonal/>
    </border>
    <border>
      <left/>
      <right/>
      <top/>
      <bottom style="thin">
        <color indexed="64"/>
      </bottom>
      <diagonal/>
    </border>
    <border>
      <left/>
      <right/>
      <top style="thin">
        <color indexed="64"/>
      </top>
      <bottom style="thin">
        <color indexed="64"/>
      </bottom>
      <diagonal/>
    </border>
    <border>
      <left style="medium">
        <color rgb="FF9E9E9E"/>
      </left>
      <right/>
      <top style="medium">
        <color rgb="FF9E9E9E"/>
      </top>
      <bottom/>
      <diagonal/>
    </border>
    <border>
      <left/>
      <right/>
      <top style="medium">
        <color rgb="FF9E9E9E"/>
      </top>
      <bottom/>
      <diagonal/>
    </border>
    <border>
      <left/>
      <right style="medium">
        <color rgb="FF9E9E9E"/>
      </right>
      <top style="medium">
        <color rgb="FF9E9E9E"/>
      </top>
      <bottom/>
      <diagonal/>
    </border>
    <border>
      <left style="medium">
        <color rgb="FF9E9E9E"/>
      </left>
      <right/>
      <top/>
      <bottom/>
      <diagonal/>
    </border>
    <border>
      <left/>
      <right style="medium">
        <color rgb="FF9E9E9E"/>
      </right>
      <top/>
      <bottom/>
      <diagonal/>
    </border>
    <border>
      <left style="medium">
        <color rgb="FF9E9E9E"/>
      </left>
      <right/>
      <top/>
      <bottom style="medium">
        <color rgb="FF9E9E9E"/>
      </bottom>
      <diagonal/>
    </border>
    <border>
      <left/>
      <right/>
      <top/>
      <bottom style="medium">
        <color rgb="FF9E9E9E"/>
      </bottom>
      <diagonal/>
    </border>
    <border>
      <left/>
      <right style="medium">
        <color rgb="FF9E9E9E"/>
      </right>
      <top/>
      <bottom style="medium">
        <color rgb="FF9E9E9E"/>
      </bottom>
      <diagonal/>
    </border>
    <border>
      <left/>
      <right style="medium">
        <color rgb="FFD5D5D5"/>
      </right>
      <top/>
      <bottom style="thick">
        <color rgb="FF01324B"/>
      </bottom>
      <diagonal/>
    </border>
    <border>
      <left/>
      <right style="medium">
        <color rgb="FFD5D5D5"/>
      </right>
      <top/>
      <bottom style="thick">
        <color rgb="FFDADADA"/>
      </bottom>
      <diagonal/>
    </border>
    <border>
      <left/>
      <right/>
      <top style="thick">
        <color rgb="FFD5D5D5"/>
      </top>
      <bottom style="thick">
        <color rgb="FF01324B"/>
      </bottom>
      <diagonal/>
    </border>
    <border>
      <left/>
      <right style="thick">
        <color rgb="FFD5D5D5"/>
      </right>
      <top style="thick">
        <color rgb="FFD5D5D5"/>
      </top>
      <bottom style="thick">
        <color rgb="FF01324B"/>
      </bottom>
      <diagonal/>
    </border>
    <border>
      <left style="thick">
        <color rgb="FFD5D5D5"/>
      </left>
      <right style="medium">
        <color rgb="FFD5D5D5"/>
      </right>
      <top/>
      <bottom style="thick">
        <color rgb="FF01324B"/>
      </bottom>
      <diagonal/>
    </border>
    <border>
      <left style="thick">
        <color rgb="FFD5D5D5"/>
      </left>
      <right style="medium">
        <color rgb="FFD5D5D5"/>
      </right>
      <top/>
      <bottom style="thick">
        <color rgb="FFDADADA"/>
      </bottom>
      <diagonal/>
    </border>
    <border>
      <left/>
      <right style="thick">
        <color rgb="FFD5D5D5"/>
      </right>
      <top/>
      <bottom style="thick">
        <color rgb="FFDADADA"/>
      </bottom>
      <diagonal/>
    </border>
    <border>
      <left style="thick">
        <color rgb="FFD5D5D5"/>
      </left>
      <right style="medium">
        <color rgb="FFD5D5D5"/>
      </right>
      <top/>
      <bottom style="thick">
        <color rgb="FFD5D5D5"/>
      </bottom>
      <diagonal/>
    </border>
    <border>
      <left/>
      <right style="medium">
        <color rgb="FFD5D5D5"/>
      </right>
      <top/>
      <bottom style="thick">
        <color rgb="FFD5D5D5"/>
      </bottom>
      <diagonal/>
    </border>
    <border>
      <left/>
      <right style="thick">
        <color rgb="FFD5D5D5"/>
      </right>
      <top/>
      <bottom style="thick">
        <color rgb="FFD5D5D5"/>
      </bottom>
      <diagonal/>
    </border>
    <border>
      <left style="medium">
        <color rgb="FFD5D5D5"/>
      </left>
      <right/>
      <top style="thick">
        <color rgb="FFD5D5D5"/>
      </top>
      <bottom style="thick">
        <color rgb="FF01324B"/>
      </bottom>
      <diagonal/>
    </border>
    <border>
      <left style="medium">
        <color rgb="FFD5D5D5"/>
      </left>
      <right style="medium">
        <color rgb="FFD5D5D5"/>
      </right>
      <top style="thick">
        <color rgb="FF01324B"/>
      </top>
      <bottom/>
      <diagonal/>
    </border>
    <border>
      <left style="medium">
        <color rgb="FFD5D5D5"/>
      </left>
      <right style="medium">
        <color rgb="FFD5D5D5"/>
      </right>
      <top/>
      <bottom/>
      <diagonal/>
    </border>
    <border>
      <left style="medium">
        <color rgb="FFD5D5D5"/>
      </left>
      <right style="medium">
        <color rgb="FFD5D5D5"/>
      </right>
      <top/>
      <bottom style="thick">
        <color rgb="FF01324B"/>
      </bottom>
      <diagonal/>
    </border>
    <border>
      <left style="medium">
        <color rgb="FFD5D5D5"/>
      </left>
      <right style="thick">
        <color rgb="FFD5D5D5"/>
      </right>
      <top style="thick">
        <color rgb="FF01324B"/>
      </top>
      <bottom/>
      <diagonal/>
    </border>
    <border>
      <left style="medium">
        <color rgb="FFD5D5D5"/>
      </left>
      <right style="thick">
        <color rgb="FFD5D5D5"/>
      </right>
      <top/>
      <bottom/>
      <diagonal/>
    </border>
    <border>
      <left style="medium">
        <color rgb="FFD5D5D5"/>
      </left>
      <right style="thick">
        <color rgb="FFD5D5D5"/>
      </right>
      <top/>
      <bottom style="thick">
        <color rgb="FF01324B"/>
      </bottom>
      <diagonal/>
    </border>
    <border>
      <left style="medium">
        <color rgb="FFD5D5D5"/>
      </left>
      <right style="medium">
        <color rgb="FFD5D5D5"/>
      </right>
      <top/>
      <bottom style="thick">
        <color rgb="FFDADADA"/>
      </bottom>
      <diagonal/>
    </border>
    <border>
      <left style="medium">
        <color rgb="FFD5D5D5"/>
      </left>
      <right style="thick">
        <color rgb="FFD5D5D5"/>
      </right>
      <top/>
      <bottom style="thick">
        <color rgb="FFDADADA"/>
      </bottom>
      <diagonal/>
    </border>
    <border>
      <left/>
      <right style="medium">
        <color rgb="FFD5D5D5"/>
      </right>
      <top style="thick">
        <color rgb="FFD5D5D5"/>
      </top>
      <bottom style="thick">
        <color rgb="FF01324B"/>
      </bottom>
      <diagonal/>
    </border>
    <border>
      <left/>
      <right style="thick">
        <color rgb="FFD5D5D5"/>
      </right>
      <top/>
      <bottom style="thick">
        <color rgb="FF01324B"/>
      </bottom>
      <diagonal/>
    </border>
    <border>
      <left style="thick">
        <color rgb="FFD5D5D5"/>
      </left>
      <right style="medium">
        <color rgb="FFD5D5D5"/>
      </right>
      <top style="thick">
        <color rgb="FFD5D5D5"/>
      </top>
      <bottom style="thick">
        <color rgb="FF01324B"/>
      </bottom>
      <diagonal/>
    </border>
    <border>
      <left style="thick">
        <color rgb="FFD5D5D5"/>
      </left>
      <right/>
      <top style="thick">
        <color rgb="FF01324B"/>
      </top>
      <bottom style="thick">
        <color rgb="FFDADADA"/>
      </bottom>
      <diagonal/>
    </border>
    <border>
      <left/>
      <right/>
      <top style="thick">
        <color rgb="FF01324B"/>
      </top>
      <bottom style="thick">
        <color rgb="FFDADADA"/>
      </bottom>
      <diagonal/>
    </border>
    <border>
      <left/>
      <right style="thick">
        <color rgb="FFD5D5D5"/>
      </right>
      <top style="thick">
        <color rgb="FF01324B"/>
      </top>
      <bottom style="thick">
        <color rgb="FFDADADA"/>
      </bottom>
      <diagonal/>
    </border>
    <border>
      <left style="thick">
        <color rgb="FFD5D5D5"/>
      </left>
      <right/>
      <top style="thick">
        <color rgb="FFDADADA"/>
      </top>
      <bottom style="thick">
        <color rgb="FFDADADA"/>
      </bottom>
      <diagonal/>
    </border>
    <border>
      <left/>
      <right/>
      <top style="thick">
        <color rgb="FFDADADA"/>
      </top>
      <bottom style="thick">
        <color rgb="FFDADADA"/>
      </bottom>
      <diagonal/>
    </border>
    <border>
      <left/>
      <right style="thick">
        <color rgb="FFD5D5D5"/>
      </right>
      <top style="thick">
        <color rgb="FFDADADA"/>
      </top>
      <bottom style="thick">
        <color rgb="FFDADADA"/>
      </bottom>
      <diagonal/>
    </border>
    <border>
      <left/>
      <right/>
      <top/>
      <bottom style="medium">
        <color rgb="FF191919"/>
      </bottom>
      <diagonal/>
    </border>
    <border>
      <left style="thin">
        <color rgb="FF7F7F7F"/>
      </left>
      <right/>
      <top style="thin">
        <color rgb="FF7F7F7F"/>
      </top>
      <bottom style="thin">
        <color rgb="FF7F7F7F"/>
      </bottom>
      <diagonal/>
    </border>
    <border>
      <left style="medium">
        <color indexed="64"/>
      </left>
      <right style="thin">
        <color rgb="FF7F7F7F"/>
      </right>
      <top style="medium">
        <color indexed="64"/>
      </top>
      <bottom style="thin">
        <color rgb="FF7F7F7F"/>
      </bottom>
      <diagonal/>
    </border>
    <border>
      <left style="thin">
        <color rgb="FF7F7F7F"/>
      </left>
      <right style="thin">
        <color rgb="FF7F7F7F"/>
      </right>
      <top style="medium">
        <color indexed="64"/>
      </top>
      <bottom style="thin">
        <color rgb="FF7F7F7F"/>
      </bottom>
      <diagonal/>
    </border>
    <border>
      <left style="thin">
        <color rgb="FF7F7F7F"/>
      </left>
      <right style="medium">
        <color indexed="64"/>
      </right>
      <top style="medium">
        <color indexed="64"/>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right/>
      <top/>
      <bottom style="thick">
        <color rgb="FF01324B"/>
      </bottom>
      <diagonal/>
    </border>
    <border>
      <left/>
      <right style="medium">
        <color rgb="FFD5D5D5"/>
      </right>
      <top style="thick">
        <color rgb="FFD5D5D5"/>
      </top>
      <bottom/>
      <diagonal/>
    </border>
    <border>
      <left/>
      <right/>
      <top style="thick">
        <color rgb="FFD5D5D5"/>
      </top>
      <bottom/>
      <diagonal/>
    </border>
    <border>
      <left style="medium">
        <color rgb="FFD5D5D5"/>
      </left>
      <right/>
      <top style="thick">
        <color rgb="FFD5D5D5"/>
      </top>
      <bottom/>
      <diagonal/>
    </border>
    <border>
      <left style="medium">
        <color rgb="FFD5D5D5"/>
      </left>
      <right/>
      <top/>
      <bottom/>
      <diagonal/>
    </border>
    <border>
      <left style="medium">
        <color rgb="FFD5D5D5"/>
      </left>
      <right/>
      <top/>
      <bottom style="thick">
        <color rgb="FF01324B"/>
      </bottom>
      <diagonal/>
    </border>
    <border>
      <left style="medium">
        <color rgb="FFD5D5D5"/>
      </left>
      <right style="thick">
        <color rgb="FFD5D5D5"/>
      </right>
      <top style="thick">
        <color rgb="FFD5D5D5"/>
      </top>
      <bottom/>
      <diagonal/>
    </border>
    <border>
      <left style="medium">
        <color rgb="FFD5D5D5"/>
      </left>
      <right/>
      <top style="thick">
        <color rgb="FF01324B"/>
      </top>
      <bottom/>
      <diagonal/>
    </border>
    <border>
      <left/>
      <right style="medium">
        <color rgb="FFD5D5D5"/>
      </right>
      <top style="thick">
        <color rgb="FF01324B"/>
      </top>
      <bottom/>
      <diagonal/>
    </border>
    <border>
      <left style="thick">
        <color rgb="FFD5D5D5"/>
      </left>
      <right style="medium">
        <color rgb="FFD5D5D5"/>
      </right>
      <top style="thick">
        <color rgb="FF01324B"/>
      </top>
      <bottom/>
      <diagonal/>
    </border>
    <border>
      <left/>
      <right style="medium">
        <color rgb="FFD5D5D5"/>
      </right>
      <top/>
      <bottom style="medium">
        <color rgb="FFDADADA"/>
      </bottom>
      <diagonal/>
    </border>
    <border>
      <left style="medium">
        <color rgb="FFD5D5D5"/>
      </left>
      <right style="medium">
        <color rgb="FFD5D5D5"/>
      </right>
      <top style="medium">
        <color rgb="FFD5D5D5"/>
      </top>
      <bottom style="thick">
        <color rgb="FF01324B"/>
      </bottom>
      <diagonal/>
    </border>
    <border>
      <left/>
      <right style="medium">
        <color rgb="FFD5D5D5"/>
      </right>
      <top style="medium">
        <color rgb="FFD5D5D5"/>
      </top>
      <bottom style="thick">
        <color rgb="FF01324B"/>
      </bottom>
      <diagonal/>
    </border>
    <border>
      <left/>
      <right/>
      <top style="medium">
        <color rgb="FFD5D5D5"/>
      </top>
      <bottom style="thick">
        <color rgb="FF01324B"/>
      </bottom>
      <diagonal/>
    </border>
    <border>
      <left style="medium">
        <color rgb="FFD5D5D5"/>
      </left>
      <right style="medium">
        <color rgb="FFD5D5D5"/>
      </right>
      <top/>
      <bottom style="medium">
        <color rgb="FFDADADA"/>
      </bottom>
      <diagonal/>
    </border>
    <border>
      <left style="medium">
        <color rgb="FFD5D5D5"/>
      </left>
      <right style="medium">
        <color rgb="FFD5D5D5"/>
      </right>
      <top/>
      <bottom style="medium">
        <color rgb="FFD5D5D5"/>
      </bottom>
      <diagonal/>
    </border>
    <border>
      <left/>
      <right style="medium">
        <color rgb="FFD5D5D5"/>
      </right>
      <top/>
      <bottom style="medium">
        <color rgb="FFD5D5D5"/>
      </bottom>
      <diagonal/>
    </border>
    <border>
      <left style="medium">
        <color rgb="FFD5D5D5"/>
      </left>
      <right/>
      <top style="medium">
        <color rgb="FFD5D5D5"/>
      </top>
      <bottom style="thick">
        <color rgb="FF01324B"/>
      </bottom>
      <diagonal/>
    </border>
    <border>
      <left style="medium">
        <color rgb="FFD5D5D5"/>
      </left>
      <right style="medium">
        <color rgb="FFD5D5D5"/>
      </right>
      <top style="medium">
        <color rgb="FFDADADA"/>
      </top>
      <bottom/>
      <diagonal/>
    </border>
    <border>
      <left/>
      <right/>
      <top/>
      <bottom style="thin">
        <color rgb="FF000000"/>
      </bottom>
      <diagonal/>
    </border>
    <border>
      <left/>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7F7F7F"/>
      </right>
      <top style="thin">
        <color rgb="FF7F7F7F"/>
      </top>
      <bottom style="thin">
        <color rgb="FF7F7F7F"/>
      </bottom>
      <diagonal/>
    </border>
    <border>
      <left style="thin">
        <color rgb="FF000000"/>
      </left>
      <right style="thin">
        <color rgb="FF000000"/>
      </right>
      <top style="thin">
        <color rgb="FF000000"/>
      </top>
      <bottom/>
      <diagonal/>
    </border>
    <border>
      <left/>
      <right/>
      <top style="thin">
        <color rgb="FF8E8E8E"/>
      </top>
      <bottom/>
      <diagonal/>
    </border>
    <border>
      <left/>
      <right/>
      <top/>
      <bottom style="thin">
        <color rgb="FF8E8E8E"/>
      </bottom>
      <diagonal/>
    </border>
    <border>
      <left/>
      <right/>
      <top style="thin">
        <color rgb="FF8E8E8E"/>
      </top>
      <bottom style="thin">
        <color rgb="FF8E8E8E"/>
      </bottom>
      <diagonal/>
    </border>
    <border>
      <left style="thin">
        <color rgb="FF7F7F7F"/>
      </left>
      <right style="thin">
        <color rgb="FF7F7F7F"/>
      </right>
      <top/>
      <bottom style="thin">
        <color rgb="FF7F7F7F"/>
      </bottom>
      <diagonal/>
    </border>
    <border>
      <left style="thick">
        <color rgb="FFD5D5D5"/>
      </left>
      <right style="thin">
        <color rgb="FFD5D5D5"/>
      </right>
      <top style="thick">
        <color rgb="FFD5D5D5"/>
      </top>
      <bottom style="thin">
        <color rgb="FFA6A6A6"/>
      </bottom>
      <diagonal/>
    </border>
    <border>
      <left style="thin">
        <color rgb="FFA6A6A6"/>
      </left>
      <right style="thin">
        <color rgb="FFD5D5D5"/>
      </right>
      <top style="thick">
        <color rgb="FFD5D5D5"/>
      </top>
      <bottom style="thin">
        <color rgb="FFA6A6A6"/>
      </bottom>
      <diagonal/>
    </border>
    <border>
      <left style="thin">
        <color rgb="FFA6A6A6"/>
      </left>
      <right style="thick">
        <color rgb="FFD5D5D5"/>
      </right>
      <top style="thick">
        <color rgb="FFD5D5D5"/>
      </top>
      <bottom style="thin">
        <color rgb="FFA6A6A6"/>
      </bottom>
      <diagonal/>
    </border>
    <border>
      <left style="thick">
        <color rgb="FFD5D5D5"/>
      </left>
      <right style="thin">
        <color rgb="FFD5D5D5"/>
      </right>
      <top style="thin">
        <color rgb="FFA6A6A6"/>
      </top>
      <bottom/>
      <diagonal/>
    </border>
    <border>
      <left style="thick">
        <color rgb="FFD5D5D5"/>
      </left>
      <right style="thin">
        <color rgb="FFD5D5D5"/>
      </right>
      <top/>
      <bottom/>
      <diagonal/>
    </border>
    <border>
      <left style="thick">
        <color rgb="FFD5D5D5"/>
      </left>
      <right style="thin">
        <color rgb="FFD5D5D5"/>
      </right>
      <top/>
      <bottom style="thin">
        <color rgb="FFA6A6A6"/>
      </bottom>
      <diagonal/>
    </border>
    <border>
      <left style="thin">
        <color rgb="FFA6A6A6"/>
      </left>
      <right style="thin">
        <color rgb="FFD5D5D5"/>
      </right>
      <top style="thin">
        <color rgb="FFA6A6A6"/>
      </top>
      <bottom style="thin">
        <color rgb="FFA6A6A6"/>
      </bottom>
      <diagonal/>
    </border>
    <border>
      <left style="thin">
        <color rgb="FFA6A6A6"/>
      </left>
      <right style="thin">
        <color rgb="FFD5D5D5"/>
      </right>
      <top style="thin">
        <color rgb="FFA6A6A6"/>
      </top>
      <bottom/>
      <diagonal/>
    </border>
    <border>
      <left style="thin">
        <color rgb="FFA6A6A6"/>
      </left>
      <right style="thin">
        <color rgb="FFD5D5D5"/>
      </right>
      <top/>
      <bottom/>
      <diagonal/>
    </border>
    <border>
      <left style="thin">
        <color rgb="FFA6A6A6"/>
      </left>
      <right style="thin">
        <color rgb="FFD5D5D5"/>
      </right>
      <top/>
      <bottom style="thin">
        <color rgb="FFA6A6A6"/>
      </bottom>
      <diagonal/>
    </border>
    <border>
      <left style="thin">
        <color rgb="FFA6A6A6"/>
      </left>
      <right style="thick">
        <color rgb="FFD5D5D5"/>
      </right>
      <top style="thin">
        <color rgb="FFA6A6A6"/>
      </top>
      <bottom style="thin">
        <color rgb="FFA6A6A6"/>
      </bottom>
      <diagonal/>
    </border>
    <border>
      <left style="thick">
        <color rgb="FFD5D5D5"/>
      </left>
      <right style="thin">
        <color rgb="FFD5D5D5"/>
      </right>
      <top/>
      <bottom style="thick">
        <color rgb="FFD5D5D5"/>
      </bottom>
      <diagonal/>
    </border>
    <border>
      <left style="thin">
        <color rgb="FFA6A6A6"/>
      </left>
      <right style="thin">
        <color rgb="FFD5D5D5"/>
      </right>
      <top style="thin">
        <color rgb="FFA6A6A6"/>
      </top>
      <bottom style="thick">
        <color rgb="FFD5D5D5"/>
      </bottom>
      <diagonal/>
    </border>
    <border>
      <left style="thin">
        <color rgb="FFA6A6A6"/>
      </left>
      <right style="thin">
        <color rgb="FFD5D5D5"/>
      </right>
      <top/>
      <bottom style="thick">
        <color rgb="FFD5D5D5"/>
      </bottom>
      <diagonal/>
    </border>
    <border>
      <left style="thin">
        <color rgb="FFA6A6A6"/>
      </left>
      <right style="thick">
        <color rgb="FFD5D5D5"/>
      </right>
      <top style="thin">
        <color rgb="FFA6A6A6"/>
      </top>
      <bottom style="thick">
        <color rgb="FFD5D5D5"/>
      </bottom>
      <diagonal/>
    </border>
    <border>
      <left style="thick">
        <color rgb="FFD5D5D5"/>
      </left>
      <right style="thin">
        <color rgb="FFD5D5D5"/>
      </right>
      <top style="thick">
        <color rgb="FFD5D5D5"/>
      </top>
      <bottom style="thick">
        <color rgb="FFD5D5D5"/>
      </bottom>
      <diagonal/>
    </border>
    <border>
      <left style="thin">
        <color rgb="FFA6A6A6"/>
      </left>
      <right style="thick">
        <color rgb="FFD5D5D5"/>
      </right>
      <top style="thick">
        <color rgb="FFD5D5D5"/>
      </top>
      <bottom style="thick">
        <color rgb="FFD5D5D5"/>
      </bottom>
      <diagonal/>
    </border>
    <border>
      <left/>
      <right/>
      <top style="thin">
        <color rgb="FF222222"/>
      </top>
      <bottom style="thin">
        <color rgb="FF222222"/>
      </bottom>
      <diagonal/>
    </border>
    <border>
      <left style="thin">
        <color rgb="FF9E9E9E"/>
      </left>
      <right/>
      <top style="thin">
        <color rgb="FF9E9E9E"/>
      </top>
      <bottom/>
      <diagonal/>
    </border>
    <border>
      <left style="thin">
        <color rgb="FF9E9E9E"/>
      </left>
      <right/>
      <top/>
      <bottom/>
      <diagonal/>
    </border>
    <border>
      <left/>
      <right style="thin">
        <color rgb="FF9E9E9E"/>
      </right>
      <top style="thin">
        <color rgb="FF9E9E9E"/>
      </top>
      <bottom/>
      <diagonal/>
    </border>
    <border>
      <left/>
      <right/>
      <top style="thin">
        <color rgb="FF9E9E9E"/>
      </top>
      <bottom/>
      <diagonal/>
    </border>
    <border>
      <left/>
      <right style="thin">
        <color rgb="FF9E9E9E"/>
      </right>
      <top/>
      <bottom/>
      <diagonal/>
    </border>
    <border>
      <left style="thin">
        <color rgb="FF9E9E9E"/>
      </left>
      <right/>
      <top/>
      <bottom style="thin">
        <color rgb="FF9E9E9E"/>
      </bottom>
      <diagonal/>
    </border>
    <border>
      <left/>
      <right/>
      <top/>
      <bottom style="thin">
        <color rgb="FF9E9E9E"/>
      </bottom>
      <diagonal/>
    </border>
    <border>
      <left/>
      <right style="thin">
        <color rgb="FF9E9E9E"/>
      </right>
      <top/>
      <bottom style="thin">
        <color rgb="FF9E9E9E"/>
      </bottom>
      <diagonal/>
    </border>
    <border>
      <left/>
      <right/>
      <top/>
      <bottom style="thin">
        <color rgb="FF222222"/>
      </bottom>
      <diagonal/>
    </border>
    <border>
      <left/>
      <right/>
      <top style="thin">
        <color rgb="FF222222"/>
      </top>
      <bottom/>
      <diagonal/>
    </border>
    <border>
      <left style="thin">
        <color rgb="FF9E9E9E"/>
      </left>
      <right/>
      <top style="thin">
        <color rgb="FF9E9E9E"/>
      </top>
      <bottom style="thin">
        <color rgb="FF9E9E9E"/>
      </bottom>
      <diagonal/>
    </border>
    <border>
      <left/>
      <right/>
      <top style="thin">
        <color rgb="FF9E9E9E"/>
      </top>
      <bottom style="thin">
        <color rgb="FF9E9E9E"/>
      </bottom>
      <diagonal/>
    </border>
    <border>
      <left/>
      <right style="thin">
        <color rgb="FF9E9E9E"/>
      </right>
      <top style="thin">
        <color rgb="FF9E9E9E"/>
      </top>
      <bottom style="thin">
        <color rgb="FF9E9E9E"/>
      </bottom>
      <diagonal/>
    </border>
    <border>
      <left/>
      <right/>
      <top style="medium">
        <color rgb="FFA7A9AC"/>
      </top>
      <bottom style="medium">
        <color rgb="FFA7A9AC"/>
      </bottom>
      <diagonal/>
    </border>
    <border>
      <left style="medium">
        <color rgb="FFD5D5D5"/>
      </left>
      <right style="medium">
        <color rgb="FFD5D5D5"/>
      </right>
      <top style="medium">
        <color rgb="FFD5D5D5"/>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diagonal/>
    </border>
    <border>
      <left/>
      <right/>
      <top style="medium">
        <color rgb="FF231F20"/>
      </top>
      <bottom/>
      <diagonal/>
    </border>
    <border>
      <left/>
      <right/>
      <top style="medium">
        <color rgb="FF231F20"/>
      </top>
      <bottom style="medium">
        <color rgb="FF000000"/>
      </bottom>
      <diagonal/>
    </border>
    <border>
      <left/>
      <right/>
      <top/>
      <bottom style="medium">
        <color rgb="FF000000"/>
      </bottom>
      <diagonal/>
    </border>
    <border>
      <left style="thin">
        <color rgb="FF7F7F7F"/>
      </left>
      <right style="thin">
        <color rgb="FF7F7F7F"/>
      </right>
      <top style="thin">
        <color rgb="FF7F7F7F"/>
      </top>
      <bottom/>
      <diagonal/>
    </border>
    <border>
      <left/>
      <right/>
      <top style="thin">
        <color indexed="64"/>
      </top>
      <bottom style="medium">
        <color indexed="64"/>
      </bottom>
      <diagonal/>
    </border>
  </borders>
  <cellStyleXfs count="5">
    <xf numFmtId="0" fontId="0" fillId="0" borderId="0"/>
    <xf numFmtId="0" fontId="1" fillId="2" borderId="1" applyNumberFormat="0" applyAlignment="0" applyProtection="0"/>
    <xf numFmtId="0" fontId="6" fillId="0" borderId="0" applyNumberFormat="0" applyFill="0" applyBorder="0" applyAlignment="0" applyProtection="0"/>
    <xf numFmtId="0" fontId="87" fillId="5" borderId="0" applyNumberFormat="0" applyBorder="0" applyAlignment="0" applyProtection="0"/>
    <xf numFmtId="0" fontId="124" fillId="6" borderId="0" applyNumberFormat="0" applyBorder="0" applyAlignment="0" applyProtection="0"/>
  </cellStyleXfs>
  <cellXfs count="699">
    <xf numFmtId="0" fontId="0" fillId="0" borderId="0" xfId="0"/>
    <xf numFmtId="0" fontId="6" fillId="0" borderId="3" xfId="2" applyBorder="1" applyAlignment="1">
      <alignment vertical="center" wrapText="1"/>
    </xf>
    <xf numFmtId="0" fontId="5" fillId="0" borderId="4" xfId="0" applyFont="1" applyBorder="1" applyAlignment="1">
      <alignment vertical="center" wrapText="1"/>
    </xf>
    <xf numFmtId="0" fontId="4" fillId="0" borderId="2" xfId="0" applyFont="1" applyBorder="1" applyAlignment="1">
      <alignment vertical="center" wrapText="1"/>
    </xf>
    <xf numFmtId="0" fontId="6" fillId="0" borderId="2" xfId="2" applyBorder="1" applyAlignment="1">
      <alignment vertical="center" wrapText="1"/>
    </xf>
    <xf numFmtId="0" fontId="0" fillId="0" borderId="2" xfId="0" applyBorder="1" applyAlignment="1">
      <alignment vertical="center" wrapText="1"/>
    </xf>
    <xf numFmtId="9" fontId="4" fillId="0" borderId="2" xfId="0" applyNumberFormat="1" applyFont="1" applyBorder="1" applyAlignment="1">
      <alignment vertical="center" wrapText="1"/>
    </xf>
    <xf numFmtId="0" fontId="6" fillId="0" borderId="0" xfId="2"/>
    <xf numFmtId="2" fontId="2" fillId="0" borderId="0" xfId="0" applyNumberFormat="1" applyFont="1"/>
    <xf numFmtId="0" fontId="7" fillId="3" borderId="5" xfId="0" applyFont="1" applyFill="1" applyBorder="1" applyAlignment="1">
      <alignment horizontal="left" wrapText="1"/>
    </xf>
    <xf numFmtId="0" fontId="9" fillId="3" borderId="0" xfId="0" applyFont="1" applyFill="1" applyAlignment="1">
      <alignment vertical="top" wrapText="1"/>
    </xf>
    <xf numFmtId="0" fontId="13" fillId="0" borderId="0" xfId="0" applyFont="1"/>
    <xf numFmtId="0" fontId="15" fillId="0" borderId="6" xfId="0" applyFont="1" applyBorder="1" applyAlignment="1">
      <alignment horizontal="left" vertical="center" wrapText="1"/>
    </xf>
    <xf numFmtId="0" fontId="15" fillId="0" borderId="6" xfId="0" applyFont="1" applyBorder="1" applyAlignment="1">
      <alignment horizontal="center" vertical="center" wrapText="1"/>
    </xf>
    <xf numFmtId="0" fontId="0" fillId="0" borderId="6" xfId="0" applyBorder="1"/>
    <xf numFmtId="0" fontId="15" fillId="0" borderId="0" xfId="0" applyFont="1" applyAlignment="1">
      <alignment horizontal="left" vertical="center" wrapText="1"/>
    </xf>
    <xf numFmtId="0" fontId="17" fillId="0" borderId="0" xfId="0" applyFont="1" applyAlignment="1">
      <alignment horizontal="center" vertical="center" wrapText="1"/>
    </xf>
    <xf numFmtId="0" fontId="18" fillId="0" borderId="0" xfId="0" applyFont="1" applyAlignment="1">
      <alignment horizontal="left" vertical="center" wrapText="1"/>
    </xf>
    <xf numFmtId="0" fontId="15" fillId="0" borderId="7" xfId="0" applyFont="1" applyBorder="1" applyAlignment="1">
      <alignment horizontal="left" vertical="center" wrapText="1"/>
    </xf>
    <xf numFmtId="0" fontId="18" fillId="0" borderId="6" xfId="0" applyFont="1" applyBorder="1" applyAlignment="1">
      <alignment horizontal="left" vertical="center" wrapText="1"/>
    </xf>
    <xf numFmtId="0" fontId="17"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3" fillId="0" borderId="0" xfId="0" applyFont="1" applyAlignment="1">
      <alignment vertical="center"/>
    </xf>
    <xf numFmtId="0" fontId="6" fillId="3" borderId="0" xfId="2" applyFill="1" applyAlignment="1">
      <alignment vertical="top"/>
    </xf>
    <xf numFmtId="0" fontId="20" fillId="0" borderId="0" xfId="0" applyFont="1" applyAlignment="1">
      <alignment horizontal="center" vertical="center" wrapText="1"/>
    </xf>
    <xf numFmtId="0" fontId="15" fillId="0" borderId="0" xfId="0" applyFont="1" applyAlignment="1">
      <alignment horizontal="center" vertical="center" wrapText="1"/>
    </xf>
    <xf numFmtId="0" fontId="6" fillId="0" borderId="0" xfId="2" applyAlignment="1">
      <alignment vertical="center"/>
    </xf>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24" fillId="4" borderId="12" xfId="0" applyFont="1" applyFill="1" applyBorder="1" applyAlignment="1">
      <alignment horizontal="left" vertical="top" wrapText="1"/>
    </xf>
    <xf numFmtId="0" fontId="24" fillId="4" borderId="13" xfId="0" applyFont="1" applyFill="1" applyBorder="1" applyAlignment="1">
      <alignment horizontal="left" vertical="center" wrapText="1"/>
    </xf>
    <xf numFmtId="0" fontId="24" fillId="4" borderId="14" xfId="0" applyFont="1" applyFill="1" applyBorder="1" applyAlignment="1">
      <alignment horizontal="left" vertical="center" wrapText="1"/>
    </xf>
    <xf numFmtId="0" fontId="23" fillId="0" borderId="15" xfId="0" applyFont="1" applyBorder="1" applyAlignment="1">
      <alignment horizontal="left" vertical="center" wrapText="1"/>
    </xf>
    <xf numFmtId="0" fontId="23" fillId="0" borderId="16" xfId="0" applyFont="1" applyBorder="1" applyAlignment="1">
      <alignment horizontal="left" vertical="center" wrapText="1"/>
    </xf>
    <xf numFmtId="0" fontId="23" fillId="0" borderId="17" xfId="0" applyFont="1" applyBorder="1" applyAlignment="1">
      <alignment horizontal="left" vertical="center" wrapTex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23" fillId="0" borderId="21" xfId="0" applyFont="1" applyBorder="1" applyAlignment="1">
      <alignment horizontal="left" vertical="center" wrapText="1"/>
    </xf>
    <xf numFmtId="0" fontId="3" fillId="0" borderId="0" xfId="0" applyFont="1" applyAlignment="1">
      <alignment vertical="center"/>
    </xf>
    <xf numFmtId="0" fontId="27" fillId="3" borderId="11" xfId="0" applyFont="1" applyFill="1" applyBorder="1" applyAlignment="1">
      <alignment horizontal="left" vertical="center" wrapText="1"/>
    </xf>
    <xf numFmtId="0" fontId="27" fillId="3" borderId="17" xfId="0" applyFont="1" applyFill="1" applyBorder="1" applyAlignment="1">
      <alignment horizontal="left" vertical="center" wrapText="1"/>
    </xf>
    <xf numFmtId="0" fontId="27" fillId="3" borderId="18" xfId="0" applyFont="1" applyFill="1" applyBorder="1" applyAlignment="1">
      <alignment horizontal="left" vertical="center" wrapText="1"/>
    </xf>
    <xf numFmtId="0" fontId="27" fillId="3" borderId="19" xfId="0" applyFont="1" applyFill="1" applyBorder="1" applyAlignment="1">
      <alignment horizontal="left" vertical="center" wrapText="1"/>
    </xf>
    <xf numFmtId="0" fontId="27" fillId="3" borderId="20" xfId="0" applyFont="1" applyFill="1" applyBorder="1" applyAlignment="1">
      <alignment horizontal="left" vertical="center" wrapText="1"/>
    </xf>
    <xf numFmtId="0" fontId="27" fillId="3" borderId="21" xfId="0" applyFont="1" applyFill="1" applyBorder="1" applyAlignment="1">
      <alignment horizontal="left" vertical="center" wrapText="1"/>
    </xf>
    <xf numFmtId="2" fontId="1" fillId="2" borderId="1" xfId="1" applyNumberFormat="1" applyAlignment="1">
      <alignment vertical="center" wrapText="1"/>
    </xf>
    <xf numFmtId="0" fontId="1" fillId="2" borderId="1" xfId="1" applyAlignment="1">
      <alignment horizontal="left" wrapText="1"/>
    </xf>
    <xf numFmtId="0" fontId="1" fillId="2" borderId="1" xfId="1"/>
    <xf numFmtId="0" fontId="1" fillId="2" borderId="1" xfId="1" applyAlignment="1">
      <alignment horizontal="center" vertical="center" wrapText="1"/>
    </xf>
    <xf numFmtId="9" fontId="1" fillId="2" borderId="1" xfId="1" applyNumberFormat="1"/>
    <xf numFmtId="2" fontId="1" fillId="2" borderId="1" xfId="1" applyNumberFormat="1"/>
    <xf numFmtId="0" fontId="1" fillId="2" borderId="1" xfId="1" applyAlignment="1">
      <alignment horizontal="left" vertical="center" wrapText="1"/>
    </xf>
    <xf numFmtId="2" fontId="1" fillId="2" borderId="1" xfId="1" applyNumberFormat="1" applyAlignment="1">
      <alignment horizontal="left" vertical="center" wrapText="1"/>
    </xf>
    <xf numFmtId="0" fontId="27" fillId="3" borderId="23" xfId="0" applyFont="1" applyFill="1" applyBorder="1" applyAlignment="1">
      <alignment horizontal="left" vertical="center" wrapText="1"/>
    </xf>
    <xf numFmtId="0" fontId="27" fillId="3" borderId="24" xfId="0" applyFont="1" applyFill="1" applyBorder="1" applyAlignment="1">
      <alignment horizontal="left" vertical="center" wrapText="1"/>
    </xf>
    <xf numFmtId="0" fontId="27" fillId="3" borderId="25" xfId="0" applyFont="1" applyFill="1" applyBorder="1" applyAlignment="1">
      <alignment horizontal="left" vertical="center" wrapText="1"/>
    </xf>
    <xf numFmtId="0" fontId="0" fillId="0" borderId="26" xfId="0" applyBorder="1"/>
    <xf numFmtId="0" fontId="0" fillId="0" borderId="27" xfId="0" applyBorder="1"/>
    <xf numFmtId="0" fontId="0" fillId="0" borderId="27" xfId="0" applyBorder="1" applyAlignment="1">
      <alignment wrapText="1"/>
    </xf>
    <xf numFmtId="10" fontId="1" fillId="2" borderId="1" xfId="1" applyNumberFormat="1"/>
    <xf numFmtId="0" fontId="30" fillId="0" borderId="0" xfId="0" applyFont="1"/>
    <xf numFmtId="0" fontId="33" fillId="4" borderId="0" xfId="0" applyFont="1" applyFill="1" applyAlignment="1">
      <alignment horizontal="left" vertical="top" wrapText="1"/>
    </xf>
    <xf numFmtId="0" fontId="33" fillId="4" borderId="0" xfId="0" applyFont="1" applyFill="1" applyAlignment="1">
      <alignment horizontal="center" vertical="top" wrapText="1"/>
    </xf>
    <xf numFmtId="0" fontId="32" fillId="4" borderId="32" xfId="0" applyFont="1" applyFill="1" applyBorder="1" applyAlignment="1">
      <alignment horizontal="center" vertical="top" wrapText="1"/>
    </xf>
    <xf numFmtId="0" fontId="36" fillId="0" borderId="0" xfId="0" applyFont="1" applyAlignment="1">
      <alignment horizontal="left" vertical="center" indent="1"/>
    </xf>
    <xf numFmtId="0" fontId="38" fillId="0" borderId="0" xfId="0" applyFont="1" applyAlignment="1">
      <alignment horizontal="left" vertical="center" indent="1"/>
    </xf>
    <xf numFmtId="0" fontId="40" fillId="0" borderId="0" xfId="0" applyFont="1"/>
    <xf numFmtId="0" fontId="1" fillId="2" borderId="1" xfId="1" applyAlignment="1">
      <alignment horizontal="center" vertical="top" wrapText="1"/>
    </xf>
    <xf numFmtId="0" fontId="1" fillId="2" borderId="1" xfId="1" applyAlignment="1">
      <alignment horizontal="left" vertical="top" wrapText="1" indent="1"/>
    </xf>
    <xf numFmtId="0" fontId="45" fillId="0" borderId="6" xfId="0" applyFont="1" applyBorder="1" applyAlignment="1">
      <alignment horizontal="left" vertical="center" wrapText="1"/>
    </xf>
    <xf numFmtId="0" fontId="18" fillId="0" borderId="6" xfId="0" applyFont="1" applyBorder="1" applyAlignment="1">
      <alignment horizontal="center" vertical="center" wrapText="1"/>
    </xf>
    <xf numFmtId="0" fontId="45" fillId="0" borderId="6" xfId="0" applyFont="1" applyBorder="1" applyAlignment="1">
      <alignment horizontal="center" vertical="center" wrapText="1"/>
    </xf>
    <xf numFmtId="0" fontId="46" fillId="0" borderId="0" xfId="0" applyFont="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vertical="center" wrapText="1"/>
    </xf>
    <xf numFmtId="0" fontId="15" fillId="0" borderId="8" xfId="0" applyFont="1" applyBorder="1" applyAlignment="1">
      <alignment horizontal="left" vertical="center" wrapText="1"/>
    </xf>
    <xf numFmtId="0" fontId="15" fillId="0" borderId="8" xfId="0" applyFont="1" applyBorder="1" applyAlignment="1">
      <alignment horizontal="center" vertical="center" wrapText="1"/>
    </xf>
    <xf numFmtId="0" fontId="17" fillId="0" borderId="6" xfId="0" applyFont="1" applyBorder="1" applyAlignment="1">
      <alignment horizontal="left" vertical="center" wrapText="1"/>
    </xf>
    <xf numFmtId="0" fontId="17" fillId="0" borderId="6" xfId="0" applyFont="1" applyBorder="1" applyAlignment="1">
      <alignment vertical="center" wrapText="1"/>
    </xf>
    <xf numFmtId="0" fontId="21" fillId="0" borderId="0" xfId="0" applyFont="1"/>
    <xf numFmtId="0" fontId="1" fillId="2" borderId="1" xfId="1" applyAlignment="1">
      <alignment wrapText="1"/>
    </xf>
    <xf numFmtId="0" fontId="1" fillId="2" borderId="1" xfId="1" applyAlignment="1">
      <alignment vertical="center" wrapText="1"/>
    </xf>
    <xf numFmtId="0" fontId="50" fillId="0" borderId="0" xfId="0" applyFont="1"/>
    <xf numFmtId="0" fontId="31" fillId="0" borderId="0" xfId="0" applyFont="1"/>
    <xf numFmtId="0" fontId="51" fillId="0" borderId="10" xfId="0" applyFont="1" applyBorder="1" applyAlignment="1">
      <alignment horizontal="left" vertical="center" wrapText="1"/>
    </xf>
    <xf numFmtId="0" fontId="0" fillId="0" borderId="10" xfId="0" applyBorder="1" applyAlignment="1">
      <alignment horizontal="left" vertical="top" wrapText="1"/>
    </xf>
    <xf numFmtId="0" fontId="51" fillId="0" borderId="36" xfId="0" applyFont="1" applyBorder="1" applyAlignment="1">
      <alignment horizontal="left" vertical="center" wrapText="1"/>
    </xf>
    <xf numFmtId="0" fontId="52" fillId="0" borderId="37" xfId="0" applyFont="1" applyBorder="1" applyAlignment="1">
      <alignment horizontal="left" vertical="center" wrapText="1"/>
    </xf>
    <xf numFmtId="0" fontId="52" fillId="0" borderId="37" xfId="0" applyFont="1" applyBorder="1" applyAlignment="1">
      <alignment vertical="center" wrapText="1"/>
    </xf>
    <xf numFmtId="0" fontId="52" fillId="0" borderId="15" xfId="0" applyFont="1" applyBorder="1" applyAlignment="1">
      <alignment horizontal="left" vertical="center" wrapText="1"/>
    </xf>
    <xf numFmtId="0" fontId="0" fillId="0" borderId="15" xfId="0" applyBorder="1" applyAlignment="1">
      <alignment horizontal="left" vertical="top" wrapText="1"/>
    </xf>
    <xf numFmtId="0" fontId="52" fillId="0" borderId="41" xfId="0" applyFont="1" applyBorder="1" applyAlignment="1">
      <alignment horizontal="left" vertical="center" wrapText="1"/>
    </xf>
    <xf numFmtId="0" fontId="52" fillId="0" borderId="42" xfId="0" applyFont="1" applyBorder="1" applyAlignment="1">
      <alignment vertical="center" wrapText="1"/>
    </xf>
    <xf numFmtId="0" fontId="52" fillId="0" borderId="43" xfId="0" applyFont="1" applyBorder="1" applyAlignment="1">
      <alignment horizontal="left" vertical="center" wrapText="1"/>
    </xf>
    <xf numFmtId="0" fontId="52" fillId="0" borderId="44" xfId="0" applyFont="1" applyBorder="1" applyAlignment="1">
      <alignment vertical="center" wrapText="1"/>
    </xf>
    <xf numFmtId="0" fontId="52" fillId="0" borderId="44" xfId="0" applyFont="1" applyBorder="1" applyAlignment="1">
      <alignment horizontal="left" vertical="center" wrapText="1"/>
    </xf>
    <xf numFmtId="0" fontId="52" fillId="0" borderId="45" xfId="0" applyFont="1" applyBorder="1" applyAlignment="1">
      <alignment vertical="center" wrapText="1"/>
    </xf>
    <xf numFmtId="0" fontId="51" fillId="0" borderId="39" xfId="0" applyFont="1" applyBorder="1" applyAlignment="1">
      <alignment horizontal="left" vertical="center" wrapText="1"/>
    </xf>
    <xf numFmtId="0" fontId="54" fillId="0" borderId="0" xfId="0" applyFont="1" applyAlignment="1">
      <alignment vertical="center"/>
    </xf>
    <xf numFmtId="0" fontId="57" fillId="0" borderId="0" xfId="0" applyFont="1"/>
    <xf numFmtId="0" fontId="60" fillId="0" borderId="39" xfId="0" applyFont="1" applyBorder="1" applyAlignment="1">
      <alignment horizontal="left" vertical="center" wrapText="1"/>
    </xf>
    <xf numFmtId="0" fontId="51" fillId="0" borderId="56" xfId="0" applyFont="1" applyBorder="1" applyAlignment="1">
      <alignment horizontal="left" vertical="center" wrapText="1"/>
    </xf>
    <xf numFmtId="0" fontId="59" fillId="0" borderId="0" xfId="0" applyFont="1"/>
    <xf numFmtId="0" fontId="64" fillId="0" borderId="0" xfId="0" applyFont="1" applyAlignment="1">
      <alignment horizontal="left" vertical="center" indent="2"/>
    </xf>
    <xf numFmtId="0" fontId="65" fillId="0" borderId="0" xfId="0" applyFont="1" applyAlignment="1">
      <alignment horizontal="left" vertical="center" indent="2"/>
    </xf>
    <xf numFmtId="0" fontId="51" fillId="0" borderId="57" xfId="0" applyFont="1" applyBorder="1" applyAlignment="1">
      <alignment horizontal="left" vertical="center" wrapText="1"/>
    </xf>
    <xf numFmtId="0" fontId="51" fillId="0" borderId="55" xfId="0" applyFont="1" applyBorder="1" applyAlignment="1">
      <alignment horizontal="left" vertical="center" wrapText="1"/>
    </xf>
    <xf numFmtId="0" fontId="52" fillId="0" borderId="41" xfId="0" applyFont="1" applyBorder="1" applyAlignment="1">
      <alignment horizontal="left" vertical="top" wrapText="1"/>
    </xf>
    <xf numFmtId="0" fontId="52" fillId="0" borderId="42" xfId="0" applyFont="1" applyBorder="1" applyAlignment="1">
      <alignment horizontal="left" vertical="center" wrapText="1"/>
    </xf>
    <xf numFmtId="0" fontId="52" fillId="0" borderId="45" xfId="0" applyFont="1" applyBorder="1" applyAlignment="1">
      <alignment horizontal="left" vertical="center" wrapText="1"/>
    </xf>
    <xf numFmtId="0" fontId="69" fillId="0" borderId="0" xfId="0" applyFont="1" applyAlignment="1">
      <alignment vertical="center"/>
    </xf>
    <xf numFmtId="0" fontId="56" fillId="0" borderId="0" xfId="0" applyFont="1" applyAlignment="1">
      <alignment vertical="center"/>
    </xf>
    <xf numFmtId="3" fontId="52" fillId="0" borderId="37" xfId="0" applyNumberFormat="1" applyFont="1" applyBorder="1" applyAlignment="1">
      <alignment horizontal="left" vertical="center" wrapText="1"/>
    </xf>
    <xf numFmtId="0" fontId="60" fillId="0" borderId="55" xfId="0" applyFont="1" applyBorder="1" applyAlignment="1">
      <alignment horizontal="left" vertical="center" wrapText="1"/>
    </xf>
    <xf numFmtId="0" fontId="46" fillId="0" borderId="6" xfId="0" applyFont="1" applyBorder="1" applyAlignment="1">
      <alignment horizontal="left" vertical="center" wrapText="1"/>
    </xf>
    <xf numFmtId="2" fontId="17" fillId="0" borderId="0" xfId="0" applyNumberFormat="1" applyFont="1" applyAlignment="1">
      <alignment horizontal="left" vertical="center" wrapText="1"/>
    </xf>
    <xf numFmtId="0" fontId="13" fillId="0" borderId="0" xfId="0" applyFont="1" applyAlignment="1">
      <alignment horizontal="left" vertical="center" wrapText="1" indent="2"/>
    </xf>
    <xf numFmtId="0" fontId="13" fillId="0" borderId="0" xfId="0" applyFont="1" applyAlignment="1">
      <alignment horizontal="left" vertical="center" wrapText="1" indent="3"/>
    </xf>
    <xf numFmtId="0" fontId="45" fillId="0" borderId="7" xfId="0" applyFont="1" applyBorder="1" applyAlignment="1">
      <alignment horizontal="center" vertical="center" wrapText="1"/>
    </xf>
    <xf numFmtId="0" fontId="13" fillId="0" borderId="0" xfId="0" applyFont="1" applyAlignment="1">
      <alignment horizontal="left" vertical="center" indent="3"/>
    </xf>
    <xf numFmtId="0" fontId="76" fillId="0" borderId="0" xfId="0" applyFont="1"/>
    <xf numFmtId="0" fontId="6" fillId="0" borderId="7" xfId="2" applyBorder="1" applyAlignment="1">
      <alignment horizontal="center" vertical="center" wrapText="1"/>
    </xf>
    <xf numFmtId="0" fontId="78" fillId="0" borderId="64" xfId="0" applyFont="1" applyBorder="1" applyAlignment="1">
      <alignment horizontal="left" wrapText="1"/>
    </xf>
    <xf numFmtId="0" fontId="80" fillId="0" borderId="0" xfId="0" applyFont="1" applyAlignment="1">
      <alignment vertical="top" wrapText="1"/>
    </xf>
    <xf numFmtId="0" fontId="80" fillId="0" borderId="64" xfId="0" applyFont="1" applyBorder="1" applyAlignment="1">
      <alignment horizontal="left" wrapText="1"/>
    </xf>
    <xf numFmtId="0" fontId="1" fillId="2" borderId="1" xfId="1" applyAlignment="1">
      <alignment vertical="top" wrapText="1"/>
    </xf>
    <xf numFmtId="0" fontId="1" fillId="2" borderId="1" xfId="1" applyAlignment="1">
      <alignment vertical="top"/>
    </xf>
    <xf numFmtId="0" fontId="1" fillId="2" borderId="1" xfId="1" applyAlignment="1">
      <alignment horizontal="left"/>
    </xf>
    <xf numFmtId="2" fontId="1" fillId="2" borderId="65" xfId="1" applyNumberFormat="1" applyBorder="1"/>
    <xf numFmtId="0" fontId="1" fillId="2" borderId="66" xfId="1" applyBorder="1"/>
    <xf numFmtId="0" fontId="1" fillId="2" borderId="67" xfId="1" applyBorder="1"/>
    <xf numFmtId="0" fontId="1" fillId="2" borderId="68" xfId="1" applyBorder="1"/>
    <xf numFmtId="2" fontId="1" fillId="2" borderId="69" xfId="1" applyNumberFormat="1" applyBorder="1"/>
    <xf numFmtId="2" fontId="1" fillId="2" borderId="70" xfId="1" applyNumberFormat="1" applyBorder="1"/>
    <xf numFmtId="0" fontId="1" fillId="2" borderId="71" xfId="1" applyBorder="1"/>
    <xf numFmtId="0" fontId="0" fillId="0" borderId="0" xfId="0" applyAlignment="1">
      <alignment wrapText="1"/>
    </xf>
    <xf numFmtId="0" fontId="13" fillId="0" borderId="0" xfId="0" applyFont="1" applyAlignment="1">
      <alignment vertical="center" wrapText="1"/>
    </xf>
    <xf numFmtId="0" fontId="17" fillId="0" borderId="7" xfId="0" applyFont="1" applyBorder="1" applyAlignment="1">
      <alignment vertical="center" wrapText="1"/>
    </xf>
    <xf numFmtId="0" fontId="46" fillId="0" borderId="0" xfId="0" applyFont="1" applyAlignment="1">
      <alignment vertical="center" wrapText="1"/>
    </xf>
    <xf numFmtId="10" fontId="0" fillId="0" borderId="0" xfId="0" applyNumberFormat="1"/>
    <xf numFmtId="0" fontId="83" fillId="0" borderId="0" xfId="0" applyFont="1"/>
    <xf numFmtId="2" fontId="0" fillId="0" borderId="0" xfId="0" applyNumberFormat="1"/>
    <xf numFmtId="0" fontId="84" fillId="0" borderId="0" xfId="0" applyFont="1" applyAlignment="1">
      <alignment vertical="center"/>
    </xf>
    <xf numFmtId="4" fontId="52" fillId="0" borderId="44" xfId="0" applyNumberFormat="1" applyFont="1" applyBorder="1" applyAlignment="1">
      <alignment horizontal="left" vertical="center" wrapText="1"/>
    </xf>
    <xf numFmtId="0" fontId="85" fillId="0" borderId="0" xfId="0" applyFont="1" applyAlignment="1">
      <alignment vertical="center"/>
    </xf>
    <xf numFmtId="0" fontId="86" fillId="0" borderId="73" xfId="0" applyFont="1" applyBorder="1" applyAlignment="1">
      <alignment horizontal="left" vertical="center" wrapText="1"/>
    </xf>
    <xf numFmtId="0" fontId="22" fillId="0" borderId="10" xfId="0" applyFont="1" applyBorder="1" applyAlignment="1">
      <alignment horizontal="left" vertical="top" wrapText="1"/>
    </xf>
    <xf numFmtId="0" fontId="86" fillId="0" borderId="10" xfId="0" applyFont="1" applyBorder="1" applyAlignment="1">
      <alignment horizontal="left" vertical="center" wrapText="1"/>
    </xf>
    <xf numFmtId="0" fontId="22" fillId="0" borderId="36" xfId="0" applyFont="1" applyBorder="1" applyAlignment="1">
      <alignment horizontal="left" vertical="top" wrapText="1"/>
    </xf>
    <xf numFmtId="0" fontId="86" fillId="0" borderId="36" xfId="0" applyFont="1" applyBorder="1" applyAlignment="1">
      <alignment horizontal="left" vertical="center" wrapText="1"/>
    </xf>
    <xf numFmtId="0" fontId="86" fillId="0" borderId="0" xfId="0" applyFont="1" applyAlignment="1">
      <alignment horizontal="left" vertical="center" wrapText="1"/>
    </xf>
    <xf numFmtId="4" fontId="1" fillId="2" borderId="1" xfId="1" applyNumberFormat="1"/>
    <xf numFmtId="0" fontId="56" fillId="0" borderId="0" xfId="0" applyFont="1"/>
    <xf numFmtId="0" fontId="0" fillId="0" borderId="0" xfId="0" applyAlignment="1">
      <alignment horizontal="center" vertical="center" wrapText="1"/>
    </xf>
    <xf numFmtId="0" fontId="16" fillId="0" borderId="6" xfId="0" applyFont="1" applyBorder="1" applyAlignment="1">
      <alignment horizontal="center" vertical="center" wrapText="1"/>
    </xf>
    <xf numFmtId="0" fontId="74" fillId="0" borderId="0" xfId="0" applyFont="1" applyAlignment="1">
      <alignment vertical="center" wrapText="1"/>
    </xf>
    <xf numFmtId="0" fontId="16" fillId="0" borderId="7" xfId="0" applyFont="1" applyBorder="1" applyAlignment="1">
      <alignment horizontal="center" vertical="center" wrapText="1"/>
    </xf>
    <xf numFmtId="0" fontId="74" fillId="0" borderId="6" xfId="0" applyFont="1" applyBorder="1" applyAlignment="1">
      <alignment vertical="center" wrapText="1"/>
    </xf>
    <xf numFmtId="0" fontId="89" fillId="0" borderId="0" xfId="0" applyFont="1" applyAlignment="1">
      <alignment horizontal="left" vertical="center" wrapText="1" indent="2"/>
    </xf>
    <xf numFmtId="0" fontId="89" fillId="0" borderId="0" xfId="0" applyFont="1" applyAlignment="1">
      <alignment vertical="center"/>
    </xf>
    <xf numFmtId="0" fontId="89" fillId="0" borderId="0" xfId="0" applyFont="1" applyAlignment="1">
      <alignment horizontal="left" vertical="center" indent="3"/>
    </xf>
    <xf numFmtId="0" fontId="52" fillId="0" borderId="82" xfId="0" applyFont="1" applyBorder="1" applyAlignment="1">
      <alignment horizontal="left" vertical="center" wrapText="1"/>
    </xf>
    <xf numFmtId="3" fontId="52" fillId="0" borderId="82" xfId="0" applyNumberFormat="1" applyFont="1" applyBorder="1" applyAlignment="1">
      <alignment horizontal="left" vertical="center" wrapText="1"/>
    </xf>
    <xf numFmtId="0" fontId="51" fillId="0" borderId="83" xfId="0" applyFont="1" applyBorder="1" applyAlignment="1">
      <alignment horizontal="left" vertical="center" wrapText="1"/>
    </xf>
    <xf numFmtId="0" fontId="51" fillId="0" borderId="49" xfId="0" applyFont="1" applyBorder="1" applyAlignment="1">
      <alignment horizontal="left" vertical="top" wrapText="1"/>
    </xf>
    <xf numFmtId="0" fontId="52" fillId="0" borderId="88" xfId="0" applyFont="1" applyBorder="1" applyAlignment="1">
      <alignment horizontal="left" vertical="center" wrapText="1"/>
    </xf>
    <xf numFmtId="3" fontId="52" fillId="0" borderId="88" xfId="0" applyNumberFormat="1" applyFont="1" applyBorder="1" applyAlignment="1">
      <alignment horizontal="left" vertical="center" wrapText="1"/>
    </xf>
    <xf numFmtId="0" fontId="93" fillId="0" borderId="0" xfId="0" applyFont="1" applyAlignment="1">
      <alignment vertical="center"/>
    </xf>
    <xf numFmtId="0" fontId="63" fillId="0" borderId="0" xfId="0" applyFont="1" applyAlignment="1">
      <alignment horizontal="left" vertical="center" indent="1"/>
    </xf>
    <xf numFmtId="0" fontId="52" fillId="0" borderId="82" xfId="0" applyFont="1" applyBorder="1" applyAlignment="1">
      <alignment horizontal="left" vertical="center"/>
    </xf>
    <xf numFmtId="0" fontId="51" fillId="0" borderId="84" xfId="0" applyFont="1" applyBorder="1" applyAlignment="1">
      <alignment horizontal="left" vertical="center"/>
    </xf>
    <xf numFmtId="0" fontId="51" fillId="0" borderId="36" xfId="0" applyFont="1" applyBorder="1" applyAlignment="1">
      <alignment horizontal="left" vertical="center"/>
    </xf>
    <xf numFmtId="0" fontId="52" fillId="0" borderId="88" xfId="0" applyFont="1" applyBorder="1" applyAlignment="1">
      <alignment horizontal="left" vertical="center"/>
    </xf>
    <xf numFmtId="9" fontId="0" fillId="0" borderId="0" xfId="0" applyNumberFormat="1"/>
    <xf numFmtId="0" fontId="74" fillId="0" borderId="0" xfId="0" applyFont="1" applyAlignment="1">
      <alignment horizontal="left" vertical="center" wrapText="1"/>
    </xf>
    <xf numFmtId="0" fontId="6" fillId="0" borderId="0" xfId="2" applyAlignment="1">
      <alignment horizontal="left" vertical="center" wrapText="1"/>
    </xf>
    <xf numFmtId="0" fontId="16" fillId="0" borderId="7" xfId="0" applyFont="1" applyBorder="1" applyAlignment="1">
      <alignment horizontal="left" vertical="center" wrapText="1"/>
    </xf>
    <xf numFmtId="0" fontId="74" fillId="0" borderId="6" xfId="0" applyFont="1" applyBorder="1" applyAlignment="1">
      <alignment horizontal="left" vertical="center" wrapText="1"/>
    </xf>
    <xf numFmtId="0" fontId="32" fillId="0" borderId="0" xfId="0" applyFont="1" applyAlignment="1">
      <alignment horizontal="center" vertical="top" wrapText="1"/>
    </xf>
    <xf numFmtId="10" fontId="32" fillId="0" borderId="0" xfId="0" applyNumberFormat="1" applyFont="1" applyAlignment="1">
      <alignment horizontal="center" vertical="top" wrapText="1"/>
    </xf>
    <xf numFmtId="0" fontId="32" fillId="0" borderId="31" xfId="0" applyFont="1" applyBorder="1" applyAlignment="1">
      <alignment horizontal="left" vertical="top" wrapText="1" indent="1"/>
    </xf>
    <xf numFmtId="0" fontId="6" fillId="0" borderId="32" xfId="2" applyBorder="1" applyAlignment="1">
      <alignment horizontal="center" vertical="top" wrapText="1"/>
    </xf>
    <xf numFmtId="0" fontId="32" fillId="0" borderId="32" xfId="0" applyFont="1" applyBorder="1" applyAlignment="1">
      <alignment horizontal="center" vertical="top" wrapText="1"/>
    </xf>
    <xf numFmtId="0" fontId="98" fillId="0" borderId="0" xfId="0" applyFont="1"/>
    <xf numFmtId="0" fontId="32" fillId="0" borderId="0" xfId="0" applyFont="1" applyAlignment="1">
      <alignment horizontal="left" vertical="top" wrapText="1" indent="1"/>
    </xf>
    <xf numFmtId="0" fontId="96" fillId="0" borderId="0" xfId="0" applyFont="1"/>
    <xf numFmtId="0" fontId="87" fillId="5" borderId="33" xfId="3" applyBorder="1" applyAlignment="1">
      <alignment horizontal="left" vertical="top" wrapText="1" indent="1"/>
    </xf>
    <xf numFmtId="0" fontId="87" fillId="5" borderId="34" xfId="3" applyBorder="1" applyAlignment="1">
      <alignment horizontal="center" vertical="top" wrapText="1"/>
    </xf>
    <xf numFmtId="0" fontId="87" fillId="5" borderId="35" xfId="3" applyBorder="1" applyAlignment="1">
      <alignment horizontal="center" vertical="top" wrapText="1"/>
    </xf>
    <xf numFmtId="0" fontId="32" fillId="0" borderId="0" xfId="0" applyFont="1" applyAlignment="1">
      <alignment horizontal="left" vertical="center" wrapText="1" indent="1"/>
    </xf>
    <xf numFmtId="0" fontId="32" fillId="0" borderId="31" xfId="0" applyFont="1" applyBorder="1" applyAlignment="1">
      <alignment horizontal="left" vertical="center" wrapText="1" indent="1"/>
    </xf>
    <xf numFmtId="0" fontId="32" fillId="0" borderId="32" xfId="0" applyFont="1" applyBorder="1" applyAlignment="1">
      <alignment horizontal="left" vertical="center" wrapText="1" indent="1"/>
    </xf>
    <xf numFmtId="0" fontId="32" fillId="0" borderId="33" xfId="0" applyFont="1" applyBorder="1" applyAlignment="1">
      <alignment horizontal="left" vertical="center" wrapText="1" indent="1"/>
    </xf>
    <xf numFmtId="0" fontId="32" fillId="0" borderId="34" xfId="0" applyFont="1" applyBorder="1" applyAlignment="1">
      <alignment horizontal="left" vertical="center" wrapText="1" indent="1"/>
    </xf>
    <xf numFmtId="0" fontId="32" fillId="0" borderId="35" xfId="0" applyFont="1" applyBorder="1" applyAlignment="1">
      <alignment horizontal="left" vertical="center" wrapText="1" indent="1"/>
    </xf>
    <xf numFmtId="0" fontId="87" fillId="5" borderId="31" xfId="3" applyBorder="1" applyAlignment="1">
      <alignment horizontal="left" vertical="center" wrapText="1" indent="1"/>
    </xf>
    <xf numFmtId="0" fontId="87" fillId="5" borderId="0" xfId="3" applyAlignment="1">
      <alignment horizontal="left" vertical="center" wrapText="1" indent="1"/>
    </xf>
    <xf numFmtId="0" fontId="87" fillId="5" borderId="32" xfId="3" applyBorder="1" applyAlignment="1">
      <alignment horizontal="left" vertical="center" wrapText="1" indent="1"/>
    </xf>
    <xf numFmtId="0" fontId="92" fillId="0" borderId="0" xfId="0" applyFont="1"/>
    <xf numFmtId="0" fontId="16" fillId="0" borderId="8" xfId="0" applyFont="1" applyBorder="1" applyAlignment="1">
      <alignment horizontal="left" vertical="center" wrapText="1"/>
    </xf>
    <xf numFmtId="0" fontId="87" fillId="5" borderId="6" xfId="3" applyBorder="1" applyAlignment="1">
      <alignment horizontal="left" vertical="center" wrapText="1"/>
    </xf>
    <xf numFmtId="0" fontId="106" fillId="0" borderId="0" xfId="0" applyFont="1"/>
    <xf numFmtId="0" fontId="2" fillId="0" borderId="0" xfId="0" applyFont="1"/>
    <xf numFmtId="0" fontId="87" fillId="5" borderId="0" xfId="3"/>
    <xf numFmtId="9" fontId="87" fillId="5" borderId="0" xfId="3" applyNumberFormat="1"/>
    <xf numFmtId="0" fontId="111" fillId="0" borderId="0" xfId="0" applyFont="1"/>
    <xf numFmtId="1" fontId="1" fillId="2" borderId="1" xfId="1" applyNumberFormat="1"/>
    <xf numFmtId="0" fontId="6" fillId="0" borderId="0" xfId="2" applyAlignment="1">
      <alignment horizontal="center" vertical="center" wrapText="1"/>
    </xf>
    <xf numFmtId="0" fontId="76" fillId="0" borderId="0" xfId="0" applyFont="1" applyAlignment="1">
      <alignment vertical="center" wrapText="1"/>
    </xf>
    <xf numFmtId="0" fontId="87" fillId="5" borderId="6" xfId="3" applyBorder="1" applyAlignment="1">
      <alignment horizontal="center" vertical="center" wrapText="1"/>
    </xf>
    <xf numFmtId="0" fontId="6" fillId="0" borderId="0" xfId="2" applyAlignment="1">
      <alignment vertical="center" wrapText="1"/>
    </xf>
    <xf numFmtId="0" fontId="0" fillId="0" borderId="0" xfId="0" applyAlignment="1">
      <alignment horizontal="left" vertical="center" wrapText="1" indent="2"/>
    </xf>
    <xf numFmtId="0" fontId="13" fillId="0" borderId="0" xfId="0" applyFont="1" applyAlignment="1">
      <alignment horizontal="left" vertical="center"/>
    </xf>
    <xf numFmtId="0" fontId="87" fillId="5" borderId="6" xfId="3" applyBorder="1" applyAlignment="1">
      <alignment vertical="center" wrapText="1"/>
    </xf>
    <xf numFmtId="0" fontId="1" fillId="2" borderId="1" xfId="1" applyAlignment="1">
      <alignment horizontal="left" vertical="center" indent="3"/>
    </xf>
    <xf numFmtId="0" fontId="112" fillId="0" borderId="0" xfId="0" applyFont="1" applyAlignment="1">
      <alignment horizontal="left" vertical="center" wrapText="1" indent="2"/>
    </xf>
    <xf numFmtId="0" fontId="0" fillId="0" borderId="0" xfId="0" applyAlignment="1">
      <alignment horizontal="left" vertical="center" wrapText="1"/>
    </xf>
    <xf numFmtId="0" fontId="31" fillId="0" borderId="0" xfId="0" applyFont="1" applyAlignment="1">
      <alignment horizontal="center" vertical="center" wrapText="1"/>
    </xf>
    <xf numFmtId="0" fontId="113" fillId="0" borderId="0" xfId="0" applyFont="1" applyAlignment="1">
      <alignment horizontal="left" vertical="center" indent="2"/>
    </xf>
    <xf numFmtId="0" fontId="118" fillId="0" borderId="0" xfId="0" applyFont="1"/>
    <xf numFmtId="0" fontId="119" fillId="0" borderId="0" xfId="0" applyFont="1"/>
    <xf numFmtId="0" fontId="78" fillId="0" borderId="5" xfId="0" applyFont="1" applyBorder="1" applyAlignment="1">
      <alignment horizontal="left" wrapText="1"/>
    </xf>
    <xf numFmtId="0" fontId="6" fillId="0" borderId="5" xfId="2" applyBorder="1" applyAlignment="1">
      <alignment horizontal="left" wrapText="1"/>
    </xf>
    <xf numFmtId="0" fontId="81" fillId="0" borderId="5" xfId="0" applyFont="1" applyBorder="1" applyAlignment="1">
      <alignment horizontal="left" wrapText="1"/>
    </xf>
    <xf numFmtId="0" fontId="81" fillId="0" borderId="0" xfId="0" applyFont="1" applyAlignment="1">
      <alignment horizontal="left" wrapText="1"/>
    </xf>
    <xf numFmtId="1" fontId="0" fillId="0" borderId="0" xfId="0" applyNumberFormat="1"/>
    <xf numFmtId="0" fontId="6" fillId="0" borderId="6" xfId="2" applyBorder="1" applyAlignment="1">
      <alignment horizontal="left" vertical="center" wrapText="1"/>
    </xf>
    <xf numFmtId="0" fontId="6" fillId="0" borderId="7" xfId="2" applyBorder="1" applyAlignment="1">
      <alignment horizontal="left" vertical="center" wrapText="1"/>
    </xf>
    <xf numFmtId="0" fontId="87" fillId="5" borderId="0" xfId="3" applyAlignment="1">
      <alignment horizontal="left" vertical="center" wrapText="1"/>
    </xf>
    <xf numFmtId="9" fontId="87" fillId="5" borderId="0" xfId="3" applyNumberFormat="1" applyAlignment="1">
      <alignment horizontal="left" vertical="center" wrapText="1"/>
    </xf>
    <xf numFmtId="10" fontId="87" fillId="5" borderId="0" xfId="3" applyNumberFormat="1" applyAlignment="1">
      <alignment horizontal="left" vertical="center" wrapText="1"/>
    </xf>
    <xf numFmtId="0" fontId="9" fillId="0" borderId="0" xfId="0" applyFont="1"/>
    <xf numFmtId="0" fontId="87" fillId="5" borderId="7" xfId="3" applyBorder="1" applyAlignment="1">
      <alignment horizontal="center" vertical="center" wrapText="1"/>
    </xf>
    <xf numFmtId="0" fontId="87" fillId="5" borderId="0" xfId="3" applyAlignment="1">
      <alignment vertical="center" wrapText="1"/>
    </xf>
    <xf numFmtId="0" fontId="122" fillId="0" borderId="7" xfId="0" applyFont="1" applyBorder="1" applyAlignment="1">
      <alignment horizontal="center" vertical="center" wrapText="1"/>
    </xf>
    <xf numFmtId="0" fontId="13" fillId="0" borderId="6" xfId="0" applyFont="1" applyBorder="1" applyAlignment="1">
      <alignment vertical="center" wrapText="1"/>
    </xf>
    <xf numFmtId="0" fontId="13" fillId="0" borderId="0" xfId="0" applyFont="1" applyAlignment="1">
      <alignment horizontal="left" vertical="center" indent="2"/>
    </xf>
    <xf numFmtId="0" fontId="6" fillId="0" borderId="8" xfId="2" applyBorder="1" applyAlignment="1">
      <alignment horizontal="left" vertical="center" wrapText="1"/>
    </xf>
    <xf numFmtId="0" fontId="32" fillId="0" borderId="32" xfId="0" applyFont="1" applyBorder="1" applyAlignment="1">
      <alignment horizontal="left" vertical="top" wrapText="1" indent="1"/>
    </xf>
    <xf numFmtId="0" fontId="32" fillId="0" borderId="33" xfId="0" applyFont="1" applyBorder="1" applyAlignment="1">
      <alignment horizontal="left" vertical="top" wrapText="1" indent="1"/>
    </xf>
    <xf numFmtId="0" fontId="32" fillId="0" borderId="34" xfId="0" applyFont="1" applyBorder="1" applyAlignment="1">
      <alignment horizontal="left" vertical="top" wrapText="1" indent="1"/>
    </xf>
    <xf numFmtId="0" fontId="87" fillId="5" borderId="32" xfId="3" applyBorder="1" applyAlignment="1">
      <alignment horizontal="left" vertical="top" wrapText="1" indent="1"/>
    </xf>
    <xf numFmtId="20" fontId="17" fillId="0" borderId="0" xfId="0" applyNumberFormat="1" applyFont="1" applyAlignment="1">
      <alignment vertical="center" wrapText="1"/>
    </xf>
    <xf numFmtId="20" fontId="17" fillId="0" borderId="6" xfId="0" applyNumberFormat="1" applyFont="1" applyBorder="1" applyAlignment="1">
      <alignment vertical="center" wrapText="1"/>
    </xf>
    <xf numFmtId="0" fontId="0" fillId="0" borderId="93" xfId="0" applyBorder="1"/>
    <xf numFmtId="0" fontId="0" fillId="0" borderId="94" xfId="0" applyBorder="1"/>
    <xf numFmtId="0" fontId="0" fillId="0" borderId="95" xfId="0" applyBorder="1"/>
    <xf numFmtId="0" fontId="0" fillId="0" borderId="96" xfId="0" applyBorder="1"/>
    <xf numFmtId="0" fontId="0" fillId="0" borderId="97" xfId="0" applyBorder="1"/>
    <xf numFmtId="0" fontId="0" fillId="0" borderId="98" xfId="0" applyBorder="1"/>
    <xf numFmtId="0" fontId="0" fillId="0" borderId="99" xfId="0" applyBorder="1"/>
    <xf numFmtId="0" fontId="0" fillId="0" borderId="100" xfId="0" applyBorder="1"/>
    <xf numFmtId="0" fontId="87" fillId="5" borderId="94" xfId="3" applyBorder="1"/>
    <xf numFmtId="0" fontId="87" fillId="5" borderId="0" xfId="3" applyBorder="1"/>
    <xf numFmtId="0" fontId="87" fillId="5" borderId="99" xfId="3" applyBorder="1"/>
    <xf numFmtId="0" fontId="87" fillId="5" borderId="0" xfId="3" applyBorder="1" applyAlignment="1">
      <alignment horizontal="left" vertical="top" wrapText="1" indent="1"/>
    </xf>
    <xf numFmtId="0" fontId="87" fillId="5" borderId="34" xfId="3" applyBorder="1" applyAlignment="1">
      <alignment horizontal="left" vertical="top" wrapText="1" indent="1"/>
    </xf>
    <xf numFmtId="0" fontId="126" fillId="0" borderId="37" xfId="0" applyFont="1" applyBorder="1" applyAlignment="1">
      <alignment horizontal="left" vertical="center" wrapText="1"/>
    </xf>
    <xf numFmtId="0" fontId="6" fillId="0" borderId="42" xfId="2" applyBorder="1" applyAlignment="1">
      <alignment horizontal="left" vertical="center" wrapText="1"/>
    </xf>
    <xf numFmtId="0" fontId="126" fillId="0" borderId="44" xfId="0" applyFont="1" applyBorder="1" applyAlignment="1">
      <alignment horizontal="left" vertical="center" wrapText="1"/>
    </xf>
    <xf numFmtId="0" fontId="87" fillId="5" borderId="37" xfId="3" applyBorder="1" applyAlignment="1">
      <alignment vertical="center" wrapText="1"/>
    </xf>
    <xf numFmtId="0" fontId="87" fillId="5" borderId="44" xfId="3" applyBorder="1" applyAlignment="1">
      <alignment vertical="center" wrapText="1"/>
    </xf>
    <xf numFmtId="0" fontId="72" fillId="0" borderId="0" xfId="0" applyFont="1" applyAlignment="1">
      <alignment horizontal="left" vertical="center" indent="2"/>
    </xf>
    <xf numFmtId="0" fontId="56" fillId="0" borderId="55" xfId="0" applyFont="1" applyBorder="1" applyAlignment="1">
      <alignment horizontal="left" vertical="center" wrapText="1"/>
    </xf>
    <xf numFmtId="0" fontId="0" fillId="0" borderId="41" xfId="0" applyBorder="1" applyAlignment="1">
      <alignment horizontal="left" vertical="center" wrapText="1"/>
    </xf>
    <xf numFmtId="0" fontId="0" fillId="0" borderId="15" xfId="0" applyBorder="1" applyAlignment="1">
      <alignment horizontal="left" vertical="center" wrapText="1"/>
    </xf>
    <xf numFmtId="0" fontId="129" fillId="0" borderId="0" xfId="0" applyFont="1" applyAlignment="1">
      <alignment horizontal="left" vertical="center" indent="1"/>
    </xf>
    <xf numFmtId="0" fontId="87" fillId="5" borderId="0" xfId="3" applyAlignment="1">
      <alignment horizontal="left" vertical="center" indent="1"/>
    </xf>
    <xf numFmtId="0" fontId="130" fillId="3" borderId="101" xfId="0" applyFont="1" applyFill="1" applyBorder="1" applyAlignment="1">
      <alignment horizontal="center" vertical="center" wrapText="1"/>
    </xf>
    <xf numFmtId="0" fontId="131" fillId="3" borderId="0" xfId="0" applyFont="1" applyFill="1" applyAlignment="1">
      <alignment horizontal="center" vertical="center" wrapText="1"/>
    </xf>
    <xf numFmtId="0" fontId="131" fillId="7" borderId="0" xfId="0" applyFont="1" applyFill="1" applyAlignment="1">
      <alignment horizontal="center" vertical="center" wrapText="1"/>
    </xf>
    <xf numFmtId="0" fontId="131" fillId="3" borderId="91" xfId="0" applyFont="1" applyFill="1" applyBorder="1" applyAlignment="1">
      <alignment horizontal="center" vertical="center" wrapText="1"/>
    </xf>
    <xf numFmtId="0" fontId="87" fillId="5" borderId="0" xfId="3" applyAlignment="1">
      <alignment horizontal="center" vertical="center" wrapText="1"/>
    </xf>
    <xf numFmtId="0" fontId="124" fillId="6" borderId="0" xfId="4"/>
    <xf numFmtId="0" fontId="32" fillId="4" borderId="28" xfId="0" applyFont="1" applyFill="1" applyBorder="1" applyAlignment="1">
      <alignment horizontal="left" vertical="top" wrapText="1"/>
    </xf>
    <xf numFmtId="0" fontId="32" fillId="4" borderId="29" xfId="0" applyFont="1" applyFill="1" applyBorder="1" applyAlignment="1">
      <alignment horizontal="center" vertical="top" wrapText="1"/>
    </xf>
    <xf numFmtId="0" fontId="32" fillId="4" borderId="30" xfId="0" applyFont="1" applyFill="1" applyBorder="1" applyAlignment="1">
      <alignment horizontal="center" vertical="top" wrapText="1"/>
    </xf>
    <xf numFmtId="0" fontId="0" fillId="0" borderId="0" xfId="0" applyAlignment="1">
      <alignment horizontal="left" vertical="center"/>
    </xf>
    <xf numFmtId="0" fontId="32" fillId="0" borderId="35" xfId="0" applyFont="1" applyBorder="1" applyAlignment="1">
      <alignment horizontal="left" vertical="top" wrapText="1" indent="1"/>
    </xf>
    <xf numFmtId="0" fontId="32" fillId="4" borderId="28" xfId="0" applyFont="1" applyFill="1" applyBorder="1" applyAlignment="1">
      <alignment horizontal="left" vertical="center" wrapText="1"/>
    </xf>
    <xf numFmtId="0" fontId="32" fillId="4" borderId="29" xfId="0" applyFont="1" applyFill="1" applyBorder="1" applyAlignment="1">
      <alignment horizontal="left" vertical="center" wrapText="1"/>
    </xf>
    <xf numFmtId="0" fontId="32" fillId="4" borderId="30" xfId="0" applyFont="1" applyFill="1" applyBorder="1" applyAlignment="1">
      <alignment horizontal="left" vertical="center" wrapText="1"/>
    </xf>
    <xf numFmtId="0" fontId="32" fillId="4" borderId="0" xfId="0" applyFont="1" applyFill="1" applyAlignment="1">
      <alignment horizontal="center" vertical="top" wrapText="1"/>
    </xf>
    <xf numFmtId="0" fontId="0" fillId="0" borderId="102" xfId="0" applyBorder="1"/>
    <xf numFmtId="0" fontId="1" fillId="2" borderId="103" xfId="1" applyBorder="1"/>
    <xf numFmtId="2" fontId="1" fillId="2" borderId="103" xfId="1" applyNumberFormat="1" applyBorder="1"/>
    <xf numFmtId="0" fontId="56" fillId="0" borderId="102" xfId="0" applyFont="1" applyBorder="1"/>
    <xf numFmtId="0" fontId="0" fillId="0" borderId="104" xfId="0" applyBorder="1"/>
    <xf numFmtId="0" fontId="132" fillId="0" borderId="105" xfId="0" applyFont="1" applyBorder="1" applyAlignment="1">
      <alignment wrapText="1"/>
    </xf>
    <xf numFmtId="0" fontId="134" fillId="0" borderId="106" xfId="0" applyFont="1" applyBorder="1" applyAlignment="1">
      <alignment wrapText="1"/>
    </xf>
    <xf numFmtId="0" fontId="132" fillId="0" borderId="106" xfId="0" applyFont="1" applyBorder="1" applyAlignment="1">
      <alignment wrapText="1"/>
    </xf>
    <xf numFmtId="0" fontId="134" fillId="0" borderId="0" xfId="0" applyFont="1" applyAlignment="1">
      <alignment wrapText="1"/>
    </xf>
    <xf numFmtId="9" fontId="134" fillId="0" borderId="0" xfId="0" applyNumberFormat="1" applyFont="1" applyAlignment="1">
      <alignment wrapText="1"/>
    </xf>
    <xf numFmtId="9" fontId="134" fillId="0" borderId="106" xfId="0" applyNumberFormat="1" applyFont="1" applyBorder="1" applyAlignment="1">
      <alignment wrapText="1"/>
    </xf>
    <xf numFmtId="0" fontId="132" fillId="0" borderId="107" xfId="0" applyFont="1" applyBorder="1" applyAlignment="1">
      <alignment wrapText="1"/>
    </xf>
    <xf numFmtId="0" fontId="6" fillId="0" borderId="0" xfId="2" applyBorder="1" applyAlignment="1">
      <alignment wrapText="1"/>
    </xf>
    <xf numFmtId="0" fontId="1" fillId="2" borderId="108" xfId="1" applyBorder="1"/>
    <xf numFmtId="2" fontId="0" fillId="0" borderId="102" xfId="0" applyNumberFormat="1" applyBorder="1"/>
    <xf numFmtId="2" fontId="1" fillId="2" borderId="108" xfId="1" applyNumberFormat="1" applyBorder="1"/>
    <xf numFmtId="0" fontId="6" fillId="0" borderId="107" xfId="2" applyBorder="1" applyAlignment="1">
      <alignment wrapText="1"/>
    </xf>
    <xf numFmtId="0" fontId="6" fillId="0" borderId="106" xfId="2" applyBorder="1" applyAlignment="1">
      <alignment wrapText="1"/>
    </xf>
    <xf numFmtId="0" fontId="134" fillId="0" borderId="107" xfId="0" applyFont="1" applyBorder="1" applyAlignment="1">
      <alignment wrapText="1"/>
    </xf>
    <xf numFmtId="0" fontId="136" fillId="0" borderId="105" xfId="0" applyFont="1" applyBorder="1" applyAlignment="1">
      <alignment wrapText="1"/>
    </xf>
    <xf numFmtId="3" fontId="134" fillId="0" borderId="0" xfId="0" applyNumberFormat="1" applyFont="1" applyAlignment="1">
      <alignment wrapText="1"/>
    </xf>
    <xf numFmtId="0" fontId="138" fillId="0" borderId="105" xfId="0" applyFont="1" applyBorder="1" applyAlignment="1">
      <alignment wrapText="1"/>
    </xf>
    <xf numFmtId="0" fontId="139" fillId="0" borderId="0" xfId="0" applyFont="1"/>
    <xf numFmtId="0" fontId="141" fillId="0" borderId="0" xfId="0" applyFont="1" applyAlignment="1">
      <alignment wrapText="1"/>
    </xf>
    <xf numFmtId="0" fontId="141" fillId="0" borderId="106" xfId="0" applyFont="1" applyBorder="1" applyAlignment="1">
      <alignment wrapText="1"/>
    </xf>
    <xf numFmtId="0" fontId="142" fillId="8" borderId="109" xfId="0" applyFont="1" applyFill="1" applyBorder="1" applyAlignment="1">
      <alignment wrapText="1"/>
    </xf>
    <xf numFmtId="0" fontId="142" fillId="8" borderId="110" xfId="0" applyFont="1" applyFill="1" applyBorder="1" applyAlignment="1">
      <alignment wrapText="1"/>
    </xf>
    <xf numFmtId="0" fontId="142" fillId="8" borderId="111" xfId="0" applyFont="1" applyFill="1" applyBorder="1" applyAlignment="1">
      <alignment wrapText="1"/>
    </xf>
    <xf numFmtId="0" fontId="143" fillId="3" borderId="115" xfId="0" applyFont="1" applyFill="1" applyBorder="1" applyAlignment="1">
      <alignment wrapText="1"/>
    </xf>
    <xf numFmtId="0" fontId="143" fillId="3" borderId="119" xfId="0" applyFont="1" applyFill="1" applyBorder="1" applyAlignment="1">
      <alignment wrapText="1"/>
    </xf>
    <xf numFmtId="0" fontId="143" fillId="3" borderId="121" xfId="0" applyFont="1" applyFill="1" applyBorder="1" applyAlignment="1">
      <alignment wrapText="1"/>
    </xf>
    <xf numFmtId="0" fontId="143" fillId="3" borderId="123" xfId="0" applyFont="1" applyFill="1" applyBorder="1" applyAlignment="1">
      <alignment wrapText="1"/>
    </xf>
    <xf numFmtId="0" fontId="143" fillId="3" borderId="124" xfId="0" applyFont="1" applyFill="1" applyBorder="1" applyAlignment="1">
      <alignment wrapText="1"/>
    </xf>
    <xf numFmtId="0" fontId="143" fillId="3" borderId="125" xfId="0" applyFont="1" applyFill="1" applyBorder="1" applyAlignment="1">
      <alignment wrapText="1"/>
    </xf>
    <xf numFmtId="0" fontId="134" fillId="0" borderId="0" xfId="0" applyFont="1"/>
    <xf numFmtId="0" fontId="132" fillId="0" borderId="0" xfId="0" applyFont="1" applyAlignment="1">
      <alignment wrapText="1"/>
    </xf>
    <xf numFmtId="0" fontId="136" fillId="0" borderId="0" xfId="0" applyFont="1" applyAlignment="1">
      <alignment wrapText="1"/>
    </xf>
    <xf numFmtId="0" fontId="134" fillId="0" borderId="0" xfId="0" quotePrefix="1" applyFont="1" applyAlignment="1">
      <alignment wrapText="1"/>
    </xf>
    <xf numFmtId="0" fontId="6" fillId="0" borderId="0" xfId="2" applyAlignment="1"/>
    <xf numFmtId="0" fontId="150" fillId="0" borderId="0" xfId="0" applyFont="1"/>
    <xf numFmtId="0" fontId="136" fillId="0" borderId="107" xfId="0" applyFont="1" applyBorder="1" applyAlignment="1">
      <alignment wrapText="1"/>
    </xf>
    <xf numFmtId="0" fontId="0" fillId="0" borderId="106" xfId="0" applyBorder="1"/>
    <xf numFmtId="0" fontId="151" fillId="3" borderId="126" xfId="0" applyFont="1" applyFill="1" applyBorder="1" applyAlignment="1">
      <alignment wrapText="1"/>
    </xf>
    <xf numFmtId="0" fontId="152" fillId="3" borderId="0" xfId="0" applyFont="1" applyFill="1" applyAlignment="1">
      <alignment wrapText="1"/>
    </xf>
    <xf numFmtId="0" fontId="152" fillId="7" borderId="0" xfId="0" applyFont="1" applyFill="1" applyAlignment="1">
      <alignment wrapText="1"/>
    </xf>
    <xf numFmtId="0" fontId="155" fillId="4" borderId="0" xfId="0" applyFont="1" applyFill="1" applyAlignment="1">
      <alignment wrapText="1"/>
    </xf>
    <xf numFmtId="0" fontId="155" fillId="4" borderId="131" xfId="0" applyFont="1" applyFill="1" applyBorder="1" applyAlignment="1">
      <alignment wrapText="1"/>
    </xf>
    <xf numFmtId="0" fontId="6" fillId="0" borderId="105" xfId="2" applyBorder="1" applyAlignment="1">
      <alignment wrapText="1"/>
    </xf>
    <xf numFmtId="0" fontId="155" fillId="3" borderId="128" xfId="0" applyFont="1" applyFill="1" applyBorder="1" applyAlignment="1">
      <alignment wrapText="1"/>
    </xf>
    <xf numFmtId="0" fontId="155" fillId="3" borderId="0" xfId="0" applyFont="1" applyFill="1" applyAlignment="1">
      <alignment wrapText="1"/>
    </xf>
    <xf numFmtId="0" fontId="155" fillId="3" borderId="131" xfId="0" applyFont="1" applyFill="1" applyBorder="1" applyAlignment="1">
      <alignment wrapText="1"/>
    </xf>
    <xf numFmtId="0" fontId="155" fillId="3" borderId="132" xfId="0" applyFont="1" applyFill="1" applyBorder="1" applyAlignment="1">
      <alignment wrapText="1"/>
    </xf>
    <xf numFmtId="0" fontId="155" fillId="3" borderId="133" xfId="0" applyFont="1" applyFill="1" applyBorder="1" applyAlignment="1">
      <alignment wrapText="1"/>
    </xf>
    <xf numFmtId="0" fontId="155" fillId="3" borderId="134" xfId="0" applyFont="1" applyFill="1" applyBorder="1" applyAlignment="1">
      <alignment wrapText="1"/>
    </xf>
    <xf numFmtId="0" fontId="134" fillId="0" borderId="105" xfId="0" applyFont="1" applyBorder="1" applyAlignment="1">
      <alignment wrapText="1"/>
    </xf>
    <xf numFmtId="0" fontId="56" fillId="0" borderId="105" xfId="0" applyFont="1" applyBorder="1"/>
    <xf numFmtId="0" fontId="56" fillId="0" borderId="106" xfId="0" applyFont="1" applyBorder="1"/>
    <xf numFmtId="0" fontId="6" fillId="0" borderId="106" xfId="2" applyBorder="1"/>
    <xf numFmtId="0" fontId="6" fillId="0" borderId="0" xfId="2" applyBorder="1"/>
    <xf numFmtId="0" fontId="152" fillId="3" borderId="135" xfId="0" applyFont="1" applyFill="1" applyBorder="1" applyAlignment="1">
      <alignment wrapText="1"/>
    </xf>
    <xf numFmtId="0" fontId="152" fillId="7" borderId="135" xfId="0" applyFont="1" applyFill="1" applyBorder="1" applyAlignment="1">
      <alignment wrapText="1"/>
    </xf>
    <xf numFmtId="0" fontId="159" fillId="0" borderId="0" xfId="0" applyFont="1"/>
    <xf numFmtId="0" fontId="151" fillId="7" borderId="135" xfId="0" applyFont="1" applyFill="1" applyBorder="1" applyAlignment="1">
      <alignment wrapText="1"/>
    </xf>
    <xf numFmtId="0" fontId="1" fillId="2" borderId="1" xfId="1" applyAlignment="1">
      <alignment horizontal="left" vertical="center"/>
    </xf>
    <xf numFmtId="0" fontId="134" fillId="0" borderId="0" xfId="0" applyFont="1" applyBorder="1" applyAlignment="1">
      <alignment wrapText="1"/>
    </xf>
    <xf numFmtId="0" fontId="1" fillId="2" borderId="1" xfId="1" applyAlignment="1">
      <alignment vertical="center" wrapText="1"/>
    </xf>
    <xf numFmtId="0" fontId="6" fillId="0" borderId="6" xfId="2" applyBorder="1" applyAlignment="1">
      <alignment horizontal="left" vertical="center" wrapText="1"/>
    </xf>
    <xf numFmtId="0" fontId="16" fillId="0" borderId="7" xfId="0" applyFont="1" applyBorder="1" applyAlignment="1">
      <alignment horizontal="center" vertical="center" wrapText="1"/>
    </xf>
    <xf numFmtId="0" fontId="160" fillId="0" borderId="0" xfId="0" applyFont="1"/>
    <xf numFmtId="0" fontId="89" fillId="0" borderId="0" xfId="0" applyFont="1"/>
    <xf numFmtId="0" fontId="16" fillId="0" borderId="6" xfId="0" applyFont="1" applyBorder="1" applyAlignment="1">
      <alignment horizontal="left" vertical="center" wrapText="1"/>
    </xf>
    <xf numFmtId="0" fontId="163" fillId="0" borderId="0" xfId="0" applyFont="1" applyAlignment="1">
      <alignment vertical="center"/>
    </xf>
    <xf numFmtId="0" fontId="164" fillId="0" borderId="0" xfId="0" applyFont="1" applyAlignment="1">
      <alignment vertical="center" wrapText="1"/>
    </xf>
    <xf numFmtId="0" fontId="74" fillId="0" borderId="7" xfId="0" applyFont="1" applyBorder="1" applyAlignment="1">
      <alignment horizontal="left" vertical="center" wrapText="1"/>
    </xf>
    <xf numFmtId="0" fontId="74" fillId="0" borderId="0" xfId="0" applyFont="1" applyFill="1" applyBorder="1" applyAlignment="1">
      <alignment horizontal="left" vertical="center" wrapText="1"/>
    </xf>
    <xf numFmtId="0" fontId="162" fillId="0" borderId="0" xfId="0" applyFont="1"/>
    <xf numFmtId="0" fontId="47" fillId="0" borderId="6" xfId="0" applyFont="1" applyBorder="1" applyAlignment="1">
      <alignment vertical="center" wrapText="1"/>
    </xf>
    <xf numFmtId="0" fontId="16" fillId="0" borderId="0" xfId="0" applyFont="1" applyBorder="1" applyAlignment="1">
      <alignment horizontal="left" vertical="center" wrapText="1"/>
    </xf>
    <xf numFmtId="0" fontId="19" fillId="0" borderId="7" xfId="0" applyFont="1" applyBorder="1" applyAlignment="1">
      <alignment horizontal="center" vertical="center" wrapText="1"/>
    </xf>
    <xf numFmtId="0" fontId="162" fillId="0" borderId="0" xfId="0" applyFont="1" applyAlignment="1">
      <alignment horizontal="left" vertical="center"/>
    </xf>
    <xf numFmtId="0" fontId="74" fillId="0" borderId="0" xfId="0" applyFont="1" applyAlignment="1">
      <alignment horizontal="center" vertical="center" wrapText="1"/>
    </xf>
    <xf numFmtId="10" fontId="74" fillId="0" borderId="0" xfId="0" applyNumberFormat="1" applyFont="1" applyAlignment="1">
      <alignment horizontal="center" vertical="center" wrapText="1"/>
    </xf>
    <xf numFmtId="10" fontId="74" fillId="0" borderId="6" xfId="0" applyNumberFormat="1" applyFont="1" applyBorder="1" applyAlignment="1">
      <alignment horizontal="center" vertical="center" wrapText="1"/>
    </xf>
    <xf numFmtId="0" fontId="168" fillId="0" borderId="0" xfId="0" applyFont="1"/>
    <xf numFmtId="0" fontId="169" fillId="0" borderId="0" xfId="0" applyFont="1"/>
    <xf numFmtId="0" fontId="170" fillId="0" borderId="0" xfId="0" applyFont="1"/>
    <xf numFmtId="0" fontId="134" fillId="0" borderId="0" xfId="0" applyFont="1" applyFill="1" applyBorder="1" applyAlignment="1">
      <alignment wrapText="1"/>
    </xf>
    <xf numFmtId="46" fontId="0" fillId="0" borderId="0" xfId="0" applyNumberFormat="1"/>
    <xf numFmtId="0" fontId="87" fillId="5" borderId="0" xfId="3" applyAlignment="1">
      <alignment wrapText="1"/>
    </xf>
    <xf numFmtId="0" fontId="87" fillId="5" borderId="106" xfId="3" applyBorder="1" applyAlignment="1">
      <alignment wrapText="1"/>
    </xf>
    <xf numFmtId="0" fontId="172" fillId="0" borderId="0" xfId="0" applyFont="1"/>
    <xf numFmtId="0" fontId="174" fillId="0" borderId="140" xfId="0" applyFont="1" applyBorder="1" applyAlignment="1">
      <alignment horizontal="left" vertical="center"/>
    </xf>
    <xf numFmtId="0" fontId="175" fillId="0" borderId="140" xfId="0" applyFont="1" applyBorder="1" applyAlignment="1">
      <alignment horizontal="left" vertical="center"/>
    </xf>
    <xf numFmtId="0" fontId="173" fillId="0" borderId="0" xfId="0" applyFont="1" applyAlignment="1">
      <alignment vertical="center"/>
    </xf>
    <xf numFmtId="0" fontId="178" fillId="0" borderId="0" xfId="0" applyFont="1"/>
    <xf numFmtId="0" fontId="181" fillId="0" borderId="0" xfId="0" applyFont="1"/>
    <xf numFmtId="0" fontId="183" fillId="0" borderId="0" xfId="0" applyFont="1" applyAlignment="1">
      <alignment vertical="center"/>
    </xf>
    <xf numFmtId="0" fontId="0" fillId="0" borderId="0" xfId="0" applyFill="1"/>
    <xf numFmtId="0" fontId="184" fillId="0" borderId="0" xfId="0" applyFont="1"/>
    <xf numFmtId="0" fontId="0" fillId="9" borderId="0" xfId="0" applyFill="1"/>
    <xf numFmtId="0" fontId="6" fillId="9" borderId="0" xfId="2" applyFill="1"/>
    <xf numFmtId="0" fontId="186" fillId="9" borderId="0" xfId="0" applyFont="1" applyFill="1"/>
    <xf numFmtId="0" fontId="56" fillId="9" borderId="102" xfId="0" applyFont="1" applyFill="1" applyBorder="1"/>
    <xf numFmtId="0" fontId="1" fillId="9" borderId="103" xfId="1" applyFill="1" applyBorder="1"/>
    <xf numFmtId="0" fontId="1" fillId="9" borderId="1" xfId="1" applyFill="1"/>
    <xf numFmtId="0" fontId="0" fillId="9" borderId="102" xfId="0" applyFill="1" applyBorder="1"/>
    <xf numFmtId="0" fontId="1" fillId="9" borderId="108" xfId="1" applyFill="1" applyBorder="1"/>
    <xf numFmtId="0" fontId="132" fillId="9" borderId="107" xfId="0" applyFont="1" applyFill="1" applyBorder="1" applyAlignment="1">
      <alignment wrapText="1"/>
    </xf>
    <xf numFmtId="0" fontId="134" fillId="9" borderId="0" xfId="0" applyFont="1" applyFill="1" applyAlignment="1">
      <alignment wrapText="1"/>
    </xf>
    <xf numFmtId="0" fontId="6" fillId="9" borderId="0" xfId="2" applyFill="1" applyBorder="1" applyAlignment="1">
      <alignment wrapText="1"/>
    </xf>
    <xf numFmtId="0" fontId="134" fillId="9" borderId="106" xfId="0" applyFont="1" applyFill="1" applyBorder="1" applyAlignment="1">
      <alignment wrapText="1"/>
    </xf>
    <xf numFmtId="2" fontId="0" fillId="0" borderId="0" xfId="0" applyNumberFormat="1" applyFill="1"/>
    <xf numFmtId="0" fontId="0" fillId="0" borderId="0" xfId="0" applyFill="1" applyBorder="1"/>
    <xf numFmtId="0" fontId="171" fillId="4" borderId="0" xfId="0" applyFont="1" applyFill="1" applyAlignment="1">
      <alignment horizontal="left" vertical="top" wrapText="1"/>
    </xf>
    <xf numFmtId="0" fontId="171" fillId="4" borderId="32" xfId="0" applyFont="1" applyFill="1" applyBorder="1" applyAlignment="1">
      <alignment horizontal="left" vertical="top" wrapText="1"/>
    </xf>
    <xf numFmtId="0" fontId="171" fillId="4" borderId="0" xfId="0" applyFont="1" applyFill="1" applyBorder="1" applyAlignment="1">
      <alignment horizontal="left" vertical="top" wrapText="1"/>
    </xf>
    <xf numFmtId="0" fontId="139" fillId="9" borderId="0" xfId="0" applyFont="1" applyFill="1"/>
    <xf numFmtId="0" fontId="89" fillId="9" borderId="0" xfId="0" applyFont="1" applyFill="1" applyAlignment="1">
      <alignment vertical="center"/>
    </xf>
    <xf numFmtId="0" fontId="16" fillId="9" borderId="8" xfId="0" applyFont="1" applyFill="1" applyBorder="1" applyAlignment="1">
      <alignment horizontal="left" vertical="center" wrapText="1"/>
    </xf>
    <xf numFmtId="0" fontId="16" fillId="9" borderId="0" xfId="0" applyFont="1" applyFill="1" applyAlignment="1">
      <alignment horizontal="left" vertical="center" wrapText="1"/>
    </xf>
    <xf numFmtId="0" fontId="16" fillId="9" borderId="6" xfId="0" applyFont="1" applyFill="1" applyBorder="1" applyAlignment="1">
      <alignment horizontal="left" vertical="center" wrapText="1"/>
    </xf>
    <xf numFmtId="0" fontId="74" fillId="9" borderId="0" xfId="0" applyFont="1" applyFill="1" applyAlignment="1">
      <alignment horizontal="left" vertical="center" wrapText="1"/>
    </xf>
    <xf numFmtId="0" fontId="74" fillId="9" borderId="0" xfId="0" applyFont="1" applyFill="1" applyAlignment="1">
      <alignment vertical="center" wrapText="1"/>
    </xf>
    <xf numFmtId="0" fontId="74" fillId="9" borderId="6" xfId="0" applyFont="1" applyFill="1" applyBorder="1" applyAlignment="1">
      <alignment horizontal="left" vertical="center" wrapText="1"/>
    </xf>
    <xf numFmtId="0" fontId="74" fillId="9" borderId="6" xfId="0" applyFont="1" applyFill="1" applyBorder="1" applyAlignment="1">
      <alignment vertical="center" wrapText="1"/>
    </xf>
    <xf numFmtId="2" fontId="1" fillId="9" borderId="1" xfId="1" applyNumberFormat="1" applyFill="1"/>
    <xf numFmtId="0" fontId="132" fillId="9" borderId="105" xfId="0" applyFont="1" applyFill="1" applyBorder="1" applyAlignment="1">
      <alignment wrapText="1"/>
    </xf>
    <xf numFmtId="0" fontId="132" fillId="9" borderId="106" xfId="0" applyFont="1" applyFill="1" applyBorder="1" applyAlignment="1">
      <alignment wrapText="1"/>
    </xf>
    <xf numFmtId="0" fontId="132" fillId="9" borderId="0" xfId="0" applyFont="1" applyFill="1" applyAlignment="1">
      <alignment wrapText="1"/>
    </xf>
    <xf numFmtId="0" fontId="96" fillId="9" borderId="0" xfId="0" applyFont="1" applyFill="1"/>
    <xf numFmtId="0" fontId="13" fillId="9" borderId="0" xfId="0" applyFont="1" applyFill="1"/>
    <xf numFmtId="0" fontId="87" fillId="9" borderId="0" xfId="3" applyFill="1"/>
    <xf numFmtId="2" fontId="0" fillId="9" borderId="0" xfId="0" applyNumberFormat="1" applyFill="1"/>
    <xf numFmtId="0" fontId="0" fillId="9" borderId="0" xfId="0" applyFill="1" applyAlignment="1">
      <alignment horizontal="left" vertical="center"/>
    </xf>
    <xf numFmtId="164" fontId="0" fillId="9" borderId="0" xfId="0" applyNumberFormat="1" applyFill="1"/>
    <xf numFmtId="0" fontId="1" fillId="2" borderId="1" xfId="1" applyAlignment="1">
      <alignment wrapText="1"/>
    </xf>
    <xf numFmtId="0" fontId="52" fillId="0" borderId="86" xfId="0" applyFont="1" applyBorder="1" applyAlignment="1">
      <alignment horizontal="left" vertical="center" wrapText="1"/>
    </xf>
    <xf numFmtId="0" fontId="52" fillId="0" borderId="87" xfId="0" applyFont="1" applyBorder="1" applyAlignment="1">
      <alignment horizontal="left" vertical="center" wrapText="1"/>
    </xf>
    <xf numFmtId="0" fontId="6" fillId="0" borderId="6" xfId="2" applyBorder="1" applyAlignment="1">
      <alignment horizontal="left" vertical="center" wrapText="1"/>
    </xf>
    <xf numFmtId="0" fontId="87" fillId="5" borderId="133" xfId="3" applyBorder="1" applyAlignment="1">
      <alignment wrapText="1"/>
    </xf>
    <xf numFmtId="0" fontId="1" fillId="2" borderId="1" xfId="1" applyAlignment="1">
      <alignment horizontal="center" vertical="center"/>
    </xf>
    <xf numFmtId="0" fontId="0" fillId="9" borderId="0" xfId="0" applyFill="1" applyAlignment="1"/>
    <xf numFmtId="0" fontId="157" fillId="9" borderId="0" xfId="0" applyFont="1" applyFill="1"/>
    <xf numFmtId="0" fontId="151" fillId="9" borderId="126" xfId="0" applyFont="1" applyFill="1" applyBorder="1" applyAlignment="1">
      <alignment wrapText="1"/>
    </xf>
    <xf numFmtId="0" fontId="152" fillId="9" borderId="0" xfId="0" applyFont="1" applyFill="1" applyAlignment="1">
      <alignment wrapText="1"/>
    </xf>
    <xf numFmtId="0" fontId="152" fillId="9" borderId="0" xfId="0" quotePrefix="1" applyFont="1" applyFill="1" applyAlignment="1">
      <alignment wrapText="1"/>
    </xf>
    <xf numFmtId="20" fontId="152" fillId="9" borderId="0" xfId="0" applyNumberFormat="1" applyFont="1" applyFill="1" applyAlignment="1">
      <alignment wrapText="1"/>
    </xf>
    <xf numFmtId="9" fontId="152" fillId="9" borderId="0" xfId="0" applyNumberFormat="1" applyFont="1" applyFill="1" applyAlignment="1">
      <alignment wrapText="1"/>
    </xf>
    <xf numFmtId="0" fontId="0" fillId="0" borderId="0" xfId="0" applyBorder="1"/>
    <xf numFmtId="0" fontId="154" fillId="4" borderId="137" xfId="0" applyFont="1" applyFill="1" applyBorder="1" applyAlignment="1">
      <alignment wrapText="1"/>
    </xf>
    <xf numFmtId="0" fontId="154" fillId="4" borderId="138" xfId="0" applyFont="1" applyFill="1" applyBorder="1" applyAlignment="1">
      <alignment wrapText="1"/>
    </xf>
    <xf numFmtId="0" fontId="190" fillId="4" borderId="138" xfId="0" applyFont="1" applyFill="1" applyBorder="1" applyAlignment="1">
      <alignment wrapText="1"/>
    </xf>
    <xf numFmtId="0" fontId="22" fillId="0" borderId="0" xfId="0" applyFont="1"/>
    <xf numFmtId="0" fontId="154" fillId="4" borderId="139" xfId="0" applyFont="1" applyFill="1" applyBorder="1" applyAlignment="1">
      <alignment wrapText="1"/>
    </xf>
    <xf numFmtId="0" fontId="189" fillId="2" borderId="1" xfId="1" applyFont="1"/>
    <xf numFmtId="0" fontId="154" fillId="3" borderId="127" xfId="0" applyFont="1" applyFill="1" applyBorder="1" applyAlignment="1">
      <alignment wrapText="1"/>
    </xf>
    <xf numFmtId="0" fontId="154" fillId="3" borderId="130" xfId="0" applyFont="1" applyFill="1" applyBorder="1" applyAlignment="1">
      <alignment wrapText="1"/>
    </xf>
    <xf numFmtId="0" fontId="154" fillId="3" borderId="129" xfId="0" applyFont="1" applyFill="1" applyBorder="1" applyAlignment="1">
      <alignment wrapText="1"/>
    </xf>
    <xf numFmtId="2" fontId="189" fillId="2" borderId="1" xfId="1" applyNumberFormat="1" applyFont="1"/>
    <xf numFmtId="0" fontId="154" fillId="3" borderId="132" xfId="0" applyFont="1" applyFill="1" applyBorder="1" applyAlignment="1">
      <alignment wrapText="1"/>
    </xf>
    <xf numFmtId="0" fontId="154" fillId="3" borderId="133" xfId="0" applyFont="1" applyFill="1" applyBorder="1" applyAlignment="1">
      <alignment wrapText="1"/>
    </xf>
    <xf numFmtId="0" fontId="154" fillId="3" borderId="134" xfId="0" applyFont="1" applyFill="1" applyBorder="1" applyAlignment="1">
      <alignment wrapText="1"/>
    </xf>
    <xf numFmtId="0" fontId="191" fillId="0" borderId="0" xfId="0" applyFont="1"/>
    <xf numFmtId="0" fontId="52" fillId="0" borderId="82" xfId="0" applyFont="1" applyBorder="1" applyAlignment="1">
      <alignment vertical="center" wrapText="1"/>
    </xf>
    <xf numFmtId="0" fontId="52" fillId="0" borderId="88" xfId="0" applyFont="1" applyBorder="1" applyAlignment="1">
      <alignment vertical="center" wrapText="1"/>
    </xf>
    <xf numFmtId="0" fontId="63" fillId="0" borderId="0" xfId="0" applyFont="1" applyAlignment="1">
      <alignment horizontal="left" vertical="center" wrapText="1" indent="1"/>
    </xf>
    <xf numFmtId="0" fontId="6" fillId="0" borderId="0" xfId="2" applyAlignment="1">
      <alignment horizontal="left" vertical="center" indent="1"/>
    </xf>
    <xf numFmtId="0" fontId="87" fillId="5" borderId="36" xfId="3" applyBorder="1" applyAlignment="1">
      <alignment horizontal="left" vertical="center" wrapText="1"/>
    </xf>
    <xf numFmtId="0" fontId="87" fillId="5" borderId="82" xfId="3" applyBorder="1" applyAlignment="1">
      <alignment vertical="center" wrapText="1"/>
    </xf>
    <xf numFmtId="0" fontId="87" fillId="5" borderId="88" xfId="3" applyBorder="1" applyAlignment="1">
      <alignment vertical="center" wrapText="1"/>
    </xf>
    <xf numFmtId="0" fontId="194" fillId="0" borderId="0" xfId="0" applyFont="1"/>
    <xf numFmtId="0" fontId="187" fillId="10" borderId="0" xfId="0" applyFont="1" applyFill="1" applyAlignment="1">
      <alignment vertical="center"/>
    </xf>
    <xf numFmtId="164" fontId="0" fillId="0" borderId="0" xfId="0" applyNumberFormat="1"/>
    <xf numFmtId="0" fontId="0" fillId="3" borderId="0" xfId="0" applyFill="1"/>
    <xf numFmtId="0" fontId="195" fillId="3" borderId="142" xfId="0" applyFont="1" applyFill="1" applyBorder="1" applyAlignment="1">
      <alignment horizontal="center" wrapText="1"/>
    </xf>
    <xf numFmtId="0" fontId="195" fillId="3" borderId="143" xfId="0" applyFont="1" applyFill="1" applyBorder="1" applyAlignment="1">
      <alignment horizontal="center" wrapText="1"/>
    </xf>
    <xf numFmtId="0" fontId="196" fillId="3" borderId="144" xfId="0" applyFont="1" applyFill="1" applyBorder="1" applyAlignment="1">
      <alignment vertical="center" wrapText="1"/>
    </xf>
    <xf numFmtId="0" fontId="196" fillId="3" borderId="145" xfId="0" applyFont="1" applyFill="1" applyBorder="1" applyAlignment="1">
      <alignment vertical="center" wrapText="1"/>
    </xf>
    <xf numFmtId="0" fontId="196" fillId="3" borderId="0" xfId="0" applyFont="1" applyFill="1" applyBorder="1" applyAlignment="1">
      <alignment vertical="center" wrapText="1"/>
    </xf>
    <xf numFmtId="0" fontId="196" fillId="3" borderId="146" xfId="0" applyFont="1" applyFill="1" applyBorder="1" applyAlignment="1">
      <alignment vertical="center" wrapText="1"/>
    </xf>
    <xf numFmtId="0" fontId="196" fillId="3" borderId="94" xfId="0" applyFont="1" applyFill="1" applyBorder="1" applyAlignment="1">
      <alignment vertical="center" wrapText="1"/>
    </xf>
    <xf numFmtId="0" fontId="197" fillId="0" borderId="147" xfId="0" applyFont="1" applyBorder="1" applyAlignment="1">
      <alignment vertical="center" wrapText="1"/>
    </xf>
    <xf numFmtId="0" fontId="197" fillId="0" borderId="148" xfId="0" applyFont="1" applyBorder="1" applyAlignment="1">
      <alignment vertical="center" wrapText="1"/>
    </xf>
    <xf numFmtId="0" fontId="198" fillId="0" borderId="148" xfId="0" applyFont="1" applyBorder="1" applyAlignment="1">
      <alignment vertical="center" wrapText="1"/>
    </xf>
    <xf numFmtId="0" fontId="6" fillId="0" borderId="148" xfId="2" applyBorder="1" applyAlignment="1">
      <alignment vertical="center" wrapText="1"/>
    </xf>
    <xf numFmtId="0" fontId="198" fillId="0" borderId="0" xfId="0" applyFont="1" applyAlignment="1">
      <alignment vertical="center" wrapText="1"/>
    </xf>
    <xf numFmtId="0" fontId="104" fillId="0" borderId="149" xfId="0" applyFont="1" applyBorder="1" applyAlignment="1">
      <alignment vertical="center" wrapText="1"/>
    </xf>
    <xf numFmtId="0" fontId="198" fillId="0" borderId="149" xfId="0" applyFont="1" applyBorder="1" applyAlignment="1">
      <alignment vertical="center" wrapText="1"/>
    </xf>
    <xf numFmtId="0" fontId="104" fillId="0" borderId="149" xfId="0" applyFont="1" applyBorder="1" applyAlignment="1">
      <alignment horizontal="center" vertical="center" wrapText="1"/>
    </xf>
    <xf numFmtId="0" fontId="104" fillId="0" borderId="149" xfId="0" applyFont="1" applyBorder="1" applyAlignment="1">
      <alignment horizontal="left" vertical="center" wrapText="1" indent="1"/>
    </xf>
    <xf numFmtId="0" fontId="104" fillId="0" borderId="0" xfId="0" applyFont="1" applyAlignment="1">
      <alignment vertical="center" wrapText="1"/>
    </xf>
    <xf numFmtId="0" fontId="104" fillId="0" borderId="0" xfId="0" applyFont="1" applyAlignment="1">
      <alignment horizontal="center" vertical="center" wrapText="1"/>
    </xf>
    <xf numFmtId="0" fontId="104" fillId="0" borderId="0" xfId="0" applyFont="1" applyAlignment="1">
      <alignment horizontal="left" vertical="center" wrapText="1" indent="1"/>
    </xf>
    <xf numFmtId="0" fontId="196" fillId="11" borderId="144" xfId="0" applyFont="1" applyFill="1" applyBorder="1" applyAlignment="1">
      <alignment vertical="center" wrapText="1"/>
    </xf>
    <xf numFmtId="0" fontId="196" fillId="11" borderId="145" xfId="0" applyFont="1" applyFill="1" applyBorder="1" applyAlignment="1">
      <alignment vertical="center" wrapText="1"/>
    </xf>
    <xf numFmtId="0" fontId="89" fillId="0" borderId="0" xfId="0" applyFont="1" applyAlignment="1">
      <alignment horizontal="left" vertical="center" wrapText="1"/>
    </xf>
    <xf numFmtId="9" fontId="89" fillId="0" borderId="0" xfId="0" applyNumberFormat="1" applyFont="1" applyAlignment="1">
      <alignment horizontal="left" vertical="center" wrapText="1"/>
    </xf>
    <xf numFmtId="0" fontId="89" fillId="0" borderId="8" xfId="0" applyFont="1" applyBorder="1" applyAlignment="1">
      <alignment horizontal="left" vertical="center" wrapText="1"/>
    </xf>
    <xf numFmtId="9" fontId="89" fillId="0" borderId="8" xfId="0" applyNumberFormat="1" applyFont="1" applyBorder="1" applyAlignment="1">
      <alignment horizontal="left" vertical="center" wrapText="1"/>
    </xf>
    <xf numFmtId="0" fontId="89" fillId="0" borderId="6" xfId="0" applyFont="1" applyBorder="1" applyAlignment="1">
      <alignment horizontal="left" vertical="center" wrapText="1"/>
    </xf>
    <xf numFmtId="0" fontId="202" fillId="0" borderId="6" xfId="0" applyFont="1" applyBorder="1" applyAlignment="1">
      <alignment horizontal="left" vertical="center" wrapText="1"/>
    </xf>
    <xf numFmtId="0" fontId="202" fillId="0" borderId="6" xfId="0" applyFont="1" applyBorder="1" applyAlignment="1">
      <alignment horizontal="center" vertical="center" wrapText="1"/>
    </xf>
    <xf numFmtId="0" fontId="201" fillId="0" borderId="8" xfId="0" applyFont="1" applyBorder="1" applyAlignment="1">
      <alignment horizontal="left" vertical="center" wrapText="1"/>
    </xf>
    <xf numFmtId="0" fontId="89" fillId="0" borderId="6" xfId="0" applyFont="1" applyBorder="1"/>
    <xf numFmtId="0" fontId="87" fillId="5" borderId="8" xfId="3" applyBorder="1" applyAlignment="1">
      <alignment horizontal="left" vertical="center" wrapText="1"/>
    </xf>
    <xf numFmtId="0" fontId="87" fillId="5" borderId="8" xfId="3" applyBorder="1" applyAlignment="1">
      <alignment vertical="center" wrapText="1"/>
    </xf>
    <xf numFmtId="0" fontId="56" fillId="0" borderId="151" xfId="0" applyFont="1" applyBorder="1"/>
    <xf numFmtId="0" fontId="0" fillId="0" borderId="151" xfId="0" applyBorder="1"/>
    <xf numFmtId="0" fontId="0" fillId="0" borderId="0" xfId="0" applyAlignment="1"/>
    <xf numFmtId="0" fontId="1" fillId="2" borderId="1" xfId="1" applyAlignment="1">
      <alignment wrapText="1"/>
    </xf>
    <xf numFmtId="0" fontId="0" fillId="0" borderId="0" xfId="0"/>
    <xf numFmtId="0" fontId="204" fillId="0" borderId="0" xfId="0" applyFont="1"/>
    <xf numFmtId="0" fontId="195" fillId="3" borderId="0" xfId="0" applyFont="1" applyFill="1" applyBorder="1" applyAlignment="1">
      <alignment vertical="center" wrapText="1"/>
    </xf>
    <xf numFmtId="0" fontId="205" fillId="3" borderId="142" xfId="0" applyFont="1" applyFill="1" applyBorder="1" applyAlignment="1">
      <alignment horizontal="center" wrapText="1"/>
    </xf>
    <xf numFmtId="0" fontId="205" fillId="3" borderId="143" xfId="0" applyFont="1" applyFill="1" applyBorder="1" applyAlignment="1">
      <alignment horizontal="center" wrapText="1"/>
    </xf>
    <xf numFmtId="0" fontId="195" fillId="3" borderId="144" xfId="0" applyFont="1" applyFill="1" applyBorder="1" applyAlignment="1">
      <alignment vertical="center" wrapText="1"/>
    </xf>
    <xf numFmtId="0" fontId="195" fillId="3" borderId="145" xfId="0" applyFont="1" applyFill="1" applyBorder="1" applyAlignment="1">
      <alignment vertical="center" wrapText="1"/>
    </xf>
    <xf numFmtId="0" fontId="205" fillId="3" borderId="146" xfId="0" applyFont="1" applyFill="1" applyBorder="1" applyAlignment="1">
      <alignment horizontal="center" wrapText="1"/>
    </xf>
    <xf numFmtId="0" fontId="81" fillId="0" borderId="0" xfId="0" applyFont="1" applyAlignment="1">
      <alignment horizontal="left" wrapText="1"/>
    </xf>
    <xf numFmtId="0" fontId="81" fillId="0" borderId="5" xfId="0" applyFont="1" applyBorder="1" applyAlignment="1">
      <alignment horizontal="left" wrapText="1"/>
    </xf>
    <xf numFmtId="0" fontId="17" fillId="0" borderId="0" xfId="0" applyFont="1" applyAlignment="1">
      <alignment horizontal="left" vertical="center" wrapText="1"/>
    </xf>
    <xf numFmtId="0" fontId="17" fillId="0" borderId="6" xfId="0" applyFont="1" applyBorder="1" applyAlignment="1">
      <alignment horizontal="left" vertical="center" wrapText="1"/>
    </xf>
    <xf numFmtId="0" fontId="52" fillId="0" borderId="47" xfId="0" applyFont="1" applyBorder="1" applyAlignment="1">
      <alignment vertical="center" wrapText="1"/>
    </xf>
    <xf numFmtId="0" fontId="52" fillId="0" borderId="48" xfId="0" applyFont="1" applyBorder="1" applyAlignment="1">
      <alignment vertical="center" wrapText="1"/>
    </xf>
    <xf numFmtId="0" fontId="52" fillId="0" borderId="53" xfId="0" applyFont="1" applyBorder="1" applyAlignment="1">
      <alignment vertical="center" wrapText="1"/>
    </xf>
    <xf numFmtId="0" fontId="52" fillId="0" borderId="50" xfId="0" applyFont="1" applyBorder="1" applyAlignment="1">
      <alignment vertical="center" wrapText="1"/>
    </xf>
    <xf numFmtId="0" fontId="52" fillId="0" borderId="51" xfId="0" applyFont="1" applyBorder="1" applyAlignment="1">
      <alignment vertical="center" wrapText="1"/>
    </xf>
    <xf numFmtId="0" fontId="52" fillId="0" borderId="54" xfId="0" applyFont="1" applyBorder="1" applyAlignment="1">
      <alignment vertical="center" wrapText="1"/>
    </xf>
    <xf numFmtId="0" fontId="51" fillId="0" borderId="48" xfId="0" applyFont="1" applyBorder="1" applyAlignment="1">
      <alignment horizontal="center" vertical="center" wrapText="1"/>
    </xf>
    <xf numFmtId="0" fontId="51" fillId="0" borderId="49" xfId="0" applyFont="1" applyBorder="1" applyAlignment="1">
      <alignment horizontal="center" vertical="center" wrapText="1"/>
    </xf>
    <xf numFmtId="0" fontId="52" fillId="0" borderId="47" xfId="0" applyFont="1" applyBorder="1" applyAlignment="1">
      <alignment horizontal="left" vertical="center" wrapText="1"/>
    </xf>
    <xf numFmtId="0" fontId="52" fillId="0" borderId="48" xfId="0" applyFont="1" applyBorder="1" applyAlignment="1">
      <alignment horizontal="left" vertical="center" wrapText="1"/>
    </xf>
    <xf numFmtId="0" fontId="52" fillId="0" borderId="53" xfId="0" applyFont="1" applyBorder="1" applyAlignment="1">
      <alignment horizontal="left" vertical="center" wrapText="1"/>
    </xf>
    <xf numFmtId="0" fontId="51" fillId="0" borderId="22" xfId="0" applyFont="1" applyBorder="1" applyAlignment="1">
      <alignment horizontal="left" vertical="center" wrapText="1"/>
    </xf>
    <xf numFmtId="0" fontId="51" fillId="0" borderId="15" xfId="0" applyFont="1" applyBorder="1" applyAlignment="1">
      <alignment horizontal="left" vertical="center" wrapText="1"/>
    </xf>
    <xf numFmtId="0" fontId="51" fillId="0" borderId="40" xfId="0" applyFont="1" applyBorder="1" applyAlignment="1">
      <alignment horizontal="left" vertical="center" wrapText="1"/>
    </xf>
    <xf numFmtId="0" fontId="51" fillId="0" borderId="46" xfId="0" applyFont="1" applyBorder="1" applyAlignment="1">
      <alignment horizontal="left" vertical="center" wrapText="1"/>
    </xf>
    <xf numFmtId="0" fontId="51" fillId="0" borderId="38" xfId="0" applyFont="1" applyBorder="1" applyAlignment="1">
      <alignment horizontal="left" vertical="center" wrapText="1"/>
    </xf>
    <xf numFmtId="0" fontId="51" fillId="0" borderId="39" xfId="0" applyFont="1" applyBorder="1" applyAlignment="1">
      <alignment horizontal="left" vertical="center" wrapText="1"/>
    </xf>
    <xf numFmtId="0" fontId="51" fillId="0" borderId="47" xfId="0" applyFont="1" applyBorder="1" applyAlignment="1">
      <alignment horizontal="left" vertical="center" wrapText="1"/>
    </xf>
    <xf numFmtId="0" fontId="51" fillId="0" borderId="48" xfId="0" applyFont="1" applyBorder="1" applyAlignment="1">
      <alignment horizontal="left" vertical="center" wrapText="1"/>
    </xf>
    <xf numFmtId="0" fontId="51" fillId="0" borderId="49" xfId="0" applyFont="1" applyBorder="1" applyAlignment="1">
      <alignment horizontal="left" vertical="center" wrapText="1"/>
    </xf>
    <xf numFmtId="0" fontId="51" fillId="0" borderId="50" xfId="0" applyFont="1" applyBorder="1" applyAlignment="1">
      <alignment horizontal="left" vertical="center" wrapText="1"/>
    </xf>
    <xf numFmtId="0" fontId="51" fillId="0" borderId="51" xfId="0" applyFont="1" applyBorder="1" applyAlignment="1">
      <alignment horizontal="left" vertical="center" wrapText="1"/>
    </xf>
    <xf numFmtId="0" fontId="51" fillId="0" borderId="52" xfId="0" applyFont="1" applyBorder="1" applyAlignment="1">
      <alignment horizontal="left" vertical="center" wrapText="1"/>
    </xf>
    <xf numFmtId="0" fontId="18" fillId="0" borderId="8" xfId="0" applyFont="1" applyBorder="1" applyAlignment="1">
      <alignment horizontal="left" vertical="center" wrapText="1"/>
    </xf>
    <xf numFmtId="0" fontId="18" fillId="0" borderId="0" xfId="0" applyFont="1" applyAlignment="1">
      <alignment horizontal="left" vertical="center" wrapText="1"/>
    </xf>
    <xf numFmtId="0" fontId="15" fillId="0" borderId="8" xfId="0" applyFont="1" applyBorder="1" applyAlignment="1">
      <alignment horizontal="left" vertical="center" wrapText="1"/>
    </xf>
    <xf numFmtId="0" fontId="15" fillId="0" borderId="8" xfId="0" applyFont="1" applyBorder="1" applyAlignment="1">
      <alignment horizontal="center" vertical="center" wrapText="1"/>
    </xf>
    <xf numFmtId="0" fontId="15" fillId="0" borderId="0" xfId="0" applyFont="1" applyAlignment="1">
      <alignment horizontal="left" vertical="center" wrapText="1"/>
    </xf>
    <xf numFmtId="0" fontId="46" fillId="0" borderId="0" xfId="0" applyFont="1" applyAlignment="1">
      <alignment horizontal="left" vertical="center" wrapText="1"/>
    </xf>
    <xf numFmtId="0" fontId="1" fillId="2" borderId="1" xfId="1" applyAlignment="1">
      <alignment vertical="center" wrapText="1"/>
    </xf>
    <xf numFmtId="0" fontId="15" fillId="0" borderId="7" xfId="0" applyFont="1" applyBorder="1" applyAlignment="1">
      <alignment horizontal="center" vertical="center" wrapText="1"/>
    </xf>
    <xf numFmtId="0" fontId="0" fillId="0" borderId="9" xfId="0" applyBorder="1" applyAlignment="1">
      <alignment horizontal="center"/>
    </xf>
    <xf numFmtId="0" fontId="1" fillId="2" borderId="1" xfId="1" applyAlignment="1">
      <alignment horizontal="center" vertical="center" wrapText="1"/>
    </xf>
    <xf numFmtId="0" fontId="1" fillId="2" borderId="1" xfId="1" applyAlignment="1">
      <alignment horizontal="center" wrapText="1"/>
    </xf>
    <xf numFmtId="0" fontId="32" fillId="4" borderId="28" xfId="0" applyFont="1" applyFill="1" applyBorder="1" applyAlignment="1">
      <alignment horizontal="left" vertical="top" wrapText="1"/>
    </xf>
    <xf numFmtId="0" fontId="32" fillId="4" borderId="31" xfId="0" applyFont="1" applyFill="1" applyBorder="1" applyAlignment="1">
      <alignment horizontal="left" vertical="top" wrapText="1"/>
    </xf>
    <xf numFmtId="0" fontId="32" fillId="4" borderId="29" xfId="0" applyFont="1" applyFill="1" applyBorder="1" applyAlignment="1">
      <alignment horizontal="center" vertical="top" wrapText="1"/>
    </xf>
    <xf numFmtId="0" fontId="32" fillId="4" borderId="30" xfId="0" applyFont="1" applyFill="1" applyBorder="1" applyAlignment="1">
      <alignment horizontal="center" vertical="top" wrapText="1"/>
    </xf>
    <xf numFmtId="0" fontId="15" fillId="0" borderId="6" xfId="0" applyFont="1" applyBorder="1" applyAlignment="1">
      <alignment horizontal="lef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6" fillId="0" borderId="3" xfId="2" applyBorder="1" applyAlignment="1">
      <alignment vertical="center" wrapText="1"/>
    </xf>
    <xf numFmtId="0" fontId="6" fillId="0" borderId="4" xfId="2"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0" fillId="0" borderId="91" xfId="0" applyBorder="1" applyAlignment="1"/>
    <xf numFmtId="0" fontId="0" fillId="0" borderId="92" xfId="0" applyBorder="1" applyAlignment="1">
      <alignment horizontal="left" vertical="center" wrapText="1"/>
    </xf>
    <xf numFmtId="0" fontId="0" fillId="0" borderId="0" xfId="0" applyAlignment="1">
      <alignment horizontal="left" vertical="center" wrapText="1"/>
    </xf>
    <xf numFmtId="0" fontId="0" fillId="0" borderId="92" xfId="0" applyBorder="1" applyAlignment="1">
      <alignment horizontal="center" vertical="center" wrapText="1"/>
    </xf>
    <xf numFmtId="0" fontId="0" fillId="0" borderId="0" xfId="0" applyAlignment="1">
      <alignment horizontal="center" vertical="center" wrapText="1"/>
    </xf>
    <xf numFmtId="0" fontId="60" fillId="0" borderId="46" xfId="0" applyFont="1" applyBorder="1" applyAlignment="1">
      <alignment horizontal="left" vertical="center" wrapText="1"/>
    </xf>
    <xf numFmtId="0" fontId="60" fillId="0" borderId="55" xfId="0" applyFont="1" applyBorder="1" applyAlignment="1">
      <alignment horizontal="left" vertical="center" wrapText="1"/>
    </xf>
    <xf numFmtId="0" fontId="1" fillId="2" borderId="1" xfId="1" applyAlignment="1">
      <alignment horizontal="left" vertical="center" wrapText="1"/>
    </xf>
    <xf numFmtId="0" fontId="117" fillId="0" borderId="92" xfId="0" applyFont="1" applyBorder="1" applyAlignment="1">
      <alignment horizontal="justify" vertical="center" wrapText="1"/>
    </xf>
    <xf numFmtId="0" fontId="52" fillId="0" borderId="61" xfId="0" applyFont="1" applyBorder="1" applyAlignment="1">
      <alignment vertical="center" wrapText="1"/>
    </xf>
    <xf numFmtId="0" fontId="52" fillId="0" borderId="62" xfId="0" applyFont="1" applyBorder="1" applyAlignment="1">
      <alignment vertical="center" wrapText="1"/>
    </xf>
    <xf numFmtId="0" fontId="52" fillId="0" borderId="63" xfId="0" applyFont="1" applyBorder="1" applyAlignment="1">
      <alignment vertical="center" wrapText="1"/>
    </xf>
    <xf numFmtId="0" fontId="51" fillId="0" borderId="22" xfId="0" applyFont="1" applyBorder="1" applyAlignment="1">
      <alignment horizontal="left" vertical="top" wrapText="1"/>
    </xf>
    <xf numFmtId="0" fontId="51" fillId="0" borderId="40" xfId="0" applyFont="1" applyBorder="1" applyAlignment="1">
      <alignment horizontal="left" vertical="top" wrapText="1"/>
    </xf>
    <xf numFmtId="0" fontId="52" fillId="0" borderId="58" xfId="0" applyFont="1" applyBorder="1" applyAlignment="1">
      <alignment vertical="center" wrapText="1"/>
    </xf>
    <xf numFmtId="0" fontId="52" fillId="0" borderId="59" xfId="0" applyFont="1" applyBorder="1" applyAlignment="1">
      <alignment vertical="center" wrapText="1"/>
    </xf>
    <xf numFmtId="0" fontId="52" fillId="0" borderId="60" xfId="0" applyFont="1" applyBorder="1" applyAlignment="1">
      <alignment vertical="center" wrapText="1"/>
    </xf>
    <xf numFmtId="0" fontId="17" fillId="0" borderId="7" xfId="0" applyFont="1" applyBorder="1" applyAlignment="1">
      <alignment horizontal="left" vertical="center" wrapText="1"/>
    </xf>
    <xf numFmtId="0" fontId="46" fillId="0" borderId="8" xfId="0" applyFont="1" applyBorder="1" applyAlignment="1">
      <alignment horizontal="left" vertical="center" wrapText="1"/>
    </xf>
    <xf numFmtId="0" fontId="46" fillId="0" borderId="6" xfId="0" applyFont="1" applyBorder="1" applyAlignment="1">
      <alignment horizontal="left"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17" fillId="0" borderId="8" xfId="0" applyFont="1" applyBorder="1" applyAlignment="1">
      <alignment horizontal="left" vertical="center" wrapText="1"/>
    </xf>
    <xf numFmtId="0" fontId="1" fillId="2" borderId="1" xfId="1" applyAlignment="1">
      <alignment wrapText="1"/>
    </xf>
    <xf numFmtId="0" fontId="6" fillId="0" borderId="7" xfId="2" applyBorder="1" applyAlignment="1">
      <alignment horizontal="center" vertical="center" wrapText="1"/>
    </xf>
    <xf numFmtId="0" fontId="6" fillId="0" borderId="8" xfId="2" applyBorder="1" applyAlignment="1">
      <alignment horizontal="center" vertical="center" wrapText="1"/>
    </xf>
    <xf numFmtId="0" fontId="6" fillId="0" borderId="6" xfId="2" applyBorder="1" applyAlignment="1">
      <alignment horizontal="center" vertical="center" wrapText="1"/>
    </xf>
    <xf numFmtId="0" fontId="81" fillId="0" borderId="64" xfId="0" applyFont="1" applyBorder="1" applyAlignment="1">
      <alignment horizontal="left" wrapText="1"/>
    </xf>
    <xf numFmtId="0" fontId="0" fillId="0" borderId="0" xfId="0" applyAlignment="1">
      <alignment horizontal="center"/>
    </xf>
    <xf numFmtId="0" fontId="6" fillId="0" borderId="8" xfId="2" applyBorder="1" applyAlignment="1">
      <alignment horizontal="left" vertical="center" wrapText="1"/>
    </xf>
    <xf numFmtId="0" fontId="6" fillId="0" borderId="6" xfId="2" applyBorder="1" applyAlignment="1">
      <alignment horizontal="left" vertical="center" wrapText="1"/>
    </xf>
    <xf numFmtId="0" fontId="32" fillId="0" borderId="0" xfId="0" applyFont="1" applyAlignment="1">
      <alignment horizontal="center" vertical="top" wrapText="1"/>
    </xf>
    <xf numFmtId="0" fontId="32" fillId="0" borderId="34" xfId="0" applyFont="1" applyBorder="1" applyAlignment="1">
      <alignment horizontal="center" vertical="top" wrapText="1"/>
    </xf>
    <xf numFmtId="0" fontId="17" fillId="0" borderId="8" xfId="0" applyFont="1" applyBorder="1" applyAlignment="1">
      <alignment vertical="center" wrapText="1"/>
    </xf>
    <xf numFmtId="0" fontId="17" fillId="0" borderId="6" xfId="0" applyFont="1" applyBorder="1" applyAlignment="1">
      <alignment vertical="center" wrapText="1"/>
    </xf>
    <xf numFmtId="0" fontId="17" fillId="0" borderId="0" xfId="0" applyFont="1" applyAlignment="1">
      <alignment vertical="center" wrapText="1"/>
    </xf>
    <xf numFmtId="0" fontId="86" fillId="0" borderId="22" xfId="0" applyFont="1" applyBorder="1" applyAlignment="1">
      <alignment horizontal="left" vertical="center" wrapText="1"/>
    </xf>
    <xf numFmtId="0" fontId="86" fillId="0" borderId="15" xfId="0" applyFont="1" applyBorder="1" applyAlignment="1">
      <alignment horizontal="left" vertical="center" wrapText="1"/>
    </xf>
    <xf numFmtId="0" fontId="86" fillId="0" borderId="40" xfId="0" applyFont="1" applyBorder="1" applyAlignment="1">
      <alignment horizontal="left" vertical="center" wrapText="1"/>
    </xf>
    <xf numFmtId="0" fontId="86" fillId="0" borderId="75" xfId="0" applyFont="1" applyBorder="1" applyAlignment="1">
      <alignment horizontal="left" vertical="center" wrapText="1"/>
    </xf>
    <xf numFmtId="0" fontId="86" fillId="0" borderId="73" xfId="0" applyFont="1" applyBorder="1" applyAlignment="1">
      <alignment horizontal="left" vertical="center" wrapText="1"/>
    </xf>
    <xf numFmtId="0" fontId="86" fillId="0" borderId="76" xfId="0" applyFont="1" applyBorder="1" applyAlignment="1">
      <alignment horizontal="left" vertical="center" wrapText="1"/>
    </xf>
    <xf numFmtId="0" fontId="86" fillId="0" borderId="10" xfId="0" applyFont="1" applyBorder="1" applyAlignment="1">
      <alignment horizontal="left" vertical="center" wrapText="1"/>
    </xf>
    <xf numFmtId="0" fontId="86" fillId="0" borderId="77" xfId="0" applyFont="1" applyBorder="1" applyAlignment="1">
      <alignment horizontal="left" vertical="center" wrapText="1"/>
    </xf>
    <xf numFmtId="0" fontId="86" fillId="0" borderId="36" xfId="0" applyFont="1" applyBorder="1" applyAlignment="1">
      <alignment horizontal="left" vertical="center" wrapText="1"/>
    </xf>
    <xf numFmtId="0" fontId="86" fillId="0" borderId="74" xfId="0" applyFont="1" applyBorder="1" applyAlignment="1">
      <alignment horizontal="left" vertical="center" wrapText="1"/>
    </xf>
    <xf numFmtId="0" fontId="86" fillId="0" borderId="0" xfId="0" applyFont="1" applyAlignment="1">
      <alignment horizontal="left" vertical="center" wrapText="1"/>
    </xf>
    <xf numFmtId="0" fontId="86" fillId="0" borderId="72" xfId="0" applyFont="1" applyBorder="1" applyAlignment="1">
      <alignment horizontal="left" vertical="center" wrapText="1"/>
    </xf>
    <xf numFmtId="0" fontId="86" fillId="0" borderId="78" xfId="0" applyFont="1" applyBorder="1" applyAlignment="1">
      <alignment horizontal="left" vertical="center" wrapText="1"/>
    </xf>
    <xf numFmtId="0" fontId="86" fillId="0" borderId="51" xfId="0" applyFont="1" applyBorder="1" applyAlignment="1">
      <alignment horizontal="left" vertical="center" wrapText="1"/>
    </xf>
    <xf numFmtId="0" fontId="86" fillId="0" borderId="52" xfId="0" applyFont="1" applyBorder="1" applyAlignment="1">
      <alignment horizontal="left" vertical="center" wrapText="1"/>
    </xf>
    <xf numFmtId="0" fontId="86" fillId="0" borderId="79" xfId="0" applyFont="1" applyBorder="1" applyAlignment="1">
      <alignment horizontal="left" vertical="center" wrapText="1"/>
    </xf>
    <xf numFmtId="0" fontId="86" fillId="0" borderId="80" xfId="0" applyFont="1" applyBorder="1" applyAlignment="1">
      <alignment horizontal="left" vertical="center" wrapText="1"/>
    </xf>
    <xf numFmtId="0" fontId="22" fillId="0" borderId="76" xfId="0" applyFont="1" applyBorder="1" applyAlignment="1">
      <alignment horizontal="left" vertical="top" wrapText="1"/>
    </xf>
    <xf numFmtId="0" fontId="22" fillId="0" borderId="10" xfId="0" applyFont="1" applyBorder="1" applyAlignment="1">
      <alignment horizontal="left" vertical="top" wrapText="1"/>
    </xf>
    <xf numFmtId="0" fontId="22" fillId="0" borderId="77" xfId="0" applyFont="1" applyBorder="1" applyAlignment="1">
      <alignment horizontal="left" vertical="top" wrapText="1"/>
    </xf>
    <xf numFmtId="0" fontId="22" fillId="0" borderId="36" xfId="0" applyFont="1" applyBorder="1" applyAlignment="1">
      <alignment horizontal="left" vertical="top" wrapText="1"/>
    </xf>
    <xf numFmtId="0" fontId="52" fillId="0" borderId="81" xfId="0" applyFont="1" applyBorder="1" applyAlignment="1">
      <alignment horizontal="center" vertical="center" wrapText="1"/>
    </xf>
    <xf numFmtId="0" fontId="52" fillId="0" borderId="15" xfId="0" applyFont="1" applyBorder="1" applyAlignment="1">
      <alignment horizontal="center" vertical="center" wrapText="1"/>
    </xf>
    <xf numFmtId="0" fontId="1" fillId="2" borderId="1" xfId="1" applyAlignment="1">
      <alignment horizontal="center"/>
    </xf>
    <xf numFmtId="0" fontId="52" fillId="0" borderId="50" xfId="0" applyFont="1" applyBorder="1" applyAlignment="1">
      <alignment horizontal="left" vertical="center" wrapText="1"/>
    </xf>
    <xf numFmtId="0" fontId="52" fillId="0" borderId="51" xfId="0" applyFont="1" applyBorder="1" applyAlignment="1">
      <alignment horizontal="left" vertical="center" wrapText="1"/>
    </xf>
    <xf numFmtId="0" fontId="52" fillId="0" borderId="54" xfId="0" applyFont="1" applyBorder="1" applyAlignment="1">
      <alignment horizontal="left" vertical="center" wrapText="1"/>
    </xf>
    <xf numFmtId="0" fontId="74" fillId="0" borderId="0" xfId="0" applyFont="1" applyAlignment="1">
      <alignment horizontal="left" vertical="center" wrapText="1"/>
    </xf>
    <xf numFmtId="0" fontId="6" fillId="0" borderId="0" xfId="2" applyAlignment="1">
      <alignment horizontal="left" vertical="center" wrapText="1"/>
    </xf>
    <xf numFmtId="0" fontId="74" fillId="0" borderId="8" xfId="0" applyFont="1" applyBorder="1" applyAlignment="1">
      <alignment horizontal="left" vertical="center" wrapText="1"/>
    </xf>
    <xf numFmtId="0" fontId="51" fillId="0" borderId="89" xfId="0" applyFont="1" applyBorder="1" applyAlignment="1">
      <alignment horizontal="left" vertical="center" wrapText="1"/>
    </xf>
    <xf numFmtId="0" fontId="51" fillId="0" borderId="85" xfId="0" applyFont="1" applyBorder="1" applyAlignment="1">
      <alignment horizontal="left" vertical="center" wrapText="1"/>
    </xf>
    <xf numFmtId="0" fontId="51" fillId="0" borderId="84" xfId="0" applyFont="1" applyBorder="1" applyAlignment="1">
      <alignment horizontal="left" vertical="center" wrapText="1"/>
    </xf>
    <xf numFmtId="0" fontId="52" fillId="0" borderId="86" xfId="0" applyFont="1" applyBorder="1" applyAlignment="1">
      <alignment horizontal="left" vertical="center" wrapText="1"/>
    </xf>
    <xf numFmtId="0" fontId="52" fillId="0" borderId="90" xfId="0" applyFont="1" applyBorder="1" applyAlignment="1">
      <alignment horizontal="left" vertical="center" wrapText="1"/>
    </xf>
    <xf numFmtId="0" fontId="52" fillId="0" borderId="87" xfId="0" applyFont="1" applyBorder="1" applyAlignment="1">
      <alignment horizontal="left" vertical="center" wrapText="1"/>
    </xf>
    <xf numFmtId="0" fontId="16" fillId="0" borderId="8"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74" fillId="0" borderId="6" xfId="0" applyFont="1" applyBorder="1" applyAlignment="1">
      <alignment horizontal="left" vertical="center" wrapText="1"/>
    </xf>
    <xf numFmtId="0" fontId="16" fillId="0" borderId="8" xfId="0" applyFont="1" applyBorder="1" applyAlignment="1">
      <alignment horizontal="left" vertical="center" wrapText="1"/>
    </xf>
    <xf numFmtId="0" fontId="16" fillId="0" borderId="0" xfId="0" applyFont="1" applyBorder="1" applyAlignment="1">
      <alignment horizontal="left" vertical="center" wrapText="1"/>
    </xf>
    <xf numFmtId="0" fontId="16" fillId="9" borderId="8" xfId="0" applyFont="1" applyFill="1" applyBorder="1" applyAlignment="1">
      <alignment horizontal="left" vertical="center" wrapText="1"/>
    </xf>
    <xf numFmtId="0" fontId="16" fillId="9" borderId="0" xfId="0" applyFont="1" applyFill="1" applyBorder="1" applyAlignment="1">
      <alignment horizontal="left" vertical="center" wrapText="1"/>
    </xf>
    <xf numFmtId="0" fontId="16" fillId="9" borderId="8" xfId="0" applyFont="1" applyFill="1" applyBorder="1" applyAlignment="1">
      <alignment horizontal="center" vertical="center" wrapText="1"/>
    </xf>
    <xf numFmtId="0" fontId="16" fillId="9" borderId="0" xfId="0" applyFont="1" applyFill="1" applyBorder="1" applyAlignment="1">
      <alignment horizontal="center" vertical="center" wrapText="1"/>
    </xf>
    <xf numFmtId="0" fontId="132" fillId="0" borderId="105" xfId="0" applyFont="1" applyBorder="1" applyAlignment="1">
      <alignment wrapText="1"/>
    </xf>
    <xf numFmtId="0" fontId="132" fillId="0" borderId="106" xfId="0" applyFont="1" applyBorder="1" applyAlignment="1">
      <alignment wrapText="1"/>
    </xf>
    <xf numFmtId="0" fontId="132" fillId="0" borderId="107" xfId="0" applyFont="1" applyBorder="1" applyAlignment="1">
      <alignment wrapText="1"/>
    </xf>
    <xf numFmtId="0" fontId="6" fillId="0" borderId="105" xfId="2" applyBorder="1" applyAlignment="1">
      <alignment wrapText="1"/>
    </xf>
    <xf numFmtId="0" fontId="140" fillId="0" borderId="105" xfId="2" applyFont="1" applyBorder="1" applyAlignment="1">
      <alignment wrapText="1"/>
    </xf>
    <xf numFmtId="0" fontId="132" fillId="0" borderId="105" xfId="0" applyFont="1" applyBorder="1" applyAlignment="1">
      <alignment horizontal="center" vertical="center" wrapText="1"/>
    </xf>
    <xf numFmtId="0" fontId="132" fillId="0" borderId="0" xfId="0" applyFont="1" applyAlignment="1">
      <alignment horizontal="center" vertical="center" wrapText="1"/>
    </xf>
    <xf numFmtId="0" fontId="132" fillId="0" borderId="106" xfId="0" applyFont="1" applyBorder="1" applyAlignment="1">
      <alignment horizontal="center" vertical="center" wrapText="1"/>
    </xf>
    <xf numFmtId="0" fontId="6" fillId="9" borderId="105" xfId="2" applyFill="1" applyBorder="1" applyAlignment="1">
      <alignment wrapText="1"/>
    </xf>
    <xf numFmtId="0" fontId="6" fillId="9" borderId="0" xfId="2" applyFill="1" applyBorder="1" applyAlignment="1">
      <alignment wrapText="1"/>
    </xf>
    <xf numFmtId="0" fontId="132" fillId="9" borderId="105" xfId="0" applyFont="1" applyFill="1" applyBorder="1" applyAlignment="1">
      <alignment wrapText="1"/>
    </xf>
    <xf numFmtId="0" fontId="132" fillId="9" borderId="0" xfId="0" applyFont="1" applyFill="1" applyBorder="1" applyAlignment="1">
      <alignment wrapText="1"/>
    </xf>
    <xf numFmtId="0" fontId="140" fillId="9" borderId="105" xfId="2" applyFont="1" applyFill="1" applyBorder="1" applyAlignment="1">
      <alignment wrapText="1"/>
    </xf>
    <xf numFmtId="0" fontId="140" fillId="9" borderId="0" xfId="2" applyFont="1" applyFill="1" applyBorder="1" applyAlignment="1">
      <alignment wrapText="1"/>
    </xf>
    <xf numFmtId="0" fontId="16" fillId="0" borderId="0" xfId="0" applyFont="1" applyAlignment="1">
      <alignment horizontal="left" vertical="center" wrapText="1"/>
    </xf>
    <xf numFmtId="0" fontId="171" fillId="4" borderId="28" xfId="0" applyFont="1" applyFill="1" applyBorder="1" applyAlignment="1">
      <alignment horizontal="left" vertical="top" wrapText="1"/>
    </xf>
    <xf numFmtId="0" fontId="171" fillId="4" borderId="31" xfId="0" applyFont="1" applyFill="1" applyBorder="1" applyAlignment="1">
      <alignment horizontal="left" vertical="top" wrapText="1"/>
    </xf>
    <xf numFmtId="0" fontId="171" fillId="4" borderId="29" xfId="0" applyFont="1" applyFill="1" applyBorder="1" applyAlignment="1">
      <alignment horizontal="left" vertical="top" wrapText="1"/>
    </xf>
    <xf numFmtId="0" fontId="74" fillId="0" borderId="8" xfId="0" applyFont="1" applyBorder="1" applyAlignment="1">
      <alignment vertical="center" wrapText="1"/>
    </xf>
    <xf numFmtId="0" fontId="74" fillId="0" borderId="6" xfId="0" applyFont="1" applyBorder="1" applyAlignment="1">
      <alignment vertical="center" wrapText="1"/>
    </xf>
    <xf numFmtId="0" fontId="74" fillId="0" borderId="7" xfId="0" applyFont="1" applyBorder="1" applyAlignment="1">
      <alignment vertical="center" wrapText="1"/>
    </xf>
    <xf numFmtId="0" fontId="132" fillId="0" borderId="0" xfId="0" applyFont="1" applyBorder="1" applyAlignment="1">
      <alignment wrapText="1"/>
    </xf>
    <xf numFmtId="0" fontId="132" fillId="9" borderId="0" xfId="0" applyFont="1" applyFill="1" applyAlignment="1">
      <alignment wrapText="1"/>
    </xf>
    <xf numFmtId="0" fontId="171" fillId="4" borderId="30" xfId="0" applyFont="1" applyFill="1" applyBorder="1" applyAlignment="1">
      <alignment horizontal="left" vertical="top" wrapText="1"/>
    </xf>
    <xf numFmtId="0" fontId="19" fillId="0" borderId="0" xfId="0" applyFont="1" applyAlignment="1">
      <alignment horizontal="left" vertical="center" wrapText="1"/>
    </xf>
    <xf numFmtId="0" fontId="134" fillId="0" borderId="105" xfId="0" applyFont="1" applyBorder="1" applyAlignment="1">
      <alignment wrapText="1"/>
    </xf>
    <xf numFmtId="0" fontId="134" fillId="0" borderId="0" xfId="0" applyFont="1" applyAlignment="1">
      <alignment wrapText="1"/>
    </xf>
    <xf numFmtId="0" fontId="134" fillId="0" borderId="106" xfId="0" applyFont="1" applyBorder="1" applyAlignment="1">
      <alignment wrapText="1"/>
    </xf>
    <xf numFmtId="0" fontId="6" fillId="0" borderId="107" xfId="2" applyBorder="1" applyAlignment="1">
      <alignment wrapText="1"/>
    </xf>
    <xf numFmtId="0" fontId="140" fillId="0" borderId="107" xfId="2" applyFont="1" applyBorder="1" applyAlignment="1">
      <alignment wrapText="1"/>
    </xf>
    <xf numFmtId="0" fontId="56" fillId="0" borderId="105" xfId="0" applyFont="1" applyBorder="1" applyAlignment="1"/>
    <xf numFmtId="0" fontId="144" fillId="0" borderId="0" xfId="0" applyFont="1" applyAlignment="1">
      <alignment wrapText="1"/>
    </xf>
    <xf numFmtId="0" fontId="143" fillId="3" borderId="112" xfId="0" applyFont="1" applyFill="1" applyBorder="1" applyAlignment="1">
      <alignment wrapText="1"/>
    </xf>
    <xf numFmtId="0" fontId="143" fillId="3" borderId="113" xfId="0" applyFont="1" applyFill="1" applyBorder="1" applyAlignment="1">
      <alignment wrapText="1"/>
    </xf>
    <xf numFmtId="0" fontId="143" fillId="3" borderId="114" xfId="0" applyFont="1" applyFill="1" applyBorder="1" applyAlignment="1">
      <alignment wrapText="1"/>
    </xf>
    <xf numFmtId="0" fontId="143" fillId="3" borderId="116" xfId="0" applyFont="1" applyFill="1" applyBorder="1" applyAlignment="1">
      <alignment wrapText="1"/>
    </xf>
    <xf numFmtId="0" fontId="143" fillId="3" borderId="117" xfId="0" applyFont="1" applyFill="1" applyBorder="1" applyAlignment="1">
      <alignment wrapText="1"/>
    </xf>
    <xf numFmtId="0" fontId="143" fillId="3" borderId="118" xfId="0" applyFont="1" applyFill="1" applyBorder="1" applyAlignment="1">
      <alignment wrapText="1"/>
    </xf>
    <xf numFmtId="0" fontId="143" fillId="3" borderId="120" xfId="0" applyFont="1" applyFill="1" applyBorder="1" applyAlignment="1">
      <alignment wrapText="1"/>
    </xf>
    <xf numFmtId="0" fontId="143" fillId="3" borderId="122" xfId="0" applyFont="1" applyFill="1" applyBorder="1" applyAlignment="1">
      <alignment wrapText="1"/>
    </xf>
    <xf numFmtId="0" fontId="132" fillId="0" borderId="0" xfId="0" applyFont="1" applyAlignment="1">
      <alignment wrapText="1"/>
    </xf>
    <xf numFmtId="0" fontId="136" fillId="0" borderId="105" xfId="0" applyFont="1" applyBorder="1" applyAlignment="1">
      <alignment wrapText="1"/>
    </xf>
    <xf numFmtId="0" fontId="136" fillId="0" borderId="0" xfId="0" applyFont="1" applyAlignment="1">
      <alignment wrapText="1"/>
    </xf>
    <xf numFmtId="0" fontId="151" fillId="3" borderId="126" xfId="0" applyFont="1" applyFill="1" applyBorder="1" applyAlignment="1">
      <alignment wrapText="1"/>
    </xf>
    <xf numFmtId="0" fontId="151" fillId="3" borderId="136" xfId="0" applyFont="1" applyFill="1" applyBorder="1" applyAlignment="1">
      <alignment wrapText="1"/>
    </xf>
    <xf numFmtId="0" fontId="0" fillId="9" borderId="0" xfId="0" applyFill="1" applyAlignment="1">
      <alignment horizontal="center"/>
    </xf>
    <xf numFmtId="0" fontId="87" fillId="9" borderId="0" xfId="3" applyFill="1" applyAlignment="1">
      <alignment horizontal="center"/>
    </xf>
    <xf numFmtId="0" fontId="155" fillId="4" borderId="127" xfId="0" applyFont="1" applyFill="1" applyBorder="1" applyAlignment="1">
      <alignment wrapText="1"/>
    </xf>
    <xf numFmtId="0" fontId="155" fillId="4" borderId="130" xfId="0" applyFont="1" applyFill="1" applyBorder="1" applyAlignment="1">
      <alignment horizontal="center" wrapText="1"/>
    </xf>
    <xf numFmtId="0" fontId="155" fillId="4" borderId="0" xfId="0" applyFont="1" applyFill="1" applyAlignment="1">
      <alignment horizontal="center" wrapText="1"/>
    </xf>
    <xf numFmtId="0" fontId="0" fillId="9" borderId="0" xfId="0" applyFill="1" applyAlignment="1">
      <alignment horizontal="center" vertical="center"/>
    </xf>
    <xf numFmtId="0" fontId="51" fillId="0" borderId="141" xfId="0" applyFont="1" applyBorder="1" applyAlignment="1">
      <alignment horizontal="left" vertical="center" wrapText="1"/>
    </xf>
    <xf numFmtId="0" fontId="6" fillId="0" borderId="0" xfId="2" applyBorder="1" applyAlignment="1">
      <alignment horizontal="left" vertical="center" wrapText="1"/>
    </xf>
    <xf numFmtId="0" fontId="1" fillId="2" borderId="150" xfId="1" applyBorder="1" applyAlignment="1">
      <alignment horizontal="center" vertical="center" wrapText="1"/>
    </xf>
    <xf numFmtId="0" fontId="1" fillId="2" borderId="108" xfId="1" applyBorder="1" applyAlignment="1">
      <alignment horizontal="center" vertical="center" wrapText="1"/>
    </xf>
    <xf numFmtId="0" fontId="201" fillId="0" borderId="8" xfId="0" applyFont="1" applyBorder="1" applyAlignment="1">
      <alignment horizontal="left" vertical="center" wrapText="1"/>
    </xf>
    <xf numFmtId="0" fontId="2" fillId="0" borderId="0" xfId="0" applyFont="1"/>
    <xf numFmtId="0" fontId="89" fillId="0" borderId="8" xfId="0" applyFont="1" applyBorder="1" applyAlignment="1">
      <alignment horizontal="left" vertical="center" wrapText="1"/>
    </xf>
    <xf numFmtId="0" fontId="89" fillId="0" borderId="0" xfId="0" applyFont="1" applyBorder="1" applyAlignment="1">
      <alignment horizontal="left" vertical="center" wrapText="1"/>
    </xf>
    <xf numFmtId="0" fontId="200" fillId="0" borderId="8" xfId="0" applyFont="1" applyBorder="1" applyAlignment="1">
      <alignment horizontal="left" vertical="center" wrapText="1"/>
    </xf>
    <xf numFmtId="0" fontId="200" fillId="0" borderId="0" xfId="0" applyFont="1" applyBorder="1" applyAlignment="1">
      <alignment horizontal="left" vertical="center" wrapText="1"/>
    </xf>
    <xf numFmtId="0" fontId="0" fillId="0" borderId="0" xfId="0"/>
    <xf numFmtId="0" fontId="198" fillId="0" borderId="147" xfId="0" applyFont="1" applyBorder="1" applyAlignment="1">
      <alignment vertical="center" wrapText="1"/>
    </xf>
    <xf numFmtId="0" fontId="198" fillId="0" borderId="0" xfId="0" applyFont="1" applyBorder="1" applyAlignment="1">
      <alignment vertical="center" wrapText="1"/>
    </xf>
    <xf numFmtId="0" fontId="198" fillId="0" borderId="149" xfId="0" applyFont="1" applyBorder="1" applyAlignment="1">
      <alignment vertical="center" wrapText="1"/>
    </xf>
  </cellXfs>
  <cellStyles count="5">
    <cellStyle name="Bad" xfId="4" builtinId="27"/>
    <cellStyle name="Calculation" xfId="1" builtinId="22"/>
    <cellStyle name="Good" xfId="3" builtinId="26"/>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gif"/><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10.xml.rels><?xml version="1.0" encoding="UTF-8" standalone="yes"?>
<Relationships xmlns="http://schemas.openxmlformats.org/package/2006/relationships"><Relationship Id="rId8" Type="http://schemas.openxmlformats.org/officeDocument/2006/relationships/image" Target="../media/image95.png"/><Relationship Id="rId3" Type="http://schemas.openxmlformats.org/officeDocument/2006/relationships/image" Target="../media/image90.png"/><Relationship Id="rId7" Type="http://schemas.openxmlformats.org/officeDocument/2006/relationships/image" Target="../media/image94.png"/><Relationship Id="rId2" Type="http://schemas.openxmlformats.org/officeDocument/2006/relationships/image" Target="../media/image89.png"/><Relationship Id="rId1" Type="http://schemas.openxmlformats.org/officeDocument/2006/relationships/image" Target="../media/image88.png"/><Relationship Id="rId6" Type="http://schemas.openxmlformats.org/officeDocument/2006/relationships/image" Target="../media/image93.png"/><Relationship Id="rId5" Type="http://schemas.openxmlformats.org/officeDocument/2006/relationships/image" Target="../media/image92.png"/><Relationship Id="rId4" Type="http://schemas.openxmlformats.org/officeDocument/2006/relationships/image" Target="../media/image91.png"/><Relationship Id="rId9" Type="http://schemas.openxmlformats.org/officeDocument/2006/relationships/image" Target="../media/image9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98.jpeg"/><Relationship Id="rId1" Type="http://schemas.openxmlformats.org/officeDocument/2006/relationships/image" Target="../media/image97.png"/></Relationships>
</file>

<file path=xl/drawings/_rels/drawing2.xml.rels><?xml version="1.0" encoding="UTF-8" standalone="yes"?>
<Relationships xmlns="http://schemas.openxmlformats.org/package/2006/relationships"><Relationship Id="rId3" Type="http://schemas.openxmlformats.org/officeDocument/2006/relationships/image" Target="../media/image24.jpeg"/><Relationship Id="rId2" Type="http://schemas.openxmlformats.org/officeDocument/2006/relationships/image" Target="../media/image23.png"/><Relationship Id="rId1" Type="http://schemas.openxmlformats.org/officeDocument/2006/relationships/image" Target="../media/image22.jpeg"/><Relationship Id="rId6" Type="http://schemas.openxmlformats.org/officeDocument/2006/relationships/image" Target="../media/image27.png"/><Relationship Id="rId5" Type="http://schemas.openxmlformats.org/officeDocument/2006/relationships/image" Target="../media/image26.png"/><Relationship Id="rId4" Type="http://schemas.openxmlformats.org/officeDocument/2006/relationships/image" Target="../media/image25.png"/></Relationships>
</file>

<file path=xl/drawings/_rels/drawing3.xml.rels><?xml version="1.0" encoding="UTF-8" standalone="yes"?>
<Relationships xmlns="http://schemas.openxmlformats.org/package/2006/relationships"><Relationship Id="rId8" Type="http://schemas.openxmlformats.org/officeDocument/2006/relationships/image" Target="../media/image35.png"/><Relationship Id="rId13" Type="http://schemas.openxmlformats.org/officeDocument/2006/relationships/image" Target="../media/image40.png"/><Relationship Id="rId3" Type="http://schemas.openxmlformats.org/officeDocument/2006/relationships/image" Target="../media/image30.png"/><Relationship Id="rId7" Type="http://schemas.openxmlformats.org/officeDocument/2006/relationships/image" Target="../media/image34.png"/><Relationship Id="rId12" Type="http://schemas.openxmlformats.org/officeDocument/2006/relationships/image" Target="../media/image39.png"/><Relationship Id="rId2" Type="http://schemas.openxmlformats.org/officeDocument/2006/relationships/image" Target="../media/image29.png"/><Relationship Id="rId1" Type="http://schemas.openxmlformats.org/officeDocument/2006/relationships/image" Target="../media/image28.png"/><Relationship Id="rId6" Type="http://schemas.openxmlformats.org/officeDocument/2006/relationships/image" Target="../media/image33.png"/><Relationship Id="rId11" Type="http://schemas.openxmlformats.org/officeDocument/2006/relationships/image" Target="../media/image38.png"/><Relationship Id="rId5" Type="http://schemas.openxmlformats.org/officeDocument/2006/relationships/image" Target="../media/image32.png"/><Relationship Id="rId10" Type="http://schemas.openxmlformats.org/officeDocument/2006/relationships/image" Target="../media/image37.png"/><Relationship Id="rId4" Type="http://schemas.openxmlformats.org/officeDocument/2006/relationships/image" Target="../media/image31.png"/><Relationship Id="rId9" Type="http://schemas.openxmlformats.org/officeDocument/2006/relationships/image" Target="../media/image36.png"/></Relationships>
</file>

<file path=xl/drawings/_rels/drawing4.xml.rels><?xml version="1.0" encoding="UTF-8" standalone="yes"?>
<Relationships xmlns="http://schemas.openxmlformats.org/package/2006/relationships"><Relationship Id="rId8" Type="http://schemas.openxmlformats.org/officeDocument/2006/relationships/image" Target="../media/image48.png"/><Relationship Id="rId3" Type="http://schemas.openxmlformats.org/officeDocument/2006/relationships/image" Target="../media/image43.png"/><Relationship Id="rId7" Type="http://schemas.openxmlformats.org/officeDocument/2006/relationships/image" Target="../media/image47.png"/><Relationship Id="rId2" Type="http://schemas.openxmlformats.org/officeDocument/2006/relationships/image" Target="../media/image42.png"/><Relationship Id="rId1" Type="http://schemas.openxmlformats.org/officeDocument/2006/relationships/image" Target="../media/image41.png"/><Relationship Id="rId6" Type="http://schemas.openxmlformats.org/officeDocument/2006/relationships/image" Target="../media/image46.png"/><Relationship Id="rId5" Type="http://schemas.openxmlformats.org/officeDocument/2006/relationships/image" Target="../media/image45.png"/><Relationship Id="rId4" Type="http://schemas.openxmlformats.org/officeDocument/2006/relationships/image" Target="../media/image44.png"/></Relationships>
</file>

<file path=xl/drawings/_rels/drawing5.xml.rels><?xml version="1.0" encoding="UTF-8" standalone="yes"?>
<Relationships xmlns="http://schemas.openxmlformats.org/package/2006/relationships"><Relationship Id="rId3" Type="http://schemas.openxmlformats.org/officeDocument/2006/relationships/image" Target="../media/image51.png"/><Relationship Id="rId2" Type="http://schemas.openxmlformats.org/officeDocument/2006/relationships/image" Target="../media/image50.png"/><Relationship Id="rId1" Type="http://schemas.openxmlformats.org/officeDocument/2006/relationships/image" Target="../media/image49.png"/></Relationships>
</file>

<file path=xl/drawings/_rels/drawing6.xml.rels><?xml version="1.0" encoding="UTF-8" standalone="yes"?>
<Relationships xmlns="http://schemas.openxmlformats.org/package/2006/relationships"><Relationship Id="rId8" Type="http://schemas.openxmlformats.org/officeDocument/2006/relationships/image" Target="../media/image59.png"/><Relationship Id="rId13" Type="http://schemas.openxmlformats.org/officeDocument/2006/relationships/image" Target="../media/image64.png"/><Relationship Id="rId3" Type="http://schemas.openxmlformats.org/officeDocument/2006/relationships/image" Target="../media/image54.png"/><Relationship Id="rId7" Type="http://schemas.openxmlformats.org/officeDocument/2006/relationships/image" Target="../media/image58.png"/><Relationship Id="rId12" Type="http://schemas.openxmlformats.org/officeDocument/2006/relationships/image" Target="../media/image63.png"/><Relationship Id="rId2" Type="http://schemas.openxmlformats.org/officeDocument/2006/relationships/image" Target="../media/image53.png"/><Relationship Id="rId1" Type="http://schemas.openxmlformats.org/officeDocument/2006/relationships/image" Target="../media/image52.png"/><Relationship Id="rId6" Type="http://schemas.openxmlformats.org/officeDocument/2006/relationships/image" Target="../media/image57.png"/><Relationship Id="rId11" Type="http://schemas.openxmlformats.org/officeDocument/2006/relationships/image" Target="../media/image62.png"/><Relationship Id="rId5" Type="http://schemas.openxmlformats.org/officeDocument/2006/relationships/image" Target="../media/image56.png"/><Relationship Id="rId10" Type="http://schemas.openxmlformats.org/officeDocument/2006/relationships/image" Target="../media/image61.png"/><Relationship Id="rId4" Type="http://schemas.openxmlformats.org/officeDocument/2006/relationships/image" Target="../media/image55.png"/><Relationship Id="rId9" Type="http://schemas.openxmlformats.org/officeDocument/2006/relationships/image" Target="../media/image60.png"/><Relationship Id="rId14" Type="http://schemas.openxmlformats.org/officeDocument/2006/relationships/image" Target="../media/image65.png"/></Relationships>
</file>

<file path=xl/drawings/_rels/drawing7.xml.rels><?xml version="1.0" encoding="UTF-8" standalone="yes"?>
<Relationships xmlns="http://schemas.openxmlformats.org/package/2006/relationships"><Relationship Id="rId8" Type="http://schemas.openxmlformats.org/officeDocument/2006/relationships/image" Target="../media/image73.png"/><Relationship Id="rId3" Type="http://schemas.openxmlformats.org/officeDocument/2006/relationships/image" Target="../media/image68.png"/><Relationship Id="rId7" Type="http://schemas.openxmlformats.org/officeDocument/2006/relationships/image" Target="../media/image72.png"/><Relationship Id="rId2" Type="http://schemas.openxmlformats.org/officeDocument/2006/relationships/image" Target="../media/image67.png"/><Relationship Id="rId1" Type="http://schemas.openxmlformats.org/officeDocument/2006/relationships/image" Target="../media/image66.png"/><Relationship Id="rId6" Type="http://schemas.openxmlformats.org/officeDocument/2006/relationships/image" Target="../media/image71.png"/><Relationship Id="rId5" Type="http://schemas.openxmlformats.org/officeDocument/2006/relationships/image" Target="../media/image70.png"/><Relationship Id="rId10" Type="http://schemas.openxmlformats.org/officeDocument/2006/relationships/image" Target="../media/image75.png"/><Relationship Id="rId4" Type="http://schemas.openxmlformats.org/officeDocument/2006/relationships/image" Target="../media/image69.png"/><Relationship Id="rId9" Type="http://schemas.openxmlformats.org/officeDocument/2006/relationships/image" Target="../media/image74.png"/></Relationships>
</file>

<file path=xl/drawings/_rels/drawing8.xml.rels><?xml version="1.0" encoding="UTF-8" standalone="yes"?>
<Relationships xmlns="http://schemas.openxmlformats.org/package/2006/relationships"><Relationship Id="rId2" Type="http://schemas.openxmlformats.org/officeDocument/2006/relationships/image" Target="../media/image77.png"/><Relationship Id="rId1" Type="http://schemas.openxmlformats.org/officeDocument/2006/relationships/image" Target="../media/image76.png"/></Relationships>
</file>

<file path=xl/drawings/_rels/drawing9.xml.rels><?xml version="1.0" encoding="UTF-8" standalone="yes"?>
<Relationships xmlns="http://schemas.openxmlformats.org/package/2006/relationships"><Relationship Id="rId8" Type="http://schemas.openxmlformats.org/officeDocument/2006/relationships/image" Target="../media/image85.png"/><Relationship Id="rId3" Type="http://schemas.openxmlformats.org/officeDocument/2006/relationships/image" Target="../media/image80.png"/><Relationship Id="rId7" Type="http://schemas.openxmlformats.org/officeDocument/2006/relationships/image" Target="../media/image84.png"/><Relationship Id="rId2" Type="http://schemas.openxmlformats.org/officeDocument/2006/relationships/image" Target="../media/image79.png"/><Relationship Id="rId1" Type="http://schemas.openxmlformats.org/officeDocument/2006/relationships/image" Target="../media/image78.png"/><Relationship Id="rId6" Type="http://schemas.openxmlformats.org/officeDocument/2006/relationships/image" Target="../media/image83.png"/><Relationship Id="rId5" Type="http://schemas.openxmlformats.org/officeDocument/2006/relationships/image" Target="../media/image82.png"/><Relationship Id="rId10" Type="http://schemas.openxmlformats.org/officeDocument/2006/relationships/image" Target="../media/image87.png"/><Relationship Id="rId4" Type="http://schemas.openxmlformats.org/officeDocument/2006/relationships/image" Target="../media/image81.png"/><Relationship Id="rId9" Type="http://schemas.openxmlformats.org/officeDocument/2006/relationships/image" Target="../media/image86.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285</xdr:row>
      <xdr:rowOff>1</xdr:rowOff>
    </xdr:from>
    <xdr:to>
      <xdr:col>4</xdr:col>
      <xdr:colOff>1283970</xdr:colOff>
      <xdr:row>296</xdr:row>
      <xdr:rowOff>142573</xdr:rowOff>
    </xdr:to>
    <xdr:pic>
      <xdr:nvPicPr>
        <xdr:cNvPr id="2" name="Picture 1">
          <a:extLst>
            <a:ext uri="{FF2B5EF4-FFF2-40B4-BE49-F238E27FC236}">
              <a16:creationId xmlns:a16="http://schemas.microsoft.com/office/drawing/2014/main" id="{77F0B192-F0F6-84F0-4B21-10BDD8DCB549}"/>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828800" y="70027801"/>
          <a:ext cx="3867150" cy="2135202"/>
        </a:xfrm>
        <a:prstGeom prst="rect">
          <a:avLst/>
        </a:prstGeom>
      </xdr:spPr>
    </xdr:pic>
    <xdr:clientData/>
  </xdr:twoCellAnchor>
  <xdr:twoCellAnchor editAs="oneCell">
    <xdr:from>
      <xdr:col>3</xdr:col>
      <xdr:colOff>40006</xdr:colOff>
      <xdr:row>365</xdr:row>
      <xdr:rowOff>20956</xdr:rowOff>
    </xdr:from>
    <xdr:to>
      <xdr:col>4</xdr:col>
      <xdr:colOff>941070</xdr:colOff>
      <xdr:row>375</xdr:row>
      <xdr:rowOff>143764</xdr:rowOff>
    </xdr:to>
    <xdr:pic>
      <xdr:nvPicPr>
        <xdr:cNvPr id="3" name="Picture 2">
          <a:extLst>
            <a:ext uri="{FF2B5EF4-FFF2-40B4-BE49-F238E27FC236}">
              <a16:creationId xmlns:a16="http://schemas.microsoft.com/office/drawing/2014/main" id="{C3EEE8BC-1C9A-8E77-5A4D-F09D4DDB0D55}"/>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192656" y="87727156"/>
          <a:ext cx="3465194" cy="1989708"/>
        </a:xfrm>
        <a:prstGeom prst="rect">
          <a:avLst/>
        </a:prstGeom>
      </xdr:spPr>
    </xdr:pic>
    <xdr:clientData/>
  </xdr:twoCellAnchor>
  <xdr:twoCellAnchor editAs="oneCell">
    <xdr:from>
      <xdr:col>2</xdr:col>
      <xdr:colOff>906781</xdr:colOff>
      <xdr:row>428</xdr:row>
      <xdr:rowOff>169544</xdr:rowOff>
    </xdr:from>
    <xdr:to>
      <xdr:col>5</xdr:col>
      <xdr:colOff>1447800</xdr:colOff>
      <xdr:row>436</xdr:row>
      <xdr:rowOff>140396</xdr:rowOff>
    </xdr:to>
    <xdr:pic>
      <xdr:nvPicPr>
        <xdr:cNvPr id="4" name="Picture 3">
          <a:extLst>
            <a:ext uri="{FF2B5EF4-FFF2-40B4-BE49-F238E27FC236}">
              <a16:creationId xmlns:a16="http://schemas.microsoft.com/office/drawing/2014/main" id="{E32662FB-57E8-F440-FAD9-6460AD0C602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125981" y="106392344"/>
          <a:ext cx="5817869" cy="1399602"/>
        </a:xfrm>
        <a:prstGeom prst="rect">
          <a:avLst/>
        </a:prstGeom>
      </xdr:spPr>
    </xdr:pic>
    <xdr:clientData/>
  </xdr:twoCellAnchor>
  <xdr:twoCellAnchor editAs="oneCell">
    <xdr:from>
      <xdr:col>3</xdr:col>
      <xdr:colOff>53340</xdr:colOff>
      <xdr:row>418</xdr:row>
      <xdr:rowOff>11430</xdr:rowOff>
    </xdr:from>
    <xdr:to>
      <xdr:col>7</xdr:col>
      <xdr:colOff>338193</xdr:colOff>
      <xdr:row>421</xdr:row>
      <xdr:rowOff>26755</xdr:rowOff>
    </xdr:to>
    <xdr:pic>
      <xdr:nvPicPr>
        <xdr:cNvPr id="5" name="Picture 4">
          <a:extLst>
            <a:ext uri="{FF2B5EF4-FFF2-40B4-BE49-F238E27FC236}">
              <a16:creationId xmlns:a16="http://schemas.microsoft.com/office/drawing/2014/main" id="{75F23A78-645A-F54F-5BE0-0FA47B75ABCA}"/>
            </a:ext>
          </a:extLst>
        </xdr:cNvPr>
        <xdr:cNvPicPr>
          <a:picLocks noChangeAspect="1"/>
        </xdr:cNvPicPr>
      </xdr:nvPicPr>
      <xdr:blipFill>
        <a:blip xmlns:r="http://schemas.openxmlformats.org/officeDocument/2006/relationships" r:embed="rId4"/>
        <a:stretch>
          <a:fillRect/>
        </a:stretch>
      </xdr:blipFill>
      <xdr:spPr>
        <a:xfrm>
          <a:off x="2205990" y="103862505"/>
          <a:ext cx="7234293" cy="607780"/>
        </a:xfrm>
        <a:prstGeom prst="rect">
          <a:avLst/>
        </a:prstGeom>
      </xdr:spPr>
    </xdr:pic>
    <xdr:clientData/>
  </xdr:twoCellAnchor>
  <xdr:twoCellAnchor editAs="oneCell">
    <xdr:from>
      <xdr:col>3</xdr:col>
      <xdr:colOff>0</xdr:colOff>
      <xdr:row>459</xdr:row>
      <xdr:rowOff>0</xdr:rowOff>
    </xdr:from>
    <xdr:to>
      <xdr:col>6</xdr:col>
      <xdr:colOff>833441</xdr:colOff>
      <xdr:row>464</xdr:row>
      <xdr:rowOff>126</xdr:rowOff>
    </xdr:to>
    <xdr:pic>
      <xdr:nvPicPr>
        <xdr:cNvPr id="6" name="Picture 5">
          <a:extLst>
            <a:ext uri="{FF2B5EF4-FFF2-40B4-BE49-F238E27FC236}">
              <a16:creationId xmlns:a16="http://schemas.microsoft.com/office/drawing/2014/main" id="{C2B3F67A-5C5C-4613-1087-75A230EDFC64}"/>
            </a:ext>
          </a:extLst>
        </xdr:cNvPr>
        <xdr:cNvPicPr>
          <a:picLocks noChangeAspect="1"/>
        </xdr:cNvPicPr>
      </xdr:nvPicPr>
      <xdr:blipFill>
        <a:blip xmlns:r="http://schemas.openxmlformats.org/officeDocument/2006/relationships" r:embed="rId5"/>
        <a:stretch>
          <a:fillRect/>
        </a:stretch>
      </xdr:blipFill>
      <xdr:spPr>
        <a:xfrm>
          <a:off x="2152650" y="111585375"/>
          <a:ext cx="6849431" cy="905001"/>
        </a:xfrm>
        <a:prstGeom prst="rect">
          <a:avLst/>
        </a:prstGeom>
      </xdr:spPr>
    </xdr:pic>
    <xdr:clientData/>
  </xdr:twoCellAnchor>
  <xdr:twoCellAnchor editAs="oneCell">
    <xdr:from>
      <xdr:col>3</xdr:col>
      <xdr:colOff>24767</xdr:colOff>
      <xdr:row>544</xdr:row>
      <xdr:rowOff>34290</xdr:rowOff>
    </xdr:from>
    <xdr:to>
      <xdr:col>5</xdr:col>
      <xdr:colOff>257176</xdr:colOff>
      <xdr:row>563</xdr:row>
      <xdr:rowOff>3800</xdr:rowOff>
    </xdr:to>
    <xdr:pic>
      <xdr:nvPicPr>
        <xdr:cNvPr id="9" name="Picture 8">
          <a:extLst>
            <a:ext uri="{FF2B5EF4-FFF2-40B4-BE49-F238E27FC236}">
              <a16:creationId xmlns:a16="http://schemas.microsoft.com/office/drawing/2014/main" id="{E78605CA-5BC1-AAD6-9074-4E1BA37A1F29}"/>
            </a:ext>
          </a:extLst>
        </xdr:cNvPr>
        <xdr:cNvPicPr>
          <a:picLocks noChangeAspect="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a:stretch/>
      </xdr:blipFill>
      <xdr:spPr>
        <a:xfrm>
          <a:off x="2177417" y="127935990"/>
          <a:ext cx="4556759" cy="3408035"/>
        </a:xfrm>
        <a:prstGeom prst="rect">
          <a:avLst/>
        </a:prstGeom>
      </xdr:spPr>
    </xdr:pic>
    <xdr:clientData/>
  </xdr:twoCellAnchor>
  <xdr:twoCellAnchor editAs="oneCell">
    <xdr:from>
      <xdr:col>5</xdr:col>
      <xdr:colOff>979169</xdr:colOff>
      <xdr:row>544</xdr:row>
      <xdr:rowOff>38100</xdr:rowOff>
    </xdr:from>
    <xdr:to>
      <xdr:col>8</xdr:col>
      <xdr:colOff>30479</xdr:colOff>
      <xdr:row>565</xdr:row>
      <xdr:rowOff>102851</xdr:rowOff>
    </xdr:to>
    <xdr:pic>
      <xdr:nvPicPr>
        <xdr:cNvPr id="10" name="Picture 9">
          <a:extLst>
            <a:ext uri="{FF2B5EF4-FFF2-40B4-BE49-F238E27FC236}">
              <a16:creationId xmlns:a16="http://schemas.microsoft.com/office/drawing/2014/main" id="{5D9AD0E8-E226-6593-8D31-32B99D9170EF}"/>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7341869" y="131016375"/>
          <a:ext cx="2977515" cy="3846176"/>
        </a:xfrm>
        <a:prstGeom prst="rect">
          <a:avLst/>
        </a:prstGeom>
      </xdr:spPr>
    </xdr:pic>
    <xdr:clientData/>
  </xdr:twoCellAnchor>
  <xdr:twoCellAnchor editAs="oneCell">
    <xdr:from>
      <xdr:col>3</xdr:col>
      <xdr:colOff>5715</xdr:colOff>
      <xdr:row>503</xdr:row>
      <xdr:rowOff>91442</xdr:rowOff>
    </xdr:from>
    <xdr:to>
      <xdr:col>4</xdr:col>
      <xdr:colOff>1567815</xdr:colOff>
      <xdr:row>506</xdr:row>
      <xdr:rowOff>142601</xdr:rowOff>
    </xdr:to>
    <xdr:pic>
      <xdr:nvPicPr>
        <xdr:cNvPr id="11" name="Picture 10">
          <a:extLst>
            <a:ext uri="{FF2B5EF4-FFF2-40B4-BE49-F238E27FC236}">
              <a16:creationId xmlns:a16="http://schemas.microsoft.com/office/drawing/2014/main" id="{28091BD9-26D2-71AB-8CEB-5B1D980DB4FD}"/>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2158365" y="123649742"/>
          <a:ext cx="4187190" cy="586464"/>
        </a:xfrm>
        <a:prstGeom prst="rect">
          <a:avLst/>
        </a:prstGeom>
      </xdr:spPr>
    </xdr:pic>
    <xdr:clientData/>
  </xdr:twoCellAnchor>
  <xdr:twoCellAnchor editAs="oneCell">
    <xdr:from>
      <xdr:col>4</xdr:col>
      <xdr:colOff>609600</xdr:colOff>
      <xdr:row>517</xdr:row>
      <xdr:rowOff>171450</xdr:rowOff>
    </xdr:from>
    <xdr:to>
      <xdr:col>5</xdr:col>
      <xdr:colOff>1514475</xdr:colOff>
      <xdr:row>521</xdr:row>
      <xdr:rowOff>29324</xdr:rowOff>
    </xdr:to>
    <xdr:pic>
      <xdr:nvPicPr>
        <xdr:cNvPr id="12" name="Picture 11">
          <a:extLst>
            <a:ext uri="{FF2B5EF4-FFF2-40B4-BE49-F238E27FC236}">
              <a16:creationId xmlns:a16="http://schemas.microsoft.com/office/drawing/2014/main" id="{96C45C78-71D1-3F4A-206A-48805C30890A}"/>
            </a:ext>
          </a:extLst>
        </xdr:cNvPr>
        <xdr:cNvPicPr>
          <a:picLocks noChangeAspect="1"/>
        </xdr:cNvPicPr>
      </xdr:nvPicPr>
      <xdr:blipFill>
        <a:blip xmlns:r="http://schemas.openxmlformats.org/officeDocument/2006/relationships" r:embed="rId9"/>
        <a:stretch>
          <a:fillRect/>
        </a:stretch>
      </xdr:blipFill>
      <xdr:spPr>
        <a:xfrm>
          <a:off x="5238750" y="126082425"/>
          <a:ext cx="2655570" cy="568439"/>
        </a:xfrm>
        <a:prstGeom prst="rect">
          <a:avLst/>
        </a:prstGeom>
      </xdr:spPr>
    </xdr:pic>
    <xdr:clientData/>
  </xdr:twoCellAnchor>
  <xdr:twoCellAnchor editAs="oneCell">
    <xdr:from>
      <xdr:col>3</xdr:col>
      <xdr:colOff>20954</xdr:colOff>
      <xdr:row>517</xdr:row>
      <xdr:rowOff>114300</xdr:rowOff>
    </xdr:from>
    <xdr:to>
      <xdr:col>4</xdr:col>
      <xdr:colOff>218244</xdr:colOff>
      <xdr:row>521</xdr:row>
      <xdr:rowOff>114300</xdr:rowOff>
    </xdr:to>
    <xdr:pic>
      <xdr:nvPicPr>
        <xdr:cNvPr id="13" name="Picture 12">
          <a:extLst>
            <a:ext uri="{FF2B5EF4-FFF2-40B4-BE49-F238E27FC236}">
              <a16:creationId xmlns:a16="http://schemas.microsoft.com/office/drawing/2014/main" id="{A73D1273-AD20-A388-150F-B7454E91B334}"/>
            </a:ext>
          </a:extLst>
        </xdr:cNvPr>
        <xdr:cNvPicPr>
          <a:picLocks noChangeAspect="1"/>
        </xdr:cNvPicPr>
      </xdr:nvPicPr>
      <xdr:blipFill>
        <a:blip xmlns:r="http://schemas.openxmlformats.org/officeDocument/2006/relationships" r:embed="rId10"/>
        <a:stretch>
          <a:fillRect/>
        </a:stretch>
      </xdr:blipFill>
      <xdr:spPr>
        <a:xfrm>
          <a:off x="2173604" y="126025275"/>
          <a:ext cx="2776660" cy="723900"/>
        </a:xfrm>
        <a:prstGeom prst="rect">
          <a:avLst/>
        </a:prstGeom>
      </xdr:spPr>
    </xdr:pic>
    <xdr:clientData/>
  </xdr:twoCellAnchor>
  <xdr:twoCellAnchor editAs="oneCell">
    <xdr:from>
      <xdr:col>3</xdr:col>
      <xdr:colOff>0</xdr:colOff>
      <xdr:row>596</xdr:row>
      <xdr:rowOff>0</xdr:rowOff>
    </xdr:from>
    <xdr:to>
      <xdr:col>4</xdr:col>
      <xdr:colOff>598170</xdr:colOff>
      <xdr:row>604</xdr:row>
      <xdr:rowOff>102603</xdr:rowOff>
    </xdr:to>
    <xdr:pic>
      <xdr:nvPicPr>
        <xdr:cNvPr id="14" name="Picture 13" descr="Figure 1">
          <a:extLst>
            <a:ext uri="{FF2B5EF4-FFF2-40B4-BE49-F238E27FC236}">
              <a16:creationId xmlns:a16="http://schemas.microsoft.com/office/drawing/2014/main" id="{D0837C17-C3B8-F9BF-7B73-863BB676FF93}"/>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2152650" y="139846050"/>
          <a:ext cx="3171825" cy="1535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247650</xdr:colOff>
      <xdr:row>659</xdr:row>
      <xdr:rowOff>38100</xdr:rowOff>
    </xdr:from>
    <xdr:to>
      <xdr:col>12</xdr:col>
      <xdr:colOff>499110</xdr:colOff>
      <xdr:row>684</xdr:row>
      <xdr:rowOff>3187</xdr:rowOff>
    </xdr:to>
    <xdr:pic>
      <xdr:nvPicPr>
        <xdr:cNvPr id="7" name="Picture 6">
          <a:extLst>
            <a:ext uri="{FF2B5EF4-FFF2-40B4-BE49-F238E27FC236}">
              <a16:creationId xmlns:a16="http://schemas.microsoft.com/office/drawing/2014/main" id="{BEEC5FFD-3540-40B5-C3BE-BF768984EDB1}"/>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9239250" y="158467425"/>
          <a:ext cx="3724275" cy="4712347"/>
        </a:xfrm>
        <a:prstGeom prst="rect">
          <a:avLst/>
        </a:prstGeom>
      </xdr:spPr>
    </xdr:pic>
    <xdr:clientData/>
  </xdr:twoCellAnchor>
  <xdr:twoCellAnchor editAs="oneCell">
    <xdr:from>
      <xdr:col>6</xdr:col>
      <xdr:colOff>133350</xdr:colOff>
      <xdr:row>697</xdr:row>
      <xdr:rowOff>2</xdr:rowOff>
    </xdr:from>
    <xdr:to>
      <xdr:col>14</xdr:col>
      <xdr:colOff>423716</xdr:colOff>
      <xdr:row>713</xdr:row>
      <xdr:rowOff>115020</xdr:rowOff>
    </xdr:to>
    <xdr:pic>
      <xdr:nvPicPr>
        <xdr:cNvPr id="18" name="Picture 7">
          <a:extLst>
            <a:ext uri="{FF2B5EF4-FFF2-40B4-BE49-F238E27FC236}">
              <a16:creationId xmlns:a16="http://schemas.microsoft.com/office/drawing/2014/main" id="{F27B3DF4-24FD-8F7A-7B26-EEBC15F0CB8B}"/>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8004954" y="164665686"/>
          <a:ext cx="7182656" cy="3163018"/>
        </a:xfrm>
        <a:prstGeom prst="rect">
          <a:avLst/>
        </a:prstGeom>
      </xdr:spPr>
    </xdr:pic>
    <xdr:clientData/>
  </xdr:twoCellAnchor>
  <xdr:twoCellAnchor editAs="oneCell">
    <xdr:from>
      <xdr:col>4</xdr:col>
      <xdr:colOff>1</xdr:colOff>
      <xdr:row>794</xdr:row>
      <xdr:rowOff>8986</xdr:rowOff>
    </xdr:from>
    <xdr:to>
      <xdr:col>7</xdr:col>
      <xdr:colOff>1254255</xdr:colOff>
      <xdr:row>798</xdr:row>
      <xdr:rowOff>1363</xdr:rowOff>
    </xdr:to>
    <xdr:pic>
      <xdr:nvPicPr>
        <xdr:cNvPr id="19" name="Picture 18">
          <a:extLst>
            <a:ext uri="{FF2B5EF4-FFF2-40B4-BE49-F238E27FC236}">
              <a16:creationId xmlns:a16="http://schemas.microsoft.com/office/drawing/2014/main" id="{9A4842D3-EC1D-1753-974E-2065C27F5F00}"/>
            </a:ext>
          </a:extLst>
        </xdr:cNvPr>
        <xdr:cNvPicPr>
          <a:picLocks noChangeAspect="1"/>
        </xdr:cNvPicPr>
      </xdr:nvPicPr>
      <xdr:blipFill>
        <a:blip xmlns:r="http://schemas.openxmlformats.org/officeDocument/2006/relationships" r:embed="rId14"/>
        <a:stretch>
          <a:fillRect/>
        </a:stretch>
      </xdr:blipFill>
      <xdr:spPr>
        <a:xfrm>
          <a:off x="4861345" y="181846628"/>
          <a:ext cx="5477639" cy="752580"/>
        </a:xfrm>
        <a:prstGeom prst="rect">
          <a:avLst/>
        </a:prstGeom>
      </xdr:spPr>
    </xdr:pic>
    <xdr:clientData/>
  </xdr:twoCellAnchor>
  <xdr:twoCellAnchor editAs="oneCell">
    <xdr:from>
      <xdr:col>3</xdr:col>
      <xdr:colOff>440306</xdr:colOff>
      <xdr:row>815</xdr:row>
      <xdr:rowOff>71887</xdr:rowOff>
    </xdr:from>
    <xdr:to>
      <xdr:col>4</xdr:col>
      <xdr:colOff>448825</xdr:colOff>
      <xdr:row>818</xdr:row>
      <xdr:rowOff>40277</xdr:rowOff>
    </xdr:to>
    <xdr:pic>
      <xdr:nvPicPr>
        <xdr:cNvPr id="16" name="Picture 19">
          <a:extLst>
            <a:ext uri="{FF2B5EF4-FFF2-40B4-BE49-F238E27FC236}">
              <a16:creationId xmlns:a16="http://schemas.microsoft.com/office/drawing/2014/main" id="{E1D58422-556A-0618-8908-B45098C5580C}"/>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2893443" y="185872288"/>
          <a:ext cx="2525024" cy="539890"/>
        </a:xfrm>
        <a:prstGeom prst="rect">
          <a:avLst/>
        </a:prstGeom>
      </xdr:spPr>
    </xdr:pic>
    <xdr:clientData/>
  </xdr:twoCellAnchor>
  <xdr:twoCellAnchor editAs="oneCell">
    <xdr:from>
      <xdr:col>5</xdr:col>
      <xdr:colOff>266701</xdr:colOff>
      <xdr:row>752</xdr:row>
      <xdr:rowOff>171450</xdr:rowOff>
    </xdr:from>
    <xdr:to>
      <xdr:col>11</xdr:col>
      <xdr:colOff>110491</xdr:colOff>
      <xdr:row>767</xdr:row>
      <xdr:rowOff>176939</xdr:rowOff>
    </xdr:to>
    <xdr:pic>
      <xdr:nvPicPr>
        <xdr:cNvPr id="17" name="Picture 16">
          <a:extLst>
            <a:ext uri="{FF2B5EF4-FFF2-40B4-BE49-F238E27FC236}">
              <a16:creationId xmlns:a16="http://schemas.microsoft.com/office/drawing/2014/main" id="{59C33B85-BFFD-C2DE-0E16-668ADC751793}"/>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7143751" y="173383575"/>
          <a:ext cx="6534150" cy="2870609"/>
        </a:xfrm>
        <a:prstGeom prst="rect">
          <a:avLst/>
        </a:prstGeom>
      </xdr:spPr>
    </xdr:pic>
    <xdr:clientData/>
  </xdr:twoCellAnchor>
  <xdr:twoCellAnchor editAs="oneCell">
    <xdr:from>
      <xdr:col>6</xdr:col>
      <xdr:colOff>38100</xdr:colOff>
      <xdr:row>861</xdr:row>
      <xdr:rowOff>38100</xdr:rowOff>
    </xdr:from>
    <xdr:to>
      <xdr:col>9</xdr:col>
      <xdr:colOff>333488</xdr:colOff>
      <xdr:row>875</xdr:row>
      <xdr:rowOff>72390</xdr:rowOff>
    </xdr:to>
    <xdr:pic>
      <xdr:nvPicPr>
        <xdr:cNvPr id="21" name="Picture 20">
          <a:extLst>
            <a:ext uri="{FF2B5EF4-FFF2-40B4-BE49-F238E27FC236}">
              <a16:creationId xmlns:a16="http://schemas.microsoft.com/office/drawing/2014/main" id="{84D0BC4C-7274-89F8-DF7F-88D1A0B37BFA}"/>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8553450" y="194214750"/>
          <a:ext cx="3305288" cy="2695575"/>
        </a:xfrm>
        <a:prstGeom prst="rect">
          <a:avLst/>
        </a:prstGeom>
      </xdr:spPr>
    </xdr:pic>
    <xdr:clientData/>
  </xdr:twoCellAnchor>
  <xdr:twoCellAnchor editAs="oneCell">
    <xdr:from>
      <xdr:col>6</xdr:col>
      <xdr:colOff>9525</xdr:colOff>
      <xdr:row>876</xdr:row>
      <xdr:rowOff>9525</xdr:rowOff>
    </xdr:from>
    <xdr:to>
      <xdr:col>9</xdr:col>
      <xdr:colOff>152841</xdr:colOff>
      <xdr:row>878</xdr:row>
      <xdr:rowOff>114367</xdr:rowOff>
    </xdr:to>
    <xdr:pic>
      <xdr:nvPicPr>
        <xdr:cNvPr id="22" name="Picture 21">
          <a:extLst>
            <a:ext uri="{FF2B5EF4-FFF2-40B4-BE49-F238E27FC236}">
              <a16:creationId xmlns:a16="http://schemas.microsoft.com/office/drawing/2014/main" id="{C2596981-080D-210A-2290-2166E85608E0}"/>
            </a:ext>
          </a:extLst>
        </xdr:cNvPr>
        <xdr:cNvPicPr>
          <a:picLocks noChangeAspect="1"/>
        </xdr:cNvPicPr>
      </xdr:nvPicPr>
      <xdr:blipFill>
        <a:blip xmlns:r="http://schemas.openxmlformats.org/officeDocument/2006/relationships" r:embed="rId18"/>
        <a:stretch>
          <a:fillRect/>
        </a:stretch>
      </xdr:blipFill>
      <xdr:spPr>
        <a:xfrm>
          <a:off x="8524875" y="197043675"/>
          <a:ext cx="3162741" cy="485843"/>
        </a:xfrm>
        <a:prstGeom prst="rect">
          <a:avLst/>
        </a:prstGeom>
      </xdr:spPr>
    </xdr:pic>
    <xdr:clientData/>
  </xdr:twoCellAnchor>
  <xdr:twoCellAnchor editAs="oneCell">
    <xdr:from>
      <xdr:col>3</xdr:col>
      <xdr:colOff>7985</xdr:colOff>
      <xdr:row>887</xdr:row>
      <xdr:rowOff>9142</xdr:rowOff>
    </xdr:from>
    <xdr:to>
      <xdr:col>7</xdr:col>
      <xdr:colOff>1177290</xdr:colOff>
      <xdr:row>907</xdr:row>
      <xdr:rowOff>41911</xdr:rowOff>
    </xdr:to>
    <xdr:pic>
      <xdr:nvPicPr>
        <xdr:cNvPr id="23" name="Picture 22">
          <a:extLst>
            <a:ext uri="{FF2B5EF4-FFF2-40B4-BE49-F238E27FC236}">
              <a16:creationId xmlns:a16="http://schemas.microsoft.com/office/drawing/2014/main" id="{8C0F1EE1-A3A0-9AA4-3EA5-9EC6B4F50228}"/>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2789285" y="199138792"/>
          <a:ext cx="7916815" cy="3848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1079</xdr:row>
      <xdr:rowOff>0</xdr:rowOff>
    </xdr:from>
    <xdr:to>
      <xdr:col>5</xdr:col>
      <xdr:colOff>1443451</xdr:colOff>
      <xdr:row>1108</xdr:row>
      <xdr:rowOff>149248</xdr:rowOff>
    </xdr:to>
    <xdr:pic>
      <xdr:nvPicPr>
        <xdr:cNvPr id="8" name="Picture 7">
          <a:extLst>
            <a:ext uri="{FF2B5EF4-FFF2-40B4-BE49-F238E27FC236}">
              <a16:creationId xmlns:a16="http://schemas.microsoft.com/office/drawing/2014/main" id="{9593B9C8-FDC0-5A69-D4EE-E5619562F455}"/>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2785613" y="236399717"/>
          <a:ext cx="5652099" cy="5615914"/>
        </a:xfrm>
        <a:prstGeom prst="rect">
          <a:avLst/>
        </a:prstGeom>
      </xdr:spPr>
    </xdr:pic>
    <xdr:clientData/>
  </xdr:twoCellAnchor>
  <xdr:twoCellAnchor editAs="oneCell">
    <xdr:from>
      <xdr:col>3</xdr:col>
      <xdr:colOff>80872</xdr:colOff>
      <xdr:row>1147</xdr:row>
      <xdr:rowOff>89859</xdr:rowOff>
    </xdr:from>
    <xdr:to>
      <xdr:col>8</xdr:col>
      <xdr:colOff>459064</xdr:colOff>
      <xdr:row>1168</xdr:row>
      <xdr:rowOff>144592</xdr:rowOff>
    </xdr:to>
    <xdr:pic>
      <xdr:nvPicPr>
        <xdr:cNvPr id="15" name="Picture 14">
          <a:extLst>
            <a:ext uri="{FF2B5EF4-FFF2-40B4-BE49-F238E27FC236}">
              <a16:creationId xmlns:a16="http://schemas.microsoft.com/office/drawing/2014/main" id="{15123E1C-7CEA-623E-3367-7469D77DBD5A}"/>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2866485" y="249321368"/>
          <a:ext cx="8429513" cy="40098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485776</xdr:colOff>
      <xdr:row>27</xdr:row>
      <xdr:rowOff>72390</xdr:rowOff>
    </xdr:from>
    <xdr:to>
      <xdr:col>5</xdr:col>
      <xdr:colOff>140336</xdr:colOff>
      <xdr:row>36</xdr:row>
      <xdr:rowOff>70129</xdr:rowOff>
    </xdr:to>
    <xdr:pic>
      <xdr:nvPicPr>
        <xdr:cNvPr id="9" name="Picture 1">
          <a:extLst>
            <a:ext uri="{FF2B5EF4-FFF2-40B4-BE49-F238E27FC236}">
              <a16:creationId xmlns:a16="http://schemas.microsoft.com/office/drawing/2014/main" id="{B71D72DC-CF4E-45BD-8615-71C9F28F120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152776" y="4958715"/>
          <a:ext cx="3592830" cy="1655089"/>
        </a:xfrm>
        <a:prstGeom prst="rect">
          <a:avLst/>
        </a:prstGeom>
      </xdr:spPr>
    </xdr:pic>
    <xdr:clientData/>
  </xdr:twoCellAnchor>
  <xdr:twoCellAnchor editAs="oneCell">
    <xdr:from>
      <xdr:col>3</xdr:col>
      <xdr:colOff>0</xdr:colOff>
      <xdr:row>294</xdr:row>
      <xdr:rowOff>71016</xdr:rowOff>
    </xdr:from>
    <xdr:to>
      <xdr:col>5</xdr:col>
      <xdr:colOff>536575</xdr:colOff>
      <xdr:row>302</xdr:row>
      <xdr:rowOff>75564</xdr:rowOff>
    </xdr:to>
    <xdr:pic>
      <xdr:nvPicPr>
        <xdr:cNvPr id="15" name="Picture 2">
          <a:extLst>
            <a:ext uri="{FF2B5EF4-FFF2-40B4-BE49-F238E27FC236}">
              <a16:creationId xmlns:a16="http://schemas.microsoft.com/office/drawing/2014/main" id="{44CC579E-22D0-6669-A470-DBB15695BF96}"/>
            </a:ext>
            <a:ext uri="{147F2762-F138-4A5C-976F-8EAC2B608ADB}">
              <a16:predDERef xmlns:a16="http://schemas.microsoft.com/office/drawing/2014/main" pred="{B71D72DC-CF4E-45BD-8615-71C9F28F120D}"/>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667000" y="58059216"/>
          <a:ext cx="4467225" cy="1472033"/>
        </a:xfrm>
        <a:prstGeom prst="rect">
          <a:avLst/>
        </a:prstGeom>
      </xdr:spPr>
    </xdr:pic>
    <xdr:clientData/>
  </xdr:twoCellAnchor>
  <xdr:twoCellAnchor editAs="oneCell">
    <xdr:from>
      <xdr:col>10</xdr:col>
      <xdr:colOff>66675</xdr:colOff>
      <xdr:row>306</xdr:row>
      <xdr:rowOff>19050</xdr:rowOff>
    </xdr:from>
    <xdr:to>
      <xdr:col>11</xdr:col>
      <xdr:colOff>876300</xdr:colOff>
      <xdr:row>309</xdr:row>
      <xdr:rowOff>142875</xdr:rowOff>
    </xdr:to>
    <xdr:pic>
      <xdr:nvPicPr>
        <xdr:cNvPr id="5" name="Picture 4">
          <a:extLst>
            <a:ext uri="{FF2B5EF4-FFF2-40B4-BE49-F238E27FC236}">
              <a16:creationId xmlns:a16="http://schemas.microsoft.com/office/drawing/2014/main" id="{B0F42CDE-9377-6072-B50B-C23436425F92}"/>
            </a:ext>
            <a:ext uri="{147F2762-F138-4A5C-976F-8EAC2B608ADB}">
              <a16:predDERef xmlns:a16="http://schemas.microsoft.com/office/drawing/2014/main" pred="{44CC579E-22D0-6669-A470-DBB15695BF96}"/>
            </a:ext>
          </a:extLst>
        </xdr:cNvPr>
        <xdr:cNvPicPr>
          <a:picLocks noChangeAspect="1"/>
        </xdr:cNvPicPr>
      </xdr:nvPicPr>
      <xdr:blipFill>
        <a:blip xmlns:r="http://schemas.openxmlformats.org/officeDocument/2006/relationships" r:embed="rId3"/>
        <a:stretch>
          <a:fillRect/>
        </a:stretch>
      </xdr:blipFill>
      <xdr:spPr>
        <a:xfrm>
          <a:off x="11544300" y="54444900"/>
          <a:ext cx="1866900" cy="695325"/>
        </a:xfrm>
        <a:prstGeom prst="rect">
          <a:avLst/>
        </a:prstGeom>
      </xdr:spPr>
    </xdr:pic>
    <xdr:clientData/>
  </xdr:twoCellAnchor>
  <xdr:twoCellAnchor editAs="oneCell">
    <xdr:from>
      <xdr:col>7</xdr:col>
      <xdr:colOff>417195</xdr:colOff>
      <xdr:row>215</xdr:row>
      <xdr:rowOff>5715</xdr:rowOff>
    </xdr:from>
    <xdr:to>
      <xdr:col>9</xdr:col>
      <xdr:colOff>1096943</xdr:colOff>
      <xdr:row>227</xdr:row>
      <xdr:rowOff>57150</xdr:rowOff>
    </xdr:to>
    <xdr:pic>
      <xdr:nvPicPr>
        <xdr:cNvPr id="13" name="Picture 3">
          <a:extLst>
            <a:ext uri="{FF2B5EF4-FFF2-40B4-BE49-F238E27FC236}">
              <a16:creationId xmlns:a16="http://schemas.microsoft.com/office/drawing/2014/main" id="{AB8DB8B9-2890-94F9-5548-54E7A214DC48}"/>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9704070" y="40686990"/>
          <a:ext cx="3232448" cy="2259330"/>
        </a:xfrm>
        <a:prstGeom prst="rect">
          <a:avLst/>
        </a:prstGeom>
      </xdr:spPr>
    </xdr:pic>
    <xdr:clientData/>
  </xdr:twoCellAnchor>
  <xdr:twoCellAnchor editAs="oneCell">
    <xdr:from>
      <xdr:col>7</xdr:col>
      <xdr:colOff>0</xdr:colOff>
      <xdr:row>437</xdr:row>
      <xdr:rowOff>0</xdr:rowOff>
    </xdr:from>
    <xdr:to>
      <xdr:col>9</xdr:col>
      <xdr:colOff>1400727</xdr:colOff>
      <xdr:row>439</xdr:row>
      <xdr:rowOff>159458</xdr:rowOff>
    </xdr:to>
    <xdr:pic>
      <xdr:nvPicPr>
        <xdr:cNvPr id="16" name="Picture 5">
          <a:extLst>
            <a:ext uri="{FF2B5EF4-FFF2-40B4-BE49-F238E27FC236}">
              <a16:creationId xmlns:a16="http://schemas.microsoft.com/office/drawing/2014/main" id="{51DB27C4-B880-FAE2-3F89-94107F4B4F3C}"/>
            </a:ext>
          </a:extLst>
        </xdr:cNvPr>
        <xdr:cNvPicPr>
          <a:picLocks noChangeAspect="1"/>
        </xdr:cNvPicPr>
      </xdr:nvPicPr>
      <xdr:blipFill>
        <a:blip xmlns:r="http://schemas.openxmlformats.org/officeDocument/2006/relationships" r:embed="rId5"/>
        <a:stretch>
          <a:fillRect/>
        </a:stretch>
      </xdr:blipFill>
      <xdr:spPr>
        <a:xfrm>
          <a:off x="9683750" y="82253667"/>
          <a:ext cx="3953427" cy="523948"/>
        </a:xfrm>
        <a:prstGeom prst="rect">
          <a:avLst/>
        </a:prstGeom>
      </xdr:spPr>
    </xdr:pic>
    <xdr:clientData/>
  </xdr:twoCellAnchor>
  <xdr:twoCellAnchor editAs="oneCell">
    <xdr:from>
      <xdr:col>8</xdr:col>
      <xdr:colOff>361739</xdr:colOff>
      <xdr:row>492</xdr:row>
      <xdr:rowOff>69253</xdr:rowOff>
    </xdr:from>
    <xdr:to>
      <xdr:col>9</xdr:col>
      <xdr:colOff>1171787</xdr:colOff>
      <xdr:row>502</xdr:row>
      <xdr:rowOff>92587</xdr:rowOff>
    </xdr:to>
    <xdr:pic>
      <xdr:nvPicPr>
        <xdr:cNvPr id="29" name="Picture 6">
          <a:extLst>
            <a:ext uri="{FF2B5EF4-FFF2-40B4-BE49-F238E27FC236}">
              <a16:creationId xmlns:a16="http://schemas.microsoft.com/office/drawing/2014/main" id="{40A6BA62-30DA-453F-E7E4-AE2BAF4A0049}"/>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1135572" y="93890503"/>
          <a:ext cx="2259118" cy="1866739"/>
        </a:xfrm>
        <a:prstGeom prst="rect">
          <a:avLst/>
        </a:prstGeom>
      </xdr:spPr>
    </xdr:pic>
    <xdr:clientData/>
  </xdr:twoCellAnchor>
  <xdr:twoCellAnchor editAs="oneCell">
    <xdr:from>
      <xdr:col>9</xdr:col>
      <xdr:colOff>243416</xdr:colOff>
      <xdr:row>505</xdr:row>
      <xdr:rowOff>47178</xdr:rowOff>
    </xdr:from>
    <xdr:to>
      <xdr:col>9</xdr:col>
      <xdr:colOff>1083309</xdr:colOff>
      <xdr:row>514</xdr:row>
      <xdr:rowOff>137531</xdr:rowOff>
    </xdr:to>
    <xdr:pic>
      <xdr:nvPicPr>
        <xdr:cNvPr id="31" name="Picture 7">
          <a:extLst>
            <a:ext uri="{FF2B5EF4-FFF2-40B4-BE49-F238E27FC236}">
              <a16:creationId xmlns:a16="http://schemas.microsoft.com/office/drawing/2014/main" id="{EA4F00D1-4425-B497-81F1-33A4F01A142B}"/>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12435416" y="96207345"/>
          <a:ext cx="839893" cy="1751513"/>
        </a:xfrm>
        <a:prstGeom prst="rect">
          <a:avLst/>
        </a:prstGeom>
      </xdr:spPr>
    </xdr:pic>
    <xdr:clientData/>
  </xdr:twoCellAnchor>
  <xdr:twoCellAnchor editAs="oneCell">
    <xdr:from>
      <xdr:col>4</xdr:col>
      <xdr:colOff>67309</xdr:colOff>
      <xdr:row>520</xdr:row>
      <xdr:rowOff>30693</xdr:rowOff>
    </xdr:from>
    <xdr:to>
      <xdr:col>5</xdr:col>
      <xdr:colOff>1054824</xdr:colOff>
      <xdr:row>522</xdr:row>
      <xdr:rowOff>152189</xdr:rowOff>
    </xdr:to>
    <xdr:pic>
      <xdr:nvPicPr>
        <xdr:cNvPr id="30" name="Picture 8">
          <a:extLst>
            <a:ext uri="{FF2B5EF4-FFF2-40B4-BE49-F238E27FC236}">
              <a16:creationId xmlns:a16="http://schemas.microsoft.com/office/drawing/2014/main" id="{8E199D61-2120-9B0D-CBFE-25B98E0F6368}"/>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5348392" y="98889610"/>
          <a:ext cx="2659470" cy="485986"/>
        </a:xfrm>
        <a:prstGeom prst="rect">
          <a:avLst/>
        </a:prstGeom>
      </xdr:spPr>
    </xdr:pic>
    <xdr:clientData/>
  </xdr:twoCellAnchor>
  <xdr:twoCellAnchor editAs="oneCell">
    <xdr:from>
      <xdr:col>8</xdr:col>
      <xdr:colOff>296877</xdr:colOff>
      <xdr:row>643</xdr:row>
      <xdr:rowOff>24976</xdr:rowOff>
    </xdr:from>
    <xdr:to>
      <xdr:col>9</xdr:col>
      <xdr:colOff>1009673</xdr:colOff>
      <xdr:row>650</xdr:row>
      <xdr:rowOff>32808</xdr:rowOff>
    </xdr:to>
    <xdr:pic>
      <xdr:nvPicPr>
        <xdr:cNvPr id="35" name="Picture 9">
          <a:extLst>
            <a:ext uri="{FF2B5EF4-FFF2-40B4-BE49-F238E27FC236}">
              <a16:creationId xmlns:a16="http://schemas.microsoft.com/office/drawing/2014/main" id="{C0109455-DD52-E95C-9922-ED8DF29DF6B4}"/>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1070710" y="121013643"/>
          <a:ext cx="2152341" cy="128926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415290</xdr:colOff>
      <xdr:row>44</xdr:row>
      <xdr:rowOff>110491</xdr:rowOff>
    </xdr:from>
    <xdr:to>
      <xdr:col>9</xdr:col>
      <xdr:colOff>535305</xdr:colOff>
      <xdr:row>47</xdr:row>
      <xdr:rowOff>132669</xdr:rowOff>
    </xdr:to>
    <xdr:pic>
      <xdr:nvPicPr>
        <xdr:cNvPr id="2" name="Picture 1">
          <a:extLst>
            <a:ext uri="{FF2B5EF4-FFF2-40B4-BE49-F238E27FC236}">
              <a16:creationId xmlns:a16="http://schemas.microsoft.com/office/drawing/2014/main" id="{6E7FA930-9E87-B1FC-7E19-E833224F0E82}"/>
            </a:ext>
          </a:extLst>
        </xdr:cNvPr>
        <xdr:cNvPicPr>
          <a:picLocks noChangeAspect="1"/>
        </xdr:cNvPicPr>
      </xdr:nvPicPr>
      <xdr:blipFill>
        <a:blip xmlns:r="http://schemas.openxmlformats.org/officeDocument/2006/relationships" r:embed="rId1"/>
        <a:stretch>
          <a:fillRect/>
        </a:stretch>
      </xdr:blipFill>
      <xdr:spPr>
        <a:xfrm>
          <a:off x="3196590" y="8597266"/>
          <a:ext cx="6501765" cy="572723"/>
        </a:xfrm>
        <a:prstGeom prst="rect">
          <a:avLst/>
        </a:prstGeom>
      </xdr:spPr>
    </xdr:pic>
    <xdr:clientData/>
  </xdr:twoCellAnchor>
  <xdr:twoCellAnchor editAs="oneCell">
    <xdr:from>
      <xdr:col>7</xdr:col>
      <xdr:colOff>130910</xdr:colOff>
      <xdr:row>60</xdr:row>
      <xdr:rowOff>508</xdr:rowOff>
    </xdr:from>
    <xdr:to>
      <xdr:col>7</xdr:col>
      <xdr:colOff>928269</xdr:colOff>
      <xdr:row>65</xdr:row>
      <xdr:rowOff>127331</xdr:rowOff>
    </xdr:to>
    <xdr:pic>
      <xdr:nvPicPr>
        <xdr:cNvPr id="21" name="Picture 2">
          <a:extLst>
            <a:ext uri="{FF2B5EF4-FFF2-40B4-BE49-F238E27FC236}">
              <a16:creationId xmlns:a16="http://schemas.microsoft.com/office/drawing/2014/main" id="{F9B3F9C8-D4C3-0939-3CE3-E0A6BCEF29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50540" y="11770095"/>
          <a:ext cx="804979" cy="1051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28575</xdr:colOff>
      <xdr:row>44</xdr:row>
      <xdr:rowOff>57150</xdr:rowOff>
    </xdr:from>
    <xdr:to>
      <xdr:col>7</xdr:col>
      <xdr:colOff>643429</xdr:colOff>
      <xdr:row>76</xdr:row>
      <xdr:rowOff>177165</xdr:rowOff>
    </xdr:to>
    <xdr:pic>
      <xdr:nvPicPr>
        <xdr:cNvPr id="2" name="Picture 1">
          <a:extLst>
            <a:ext uri="{FF2B5EF4-FFF2-40B4-BE49-F238E27FC236}">
              <a16:creationId xmlns:a16="http://schemas.microsoft.com/office/drawing/2014/main" id="{FD566EE3-22D2-15E4-1A48-7A93A71CC1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857375" y="13230225"/>
          <a:ext cx="7096125" cy="6200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76201</xdr:colOff>
      <xdr:row>117</xdr:row>
      <xdr:rowOff>6752</xdr:rowOff>
    </xdr:from>
    <xdr:to>
      <xdr:col>13</xdr:col>
      <xdr:colOff>148591</xdr:colOff>
      <xdr:row>118</xdr:row>
      <xdr:rowOff>3660</xdr:rowOff>
    </xdr:to>
    <xdr:pic>
      <xdr:nvPicPr>
        <xdr:cNvPr id="3" name="Picture 2">
          <a:extLst>
            <a:ext uri="{FF2B5EF4-FFF2-40B4-BE49-F238E27FC236}">
              <a16:creationId xmlns:a16="http://schemas.microsoft.com/office/drawing/2014/main" id="{B947E7B8-4C55-D807-6491-84AB5DD1752C}"/>
            </a:ext>
          </a:extLst>
        </xdr:cNvPr>
        <xdr:cNvPicPr>
          <a:picLocks noChangeAspect="1"/>
        </xdr:cNvPicPr>
      </xdr:nvPicPr>
      <xdr:blipFill>
        <a:blip xmlns:r="http://schemas.openxmlformats.org/officeDocument/2006/relationships" r:embed="rId2"/>
        <a:stretch>
          <a:fillRect/>
        </a:stretch>
      </xdr:blipFill>
      <xdr:spPr>
        <a:xfrm>
          <a:off x="10096501" y="27133952"/>
          <a:ext cx="3105150" cy="698199"/>
        </a:xfrm>
        <a:prstGeom prst="rect">
          <a:avLst/>
        </a:prstGeom>
      </xdr:spPr>
    </xdr:pic>
    <xdr:clientData/>
  </xdr:twoCellAnchor>
  <xdr:twoCellAnchor editAs="oneCell">
    <xdr:from>
      <xdr:col>16</xdr:col>
      <xdr:colOff>28574</xdr:colOff>
      <xdr:row>201</xdr:row>
      <xdr:rowOff>104777</xdr:rowOff>
    </xdr:from>
    <xdr:to>
      <xdr:col>26</xdr:col>
      <xdr:colOff>567690</xdr:colOff>
      <xdr:row>227</xdr:row>
      <xdr:rowOff>33671</xdr:rowOff>
    </xdr:to>
    <xdr:pic>
      <xdr:nvPicPr>
        <xdr:cNvPr id="4" name="Picture 3">
          <a:extLst>
            <a:ext uri="{FF2B5EF4-FFF2-40B4-BE49-F238E27FC236}">
              <a16:creationId xmlns:a16="http://schemas.microsoft.com/office/drawing/2014/main" id="{47C9393D-E5F8-807B-BD01-110552349BBD}"/>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13065918" y="51563590"/>
          <a:ext cx="7003257" cy="5296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9525</xdr:colOff>
      <xdr:row>163</xdr:row>
      <xdr:rowOff>61578</xdr:rowOff>
    </xdr:from>
    <xdr:to>
      <xdr:col>41</xdr:col>
      <xdr:colOff>495300</xdr:colOff>
      <xdr:row>184</xdr:row>
      <xdr:rowOff>110661</xdr:rowOff>
    </xdr:to>
    <xdr:pic>
      <xdr:nvPicPr>
        <xdr:cNvPr id="6" name="Picture 5">
          <a:extLst>
            <a:ext uri="{FF2B5EF4-FFF2-40B4-BE49-F238E27FC236}">
              <a16:creationId xmlns:a16="http://schemas.microsoft.com/office/drawing/2014/main" id="{84DBBA02-DE63-6DC8-B0BA-05B9A30E780A}"/>
            </a:ext>
          </a:extLst>
        </xdr:cNvPr>
        <xdr:cNvPicPr>
          <a:picLocks noChangeAspect="1"/>
        </xdr:cNvPicPr>
      </xdr:nvPicPr>
      <xdr:blipFill>
        <a:blip xmlns:r="http://schemas.openxmlformats.org/officeDocument/2006/relationships" r:embed="rId4"/>
        <a:stretch>
          <a:fillRect/>
        </a:stretch>
      </xdr:blipFill>
      <xdr:spPr>
        <a:xfrm>
          <a:off x="19717616" y="39356533"/>
          <a:ext cx="10675793" cy="8079177"/>
        </a:xfrm>
        <a:prstGeom prst="rect">
          <a:avLst/>
        </a:prstGeom>
      </xdr:spPr>
    </xdr:pic>
    <xdr:clientData/>
  </xdr:twoCellAnchor>
  <xdr:twoCellAnchor editAs="oneCell">
    <xdr:from>
      <xdr:col>6</xdr:col>
      <xdr:colOff>0</xdr:colOff>
      <xdr:row>365</xdr:row>
      <xdr:rowOff>0</xdr:rowOff>
    </xdr:from>
    <xdr:to>
      <xdr:col>9</xdr:col>
      <xdr:colOff>643961</xdr:colOff>
      <xdr:row>367</xdr:row>
      <xdr:rowOff>177620</xdr:rowOff>
    </xdr:to>
    <xdr:pic>
      <xdr:nvPicPr>
        <xdr:cNvPr id="5" name="Picture 4">
          <a:extLst>
            <a:ext uri="{FF2B5EF4-FFF2-40B4-BE49-F238E27FC236}">
              <a16:creationId xmlns:a16="http://schemas.microsoft.com/office/drawing/2014/main" id="{A4EBA4A3-9E90-4B6B-C280-6C5642056DF2}"/>
            </a:ext>
          </a:extLst>
        </xdr:cNvPr>
        <xdr:cNvPicPr>
          <a:picLocks noChangeAspect="1"/>
        </xdr:cNvPicPr>
      </xdr:nvPicPr>
      <xdr:blipFill>
        <a:blip xmlns:r="http://schemas.openxmlformats.org/officeDocument/2006/relationships" r:embed="rId5"/>
        <a:stretch>
          <a:fillRect/>
        </a:stretch>
      </xdr:blipFill>
      <xdr:spPr>
        <a:xfrm>
          <a:off x="8331758" y="83139643"/>
          <a:ext cx="3962953" cy="562053"/>
        </a:xfrm>
        <a:prstGeom prst="rect">
          <a:avLst/>
        </a:prstGeom>
      </xdr:spPr>
    </xdr:pic>
    <xdr:clientData/>
  </xdr:twoCellAnchor>
  <xdr:twoCellAnchor editAs="oneCell">
    <xdr:from>
      <xdr:col>4</xdr:col>
      <xdr:colOff>177939</xdr:colOff>
      <xdr:row>441</xdr:row>
      <xdr:rowOff>52335</xdr:rowOff>
    </xdr:from>
    <xdr:to>
      <xdr:col>6</xdr:col>
      <xdr:colOff>452720</xdr:colOff>
      <xdr:row>445</xdr:row>
      <xdr:rowOff>41010</xdr:rowOff>
    </xdr:to>
    <xdr:pic>
      <xdr:nvPicPr>
        <xdr:cNvPr id="8" name="Picture 6">
          <a:extLst>
            <a:ext uri="{FF2B5EF4-FFF2-40B4-BE49-F238E27FC236}">
              <a16:creationId xmlns:a16="http://schemas.microsoft.com/office/drawing/2014/main" id="{95081EAB-FC77-03BE-BB29-4055B9339060}"/>
            </a:ext>
          </a:extLst>
        </xdr:cNvPr>
        <xdr:cNvPicPr>
          <a:picLocks noChangeAspect="1"/>
        </xdr:cNvPicPr>
      </xdr:nvPicPr>
      <xdr:blipFill>
        <a:blip xmlns:r="http://schemas.openxmlformats.org/officeDocument/2006/relationships" r:embed="rId6"/>
        <a:stretch>
          <a:fillRect/>
        </a:stretch>
      </xdr:blipFill>
      <xdr:spPr>
        <a:xfrm>
          <a:off x="5484725" y="98923928"/>
          <a:ext cx="3305636" cy="7525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27818</xdr:colOff>
      <xdr:row>19</xdr:row>
      <xdr:rowOff>19353</xdr:rowOff>
    </xdr:from>
    <xdr:to>
      <xdr:col>11</xdr:col>
      <xdr:colOff>574512</xdr:colOff>
      <xdr:row>32</xdr:row>
      <xdr:rowOff>109946</xdr:rowOff>
    </xdr:to>
    <xdr:pic>
      <xdr:nvPicPr>
        <xdr:cNvPr id="2" name="Picture 1">
          <a:extLst>
            <a:ext uri="{FF2B5EF4-FFF2-40B4-BE49-F238E27FC236}">
              <a16:creationId xmlns:a16="http://schemas.microsoft.com/office/drawing/2014/main" id="{6815E19E-7938-24E7-3ECB-C574570ED89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856618" y="3829353"/>
          <a:ext cx="8074709" cy="2473476"/>
        </a:xfrm>
        <a:prstGeom prst="rect">
          <a:avLst/>
        </a:prstGeom>
      </xdr:spPr>
    </xdr:pic>
    <xdr:clientData/>
  </xdr:twoCellAnchor>
  <xdr:twoCellAnchor editAs="oneCell">
    <xdr:from>
      <xdr:col>2</xdr:col>
      <xdr:colOff>587827</xdr:colOff>
      <xdr:row>49</xdr:row>
      <xdr:rowOff>32657</xdr:rowOff>
    </xdr:from>
    <xdr:to>
      <xdr:col>9</xdr:col>
      <xdr:colOff>225518</xdr:colOff>
      <xdr:row>58</xdr:row>
      <xdr:rowOff>116632</xdr:rowOff>
    </xdr:to>
    <xdr:pic>
      <xdr:nvPicPr>
        <xdr:cNvPr id="3" name="Picture 2">
          <a:extLst>
            <a:ext uri="{FF2B5EF4-FFF2-40B4-BE49-F238E27FC236}">
              <a16:creationId xmlns:a16="http://schemas.microsoft.com/office/drawing/2014/main" id="{6A093DCD-6784-C2F9-2C32-819BF23B41E4}"/>
            </a:ext>
          </a:extLst>
        </xdr:cNvPr>
        <xdr:cNvPicPr>
          <a:picLocks noChangeAspect="1"/>
        </xdr:cNvPicPr>
      </xdr:nvPicPr>
      <xdr:blipFill>
        <a:blip xmlns:r="http://schemas.openxmlformats.org/officeDocument/2006/relationships" r:embed="rId2"/>
        <a:stretch>
          <a:fillRect/>
        </a:stretch>
      </xdr:blipFill>
      <xdr:spPr>
        <a:xfrm>
          <a:off x="1800807" y="9472126"/>
          <a:ext cx="7685713" cy="1763486"/>
        </a:xfrm>
        <a:prstGeom prst="rect">
          <a:avLst/>
        </a:prstGeom>
      </xdr:spPr>
    </xdr:pic>
    <xdr:clientData/>
  </xdr:twoCellAnchor>
  <xdr:twoCellAnchor editAs="oneCell">
    <xdr:from>
      <xdr:col>2</xdr:col>
      <xdr:colOff>590939</xdr:colOff>
      <xdr:row>67</xdr:row>
      <xdr:rowOff>31102</xdr:rowOff>
    </xdr:from>
    <xdr:to>
      <xdr:col>8</xdr:col>
      <xdr:colOff>605383</xdr:colOff>
      <xdr:row>74</xdr:row>
      <xdr:rowOff>149275</xdr:rowOff>
    </xdr:to>
    <xdr:pic>
      <xdr:nvPicPr>
        <xdr:cNvPr id="4" name="Picture 3">
          <a:extLst>
            <a:ext uri="{FF2B5EF4-FFF2-40B4-BE49-F238E27FC236}">
              <a16:creationId xmlns:a16="http://schemas.microsoft.com/office/drawing/2014/main" id="{D410B9E3-06BE-CC98-EC27-623CF2406BCF}"/>
            </a:ext>
          </a:extLst>
        </xdr:cNvPr>
        <xdr:cNvPicPr>
          <a:picLocks noChangeAspect="1"/>
        </xdr:cNvPicPr>
      </xdr:nvPicPr>
      <xdr:blipFill>
        <a:blip xmlns:r="http://schemas.openxmlformats.org/officeDocument/2006/relationships" r:embed="rId3"/>
        <a:stretch>
          <a:fillRect/>
        </a:stretch>
      </xdr:blipFill>
      <xdr:spPr>
        <a:xfrm>
          <a:off x="1803919" y="12829592"/>
          <a:ext cx="7324532" cy="1424459"/>
        </a:xfrm>
        <a:prstGeom prst="rect">
          <a:avLst/>
        </a:prstGeom>
      </xdr:spPr>
    </xdr:pic>
    <xdr:clientData/>
  </xdr:twoCellAnchor>
  <xdr:twoCellAnchor editAs="oneCell">
    <xdr:from>
      <xdr:col>2</xdr:col>
      <xdr:colOff>489857</xdr:colOff>
      <xdr:row>87</xdr:row>
      <xdr:rowOff>178835</xdr:rowOff>
    </xdr:from>
    <xdr:to>
      <xdr:col>5</xdr:col>
      <xdr:colOff>1413651</xdr:colOff>
      <xdr:row>94</xdr:row>
      <xdr:rowOff>177789</xdr:rowOff>
    </xdr:to>
    <xdr:pic>
      <xdr:nvPicPr>
        <xdr:cNvPr id="5" name="Picture 4">
          <a:extLst>
            <a:ext uri="{FF2B5EF4-FFF2-40B4-BE49-F238E27FC236}">
              <a16:creationId xmlns:a16="http://schemas.microsoft.com/office/drawing/2014/main" id="{412D3516-13CD-E45C-CBDD-DC43D3E708D9}"/>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1702837" y="16709570"/>
          <a:ext cx="4877223" cy="1293809"/>
        </a:xfrm>
        <a:prstGeom prst="rect">
          <a:avLst/>
        </a:prstGeom>
      </xdr:spPr>
    </xdr:pic>
    <xdr:clientData/>
  </xdr:twoCellAnchor>
  <xdr:twoCellAnchor editAs="oneCell">
    <xdr:from>
      <xdr:col>2</xdr:col>
      <xdr:colOff>598713</xdr:colOff>
      <xdr:row>106</xdr:row>
      <xdr:rowOff>54909</xdr:rowOff>
    </xdr:from>
    <xdr:to>
      <xdr:col>8</xdr:col>
      <xdr:colOff>461145</xdr:colOff>
      <xdr:row>118</xdr:row>
      <xdr:rowOff>110355</xdr:rowOff>
    </xdr:to>
    <xdr:pic>
      <xdr:nvPicPr>
        <xdr:cNvPr id="6" name="Picture 5">
          <a:extLst>
            <a:ext uri="{FF2B5EF4-FFF2-40B4-BE49-F238E27FC236}">
              <a16:creationId xmlns:a16="http://schemas.microsoft.com/office/drawing/2014/main" id="{BB3C7DCA-40E6-3CB3-099F-5C3FEC0D98CB}"/>
            </a:ext>
          </a:extLst>
        </xdr:cNvPr>
        <xdr:cNvPicPr>
          <a:picLocks noChangeAspect="1"/>
        </xdr:cNvPicPr>
      </xdr:nvPicPr>
      <xdr:blipFill>
        <a:blip xmlns:r="http://schemas.openxmlformats.org/officeDocument/2006/relationships" r:embed="rId5"/>
        <a:stretch>
          <a:fillRect/>
        </a:stretch>
      </xdr:blipFill>
      <xdr:spPr>
        <a:xfrm>
          <a:off x="1811693" y="20139052"/>
          <a:ext cx="7153470" cy="2285268"/>
        </a:xfrm>
        <a:prstGeom prst="rect">
          <a:avLst/>
        </a:prstGeom>
      </xdr:spPr>
    </xdr:pic>
    <xdr:clientData/>
  </xdr:twoCellAnchor>
  <xdr:twoCellAnchor editAs="oneCell">
    <xdr:from>
      <xdr:col>4</xdr:col>
      <xdr:colOff>31101</xdr:colOff>
      <xdr:row>143</xdr:row>
      <xdr:rowOff>33649</xdr:rowOff>
    </xdr:from>
    <xdr:to>
      <xdr:col>6</xdr:col>
      <xdr:colOff>644560</xdr:colOff>
      <xdr:row>153</xdr:row>
      <xdr:rowOff>1716</xdr:rowOff>
    </xdr:to>
    <xdr:pic>
      <xdr:nvPicPr>
        <xdr:cNvPr id="9" name="Picture 8">
          <a:extLst>
            <a:ext uri="{FF2B5EF4-FFF2-40B4-BE49-F238E27FC236}">
              <a16:creationId xmlns:a16="http://schemas.microsoft.com/office/drawing/2014/main" id="{EDF40753-C601-7A28-BA3C-DB8DD71758DB}"/>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2457060" y="27582282"/>
          <a:ext cx="3663948" cy="1834189"/>
        </a:xfrm>
        <a:prstGeom prst="rect">
          <a:avLst/>
        </a:prstGeom>
      </xdr:spPr>
    </xdr:pic>
    <xdr:clientData/>
  </xdr:twoCellAnchor>
  <xdr:twoCellAnchor editAs="oneCell">
    <xdr:from>
      <xdr:col>8</xdr:col>
      <xdr:colOff>315059</xdr:colOff>
      <xdr:row>229</xdr:row>
      <xdr:rowOff>36633</xdr:rowOff>
    </xdr:from>
    <xdr:to>
      <xdr:col>11</xdr:col>
      <xdr:colOff>612678</xdr:colOff>
      <xdr:row>241</xdr:row>
      <xdr:rowOff>34742</xdr:rowOff>
    </xdr:to>
    <xdr:pic>
      <xdr:nvPicPr>
        <xdr:cNvPr id="14" name="Picture 6">
          <a:extLst>
            <a:ext uri="{FF2B5EF4-FFF2-40B4-BE49-F238E27FC236}">
              <a16:creationId xmlns:a16="http://schemas.microsoft.com/office/drawing/2014/main" id="{8E30EFD4-D4AB-4955-6849-CEEBC471155D}"/>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10272347" y="44349864"/>
          <a:ext cx="2322634" cy="2280299"/>
        </a:xfrm>
        <a:prstGeom prst="rect">
          <a:avLst/>
        </a:prstGeom>
      </xdr:spPr>
    </xdr:pic>
    <xdr:clientData/>
  </xdr:twoCellAnchor>
  <xdr:twoCellAnchor editAs="oneCell">
    <xdr:from>
      <xdr:col>6</xdr:col>
      <xdr:colOff>14654</xdr:colOff>
      <xdr:row>247</xdr:row>
      <xdr:rowOff>14655</xdr:rowOff>
    </xdr:from>
    <xdr:to>
      <xdr:col>11</xdr:col>
      <xdr:colOff>613703</xdr:colOff>
      <xdr:row>257</xdr:row>
      <xdr:rowOff>118549</xdr:rowOff>
    </xdr:to>
    <xdr:pic>
      <xdr:nvPicPr>
        <xdr:cNvPr id="17" name="Picture 7">
          <a:extLst>
            <a:ext uri="{FF2B5EF4-FFF2-40B4-BE49-F238E27FC236}">
              <a16:creationId xmlns:a16="http://schemas.microsoft.com/office/drawing/2014/main" id="{183CB067-7476-0FDB-2440-87584825DD26}"/>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8147539" y="47756886"/>
          <a:ext cx="4454769" cy="2008894"/>
        </a:xfrm>
        <a:prstGeom prst="rect">
          <a:avLst/>
        </a:prstGeom>
      </xdr:spPr>
    </xdr:pic>
    <xdr:clientData/>
  </xdr:twoCellAnchor>
  <xdr:twoCellAnchor editAs="oneCell">
    <xdr:from>
      <xdr:col>12</xdr:col>
      <xdr:colOff>227135</xdr:colOff>
      <xdr:row>247</xdr:row>
      <xdr:rowOff>43961</xdr:rowOff>
    </xdr:from>
    <xdr:to>
      <xdr:col>18</xdr:col>
      <xdr:colOff>118696</xdr:colOff>
      <xdr:row>257</xdr:row>
      <xdr:rowOff>176461</xdr:rowOff>
    </xdr:to>
    <xdr:pic>
      <xdr:nvPicPr>
        <xdr:cNvPr id="21" name="Picture 9">
          <a:extLst>
            <a:ext uri="{FF2B5EF4-FFF2-40B4-BE49-F238E27FC236}">
              <a16:creationId xmlns:a16="http://schemas.microsoft.com/office/drawing/2014/main" id="{4CE7904C-EE9B-7843-20BD-F8315E22E469}"/>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2792808" y="47786192"/>
          <a:ext cx="3568211" cy="2045120"/>
        </a:xfrm>
        <a:prstGeom prst="rect">
          <a:avLst/>
        </a:prstGeom>
      </xdr:spPr>
    </xdr:pic>
    <xdr:clientData/>
  </xdr:twoCellAnchor>
  <xdr:twoCellAnchor editAs="oneCell">
    <xdr:from>
      <xdr:col>3</xdr:col>
      <xdr:colOff>110492</xdr:colOff>
      <xdr:row>352</xdr:row>
      <xdr:rowOff>68580</xdr:rowOff>
    </xdr:from>
    <xdr:to>
      <xdr:col>3</xdr:col>
      <xdr:colOff>2251711</xdr:colOff>
      <xdr:row>355</xdr:row>
      <xdr:rowOff>148153</xdr:rowOff>
    </xdr:to>
    <xdr:pic>
      <xdr:nvPicPr>
        <xdr:cNvPr id="7" name="Picture 6">
          <a:extLst>
            <a:ext uri="{FF2B5EF4-FFF2-40B4-BE49-F238E27FC236}">
              <a16:creationId xmlns:a16="http://schemas.microsoft.com/office/drawing/2014/main" id="{2A849AC4-F717-EE50-6749-5BA2094C05B3}"/>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3989072" y="72245220"/>
          <a:ext cx="2143124" cy="632023"/>
        </a:xfrm>
        <a:prstGeom prst="rect">
          <a:avLst/>
        </a:prstGeom>
      </xdr:spPr>
    </xdr:pic>
    <xdr:clientData/>
  </xdr:twoCellAnchor>
  <xdr:twoCellAnchor editAs="oneCell">
    <xdr:from>
      <xdr:col>3</xdr:col>
      <xdr:colOff>0</xdr:colOff>
      <xdr:row>372</xdr:row>
      <xdr:rowOff>0</xdr:rowOff>
    </xdr:from>
    <xdr:to>
      <xdr:col>5</xdr:col>
      <xdr:colOff>652124</xdr:colOff>
      <xdr:row>375</xdr:row>
      <xdr:rowOff>34374</xdr:rowOff>
    </xdr:to>
    <xdr:pic>
      <xdr:nvPicPr>
        <xdr:cNvPr id="8" name="Picture 7">
          <a:extLst>
            <a:ext uri="{FF2B5EF4-FFF2-40B4-BE49-F238E27FC236}">
              <a16:creationId xmlns:a16="http://schemas.microsoft.com/office/drawing/2014/main" id="{117B9D9A-6803-FDB6-5278-C9691B7C0A42}"/>
            </a:ext>
          </a:extLst>
        </xdr:cNvPr>
        <xdr:cNvPicPr>
          <a:picLocks noChangeAspect="1"/>
        </xdr:cNvPicPr>
      </xdr:nvPicPr>
      <xdr:blipFill>
        <a:blip xmlns:r="http://schemas.openxmlformats.org/officeDocument/2006/relationships" r:embed="rId11"/>
        <a:stretch>
          <a:fillRect/>
        </a:stretch>
      </xdr:blipFill>
      <xdr:spPr>
        <a:xfrm>
          <a:off x="3878580" y="75986640"/>
          <a:ext cx="4401164" cy="600159"/>
        </a:xfrm>
        <a:prstGeom prst="rect">
          <a:avLst/>
        </a:prstGeom>
      </xdr:spPr>
    </xdr:pic>
    <xdr:clientData/>
  </xdr:twoCellAnchor>
  <xdr:twoCellAnchor editAs="oneCell">
    <xdr:from>
      <xdr:col>3</xdr:col>
      <xdr:colOff>1</xdr:colOff>
      <xdr:row>396</xdr:row>
      <xdr:rowOff>0</xdr:rowOff>
    </xdr:from>
    <xdr:to>
      <xdr:col>4</xdr:col>
      <xdr:colOff>885826</xdr:colOff>
      <xdr:row>400</xdr:row>
      <xdr:rowOff>37458</xdr:rowOff>
    </xdr:to>
    <xdr:pic>
      <xdr:nvPicPr>
        <xdr:cNvPr id="10" name="Picture 9">
          <a:extLst>
            <a:ext uri="{FF2B5EF4-FFF2-40B4-BE49-F238E27FC236}">
              <a16:creationId xmlns:a16="http://schemas.microsoft.com/office/drawing/2014/main" id="{8C0608FC-C80D-1714-AF6F-559213F65B18}"/>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3876676" y="84610575"/>
          <a:ext cx="3162300" cy="799458"/>
        </a:xfrm>
        <a:prstGeom prst="rect">
          <a:avLst/>
        </a:prstGeom>
      </xdr:spPr>
    </xdr:pic>
    <xdr:clientData/>
  </xdr:twoCellAnchor>
  <xdr:twoCellAnchor editAs="oneCell">
    <xdr:from>
      <xdr:col>3</xdr:col>
      <xdr:colOff>19050</xdr:colOff>
      <xdr:row>441</xdr:row>
      <xdr:rowOff>123825</xdr:rowOff>
    </xdr:from>
    <xdr:to>
      <xdr:col>5</xdr:col>
      <xdr:colOff>342900</xdr:colOff>
      <xdr:row>444</xdr:row>
      <xdr:rowOff>126697</xdr:rowOff>
    </xdr:to>
    <xdr:pic>
      <xdr:nvPicPr>
        <xdr:cNvPr id="11" name="Picture 10">
          <a:extLst>
            <a:ext uri="{FF2B5EF4-FFF2-40B4-BE49-F238E27FC236}">
              <a16:creationId xmlns:a16="http://schemas.microsoft.com/office/drawing/2014/main" id="{BB6FFD29-AB3F-0063-3737-C168AB13B8BA}"/>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3895725" y="93306900"/>
          <a:ext cx="4067175" cy="5743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994079</xdr:colOff>
      <xdr:row>49</xdr:row>
      <xdr:rowOff>127055</xdr:rowOff>
    </xdr:from>
    <xdr:to>
      <xdr:col>3</xdr:col>
      <xdr:colOff>2189425</xdr:colOff>
      <xdr:row>56</xdr:row>
      <xdr:rowOff>54581</xdr:rowOff>
    </xdr:to>
    <xdr:pic>
      <xdr:nvPicPr>
        <xdr:cNvPr id="2" name="Picture 1">
          <a:extLst>
            <a:ext uri="{FF2B5EF4-FFF2-40B4-BE49-F238E27FC236}">
              <a16:creationId xmlns:a16="http://schemas.microsoft.com/office/drawing/2014/main" id="{797CA190-5BA8-B245-9C83-41340DD69CE8}"/>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2889140" y="11676325"/>
          <a:ext cx="2336026" cy="1266906"/>
        </a:xfrm>
        <a:prstGeom prst="rect">
          <a:avLst/>
        </a:prstGeom>
      </xdr:spPr>
    </xdr:pic>
    <xdr:clientData/>
  </xdr:twoCellAnchor>
  <xdr:twoCellAnchor editAs="oneCell">
    <xdr:from>
      <xdr:col>3</xdr:col>
      <xdr:colOff>55578</xdr:colOff>
      <xdr:row>66</xdr:row>
      <xdr:rowOff>143207</xdr:rowOff>
    </xdr:from>
    <xdr:to>
      <xdr:col>5</xdr:col>
      <xdr:colOff>1006254</xdr:colOff>
      <xdr:row>79</xdr:row>
      <xdr:rowOff>17809</xdr:rowOff>
    </xdr:to>
    <xdr:pic>
      <xdr:nvPicPr>
        <xdr:cNvPr id="3" name="Picture 2">
          <a:extLst>
            <a:ext uri="{FF2B5EF4-FFF2-40B4-BE49-F238E27FC236}">
              <a16:creationId xmlns:a16="http://schemas.microsoft.com/office/drawing/2014/main" id="{047EB2FE-5588-4FCD-99AA-6A611619A9A9}"/>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083700" y="14965764"/>
          <a:ext cx="5364562" cy="2392515"/>
        </a:xfrm>
        <a:prstGeom prst="rect">
          <a:avLst/>
        </a:prstGeom>
      </xdr:spPr>
    </xdr:pic>
    <xdr:clientData/>
  </xdr:twoCellAnchor>
  <xdr:twoCellAnchor editAs="oneCell">
    <xdr:from>
      <xdr:col>3</xdr:col>
      <xdr:colOff>26505</xdr:colOff>
      <xdr:row>87</xdr:row>
      <xdr:rowOff>86140</xdr:rowOff>
    </xdr:from>
    <xdr:to>
      <xdr:col>6</xdr:col>
      <xdr:colOff>171285</xdr:colOff>
      <xdr:row>97</xdr:row>
      <xdr:rowOff>117620</xdr:rowOff>
    </xdr:to>
    <xdr:pic>
      <xdr:nvPicPr>
        <xdr:cNvPr id="4" name="Picture 3">
          <a:extLst>
            <a:ext uri="{FF2B5EF4-FFF2-40B4-BE49-F238E27FC236}">
              <a16:creationId xmlns:a16="http://schemas.microsoft.com/office/drawing/2014/main" id="{F0E933CA-6CEA-56C5-CB75-EF9B2978567E}"/>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3054627" y="18963862"/>
          <a:ext cx="5625548" cy="1953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11206</xdr:colOff>
      <xdr:row>107</xdr:row>
      <xdr:rowOff>89647</xdr:rowOff>
    </xdr:from>
    <xdr:to>
      <xdr:col>5</xdr:col>
      <xdr:colOff>567808</xdr:colOff>
      <xdr:row>116</xdr:row>
      <xdr:rowOff>78441</xdr:rowOff>
    </xdr:to>
    <xdr:pic>
      <xdr:nvPicPr>
        <xdr:cNvPr id="5" name="Picture 4">
          <a:extLst>
            <a:ext uri="{FF2B5EF4-FFF2-40B4-BE49-F238E27FC236}">
              <a16:creationId xmlns:a16="http://schemas.microsoft.com/office/drawing/2014/main" id="{B09F3D0C-3FAD-2826-2645-9A9C8F9915B7}"/>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2510118" y="23521147"/>
          <a:ext cx="4993124" cy="1703294"/>
        </a:xfrm>
        <a:prstGeom prst="rect">
          <a:avLst/>
        </a:prstGeom>
      </xdr:spPr>
    </xdr:pic>
    <xdr:clientData/>
  </xdr:twoCellAnchor>
  <xdr:twoCellAnchor editAs="oneCell">
    <xdr:from>
      <xdr:col>3</xdr:col>
      <xdr:colOff>28575</xdr:colOff>
      <xdr:row>201</xdr:row>
      <xdr:rowOff>57151</xdr:rowOff>
    </xdr:from>
    <xdr:to>
      <xdr:col>4</xdr:col>
      <xdr:colOff>1241422</xdr:colOff>
      <xdr:row>211</xdr:row>
      <xdr:rowOff>135256</xdr:rowOff>
    </xdr:to>
    <xdr:pic>
      <xdr:nvPicPr>
        <xdr:cNvPr id="8" name="Picture 7">
          <a:extLst>
            <a:ext uri="{FF2B5EF4-FFF2-40B4-BE49-F238E27FC236}">
              <a16:creationId xmlns:a16="http://schemas.microsoft.com/office/drawing/2014/main" id="{390B947F-6B48-AC39-8012-A4E714C2AA4D}"/>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2533650" y="53482876"/>
          <a:ext cx="3415027" cy="1981200"/>
        </a:xfrm>
        <a:prstGeom prst="rect">
          <a:avLst/>
        </a:prstGeom>
      </xdr:spPr>
    </xdr:pic>
    <xdr:clientData/>
  </xdr:twoCellAnchor>
  <xdr:twoCellAnchor editAs="oneCell">
    <xdr:from>
      <xdr:col>3</xdr:col>
      <xdr:colOff>33617</xdr:colOff>
      <xdr:row>122</xdr:row>
      <xdr:rowOff>19285</xdr:rowOff>
    </xdr:from>
    <xdr:to>
      <xdr:col>6</xdr:col>
      <xdr:colOff>209213</xdr:colOff>
      <xdr:row>124</xdr:row>
      <xdr:rowOff>115621</xdr:rowOff>
    </xdr:to>
    <xdr:pic>
      <xdr:nvPicPr>
        <xdr:cNvPr id="11" name="Picture 8">
          <a:extLst>
            <a:ext uri="{FF2B5EF4-FFF2-40B4-BE49-F238E27FC236}">
              <a16:creationId xmlns:a16="http://schemas.microsoft.com/office/drawing/2014/main" id="{FC0F5512-05FA-087B-6C37-35AC6F366252}"/>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2532529" y="26308285"/>
          <a:ext cx="5793441" cy="462096"/>
        </a:xfrm>
        <a:prstGeom prst="rect">
          <a:avLst/>
        </a:prstGeom>
      </xdr:spPr>
    </xdr:pic>
    <xdr:clientData/>
  </xdr:twoCellAnchor>
  <xdr:twoCellAnchor editAs="oneCell">
    <xdr:from>
      <xdr:col>3</xdr:col>
      <xdr:colOff>19050</xdr:colOff>
      <xdr:row>250</xdr:row>
      <xdr:rowOff>95250</xdr:rowOff>
    </xdr:from>
    <xdr:to>
      <xdr:col>6</xdr:col>
      <xdr:colOff>935355</xdr:colOff>
      <xdr:row>257</xdr:row>
      <xdr:rowOff>63139</xdr:rowOff>
    </xdr:to>
    <xdr:pic>
      <xdr:nvPicPr>
        <xdr:cNvPr id="12" name="Picture 11">
          <a:extLst>
            <a:ext uri="{FF2B5EF4-FFF2-40B4-BE49-F238E27FC236}">
              <a16:creationId xmlns:a16="http://schemas.microsoft.com/office/drawing/2014/main" id="{DD4EDC9C-5142-401D-2D96-6FB746019F13}"/>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3114675" y="55340250"/>
          <a:ext cx="6564630" cy="1217568"/>
        </a:xfrm>
        <a:prstGeom prst="rect">
          <a:avLst/>
        </a:prstGeom>
      </xdr:spPr>
    </xdr:pic>
    <xdr:clientData/>
  </xdr:twoCellAnchor>
  <xdr:twoCellAnchor editAs="oneCell">
    <xdr:from>
      <xdr:col>2</xdr:col>
      <xdr:colOff>1161170</xdr:colOff>
      <xdr:row>279</xdr:row>
      <xdr:rowOff>0</xdr:rowOff>
    </xdr:from>
    <xdr:to>
      <xdr:col>6</xdr:col>
      <xdr:colOff>826039</xdr:colOff>
      <xdr:row>284</xdr:row>
      <xdr:rowOff>59636</xdr:rowOff>
    </xdr:to>
    <xdr:pic>
      <xdr:nvPicPr>
        <xdr:cNvPr id="13" name="Picture 12">
          <a:extLst>
            <a:ext uri="{FF2B5EF4-FFF2-40B4-BE49-F238E27FC236}">
              <a16:creationId xmlns:a16="http://schemas.microsoft.com/office/drawing/2014/main" id="{253FB06E-62EC-8A21-E36B-076499760F3F}"/>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3095478" y="62872327"/>
          <a:ext cx="6458830" cy="9602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19</xdr:row>
      <xdr:rowOff>0</xdr:rowOff>
    </xdr:from>
    <xdr:to>
      <xdr:col>8</xdr:col>
      <xdr:colOff>95911</xdr:colOff>
      <xdr:row>35</xdr:row>
      <xdr:rowOff>129540</xdr:rowOff>
    </xdr:to>
    <xdr:pic>
      <xdr:nvPicPr>
        <xdr:cNvPr id="2" name="Picture 1">
          <a:extLst>
            <a:ext uri="{FF2B5EF4-FFF2-40B4-BE49-F238E27FC236}">
              <a16:creationId xmlns:a16="http://schemas.microsoft.com/office/drawing/2014/main" id="{0E92C998-D8C0-F64C-12FB-2DB7559A999F}"/>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828800" y="4010025"/>
          <a:ext cx="6755791" cy="3019425"/>
        </a:xfrm>
        <a:prstGeom prst="rect">
          <a:avLst/>
        </a:prstGeom>
      </xdr:spPr>
    </xdr:pic>
    <xdr:clientData/>
  </xdr:twoCellAnchor>
  <xdr:twoCellAnchor editAs="oneCell">
    <xdr:from>
      <xdr:col>9</xdr:col>
      <xdr:colOff>457200</xdr:colOff>
      <xdr:row>20</xdr:row>
      <xdr:rowOff>140970</xdr:rowOff>
    </xdr:from>
    <xdr:to>
      <xdr:col>18</xdr:col>
      <xdr:colOff>101601</xdr:colOff>
      <xdr:row>23</xdr:row>
      <xdr:rowOff>59430</xdr:rowOff>
    </xdr:to>
    <xdr:pic>
      <xdr:nvPicPr>
        <xdr:cNvPr id="3" name="Picture 2">
          <a:extLst>
            <a:ext uri="{FF2B5EF4-FFF2-40B4-BE49-F238E27FC236}">
              <a16:creationId xmlns:a16="http://schemas.microsoft.com/office/drawing/2014/main" id="{FF4E08B1-EA49-E70F-1228-C2129BE5A165}"/>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9105900" y="4331970"/>
          <a:ext cx="5286375" cy="461385"/>
        </a:xfrm>
        <a:prstGeom prst="rect">
          <a:avLst/>
        </a:prstGeom>
      </xdr:spPr>
    </xdr:pic>
    <xdr:clientData/>
  </xdr:twoCellAnchor>
  <xdr:twoCellAnchor editAs="oneCell">
    <xdr:from>
      <xdr:col>3</xdr:col>
      <xdr:colOff>9525</xdr:colOff>
      <xdr:row>89</xdr:row>
      <xdr:rowOff>104775</xdr:rowOff>
    </xdr:from>
    <xdr:to>
      <xdr:col>4</xdr:col>
      <xdr:colOff>797086</xdr:colOff>
      <xdr:row>101</xdr:row>
      <xdr:rowOff>152400</xdr:rowOff>
    </xdr:to>
    <xdr:pic>
      <xdr:nvPicPr>
        <xdr:cNvPr id="4" name="Picture 3">
          <a:extLst>
            <a:ext uri="{FF2B5EF4-FFF2-40B4-BE49-F238E27FC236}">
              <a16:creationId xmlns:a16="http://schemas.microsoft.com/office/drawing/2014/main" id="{6D5426FB-B4FB-3161-9525-C56FDFD844C6}"/>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838325" y="19230975"/>
          <a:ext cx="4559461" cy="22193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158</xdr:row>
      <xdr:rowOff>9525</xdr:rowOff>
    </xdr:from>
    <xdr:to>
      <xdr:col>5</xdr:col>
      <xdr:colOff>800100</xdr:colOff>
      <xdr:row>162</xdr:row>
      <xdr:rowOff>46990</xdr:rowOff>
    </xdr:to>
    <xdr:pic>
      <xdr:nvPicPr>
        <xdr:cNvPr id="2" name="Picture 1">
          <a:extLst>
            <a:ext uri="{FF2B5EF4-FFF2-40B4-BE49-F238E27FC236}">
              <a16:creationId xmlns:a16="http://schemas.microsoft.com/office/drawing/2014/main" id="{408D2F2A-995F-F924-E473-1677775DF9AA}"/>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571750" y="20593050"/>
          <a:ext cx="4572000" cy="809625"/>
        </a:xfrm>
        <a:prstGeom prst="rect">
          <a:avLst/>
        </a:prstGeom>
      </xdr:spPr>
    </xdr:pic>
    <xdr:clientData/>
  </xdr:twoCellAnchor>
  <xdr:twoCellAnchor editAs="oneCell">
    <xdr:from>
      <xdr:col>3</xdr:col>
      <xdr:colOff>0</xdr:colOff>
      <xdr:row>193</xdr:row>
      <xdr:rowOff>0</xdr:rowOff>
    </xdr:from>
    <xdr:to>
      <xdr:col>4</xdr:col>
      <xdr:colOff>1181100</xdr:colOff>
      <xdr:row>194</xdr:row>
      <xdr:rowOff>135255</xdr:rowOff>
    </xdr:to>
    <xdr:pic>
      <xdr:nvPicPr>
        <xdr:cNvPr id="4" name="Picture 3">
          <a:extLst>
            <a:ext uri="{FF2B5EF4-FFF2-40B4-BE49-F238E27FC236}">
              <a16:creationId xmlns:a16="http://schemas.microsoft.com/office/drawing/2014/main" id="{15FA18F9-50A7-A033-20A6-889B4CD9F72C}"/>
            </a:ext>
            <a:ext uri="{147F2762-F138-4A5C-976F-8EAC2B608ADB}">
              <a16:predDERef xmlns:a16="http://schemas.microsoft.com/office/drawing/2014/main" pred="{408D2F2A-995F-F924-E473-1677775DF9AA}"/>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571750" y="27251025"/>
          <a:ext cx="3200400" cy="333375"/>
        </a:xfrm>
        <a:prstGeom prst="rect">
          <a:avLst/>
        </a:prstGeom>
      </xdr:spPr>
    </xdr:pic>
    <xdr:clientData/>
  </xdr:twoCellAnchor>
  <xdr:twoCellAnchor editAs="oneCell">
    <xdr:from>
      <xdr:col>3</xdr:col>
      <xdr:colOff>0</xdr:colOff>
      <xdr:row>207</xdr:row>
      <xdr:rowOff>19050</xdr:rowOff>
    </xdr:from>
    <xdr:to>
      <xdr:col>5</xdr:col>
      <xdr:colOff>135255</xdr:colOff>
      <xdr:row>208</xdr:row>
      <xdr:rowOff>161290</xdr:rowOff>
    </xdr:to>
    <xdr:pic>
      <xdr:nvPicPr>
        <xdr:cNvPr id="5" name="Picture 4">
          <a:extLst>
            <a:ext uri="{FF2B5EF4-FFF2-40B4-BE49-F238E27FC236}">
              <a16:creationId xmlns:a16="http://schemas.microsoft.com/office/drawing/2014/main" id="{8772594B-0985-4A1A-487A-747E9242471A}"/>
            </a:ext>
            <a:ext uri="{147F2762-F138-4A5C-976F-8EAC2B608ADB}">
              <a16:predDERef xmlns:a16="http://schemas.microsoft.com/office/drawing/2014/main" pred="{15FA18F9-50A7-A033-20A6-889B4CD9F72C}"/>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571750" y="29937075"/>
          <a:ext cx="3914775" cy="342900"/>
        </a:xfrm>
        <a:prstGeom prst="rect">
          <a:avLst/>
        </a:prstGeom>
      </xdr:spPr>
    </xdr:pic>
    <xdr:clientData/>
  </xdr:twoCellAnchor>
  <xdr:twoCellAnchor editAs="oneCell">
    <xdr:from>
      <xdr:col>9</xdr:col>
      <xdr:colOff>28575</xdr:colOff>
      <xdr:row>234</xdr:row>
      <xdr:rowOff>0</xdr:rowOff>
    </xdr:from>
    <xdr:to>
      <xdr:col>11</xdr:col>
      <xdr:colOff>971550</xdr:colOff>
      <xdr:row>237</xdr:row>
      <xdr:rowOff>38100</xdr:rowOff>
    </xdr:to>
    <xdr:pic>
      <xdr:nvPicPr>
        <xdr:cNvPr id="3" name="Picture 2">
          <a:extLst>
            <a:ext uri="{FF2B5EF4-FFF2-40B4-BE49-F238E27FC236}">
              <a16:creationId xmlns:a16="http://schemas.microsoft.com/office/drawing/2014/main" id="{D306DDA2-DD57-F731-1C2D-54FE69EFA545}"/>
            </a:ext>
            <a:ext uri="{147F2762-F138-4A5C-976F-8EAC2B608ADB}">
              <a16:predDERef xmlns:a16="http://schemas.microsoft.com/office/drawing/2014/main" pred="{8772594B-0985-4A1A-487A-747E9242471A}"/>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1953875" y="34109025"/>
          <a:ext cx="4572000" cy="609600"/>
        </a:xfrm>
        <a:prstGeom prst="rect">
          <a:avLst/>
        </a:prstGeom>
      </xdr:spPr>
    </xdr:pic>
    <xdr:clientData/>
  </xdr:twoCellAnchor>
  <xdr:twoCellAnchor editAs="oneCell">
    <xdr:from>
      <xdr:col>3</xdr:col>
      <xdr:colOff>0</xdr:colOff>
      <xdr:row>274</xdr:row>
      <xdr:rowOff>0</xdr:rowOff>
    </xdr:from>
    <xdr:to>
      <xdr:col>4</xdr:col>
      <xdr:colOff>1636395</xdr:colOff>
      <xdr:row>280</xdr:row>
      <xdr:rowOff>57150</xdr:rowOff>
    </xdr:to>
    <xdr:pic>
      <xdr:nvPicPr>
        <xdr:cNvPr id="6" name="Picture 5">
          <a:extLst>
            <a:ext uri="{FF2B5EF4-FFF2-40B4-BE49-F238E27FC236}">
              <a16:creationId xmlns:a16="http://schemas.microsoft.com/office/drawing/2014/main" id="{7EEDD4F0-D36B-FBFA-9690-FFD8F2EFE4E8}"/>
            </a:ext>
            <a:ext uri="{147F2762-F138-4A5C-976F-8EAC2B608ADB}">
              <a16:predDERef xmlns:a16="http://schemas.microsoft.com/office/drawing/2014/main" pred="{D306DDA2-DD57-F731-1C2D-54FE69EFA545}"/>
            </a:ext>
          </a:extLst>
        </xdr:cNvPr>
        <xdr:cNvPicPr>
          <a:picLocks noChangeAspect="1"/>
        </xdr:cNvPicPr>
      </xdr:nvPicPr>
      <xdr:blipFill>
        <a:blip xmlns:r="http://schemas.openxmlformats.org/officeDocument/2006/relationships" r:embed="rId5"/>
        <a:stretch>
          <a:fillRect/>
        </a:stretch>
      </xdr:blipFill>
      <xdr:spPr>
        <a:xfrm>
          <a:off x="2667000" y="41348025"/>
          <a:ext cx="3609975" cy="1190625"/>
        </a:xfrm>
        <a:prstGeom prst="rect">
          <a:avLst/>
        </a:prstGeom>
      </xdr:spPr>
    </xdr:pic>
    <xdr:clientData/>
  </xdr:twoCellAnchor>
  <xdr:twoCellAnchor editAs="oneCell">
    <xdr:from>
      <xdr:col>6</xdr:col>
      <xdr:colOff>1257300</xdr:colOff>
      <xdr:row>128</xdr:row>
      <xdr:rowOff>106681</xdr:rowOff>
    </xdr:from>
    <xdr:to>
      <xdr:col>8</xdr:col>
      <xdr:colOff>981449</xdr:colOff>
      <xdr:row>137</xdr:row>
      <xdr:rowOff>131445</xdr:rowOff>
    </xdr:to>
    <xdr:pic>
      <xdr:nvPicPr>
        <xdr:cNvPr id="7" name="Picture 6">
          <a:extLst>
            <a:ext uri="{FF2B5EF4-FFF2-40B4-BE49-F238E27FC236}">
              <a16:creationId xmlns:a16="http://schemas.microsoft.com/office/drawing/2014/main" id="{AD7AA5DA-7629-BAD1-76D3-63633E368716}"/>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9753600" y="13921741"/>
          <a:ext cx="2560059" cy="1752599"/>
        </a:xfrm>
        <a:prstGeom prst="rect">
          <a:avLst/>
        </a:prstGeom>
      </xdr:spPr>
    </xdr:pic>
    <xdr:clientData/>
  </xdr:twoCellAnchor>
  <xdr:twoCellAnchor editAs="oneCell">
    <xdr:from>
      <xdr:col>7</xdr:col>
      <xdr:colOff>152400</xdr:colOff>
      <xdr:row>395</xdr:row>
      <xdr:rowOff>137160</xdr:rowOff>
    </xdr:from>
    <xdr:to>
      <xdr:col>10</xdr:col>
      <xdr:colOff>324528</xdr:colOff>
      <xdr:row>400</xdr:row>
      <xdr:rowOff>95375</xdr:rowOff>
    </xdr:to>
    <xdr:pic>
      <xdr:nvPicPr>
        <xdr:cNvPr id="8" name="Picture 7">
          <a:extLst>
            <a:ext uri="{FF2B5EF4-FFF2-40B4-BE49-F238E27FC236}">
              <a16:creationId xmlns:a16="http://schemas.microsoft.com/office/drawing/2014/main" id="{949A0381-275C-8DBD-99BC-210FB7FA3BDF}"/>
            </a:ext>
          </a:extLst>
        </xdr:cNvPr>
        <xdr:cNvPicPr>
          <a:picLocks noChangeAspect="1"/>
        </xdr:cNvPicPr>
      </xdr:nvPicPr>
      <xdr:blipFill>
        <a:blip xmlns:r="http://schemas.openxmlformats.org/officeDocument/2006/relationships" r:embed="rId7"/>
        <a:stretch>
          <a:fillRect/>
        </a:stretch>
      </xdr:blipFill>
      <xdr:spPr>
        <a:xfrm>
          <a:off x="10447020" y="64815720"/>
          <a:ext cx="4858428" cy="895475"/>
        </a:xfrm>
        <a:prstGeom prst="rect">
          <a:avLst/>
        </a:prstGeom>
      </xdr:spPr>
    </xdr:pic>
    <xdr:clientData/>
  </xdr:twoCellAnchor>
  <xdr:twoCellAnchor editAs="oneCell">
    <xdr:from>
      <xdr:col>3</xdr:col>
      <xdr:colOff>0</xdr:colOff>
      <xdr:row>444</xdr:row>
      <xdr:rowOff>0</xdr:rowOff>
    </xdr:from>
    <xdr:to>
      <xdr:col>4</xdr:col>
      <xdr:colOff>1541652</xdr:colOff>
      <xdr:row>447</xdr:row>
      <xdr:rowOff>93439</xdr:rowOff>
    </xdr:to>
    <xdr:pic>
      <xdr:nvPicPr>
        <xdr:cNvPr id="9" name="Picture 8">
          <a:extLst>
            <a:ext uri="{FF2B5EF4-FFF2-40B4-BE49-F238E27FC236}">
              <a16:creationId xmlns:a16="http://schemas.microsoft.com/office/drawing/2014/main" id="{4A8F9542-BB03-C826-FCC3-095E8FD1A861}"/>
            </a:ext>
          </a:extLst>
        </xdr:cNvPr>
        <xdr:cNvPicPr>
          <a:picLocks noChangeAspect="1"/>
        </xdr:cNvPicPr>
      </xdr:nvPicPr>
      <xdr:blipFill>
        <a:blip xmlns:r="http://schemas.openxmlformats.org/officeDocument/2006/relationships" r:embed="rId8"/>
        <a:stretch>
          <a:fillRect/>
        </a:stretch>
      </xdr:blipFill>
      <xdr:spPr>
        <a:xfrm>
          <a:off x="3002280" y="73632060"/>
          <a:ext cx="3629532" cy="676369"/>
        </a:xfrm>
        <a:prstGeom prst="rect">
          <a:avLst/>
        </a:prstGeom>
      </xdr:spPr>
    </xdr:pic>
    <xdr:clientData/>
  </xdr:twoCellAnchor>
  <xdr:twoCellAnchor editAs="oneCell">
    <xdr:from>
      <xdr:col>5</xdr:col>
      <xdr:colOff>228600</xdr:colOff>
      <xdr:row>453</xdr:row>
      <xdr:rowOff>0</xdr:rowOff>
    </xdr:from>
    <xdr:to>
      <xdr:col>6</xdr:col>
      <xdr:colOff>1352550</xdr:colOff>
      <xdr:row>454</xdr:row>
      <xdr:rowOff>173992</xdr:rowOff>
    </xdr:to>
    <xdr:pic>
      <xdr:nvPicPr>
        <xdr:cNvPr id="10" name="Picture 9">
          <a:extLst>
            <a:ext uri="{FF2B5EF4-FFF2-40B4-BE49-F238E27FC236}">
              <a16:creationId xmlns:a16="http://schemas.microsoft.com/office/drawing/2014/main" id="{51332AAD-5396-EF85-FD5A-4DA44FC7D553}"/>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7109460" y="75346560"/>
          <a:ext cx="2918460" cy="374017"/>
        </a:xfrm>
        <a:prstGeom prst="rect">
          <a:avLst/>
        </a:prstGeom>
      </xdr:spPr>
    </xdr:pic>
    <xdr:clientData/>
  </xdr:twoCellAnchor>
  <xdr:twoCellAnchor editAs="oneCell">
    <xdr:from>
      <xdr:col>3</xdr:col>
      <xdr:colOff>228601</xdr:colOff>
      <xdr:row>457</xdr:row>
      <xdr:rowOff>83821</xdr:rowOff>
    </xdr:from>
    <xdr:to>
      <xdr:col>5</xdr:col>
      <xdr:colOff>1676400</xdr:colOff>
      <xdr:row>470</xdr:row>
      <xdr:rowOff>171917</xdr:rowOff>
    </xdr:to>
    <xdr:pic>
      <xdr:nvPicPr>
        <xdr:cNvPr id="11" name="Picture 10">
          <a:extLst>
            <a:ext uri="{FF2B5EF4-FFF2-40B4-BE49-F238E27FC236}">
              <a16:creationId xmlns:a16="http://schemas.microsoft.com/office/drawing/2014/main" id="{F5385B0F-5033-54EA-DAE6-E3DB3FD4CBEE}"/>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3230881" y="76192381"/>
          <a:ext cx="5326379" cy="2556976"/>
        </a:xfrm>
        <a:prstGeom prst="rect">
          <a:avLst/>
        </a:prstGeom>
      </xdr:spPr>
    </xdr:pic>
    <xdr:clientData/>
  </xdr:twoCellAnchor>
  <xdr:twoCellAnchor editAs="oneCell">
    <xdr:from>
      <xdr:col>3</xdr:col>
      <xdr:colOff>0</xdr:colOff>
      <xdr:row>508</xdr:row>
      <xdr:rowOff>0</xdr:rowOff>
    </xdr:from>
    <xdr:to>
      <xdr:col>5</xdr:col>
      <xdr:colOff>303479</xdr:colOff>
      <xdr:row>515</xdr:row>
      <xdr:rowOff>85288</xdr:rowOff>
    </xdr:to>
    <xdr:pic>
      <xdr:nvPicPr>
        <xdr:cNvPr id="12" name="Picture 11">
          <a:extLst>
            <a:ext uri="{FF2B5EF4-FFF2-40B4-BE49-F238E27FC236}">
              <a16:creationId xmlns:a16="http://schemas.microsoft.com/office/drawing/2014/main" id="{0E54BC22-AEA5-5C74-78B8-FD18E89EABD0}"/>
            </a:ext>
          </a:extLst>
        </xdr:cNvPr>
        <xdr:cNvPicPr>
          <a:picLocks noChangeAspect="1"/>
        </xdr:cNvPicPr>
      </xdr:nvPicPr>
      <xdr:blipFill>
        <a:blip xmlns:r="http://schemas.openxmlformats.org/officeDocument/2006/relationships" r:embed="rId11"/>
        <a:stretch>
          <a:fillRect/>
        </a:stretch>
      </xdr:blipFill>
      <xdr:spPr>
        <a:xfrm>
          <a:off x="3002280" y="86205060"/>
          <a:ext cx="4182059" cy="1419423"/>
        </a:xfrm>
        <a:prstGeom prst="rect">
          <a:avLst/>
        </a:prstGeom>
      </xdr:spPr>
    </xdr:pic>
    <xdr:clientData/>
  </xdr:twoCellAnchor>
  <xdr:twoCellAnchor editAs="oneCell">
    <xdr:from>
      <xdr:col>3</xdr:col>
      <xdr:colOff>0</xdr:colOff>
      <xdr:row>538</xdr:row>
      <xdr:rowOff>1</xdr:rowOff>
    </xdr:from>
    <xdr:to>
      <xdr:col>6</xdr:col>
      <xdr:colOff>1524000</xdr:colOff>
      <xdr:row>544</xdr:row>
      <xdr:rowOff>114456</xdr:rowOff>
    </xdr:to>
    <xdr:pic>
      <xdr:nvPicPr>
        <xdr:cNvPr id="13" name="Picture 12">
          <a:extLst>
            <a:ext uri="{FF2B5EF4-FFF2-40B4-BE49-F238E27FC236}">
              <a16:creationId xmlns:a16="http://schemas.microsoft.com/office/drawing/2014/main" id="{5E6AC3FB-DA4A-2A54-C821-CE0B0E7EBB64}"/>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3012141" y="90848330"/>
          <a:ext cx="7198659" cy="1244008"/>
        </a:xfrm>
        <a:prstGeom prst="rect">
          <a:avLst/>
        </a:prstGeom>
      </xdr:spPr>
    </xdr:pic>
    <xdr:clientData/>
  </xdr:twoCellAnchor>
  <xdr:twoCellAnchor editAs="oneCell">
    <xdr:from>
      <xdr:col>3</xdr:col>
      <xdr:colOff>53789</xdr:colOff>
      <xdr:row>692</xdr:row>
      <xdr:rowOff>44825</xdr:rowOff>
    </xdr:from>
    <xdr:to>
      <xdr:col>7</xdr:col>
      <xdr:colOff>1046406</xdr:colOff>
      <xdr:row>706</xdr:row>
      <xdr:rowOff>152799</xdr:rowOff>
    </xdr:to>
    <xdr:pic>
      <xdr:nvPicPr>
        <xdr:cNvPr id="14" name="Picture 13">
          <a:extLst>
            <a:ext uri="{FF2B5EF4-FFF2-40B4-BE49-F238E27FC236}">
              <a16:creationId xmlns:a16="http://schemas.microsoft.com/office/drawing/2014/main" id="{128651BB-3E74-CCF1-2D53-3DDA8007FB46}"/>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3065930" y="113672472"/>
          <a:ext cx="8283388" cy="2743598"/>
        </a:xfrm>
        <a:prstGeom prst="rect">
          <a:avLst/>
        </a:prstGeom>
      </xdr:spPr>
    </xdr:pic>
    <xdr:clientData/>
  </xdr:twoCellAnchor>
  <xdr:twoCellAnchor editAs="oneCell">
    <xdr:from>
      <xdr:col>8</xdr:col>
      <xdr:colOff>430306</xdr:colOff>
      <xdr:row>720</xdr:row>
      <xdr:rowOff>35859</xdr:rowOff>
    </xdr:from>
    <xdr:to>
      <xdr:col>11</xdr:col>
      <xdr:colOff>1151927</xdr:colOff>
      <xdr:row>739</xdr:row>
      <xdr:rowOff>171369</xdr:rowOff>
    </xdr:to>
    <xdr:pic>
      <xdr:nvPicPr>
        <xdr:cNvPr id="15" name="Picture 14">
          <a:extLst>
            <a:ext uri="{FF2B5EF4-FFF2-40B4-BE49-F238E27FC236}">
              <a16:creationId xmlns:a16="http://schemas.microsoft.com/office/drawing/2014/main" id="{DB145BDC-CC5E-D086-1014-5C230B70E354}"/>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11949953" y="118934753"/>
          <a:ext cx="6011433" cy="37200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0</xdr:colOff>
      <xdr:row>216</xdr:row>
      <xdr:rowOff>0</xdr:rowOff>
    </xdr:from>
    <xdr:to>
      <xdr:col>5</xdr:col>
      <xdr:colOff>1085850</xdr:colOff>
      <xdr:row>221</xdr:row>
      <xdr:rowOff>142240</xdr:rowOff>
    </xdr:to>
    <xdr:pic>
      <xdr:nvPicPr>
        <xdr:cNvPr id="2" name="Picture 1">
          <a:extLst>
            <a:ext uri="{FF2B5EF4-FFF2-40B4-BE49-F238E27FC236}">
              <a16:creationId xmlns:a16="http://schemas.microsoft.com/office/drawing/2014/main" id="{ECD1AB06-8605-E1F1-E0AE-B3BA3D34E8C2}"/>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990725" y="25965150"/>
          <a:ext cx="4572000" cy="1095375"/>
        </a:xfrm>
        <a:prstGeom prst="rect">
          <a:avLst/>
        </a:prstGeom>
      </xdr:spPr>
    </xdr:pic>
    <xdr:clientData/>
  </xdr:twoCellAnchor>
  <xdr:twoCellAnchor editAs="oneCell">
    <xdr:from>
      <xdr:col>3</xdr:col>
      <xdr:colOff>0</xdr:colOff>
      <xdr:row>233</xdr:row>
      <xdr:rowOff>0</xdr:rowOff>
    </xdr:from>
    <xdr:to>
      <xdr:col>5</xdr:col>
      <xdr:colOff>1085850</xdr:colOff>
      <xdr:row>234</xdr:row>
      <xdr:rowOff>171450</xdr:rowOff>
    </xdr:to>
    <xdr:pic>
      <xdr:nvPicPr>
        <xdr:cNvPr id="3" name="Picture 2">
          <a:extLst>
            <a:ext uri="{FF2B5EF4-FFF2-40B4-BE49-F238E27FC236}">
              <a16:creationId xmlns:a16="http://schemas.microsoft.com/office/drawing/2014/main" id="{3865DD54-23F0-1D3E-1BEC-32DE68119224}"/>
            </a:ext>
            <a:ext uri="{147F2762-F138-4A5C-976F-8EAC2B608ADB}">
              <a16:predDERef xmlns:a16="http://schemas.microsoft.com/office/drawing/2014/main" pred="{ECD1AB06-8605-E1F1-E0AE-B3BA3D34E8C2}"/>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990725" y="29432250"/>
          <a:ext cx="4572000" cy="352425"/>
        </a:xfrm>
        <a:prstGeom prst="rect">
          <a:avLst/>
        </a:prstGeom>
      </xdr:spPr>
    </xdr:pic>
    <xdr:clientData/>
  </xdr:twoCellAnchor>
  <xdr:twoCellAnchor editAs="oneCell">
    <xdr:from>
      <xdr:col>3</xdr:col>
      <xdr:colOff>0</xdr:colOff>
      <xdr:row>239</xdr:row>
      <xdr:rowOff>0</xdr:rowOff>
    </xdr:from>
    <xdr:to>
      <xdr:col>7</xdr:col>
      <xdr:colOff>19050</xdr:colOff>
      <xdr:row>257</xdr:row>
      <xdr:rowOff>57150</xdr:rowOff>
    </xdr:to>
    <xdr:pic>
      <xdr:nvPicPr>
        <xdr:cNvPr id="4" name="Picture 3">
          <a:extLst>
            <a:ext uri="{FF2B5EF4-FFF2-40B4-BE49-F238E27FC236}">
              <a16:creationId xmlns:a16="http://schemas.microsoft.com/office/drawing/2014/main" id="{D41554AD-3E73-8DA6-7414-E26BAF0EBAAE}"/>
            </a:ext>
            <a:ext uri="{147F2762-F138-4A5C-976F-8EAC2B608ADB}">
              <a16:predDERef xmlns:a16="http://schemas.microsoft.com/office/drawing/2014/main" pred="{3865DD54-23F0-1D3E-1BEC-32DE6811922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990725" y="30584775"/>
          <a:ext cx="6819900" cy="3476625"/>
        </a:xfrm>
        <a:prstGeom prst="rect">
          <a:avLst/>
        </a:prstGeom>
      </xdr:spPr>
    </xdr:pic>
    <xdr:clientData/>
  </xdr:twoCellAnchor>
  <xdr:twoCellAnchor editAs="oneCell">
    <xdr:from>
      <xdr:col>12</xdr:col>
      <xdr:colOff>47625</xdr:colOff>
      <xdr:row>321</xdr:row>
      <xdr:rowOff>133350</xdr:rowOff>
    </xdr:from>
    <xdr:to>
      <xdr:col>14</xdr:col>
      <xdr:colOff>1513840</xdr:colOff>
      <xdr:row>322</xdr:row>
      <xdr:rowOff>0</xdr:rowOff>
    </xdr:to>
    <xdr:pic>
      <xdr:nvPicPr>
        <xdr:cNvPr id="5" name="Picture 4">
          <a:extLst>
            <a:ext uri="{FF2B5EF4-FFF2-40B4-BE49-F238E27FC236}">
              <a16:creationId xmlns:a16="http://schemas.microsoft.com/office/drawing/2014/main" id="{0DE987DC-D4FE-ED92-5665-268DDEB7E062}"/>
            </a:ext>
            <a:ext uri="{147F2762-F138-4A5C-976F-8EAC2B608ADB}">
              <a16:predDERef xmlns:a16="http://schemas.microsoft.com/office/drawing/2014/main" pred="{D41554AD-3E73-8DA6-7414-E26BAF0EBAAE}"/>
            </a:ext>
          </a:extLst>
        </xdr:cNvPr>
        <xdr:cNvPicPr>
          <a:picLocks noChangeAspect="1"/>
        </xdr:cNvPicPr>
      </xdr:nvPicPr>
      <xdr:blipFill>
        <a:blip xmlns:r="http://schemas.openxmlformats.org/officeDocument/2006/relationships" r:embed="rId4"/>
        <a:stretch>
          <a:fillRect/>
        </a:stretch>
      </xdr:blipFill>
      <xdr:spPr>
        <a:xfrm>
          <a:off x="15411450" y="45481875"/>
          <a:ext cx="4572000" cy="1095375"/>
        </a:xfrm>
        <a:prstGeom prst="rect">
          <a:avLst/>
        </a:prstGeom>
      </xdr:spPr>
    </xdr:pic>
    <xdr:clientData/>
  </xdr:twoCellAnchor>
  <xdr:twoCellAnchor editAs="oneCell">
    <xdr:from>
      <xdr:col>3</xdr:col>
      <xdr:colOff>0</xdr:colOff>
      <xdr:row>375</xdr:row>
      <xdr:rowOff>0</xdr:rowOff>
    </xdr:from>
    <xdr:to>
      <xdr:col>5</xdr:col>
      <xdr:colOff>1085850</xdr:colOff>
      <xdr:row>392</xdr:row>
      <xdr:rowOff>38100</xdr:rowOff>
    </xdr:to>
    <xdr:pic>
      <xdr:nvPicPr>
        <xdr:cNvPr id="6" name="Picture 5">
          <a:extLst>
            <a:ext uri="{FF2B5EF4-FFF2-40B4-BE49-F238E27FC236}">
              <a16:creationId xmlns:a16="http://schemas.microsoft.com/office/drawing/2014/main" id="{BE163981-B585-8E47-B693-416FC827B2E3}"/>
            </a:ext>
            <a:ext uri="{147F2762-F138-4A5C-976F-8EAC2B608ADB}">
              <a16:predDERef xmlns:a16="http://schemas.microsoft.com/office/drawing/2014/main" pred="{0DE987DC-D4FE-ED92-5665-268DDEB7E062}"/>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2295525" y="56226075"/>
          <a:ext cx="4572000" cy="3276600"/>
        </a:xfrm>
        <a:prstGeom prst="rect">
          <a:avLst/>
        </a:prstGeom>
      </xdr:spPr>
    </xdr:pic>
    <xdr:clientData/>
  </xdr:twoCellAnchor>
  <xdr:twoCellAnchor editAs="oneCell">
    <xdr:from>
      <xdr:col>3</xdr:col>
      <xdr:colOff>0</xdr:colOff>
      <xdr:row>419</xdr:row>
      <xdr:rowOff>0</xdr:rowOff>
    </xdr:from>
    <xdr:to>
      <xdr:col>5</xdr:col>
      <xdr:colOff>1066800</xdr:colOff>
      <xdr:row>434</xdr:row>
      <xdr:rowOff>66040</xdr:rowOff>
    </xdr:to>
    <xdr:pic>
      <xdr:nvPicPr>
        <xdr:cNvPr id="7" name="Picture 6">
          <a:extLst>
            <a:ext uri="{FF2B5EF4-FFF2-40B4-BE49-F238E27FC236}">
              <a16:creationId xmlns:a16="http://schemas.microsoft.com/office/drawing/2014/main" id="{AF92B64A-517C-BFA7-BBA7-DA373862B5C7}"/>
            </a:ext>
            <a:ext uri="{147F2762-F138-4A5C-976F-8EAC2B608ADB}">
              <a16:predDERef xmlns:a16="http://schemas.microsoft.com/office/drawing/2014/main" pred="{BE163981-B585-8E47-B693-416FC827B2E3}"/>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2295525" y="66560700"/>
          <a:ext cx="4562475" cy="2914650"/>
        </a:xfrm>
        <a:prstGeom prst="rect">
          <a:avLst/>
        </a:prstGeom>
      </xdr:spPr>
    </xdr:pic>
    <xdr:clientData/>
  </xdr:twoCellAnchor>
  <xdr:twoCellAnchor editAs="oneCell">
    <xdr:from>
      <xdr:col>6</xdr:col>
      <xdr:colOff>114300</xdr:colOff>
      <xdr:row>160</xdr:row>
      <xdr:rowOff>45261</xdr:rowOff>
    </xdr:from>
    <xdr:to>
      <xdr:col>9</xdr:col>
      <xdr:colOff>245235</xdr:colOff>
      <xdr:row>171</xdr:row>
      <xdr:rowOff>16960</xdr:rowOff>
    </xdr:to>
    <xdr:pic>
      <xdr:nvPicPr>
        <xdr:cNvPr id="8" name="Picture 7">
          <a:extLst>
            <a:ext uri="{FF2B5EF4-FFF2-40B4-BE49-F238E27FC236}">
              <a16:creationId xmlns:a16="http://schemas.microsoft.com/office/drawing/2014/main" id="{1D8F9E17-B089-2BCF-1BB8-9DE9E7FD146E}"/>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7589520" y="24993141"/>
          <a:ext cx="4491480" cy="1973854"/>
        </a:xfrm>
        <a:prstGeom prst="rect">
          <a:avLst/>
        </a:prstGeom>
      </xdr:spPr>
    </xdr:pic>
    <xdr:clientData/>
  </xdr:twoCellAnchor>
  <xdr:twoCellAnchor editAs="oneCell">
    <xdr:from>
      <xdr:col>6</xdr:col>
      <xdr:colOff>1173480</xdr:colOff>
      <xdr:row>535</xdr:row>
      <xdr:rowOff>7620</xdr:rowOff>
    </xdr:from>
    <xdr:to>
      <xdr:col>7</xdr:col>
      <xdr:colOff>743117</xdr:colOff>
      <xdr:row>540</xdr:row>
      <xdr:rowOff>161291</xdr:rowOff>
    </xdr:to>
    <xdr:pic>
      <xdr:nvPicPr>
        <xdr:cNvPr id="9" name="Picture 8">
          <a:extLst>
            <a:ext uri="{FF2B5EF4-FFF2-40B4-BE49-F238E27FC236}">
              <a16:creationId xmlns:a16="http://schemas.microsoft.com/office/drawing/2014/main" id="{C59EA1F0-9CE9-2D25-9AF8-83302BF6BDDC}"/>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8648700" y="94678500"/>
          <a:ext cx="1444157" cy="1082040"/>
        </a:xfrm>
        <a:prstGeom prst="rect">
          <a:avLst/>
        </a:prstGeom>
      </xdr:spPr>
    </xdr:pic>
    <xdr:clientData/>
  </xdr:twoCellAnchor>
  <xdr:twoCellAnchor editAs="oneCell">
    <xdr:from>
      <xdr:col>3</xdr:col>
      <xdr:colOff>1</xdr:colOff>
      <xdr:row>589</xdr:row>
      <xdr:rowOff>0</xdr:rowOff>
    </xdr:from>
    <xdr:to>
      <xdr:col>6</xdr:col>
      <xdr:colOff>389891</xdr:colOff>
      <xdr:row>592</xdr:row>
      <xdr:rowOff>79197</xdr:rowOff>
    </xdr:to>
    <xdr:pic>
      <xdr:nvPicPr>
        <xdr:cNvPr id="10" name="Picture 9">
          <a:extLst>
            <a:ext uri="{FF2B5EF4-FFF2-40B4-BE49-F238E27FC236}">
              <a16:creationId xmlns:a16="http://schemas.microsoft.com/office/drawing/2014/main" id="{286B5662-281D-362B-BC38-EE89F354A9B5}"/>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2362201" y="104668320"/>
          <a:ext cx="5509260" cy="627836"/>
        </a:xfrm>
        <a:prstGeom prst="rect">
          <a:avLst/>
        </a:prstGeom>
      </xdr:spPr>
    </xdr:pic>
    <xdr:clientData/>
  </xdr:twoCellAnchor>
  <xdr:twoCellAnchor editAs="oneCell">
    <xdr:from>
      <xdr:col>3</xdr:col>
      <xdr:colOff>184225</xdr:colOff>
      <xdr:row>755</xdr:row>
      <xdr:rowOff>92784</xdr:rowOff>
    </xdr:from>
    <xdr:to>
      <xdr:col>6</xdr:col>
      <xdr:colOff>1056715</xdr:colOff>
      <xdr:row>780</xdr:row>
      <xdr:rowOff>485</xdr:rowOff>
    </xdr:to>
    <xdr:pic>
      <xdr:nvPicPr>
        <xdr:cNvPr id="11" name="Picture 10">
          <a:extLst>
            <a:ext uri="{FF2B5EF4-FFF2-40B4-BE49-F238E27FC236}">
              <a16:creationId xmlns:a16="http://schemas.microsoft.com/office/drawing/2014/main" id="{ABDA157D-1C6C-9FCC-6F6B-F8ADB9099987}"/>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2541943" y="140408360"/>
          <a:ext cx="5982372" cy="43868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167640</xdr:colOff>
      <xdr:row>129</xdr:row>
      <xdr:rowOff>137161</xdr:rowOff>
    </xdr:from>
    <xdr:to>
      <xdr:col>12</xdr:col>
      <xdr:colOff>103505</xdr:colOff>
      <xdr:row>137</xdr:row>
      <xdr:rowOff>104370</xdr:rowOff>
    </xdr:to>
    <xdr:pic>
      <xdr:nvPicPr>
        <xdr:cNvPr id="2" name="Picture 1">
          <a:extLst>
            <a:ext uri="{FF2B5EF4-FFF2-40B4-BE49-F238E27FC236}">
              <a16:creationId xmlns:a16="http://schemas.microsoft.com/office/drawing/2014/main" id="{0800FF2E-7FD9-47BF-A024-28241EF21E9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5646420" y="24437341"/>
          <a:ext cx="4640580" cy="1433424"/>
        </a:xfrm>
        <a:prstGeom prst="rect">
          <a:avLst/>
        </a:prstGeom>
      </xdr:spPr>
    </xdr:pic>
    <xdr:clientData/>
  </xdr:twoCellAnchor>
  <xdr:twoCellAnchor editAs="oneCell">
    <xdr:from>
      <xdr:col>5</xdr:col>
      <xdr:colOff>205740</xdr:colOff>
      <xdr:row>137</xdr:row>
      <xdr:rowOff>68580</xdr:rowOff>
    </xdr:from>
    <xdr:to>
      <xdr:col>14</xdr:col>
      <xdr:colOff>153595</xdr:colOff>
      <xdr:row>144</xdr:row>
      <xdr:rowOff>76200</xdr:rowOff>
    </xdr:to>
    <xdr:pic>
      <xdr:nvPicPr>
        <xdr:cNvPr id="3" name="Picture 2">
          <a:extLst>
            <a:ext uri="{FF2B5EF4-FFF2-40B4-BE49-F238E27FC236}">
              <a16:creationId xmlns:a16="http://schemas.microsoft.com/office/drawing/2014/main" id="{F64FAB32-FA46-5216-5318-61FF4CDD631C}"/>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5684520" y="25831800"/>
          <a:ext cx="5868595" cy="128778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19050</xdr:colOff>
      <xdr:row>286</xdr:row>
      <xdr:rowOff>66675</xdr:rowOff>
    </xdr:from>
    <xdr:to>
      <xdr:col>9</xdr:col>
      <xdr:colOff>1195705</xdr:colOff>
      <xdr:row>289</xdr:row>
      <xdr:rowOff>76200</xdr:rowOff>
    </xdr:to>
    <xdr:pic>
      <xdr:nvPicPr>
        <xdr:cNvPr id="2" name="Picture 1">
          <a:extLst>
            <a:ext uri="{FF2B5EF4-FFF2-40B4-BE49-F238E27FC236}">
              <a16:creationId xmlns:a16="http://schemas.microsoft.com/office/drawing/2014/main" id="{A49D9820-7277-4BD3-AAFF-31593EE410E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277350" y="55873650"/>
          <a:ext cx="4572000" cy="581025"/>
        </a:xfrm>
        <a:prstGeom prst="rect">
          <a:avLst/>
        </a:prstGeom>
      </xdr:spPr>
    </xdr:pic>
    <xdr:clientData/>
  </xdr:twoCellAnchor>
  <xdr:twoCellAnchor editAs="oneCell">
    <xdr:from>
      <xdr:col>3</xdr:col>
      <xdr:colOff>0</xdr:colOff>
      <xdr:row>344</xdr:row>
      <xdr:rowOff>0</xdr:rowOff>
    </xdr:from>
    <xdr:to>
      <xdr:col>4</xdr:col>
      <xdr:colOff>736600</xdr:colOff>
      <xdr:row>347</xdr:row>
      <xdr:rowOff>152400</xdr:rowOff>
    </xdr:to>
    <xdr:pic>
      <xdr:nvPicPr>
        <xdr:cNvPr id="4" name="Picture 3">
          <a:extLst>
            <a:ext uri="{FF2B5EF4-FFF2-40B4-BE49-F238E27FC236}">
              <a16:creationId xmlns:a16="http://schemas.microsoft.com/office/drawing/2014/main" id="{A1D7F1FA-ABFD-B486-099D-9615ADAF65AF}"/>
            </a:ext>
            <a:ext uri="{147F2762-F138-4A5C-976F-8EAC2B608ADB}">
              <a16:predDERef xmlns:a16="http://schemas.microsoft.com/office/drawing/2014/main" pred="{36A6C1BF-3CE5-EE5E-C79C-97079A2E3FC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533650" y="71837550"/>
          <a:ext cx="2581275" cy="723900"/>
        </a:xfrm>
        <a:prstGeom prst="rect">
          <a:avLst/>
        </a:prstGeom>
      </xdr:spPr>
    </xdr:pic>
    <xdr:clientData/>
  </xdr:twoCellAnchor>
  <xdr:twoCellAnchor editAs="oneCell">
    <xdr:from>
      <xdr:col>3</xdr:col>
      <xdr:colOff>0</xdr:colOff>
      <xdr:row>368</xdr:row>
      <xdr:rowOff>0</xdr:rowOff>
    </xdr:from>
    <xdr:to>
      <xdr:col>5</xdr:col>
      <xdr:colOff>1088390</xdr:colOff>
      <xdr:row>380</xdr:row>
      <xdr:rowOff>21589</xdr:rowOff>
    </xdr:to>
    <xdr:pic>
      <xdr:nvPicPr>
        <xdr:cNvPr id="5" name="Picture 4">
          <a:extLst>
            <a:ext uri="{FF2B5EF4-FFF2-40B4-BE49-F238E27FC236}">
              <a16:creationId xmlns:a16="http://schemas.microsoft.com/office/drawing/2014/main" id="{80258C29-1A8C-E0A7-2C9B-4A4EAF99DBB0}"/>
            </a:ext>
            <a:ext uri="{147F2762-F138-4A5C-976F-8EAC2B608ADB}">
              <a16:predDERef xmlns:a16="http://schemas.microsoft.com/office/drawing/2014/main" pred="{A1D7F1FA-ABFD-B486-099D-9615ADAF65AF}"/>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533650" y="76409550"/>
          <a:ext cx="4572000" cy="2305050"/>
        </a:xfrm>
        <a:prstGeom prst="rect">
          <a:avLst/>
        </a:prstGeom>
      </xdr:spPr>
    </xdr:pic>
    <xdr:clientData/>
  </xdr:twoCellAnchor>
  <xdr:twoCellAnchor editAs="oneCell">
    <xdr:from>
      <xdr:col>9</xdr:col>
      <xdr:colOff>9525</xdr:colOff>
      <xdr:row>384</xdr:row>
      <xdr:rowOff>161925</xdr:rowOff>
    </xdr:from>
    <xdr:to>
      <xdr:col>11</xdr:col>
      <xdr:colOff>876300</xdr:colOff>
      <xdr:row>390</xdr:row>
      <xdr:rowOff>90805</xdr:rowOff>
    </xdr:to>
    <xdr:pic>
      <xdr:nvPicPr>
        <xdr:cNvPr id="6" name="Picture 5">
          <a:extLst>
            <a:ext uri="{FF2B5EF4-FFF2-40B4-BE49-F238E27FC236}">
              <a16:creationId xmlns:a16="http://schemas.microsoft.com/office/drawing/2014/main" id="{B69D7F99-5D87-9BD0-3F93-CD44B13FBFE0}"/>
            </a:ext>
            <a:ext uri="{147F2762-F138-4A5C-976F-8EAC2B608ADB}">
              <a16:predDERef xmlns:a16="http://schemas.microsoft.com/office/drawing/2014/main" pred="{80258C29-1A8C-E0A7-2C9B-4A4EAF99DBB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2744450" y="79619475"/>
          <a:ext cx="4562475" cy="1095375"/>
        </a:xfrm>
        <a:prstGeom prst="rect">
          <a:avLst/>
        </a:prstGeom>
      </xdr:spPr>
    </xdr:pic>
    <xdr:clientData/>
  </xdr:twoCellAnchor>
  <xdr:twoCellAnchor editAs="oneCell">
    <xdr:from>
      <xdr:col>7</xdr:col>
      <xdr:colOff>807720</xdr:colOff>
      <xdr:row>265</xdr:row>
      <xdr:rowOff>29315</xdr:rowOff>
    </xdr:from>
    <xdr:to>
      <xdr:col>9</xdr:col>
      <xdr:colOff>593090</xdr:colOff>
      <xdr:row>267</xdr:row>
      <xdr:rowOff>137937</xdr:rowOff>
    </xdr:to>
    <xdr:pic>
      <xdr:nvPicPr>
        <xdr:cNvPr id="7" name="Picture 6">
          <a:extLst>
            <a:ext uri="{FF2B5EF4-FFF2-40B4-BE49-F238E27FC236}">
              <a16:creationId xmlns:a16="http://schemas.microsoft.com/office/drawing/2014/main" id="{5F97C3EC-A488-4810-9569-98EE649681FE}"/>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0408920" y="49856495"/>
          <a:ext cx="3253740" cy="464222"/>
        </a:xfrm>
        <a:prstGeom prst="rect">
          <a:avLst/>
        </a:prstGeom>
      </xdr:spPr>
    </xdr:pic>
    <xdr:clientData/>
  </xdr:twoCellAnchor>
  <xdr:twoCellAnchor editAs="oneCell">
    <xdr:from>
      <xdr:col>7</xdr:col>
      <xdr:colOff>1173480</xdr:colOff>
      <xdr:row>600</xdr:row>
      <xdr:rowOff>30482</xdr:rowOff>
    </xdr:from>
    <xdr:to>
      <xdr:col>9</xdr:col>
      <xdr:colOff>725343</xdr:colOff>
      <xdr:row>608</xdr:row>
      <xdr:rowOff>36534</xdr:rowOff>
    </xdr:to>
    <xdr:pic>
      <xdr:nvPicPr>
        <xdr:cNvPr id="8" name="Picture 7">
          <a:extLst>
            <a:ext uri="{FF2B5EF4-FFF2-40B4-BE49-F238E27FC236}">
              <a16:creationId xmlns:a16="http://schemas.microsoft.com/office/drawing/2014/main" id="{355D303F-0CEA-38F8-B670-E504E1C6A965}"/>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0774680" y="111693962"/>
          <a:ext cx="3034203" cy="1469092"/>
        </a:xfrm>
        <a:prstGeom prst="rect">
          <a:avLst/>
        </a:prstGeom>
      </xdr:spPr>
    </xdr:pic>
    <xdr:clientData/>
  </xdr:twoCellAnchor>
  <xdr:twoCellAnchor editAs="oneCell">
    <xdr:from>
      <xdr:col>6</xdr:col>
      <xdr:colOff>76200</xdr:colOff>
      <xdr:row>687</xdr:row>
      <xdr:rowOff>53340</xdr:rowOff>
    </xdr:from>
    <xdr:to>
      <xdr:col>6</xdr:col>
      <xdr:colOff>1143000</xdr:colOff>
      <xdr:row>693</xdr:row>
      <xdr:rowOff>157645</xdr:rowOff>
    </xdr:to>
    <xdr:pic>
      <xdr:nvPicPr>
        <xdr:cNvPr id="9" name="Picture 8">
          <a:extLst>
            <a:ext uri="{FF2B5EF4-FFF2-40B4-BE49-F238E27FC236}">
              <a16:creationId xmlns:a16="http://schemas.microsoft.com/office/drawing/2014/main" id="{64FD9B41-7053-2AAF-C0BC-0ED15DF8DFE5}"/>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7985760" y="127772160"/>
          <a:ext cx="1066800" cy="1202855"/>
        </a:xfrm>
        <a:prstGeom prst="rect">
          <a:avLst/>
        </a:prstGeom>
      </xdr:spPr>
    </xdr:pic>
    <xdr:clientData/>
  </xdr:twoCellAnchor>
  <xdr:twoCellAnchor editAs="oneCell">
    <xdr:from>
      <xdr:col>3</xdr:col>
      <xdr:colOff>601980</xdr:colOff>
      <xdr:row>713</xdr:row>
      <xdr:rowOff>99060</xdr:rowOff>
    </xdr:from>
    <xdr:to>
      <xdr:col>7</xdr:col>
      <xdr:colOff>1290124</xdr:colOff>
      <xdr:row>715</xdr:row>
      <xdr:rowOff>135946</xdr:rowOff>
    </xdr:to>
    <xdr:pic>
      <xdr:nvPicPr>
        <xdr:cNvPr id="10" name="Picture 9">
          <a:extLst>
            <a:ext uri="{FF2B5EF4-FFF2-40B4-BE49-F238E27FC236}">
              <a16:creationId xmlns:a16="http://schemas.microsoft.com/office/drawing/2014/main" id="{8AEDAB92-5C7E-53D2-DF43-7C5E00D6E243}"/>
            </a:ext>
          </a:extLst>
        </xdr:cNvPr>
        <xdr:cNvPicPr>
          <a:picLocks noChangeAspect="1"/>
        </xdr:cNvPicPr>
      </xdr:nvPicPr>
      <xdr:blipFill>
        <a:blip xmlns:r="http://schemas.openxmlformats.org/officeDocument/2006/relationships" r:embed="rId8"/>
        <a:stretch>
          <a:fillRect/>
        </a:stretch>
      </xdr:blipFill>
      <xdr:spPr>
        <a:xfrm>
          <a:off x="3192780" y="132572760"/>
          <a:ext cx="7697274" cy="400106"/>
        </a:xfrm>
        <a:prstGeom prst="rect">
          <a:avLst/>
        </a:prstGeom>
      </xdr:spPr>
    </xdr:pic>
    <xdr:clientData/>
  </xdr:twoCellAnchor>
  <xdr:twoCellAnchor editAs="oneCell">
    <xdr:from>
      <xdr:col>3</xdr:col>
      <xdr:colOff>0</xdr:colOff>
      <xdr:row>799</xdr:row>
      <xdr:rowOff>0</xdr:rowOff>
    </xdr:from>
    <xdr:to>
      <xdr:col>4</xdr:col>
      <xdr:colOff>662663</xdr:colOff>
      <xdr:row>803</xdr:row>
      <xdr:rowOff>47098</xdr:rowOff>
    </xdr:to>
    <xdr:pic>
      <xdr:nvPicPr>
        <xdr:cNvPr id="11" name="Picture 10">
          <a:extLst>
            <a:ext uri="{FF2B5EF4-FFF2-40B4-BE49-F238E27FC236}">
              <a16:creationId xmlns:a16="http://schemas.microsoft.com/office/drawing/2014/main" id="{0B0E16A5-B3A3-D207-2C48-AD9AEA09C494}"/>
            </a:ext>
          </a:extLst>
        </xdr:cNvPr>
        <xdr:cNvPicPr>
          <a:picLocks noChangeAspect="1"/>
        </xdr:cNvPicPr>
      </xdr:nvPicPr>
      <xdr:blipFill>
        <a:blip xmlns:r="http://schemas.openxmlformats.org/officeDocument/2006/relationships" r:embed="rId9"/>
        <a:stretch>
          <a:fillRect/>
        </a:stretch>
      </xdr:blipFill>
      <xdr:spPr>
        <a:xfrm>
          <a:off x="2590800" y="143911320"/>
          <a:ext cx="2562583" cy="781159"/>
        </a:xfrm>
        <a:prstGeom prst="rect">
          <a:avLst/>
        </a:prstGeom>
      </xdr:spPr>
    </xdr:pic>
    <xdr:clientData/>
  </xdr:twoCellAnchor>
  <xdr:twoCellAnchor editAs="oneCell">
    <xdr:from>
      <xdr:col>3</xdr:col>
      <xdr:colOff>137160</xdr:colOff>
      <xdr:row>820</xdr:row>
      <xdr:rowOff>38100</xdr:rowOff>
    </xdr:from>
    <xdr:to>
      <xdr:col>5</xdr:col>
      <xdr:colOff>12700</xdr:colOff>
      <xdr:row>822</xdr:row>
      <xdr:rowOff>165854</xdr:rowOff>
    </xdr:to>
    <xdr:pic>
      <xdr:nvPicPr>
        <xdr:cNvPr id="12" name="Picture 11">
          <a:extLst>
            <a:ext uri="{FF2B5EF4-FFF2-40B4-BE49-F238E27FC236}">
              <a16:creationId xmlns:a16="http://schemas.microsoft.com/office/drawing/2014/main" id="{38ED8B08-8E6A-3015-ABCD-508EF0A7CA9F}"/>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2727960" y="147789900"/>
          <a:ext cx="3459480" cy="4960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wageningenur4.sharepoint.com/sites/FLtochemicals/Gedeelde%20documenten/General/supplementary_data.xlsx" TargetMode="External"/><Relationship Id="rId1" Type="http://schemas.openxmlformats.org/officeDocument/2006/relationships/externalLinkPath" Target="supplementary_dat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wageningenur4-my.sharepoint.com/personal/yujun_wei_wur_nl/Documents/Msc&amp;Bsc/Msc/USFL2Chemicals_Federico/final/MSC%20Thesis%20v3.xlsx" TargetMode="External"/><Relationship Id="rId1" Type="http://schemas.openxmlformats.org/officeDocument/2006/relationships/externalLinkPath" Target="/personal/yujun_wei_wur_nl/Documents/Msc&amp;Bsc/Msc/USFL2Chemicals_Federico/final/MSC%20Thesis%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ork flow and task"/>
      <sheetName val="CSTR_US"/>
      <sheetName val="CSTR_CN"/>
      <sheetName val="CSTR_EU"/>
      <sheetName val="PC_FL_yield"/>
      <sheetName val="demand_GWP_Profit"/>
      <sheetName val="Str"/>
      <sheetName val="FL QTY"/>
      <sheetName val="FL2PLFC"/>
      <sheetName val="MonoSugar"/>
      <sheetName val="composition"/>
      <sheetName val="Yield Susan"/>
      <sheetName val="US Sugar Options"/>
      <sheetName val="Map Data Setup"/>
    </sheetNames>
    <sheetDataSet>
      <sheetData sheetId="0"/>
      <sheetData sheetId="1"/>
      <sheetData sheetId="2"/>
      <sheetData sheetId="3"/>
      <sheetData sheetId="4"/>
      <sheetData sheetId="5"/>
      <sheetData sheetId="6"/>
      <sheetData sheetId="7"/>
      <sheetData sheetId="8">
        <row r="1">
          <cell r="B1" t="str">
            <v>PLFC</v>
          </cell>
        </row>
      </sheetData>
      <sheetData sheetId="9">
        <row r="2">
          <cell r="E2">
            <v>8.1666666666666661</v>
          </cell>
          <cell r="H2">
            <v>83.123061728395058</v>
          </cell>
          <cell r="J2">
            <v>3.9367676767676767</v>
          </cell>
          <cell r="K2">
            <v>87.059829405162731</v>
          </cell>
          <cell r="L2">
            <v>83.123061728395058</v>
          </cell>
        </row>
        <row r="3">
          <cell r="H3">
            <v>16.694444444444443</v>
          </cell>
          <cell r="J3">
            <v>0</v>
          </cell>
          <cell r="K3">
            <v>16.694444444444443</v>
          </cell>
          <cell r="L3">
            <v>16.694444444444443</v>
          </cell>
        </row>
        <row r="4">
          <cell r="H4">
            <v>54.255555555555553</v>
          </cell>
          <cell r="J4">
            <v>15.5</v>
          </cell>
          <cell r="K4">
            <v>69.75555555555556</v>
          </cell>
          <cell r="L4">
            <v>54.255555555555553</v>
          </cell>
        </row>
        <row r="5">
          <cell r="H5">
            <v>70.776666666666657</v>
          </cell>
          <cell r="J5">
            <v>4.0568181818181817</v>
          </cell>
          <cell r="K5">
            <v>74.833484848484844</v>
          </cell>
          <cell r="L5">
            <v>70.776666666666657</v>
          </cell>
          <cell r="M5">
            <v>74.833484848484844</v>
          </cell>
        </row>
        <row r="6">
          <cell r="H6">
            <v>34.835555555555558</v>
          </cell>
          <cell r="J6">
            <v>15.3</v>
          </cell>
          <cell r="K6">
            <v>50.135555555555555</v>
          </cell>
          <cell r="L6">
            <v>34.835555555555558</v>
          </cell>
        </row>
        <row r="7">
          <cell r="H7">
            <v>41.8</v>
          </cell>
          <cell r="K7">
            <v>41.8</v>
          </cell>
          <cell r="L7">
            <v>41.8</v>
          </cell>
        </row>
        <row r="8">
          <cell r="H8">
            <v>15.611754385964915</v>
          </cell>
          <cell r="J8">
            <v>0.2</v>
          </cell>
          <cell r="L8">
            <v>15.990175438596493</v>
          </cell>
        </row>
        <row r="9">
          <cell r="H9">
            <v>1.467187976608187</v>
          </cell>
          <cell r="J9">
            <v>9.1581818181818167E-2</v>
          </cell>
          <cell r="K9">
            <v>3.2746382158426366</v>
          </cell>
          <cell r="L9">
            <v>3.1830563976608186</v>
          </cell>
        </row>
        <row r="10">
          <cell r="H10">
            <v>6.2091666666666665</v>
          </cell>
          <cell r="J10">
            <v>1.5093749999999999</v>
          </cell>
          <cell r="K10">
            <v>9.383541666666666</v>
          </cell>
          <cell r="L10">
            <v>7.8741666666666665</v>
          </cell>
        </row>
        <row r="11">
          <cell r="D11">
            <v>12.75</v>
          </cell>
          <cell r="H11">
            <v>19.848321871345028</v>
          </cell>
          <cell r="J11">
            <v>3.7333545454545449</v>
          </cell>
          <cell r="K11">
            <v>30.842202732589048</v>
          </cell>
          <cell r="L11">
            <v>27.108848187134502</v>
          </cell>
        </row>
        <row r="12">
          <cell r="E12">
            <v>54.87</v>
          </cell>
          <cell r="H12">
            <v>64.809137777777778</v>
          </cell>
          <cell r="J12">
            <v>12.510145454545453</v>
          </cell>
          <cell r="K12">
            <v>77.31928323232323</v>
          </cell>
          <cell r="L12">
            <v>64.809137777777778</v>
          </cell>
          <cell r="M12">
            <v>77.31928323232323</v>
          </cell>
        </row>
        <row r="13">
          <cell r="H13">
            <v>27.373684210526314</v>
          </cell>
          <cell r="J13">
            <v>0</v>
          </cell>
          <cell r="K13">
            <v>55.647368421052633</v>
          </cell>
          <cell r="L13">
            <v>55.647368421052633</v>
          </cell>
        </row>
        <row r="14">
          <cell r="H14">
            <v>9.3163341403508788</v>
          </cell>
          <cell r="I14">
            <v>8.2402894736842125</v>
          </cell>
          <cell r="J14">
            <v>1.1093727272727272E-2</v>
          </cell>
          <cell r="K14">
            <v>17.567717341307816</v>
          </cell>
          <cell r="L14">
            <v>17.55662361403509</v>
          </cell>
        </row>
        <row r="15">
          <cell r="B15">
            <v>29.032222222222224</v>
          </cell>
          <cell r="H15">
            <v>34.700282550877191</v>
          </cell>
          <cell r="J15">
            <v>0.98129002121212117</v>
          </cell>
          <cell r="K15">
            <v>45.127846256299833</v>
          </cell>
          <cell r="L15">
            <v>44.146556235087715</v>
          </cell>
        </row>
        <row r="16">
          <cell r="D16">
            <v>13.895699999999998</v>
          </cell>
          <cell r="H16">
            <v>21.175292982456138</v>
          </cell>
          <cell r="J16">
            <v>0.53444999999999998</v>
          </cell>
          <cell r="K16">
            <v>30.499369298245611</v>
          </cell>
          <cell r="L16">
            <v>29.964919298245611</v>
          </cell>
        </row>
        <row r="29">
          <cell r="H29">
            <v>71.144386549707605</v>
          </cell>
          <cell r="J29">
            <v>13.973886363636364</v>
          </cell>
          <cell r="K29">
            <v>85.665115018607125</v>
          </cell>
          <cell r="L29">
            <v>71.691228654970757</v>
          </cell>
        </row>
        <row r="31">
          <cell r="H31">
            <v>29.368931578947368</v>
          </cell>
          <cell r="J31">
            <v>9.817795454545454</v>
          </cell>
          <cell r="K31">
            <v>39.599358612440192</v>
          </cell>
          <cell r="L31">
            <v>29.781563157894738</v>
          </cell>
        </row>
        <row r="32">
          <cell r="H32">
            <v>5.4</v>
          </cell>
          <cell r="J32">
            <v>5.0599999999999996</v>
          </cell>
          <cell r="K32">
            <v>10.46</v>
          </cell>
          <cell r="L32">
            <v>5.4</v>
          </cell>
          <cell r="M32">
            <v>10.46</v>
          </cell>
        </row>
        <row r="33">
          <cell r="H33">
            <v>15.487588888888888</v>
          </cell>
          <cell r="J33">
            <v>1.2197045454545454</v>
          </cell>
          <cell r="K33">
            <v>16.707293434343434</v>
          </cell>
          <cell r="L33">
            <v>15.487588888888888</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AO DATA"/>
      <sheetName val="FAO DATA IMPEXPPROD"/>
      <sheetName val="FAO FEED"/>
      <sheetName val="FAO SEED"/>
      <sheetName val="FAO PROCESSING"/>
      <sheetName val="FAO LOSSES"/>
      <sheetName val="FAO EXPORT"/>
      <sheetName val="FAO NON FOOD"/>
      <sheetName val="FAO IMPORT"/>
      <sheetName val="FAO PRODUCTION"/>
      <sheetName val="MAIZE"/>
      <sheetName val="WHEAT"/>
      <sheetName val="POTATOES"/>
      <sheetName val="TOMATOES"/>
      <sheetName val="SUGAR CANE"/>
      <sheetName val="SUGAR BEETS"/>
      <sheetName val="SUGARPRODv2"/>
      <sheetName val="LOSS COEFFICIENTS"/>
      <sheetName val="STEP1 SETUP"/>
      <sheetName val="STEP2.1"/>
      <sheetName val="PLATFORM CHEMICALS "/>
      <sheetName val="SIDESTREAM to PLFC (2)"/>
      <sheetName val="SIDESTREAM to PLFC"/>
      <sheetName val="SUGARS to PLFC"/>
      <sheetName val="YIELDSfSUB"/>
      <sheetName val="YIELDSfSUB (2)"/>
      <sheetName val="YIELDSfSUG"/>
      <sheetName val="YieldGraphs"/>
      <sheetName val="TRL"/>
      <sheetName val="PlfCostPriceDemand"/>
      <sheetName val="PlfGHG"/>
      <sheetName val="Normalization"/>
      <sheetName val="optimal_results"/>
      <sheetName val="Multi Objective Optimiz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7">
          <cell r="AJ7">
            <v>35.429999999999993</v>
          </cell>
        </row>
        <row r="19">
          <cell r="AS19">
            <v>44.201499999999996</v>
          </cell>
        </row>
        <row r="53">
          <cell r="AR53">
            <v>23</v>
          </cell>
          <cell r="AS53">
            <v>47.793000000000006</v>
          </cell>
          <cell r="AT53">
            <v>0</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pubs.rsc.org/en/content/articlelanding/2015/ra/c5ra17797a" TargetMode="External"/><Relationship Id="rId18" Type="http://schemas.openxmlformats.org/officeDocument/2006/relationships/hyperlink" Target="https://www.sciencedirect.com/science/article/pii/S0008621512002984?via=ihub" TargetMode="External"/><Relationship Id="rId26" Type="http://schemas.openxmlformats.org/officeDocument/2006/relationships/hyperlink" Target="https://onlinelibrary.wiley.com/doi/10.1002/ente.202000597" TargetMode="External"/><Relationship Id="rId39" Type="http://schemas.openxmlformats.org/officeDocument/2006/relationships/hyperlink" Target="https://www.sciencedirect.com/science/article/pii/S096085241501278X?via%3Dihub" TargetMode="External"/><Relationship Id="rId21" Type="http://schemas.openxmlformats.org/officeDocument/2006/relationships/hyperlink" Target="https://doi.org/10.1016/S0960-8524(98)00088-1" TargetMode="External"/><Relationship Id="rId34" Type="http://schemas.openxmlformats.org/officeDocument/2006/relationships/hyperlink" Target="https://pubs.rsc.org/en/content/articlelanding/2014/ra/c3ra46140h" TargetMode="External"/><Relationship Id="rId42" Type="http://schemas.openxmlformats.org/officeDocument/2006/relationships/hyperlink" Target="https://link.springer.com/article/10.1007/s13399-024-05372-0" TargetMode="External"/><Relationship Id="rId47" Type="http://schemas.openxmlformats.org/officeDocument/2006/relationships/hyperlink" Target="https://link.springer.com/article/10.1007/s13399-024-05372-0" TargetMode="External"/><Relationship Id="rId50" Type="http://schemas.openxmlformats.org/officeDocument/2006/relationships/hyperlink" Target="https://link.springer.com/article/10.1007/s13399-024-05372-0" TargetMode="External"/><Relationship Id="rId55" Type="http://schemas.openxmlformats.org/officeDocument/2006/relationships/hyperlink" Target="https://www.scielo.br/j/cta/a/qSNF38K7nB3zhwwWHKYWdpm/?lang=en" TargetMode="External"/><Relationship Id="rId7" Type="http://schemas.openxmlformats.org/officeDocument/2006/relationships/hyperlink" Target="https://www.sciencedirect.com/science/article/pii/S096085241931452X?pes=vor" TargetMode="External"/><Relationship Id="rId2" Type="http://schemas.openxmlformats.org/officeDocument/2006/relationships/hyperlink" Target="https://www.sciencedirect.com/science/article/pii/S096085241931452X?pes=vor" TargetMode="External"/><Relationship Id="rId16" Type="http://schemas.openxmlformats.org/officeDocument/2006/relationships/hyperlink" Target="https://link.springer.com/article/10.1007/s13399-022-03252-z" TargetMode="External"/><Relationship Id="rId20" Type="http://schemas.openxmlformats.org/officeDocument/2006/relationships/hyperlink" Target="https://www.sciencedirect.com/science/article/pii/S0008621512002984?via=ihub" TargetMode="External"/><Relationship Id="rId29" Type="http://schemas.openxmlformats.org/officeDocument/2006/relationships/hyperlink" Target="https://onlinelibrary.wiley.com/doi/10.1002/ente.202000597" TargetMode="External"/><Relationship Id="rId41" Type="http://schemas.openxmlformats.org/officeDocument/2006/relationships/hyperlink" Target="https://www.sciencedirect.com/science/article/pii/S096085241501278X?via%3Dihub" TargetMode="External"/><Relationship Id="rId54" Type="http://schemas.openxmlformats.org/officeDocument/2006/relationships/hyperlink" Target="https://link.springer.com/article/10.1186/s13068-016-0425-1" TargetMode="External"/><Relationship Id="rId1" Type="http://schemas.openxmlformats.org/officeDocument/2006/relationships/hyperlink" Target="https://www.sciencedirect.com/science/article/pii/S096085241931452X?pes=vor" TargetMode="External"/><Relationship Id="rId6" Type="http://schemas.openxmlformats.org/officeDocument/2006/relationships/hyperlink" Target="https://www.sciencedirect.com/science/article/pii/S096085241931452X?pes=vor" TargetMode="External"/><Relationship Id="rId11" Type="http://schemas.openxmlformats.org/officeDocument/2006/relationships/hyperlink" Target="https://www.sciencedirect.com/science/article/pii/S096085241931452X?pes=vor" TargetMode="External"/><Relationship Id="rId24" Type="http://schemas.openxmlformats.org/officeDocument/2006/relationships/hyperlink" Target="https://onlinelibrary.wiley.com/doi/10.1002/ente.202000597" TargetMode="External"/><Relationship Id="rId32" Type="http://schemas.openxmlformats.org/officeDocument/2006/relationships/hyperlink" Target="https://onlinelibrary.wiley.com/doi/10.1002/ente.202000597" TargetMode="External"/><Relationship Id="rId37" Type="http://schemas.openxmlformats.org/officeDocument/2006/relationships/hyperlink" Target="https://www.sciencedirect.com/science/article/pii/S096085241501278X?via%3Dihub" TargetMode="External"/><Relationship Id="rId40" Type="http://schemas.openxmlformats.org/officeDocument/2006/relationships/hyperlink" Target="https://www.sciencedirect.com/science/article/pii/S096085241501278X?via%3Dihub" TargetMode="External"/><Relationship Id="rId45" Type="http://schemas.openxmlformats.org/officeDocument/2006/relationships/hyperlink" Target="https://link.springer.com/article/10.1007/s13399-024-05372-0" TargetMode="External"/><Relationship Id="rId53" Type="http://schemas.openxmlformats.org/officeDocument/2006/relationships/hyperlink" Target="https://link.springer.com/article/10.1007/s13399-024-05372-0" TargetMode="External"/><Relationship Id="rId58" Type="http://schemas.openxmlformats.org/officeDocument/2006/relationships/printerSettings" Target="../printerSettings/printerSettings1.bin"/><Relationship Id="rId5" Type="http://schemas.openxmlformats.org/officeDocument/2006/relationships/hyperlink" Target="https://www.sciencedirect.com/science/article/pii/S096085241931452X?pes=vor" TargetMode="External"/><Relationship Id="rId15" Type="http://schemas.openxmlformats.org/officeDocument/2006/relationships/hyperlink" Target="https://link.springer.com/article/10.1007/s10163-022-01538-y" TargetMode="External"/><Relationship Id="rId23" Type="http://schemas.openxmlformats.org/officeDocument/2006/relationships/hyperlink" Target="https://onlinelibrary.wiley.com/doi/10.1002/ente.202000597" TargetMode="External"/><Relationship Id="rId28" Type="http://schemas.openxmlformats.org/officeDocument/2006/relationships/hyperlink" Target="https://onlinelibrary.wiley.com/doi/10.1002/ente.202000597" TargetMode="External"/><Relationship Id="rId36" Type="http://schemas.openxmlformats.org/officeDocument/2006/relationships/hyperlink" Target="https://www.sciencedirect.com/science/article/pii/S096085241501278X?via%3Dihub" TargetMode="External"/><Relationship Id="rId49" Type="http://schemas.openxmlformats.org/officeDocument/2006/relationships/hyperlink" Target="https://link.springer.com/article/10.1007/s13399-024-05372-0" TargetMode="External"/><Relationship Id="rId57" Type="http://schemas.openxmlformats.org/officeDocument/2006/relationships/hyperlink" Target="https://link.springer.com/article/10.1007/s10570-019-02571-1" TargetMode="External"/><Relationship Id="rId61" Type="http://schemas.openxmlformats.org/officeDocument/2006/relationships/comments" Target="../comments1.xml"/><Relationship Id="rId10" Type="http://schemas.openxmlformats.org/officeDocument/2006/relationships/hyperlink" Target="https://www.sciencedirect.com/science/article/pii/S096085241931452X?pes=vor" TargetMode="External"/><Relationship Id="rId19" Type="http://schemas.openxmlformats.org/officeDocument/2006/relationships/hyperlink" Target="https://www.sciencedirect.com/science/article/pii/S0008621512002984?via=ihub" TargetMode="External"/><Relationship Id="rId31" Type="http://schemas.openxmlformats.org/officeDocument/2006/relationships/hyperlink" Target="https://onlinelibrary.wiley.com/doi/10.1002/ente.202000597" TargetMode="External"/><Relationship Id="rId44" Type="http://schemas.openxmlformats.org/officeDocument/2006/relationships/hyperlink" Target="https://link.springer.com/article/10.1007/s13399-024-05372-0" TargetMode="External"/><Relationship Id="rId52" Type="http://schemas.openxmlformats.org/officeDocument/2006/relationships/hyperlink" Target="https://link.springer.com/article/10.1007/s13399-024-05372-0" TargetMode="External"/><Relationship Id="rId60" Type="http://schemas.openxmlformats.org/officeDocument/2006/relationships/vmlDrawing" Target="../drawings/vmlDrawing1.vml"/><Relationship Id="rId4" Type="http://schemas.openxmlformats.org/officeDocument/2006/relationships/hyperlink" Target="https://www.sciencedirect.com/science/article/pii/S096085241931452X?pes=vor" TargetMode="External"/><Relationship Id="rId9" Type="http://schemas.openxmlformats.org/officeDocument/2006/relationships/hyperlink" Target="https://www.sciencedirect.com/science/article/pii/S096085241931452X?pes=vor" TargetMode="External"/><Relationship Id="rId14" Type="http://schemas.openxmlformats.org/officeDocument/2006/relationships/hyperlink" Target="https://www.sciencedirect.com/science/article/pii/S0196890424000463?pes=vor" TargetMode="External"/><Relationship Id="rId22" Type="http://schemas.openxmlformats.org/officeDocument/2006/relationships/hyperlink" Target="https://link.springer.com/article/10.1007/s11814-007-0101-z" TargetMode="External"/><Relationship Id="rId27" Type="http://schemas.openxmlformats.org/officeDocument/2006/relationships/hyperlink" Target="https://onlinelibrary.wiley.com/doi/10.1002/ente.202000597" TargetMode="External"/><Relationship Id="rId30" Type="http://schemas.openxmlformats.org/officeDocument/2006/relationships/hyperlink" Target="https://onlinelibrary.wiley.com/doi/10.1002/ente.202000597" TargetMode="External"/><Relationship Id="rId35" Type="http://schemas.openxmlformats.org/officeDocument/2006/relationships/hyperlink" Target="https://pubs.rsc.org/en/content/articlelanding/2014/ra/c3ra46140h" TargetMode="External"/><Relationship Id="rId43" Type="http://schemas.openxmlformats.org/officeDocument/2006/relationships/hyperlink" Target="https://link.springer.com/article/10.1007/s13399-024-05372-0" TargetMode="External"/><Relationship Id="rId48" Type="http://schemas.openxmlformats.org/officeDocument/2006/relationships/hyperlink" Target="https://link.springer.com/article/10.1007/s13399-024-05372-0" TargetMode="External"/><Relationship Id="rId56" Type="http://schemas.openxmlformats.org/officeDocument/2006/relationships/hyperlink" Target="https://pubs.acs.org/doi/full/10.1021/acssuschemeng.9b00362?casa_token=HvjJqUzNJ3gAAAAA%3AqPow9-3aI3LfvV-B7hDyx6juRhnat1RX_8uo7MjurBrUUK4dB0gOuXGteXtUyjs7ZdvE0UnSxKqZ" TargetMode="External"/><Relationship Id="rId8" Type="http://schemas.openxmlformats.org/officeDocument/2006/relationships/hyperlink" Target="https://www.sciencedirect.com/science/article/pii/S096085241931452X?pes=vor" TargetMode="External"/><Relationship Id="rId51" Type="http://schemas.openxmlformats.org/officeDocument/2006/relationships/hyperlink" Target="https://link.springer.com/article/10.1007/s13399-024-05372-0" TargetMode="External"/><Relationship Id="rId3" Type="http://schemas.openxmlformats.org/officeDocument/2006/relationships/hyperlink" Target="https://www.sciencedirect.com/science/article/pii/S096085241931452X?pes=vor" TargetMode="External"/><Relationship Id="rId12" Type="http://schemas.openxmlformats.org/officeDocument/2006/relationships/hyperlink" Target="https://www.sciencedirect.com/science/article/pii/S096085241931452X?pes=vor" TargetMode="External"/><Relationship Id="rId17" Type="http://schemas.openxmlformats.org/officeDocument/2006/relationships/hyperlink" Target="https://www.sciencedirect.com/science/article/pii/S0008621512002984?via=ihub" TargetMode="External"/><Relationship Id="rId25" Type="http://schemas.openxmlformats.org/officeDocument/2006/relationships/hyperlink" Target="https://onlinelibrary.wiley.com/doi/10.1002/ente.202000597" TargetMode="External"/><Relationship Id="rId33" Type="http://schemas.openxmlformats.org/officeDocument/2006/relationships/hyperlink" Target="https://link.springer.com/article/10.1007/s00449-021-02591-x" TargetMode="External"/><Relationship Id="rId38" Type="http://schemas.openxmlformats.org/officeDocument/2006/relationships/hyperlink" Target="https://www.sciencedirect.com/science/article/pii/S096085241501278X?via%3Dihub" TargetMode="External"/><Relationship Id="rId46" Type="http://schemas.openxmlformats.org/officeDocument/2006/relationships/hyperlink" Target="https://link.springer.com/article/10.1007/s13399-024-05372-0" TargetMode="External"/><Relationship Id="rId5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3" Type="http://schemas.openxmlformats.org/officeDocument/2006/relationships/hyperlink" Target="https://www.sciencedirect.com/science/article/pii/S138589471101165X?via%3Dihub" TargetMode="External"/><Relationship Id="rId18" Type="http://schemas.openxmlformats.org/officeDocument/2006/relationships/hyperlink" Target="https://openscholar.dut.ac.za/bitstream/10321/888/1/nofemele_sure_et_al_2012.pdf" TargetMode="External"/><Relationship Id="rId26" Type="http://schemas.openxmlformats.org/officeDocument/2006/relationships/hyperlink" Target="https://www.sciencedirect.com/science/article/pii/S0926669017300146" TargetMode="External"/><Relationship Id="rId39" Type="http://schemas.openxmlformats.org/officeDocument/2006/relationships/hyperlink" Target="https://www.sciencedirect.com/science/article/pii/S1364032120304639" TargetMode="External"/><Relationship Id="rId21" Type="http://schemas.openxmlformats.org/officeDocument/2006/relationships/hyperlink" Target="https://www.sciencedirect.com/science/article/pii/S096014811000340X" TargetMode="External"/><Relationship Id="rId34" Type="http://schemas.openxmlformats.org/officeDocument/2006/relationships/hyperlink" Target="https://pubs.rsc.org/en/content/articlelanding/2014/ra/c4ra04119d" TargetMode="External"/><Relationship Id="rId42" Type="http://schemas.openxmlformats.org/officeDocument/2006/relationships/hyperlink" Target="https://www.sciencedirect.com/science/article/pii/S1364032120304639" TargetMode="External"/><Relationship Id="rId47" Type="http://schemas.openxmlformats.org/officeDocument/2006/relationships/hyperlink" Target="https://pubs.rsc.org/en/content/articlelanding/2016/cy/c6cy00820h" TargetMode="External"/><Relationship Id="rId50" Type="http://schemas.openxmlformats.org/officeDocument/2006/relationships/hyperlink" Target="https://link.springer.com/article/10.1007/s12155-020-10113-y" TargetMode="External"/><Relationship Id="rId55" Type="http://schemas.openxmlformats.org/officeDocument/2006/relationships/hyperlink" Target="https://www.sciencedirect.com/science/article/pii/S0926860X17303691" TargetMode="External"/><Relationship Id="rId7" Type="http://schemas.openxmlformats.org/officeDocument/2006/relationships/hyperlink" Target="https://www.sciencedirect.com/science/article/pii/S001623612302656X?via%3Dihub" TargetMode="External"/><Relationship Id="rId12" Type="http://schemas.openxmlformats.org/officeDocument/2006/relationships/hyperlink" Target="https://sci-hub.se/10.1016/j.renene.2012.07.003" TargetMode="External"/><Relationship Id="rId17" Type="http://schemas.openxmlformats.org/officeDocument/2006/relationships/hyperlink" Target="https://openscholar.dut.ac.za/bitstream/10321/888/1/nofemele_sure_et_al_2012.pdf" TargetMode="External"/><Relationship Id="rId25" Type="http://schemas.openxmlformats.org/officeDocument/2006/relationships/hyperlink" Target="https://www.sciencedirect.com/science/article/pii/S0926669017300146" TargetMode="External"/><Relationship Id="rId33" Type="http://schemas.openxmlformats.org/officeDocument/2006/relationships/hyperlink" Target="https://pubs.rsc.org/en/content/articlelanding/2014/ra/c4ra04119d" TargetMode="External"/><Relationship Id="rId38" Type="http://schemas.openxmlformats.org/officeDocument/2006/relationships/hyperlink" Target="https://www.sciencedirect.com/science/article/pii/S1364032120304639" TargetMode="External"/><Relationship Id="rId46" Type="http://schemas.openxmlformats.org/officeDocument/2006/relationships/hyperlink" Target="https://www.sciencedirect.com/science/article/pii/S0959652622039555" TargetMode="External"/><Relationship Id="rId2" Type="http://schemas.openxmlformats.org/officeDocument/2006/relationships/hyperlink" Target="https://biotechnologyforbiofuels.biomedcentral.com/articles/10.1186/s13068-015-0224-0" TargetMode="External"/><Relationship Id="rId16" Type="http://schemas.openxmlformats.org/officeDocument/2006/relationships/hyperlink" Target="https://www.scielo.br/j/bjm/a/tMZzMhg7xVLL9QqsrKNRzSx/?lang=en" TargetMode="External"/><Relationship Id="rId20" Type="http://schemas.openxmlformats.org/officeDocument/2006/relationships/hyperlink" Target="https://www.sciencedirect.com/science/article/pii/S0961953412004424" TargetMode="External"/><Relationship Id="rId29" Type="http://schemas.openxmlformats.org/officeDocument/2006/relationships/hyperlink" Target="https://www.sciencedirect.com/science/article/pii/S0926669017300146" TargetMode="External"/><Relationship Id="rId41" Type="http://schemas.openxmlformats.org/officeDocument/2006/relationships/hyperlink" Target="https://www.sciencedirect.com/science/article/pii/S1364032120304639" TargetMode="External"/><Relationship Id="rId54" Type="http://schemas.openxmlformats.org/officeDocument/2006/relationships/hyperlink" Target="https://www.scielo.br/j/jbchs/a/M5YG7fyrmvY9DCk7yhtCyYd/" TargetMode="External"/><Relationship Id="rId1" Type="http://schemas.openxmlformats.org/officeDocument/2006/relationships/hyperlink" Target="https://biotechnologyforbiofuels.biomedcentral.com/articles/10.1186/s13068-015-0224-0" TargetMode="External"/><Relationship Id="rId6" Type="http://schemas.openxmlformats.org/officeDocument/2006/relationships/hyperlink" Target="https://biotechnologyforbiofuels.biomedcentral.com/articles/10.1186/s13068-015-0224-0" TargetMode="External"/><Relationship Id="rId11" Type="http://schemas.openxmlformats.org/officeDocument/2006/relationships/hyperlink" Target="https://sci-hub.se/10.1016/j.renene.2012.07.003" TargetMode="External"/><Relationship Id="rId24" Type="http://schemas.openxmlformats.org/officeDocument/2006/relationships/hyperlink" Target="https://www.sciencedirect.com/science/article/pii/S1350417718308320" TargetMode="External"/><Relationship Id="rId32" Type="http://schemas.openxmlformats.org/officeDocument/2006/relationships/hyperlink" Target="https://www.sciencedirect.com/science/article/pii/S138589471731803X" TargetMode="External"/><Relationship Id="rId37" Type="http://schemas.openxmlformats.org/officeDocument/2006/relationships/hyperlink" Target="https://www.sciencedirect.com/science/article/pii/S1364032120304639" TargetMode="External"/><Relationship Id="rId40" Type="http://schemas.openxmlformats.org/officeDocument/2006/relationships/hyperlink" Target="https://www.sciencedirect.com/science/article/pii/S1364032120304639" TargetMode="External"/><Relationship Id="rId45" Type="http://schemas.openxmlformats.org/officeDocument/2006/relationships/hyperlink" Target="https://www.sciencedirect.com/science/article/pii/S0959652622039555" TargetMode="External"/><Relationship Id="rId53" Type="http://schemas.openxmlformats.org/officeDocument/2006/relationships/hyperlink" Target="https://www.scielo.br/j/jbchs/a/M5YG7fyrmvY9DCk7yhtCyYd/" TargetMode="External"/><Relationship Id="rId58" Type="http://schemas.openxmlformats.org/officeDocument/2006/relationships/drawing" Target="../drawings/drawing9.xml"/><Relationship Id="rId5" Type="http://schemas.openxmlformats.org/officeDocument/2006/relationships/hyperlink" Target="https://biotechnologyforbiofuels.biomedcentral.com/articles/10.1186/s13068-015-0224-0" TargetMode="External"/><Relationship Id="rId15" Type="http://schemas.openxmlformats.org/officeDocument/2006/relationships/hyperlink" Target="https://www.scielo.br/j/bjm/a/tMZzMhg7xVLL9QqsrKNRzSx/?lang=en" TargetMode="External"/><Relationship Id="rId23" Type="http://schemas.openxmlformats.org/officeDocument/2006/relationships/hyperlink" Target="https://www.sciencedirect.com/science/article/pii/S1350417718308320" TargetMode="External"/><Relationship Id="rId28" Type="http://schemas.openxmlformats.org/officeDocument/2006/relationships/hyperlink" Target="https://www.sciencedirect.com/science/article/pii/S0926669017300146" TargetMode="External"/><Relationship Id="rId36" Type="http://schemas.openxmlformats.org/officeDocument/2006/relationships/hyperlink" Target="https://www.sciencedirect.com/science/article/pii/S1364032120304639" TargetMode="External"/><Relationship Id="rId49" Type="http://schemas.openxmlformats.org/officeDocument/2006/relationships/hyperlink" Target="https://link.springer.com/article/10.1007/s12155-020-10113-y" TargetMode="External"/><Relationship Id="rId57" Type="http://schemas.openxmlformats.org/officeDocument/2006/relationships/printerSettings" Target="../printerSettings/printerSettings8.bin"/><Relationship Id="rId10" Type="http://schemas.openxmlformats.org/officeDocument/2006/relationships/hyperlink" Target="https://www.sciencedirect.com/science/article/pii/S0926669023008130?via%3Dihub" TargetMode="External"/><Relationship Id="rId19" Type="http://schemas.openxmlformats.org/officeDocument/2006/relationships/hyperlink" Target="https://www.sciencedirect.com/science/article/pii/S0961953412004424" TargetMode="External"/><Relationship Id="rId31" Type="http://schemas.openxmlformats.org/officeDocument/2006/relationships/hyperlink" Target="https://www.sciencedirect.com/science/article/pii/S138589471731803X" TargetMode="External"/><Relationship Id="rId44" Type="http://schemas.openxmlformats.org/officeDocument/2006/relationships/hyperlink" Target="https://chemistry-europe.onlinelibrary.wiley.com/doi/10.1002/slct.201801814" TargetMode="External"/><Relationship Id="rId52" Type="http://schemas.openxmlformats.org/officeDocument/2006/relationships/hyperlink" Target="https://link.springer.com/article/10.1007/s10570-021-03764-3" TargetMode="External"/><Relationship Id="rId4" Type="http://schemas.openxmlformats.org/officeDocument/2006/relationships/hyperlink" Target="https://www.sciencedirect.com/science/article/pii/S0960852407003586?via%3Dihub" TargetMode="External"/><Relationship Id="rId9" Type="http://schemas.openxmlformats.org/officeDocument/2006/relationships/hyperlink" Target="https://www.sciencedirect.com/science/article/pii/S0926669023008130?via%3Dihub" TargetMode="External"/><Relationship Id="rId14" Type="http://schemas.openxmlformats.org/officeDocument/2006/relationships/hyperlink" Target="https://www.sciencedirect.com/science/article/pii/S138589471101165X?via%3Dihub" TargetMode="External"/><Relationship Id="rId22" Type="http://schemas.openxmlformats.org/officeDocument/2006/relationships/hyperlink" Target="https://www.sciencedirect.com/science/article/pii/S096014811000340X" TargetMode="External"/><Relationship Id="rId27" Type="http://schemas.openxmlformats.org/officeDocument/2006/relationships/hyperlink" Target="https://www.sciencedirect.com/science/article/pii/S0926669017300146" TargetMode="External"/><Relationship Id="rId30" Type="http://schemas.openxmlformats.org/officeDocument/2006/relationships/hyperlink" Target="https://www.sciencedirect.com/science/article/pii/S0926669017300146" TargetMode="External"/><Relationship Id="rId35" Type="http://schemas.openxmlformats.org/officeDocument/2006/relationships/hyperlink" Target="https://www.sciencedirect.com/science/article/pii/S1364032120304639" TargetMode="External"/><Relationship Id="rId43" Type="http://schemas.openxmlformats.org/officeDocument/2006/relationships/hyperlink" Target="https://chemistry-europe.onlinelibrary.wiley.com/doi/10.1002/slct.201801814" TargetMode="External"/><Relationship Id="rId48" Type="http://schemas.openxmlformats.org/officeDocument/2006/relationships/hyperlink" Target="https://pubs.rsc.org/en/content/articlelanding/2016/cy/c6cy00820h" TargetMode="External"/><Relationship Id="rId56" Type="http://schemas.openxmlformats.org/officeDocument/2006/relationships/hyperlink" Target="https://www.sciencedirect.com/science/article/pii/S0926860X17303691" TargetMode="External"/><Relationship Id="rId8" Type="http://schemas.openxmlformats.org/officeDocument/2006/relationships/hyperlink" Target="https://www.sciencedirect.com/science/article/pii/S001623612302656X?via%3Dihub" TargetMode="External"/><Relationship Id="rId51" Type="http://schemas.openxmlformats.org/officeDocument/2006/relationships/hyperlink" Target="https://link.springer.com/article/10.1007/s10570-021-03764-3" TargetMode="External"/><Relationship Id="rId3" Type="http://schemas.openxmlformats.org/officeDocument/2006/relationships/hyperlink" Target="https://www.sciencedirect.com/science/article/pii/S0960852407003586?via%3Dihub"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onlinelibrary.wiley.com/doi/full/10.1002/jib.181" TargetMode="External"/><Relationship Id="rId13" Type="http://schemas.openxmlformats.org/officeDocument/2006/relationships/hyperlink" Target="https://elibrary.asabe.org/abstract.asp??JID=3&amp;AID=37124&amp;CID=biee2010&amp;v=3&amp;i=4&amp;T=1" TargetMode="External"/><Relationship Id="rId18" Type="http://schemas.openxmlformats.org/officeDocument/2006/relationships/hyperlink" Target="https://www.mdpi.com/2311-5637/7/2/86" TargetMode="External"/><Relationship Id="rId26" Type="http://schemas.openxmlformats.org/officeDocument/2006/relationships/hyperlink" Target="https://www.sciencedirect.com/science/article/pii/S0959652621019132" TargetMode="External"/><Relationship Id="rId39" Type="http://schemas.openxmlformats.org/officeDocument/2006/relationships/hyperlink" Target="https://link.springer.com/article/10.1007/s12355-017-0543-5" TargetMode="External"/><Relationship Id="rId3" Type="http://schemas.openxmlformats.org/officeDocument/2006/relationships/hyperlink" Target="https://hrcak.srce.hr/file/87226" TargetMode="External"/><Relationship Id="rId21" Type="http://schemas.openxmlformats.org/officeDocument/2006/relationships/hyperlink" Target="https://www-sciencedirect-com.ezproxy.library.wur.nl/science/article/pii/S0141022911000044" TargetMode="External"/><Relationship Id="rId34" Type="http://schemas.openxmlformats.org/officeDocument/2006/relationships/hyperlink" Target="https://www.mdpi.com/1996-1073/13/21/5649" TargetMode="External"/><Relationship Id="rId7" Type="http://schemas.openxmlformats.org/officeDocument/2006/relationships/hyperlink" Target="https://onlinelibrary.wiley.com/doi/full/10.1002/jib.181" TargetMode="External"/><Relationship Id="rId12" Type="http://schemas.openxmlformats.org/officeDocument/2006/relationships/hyperlink" Target="https://www.sciencedirect.com/science/article/pii/S0016236115005967?via%3Dihub" TargetMode="External"/><Relationship Id="rId17" Type="http://schemas.openxmlformats.org/officeDocument/2006/relationships/hyperlink" Target="https://www.mdpi.com/2311-5637/7/2/86" TargetMode="External"/><Relationship Id="rId25" Type="http://schemas.openxmlformats.org/officeDocument/2006/relationships/hyperlink" Target="https://www.mdpi.com/1996-1073/12/17/3222" TargetMode="External"/><Relationship Id="rId33" Type="http://schemas.openxmlformats.org/officeDocument/2006/relationships/hyperlink" Target="https://www.researchgate.net/publication/349208963_5-Hydroxy-2-Methylfurfural_from_Sugar_Beet_Thick_Juice_Kinetic_and_Modeling_Studies" TargetMode="External"/><Relationship Id="rId38" Type="http://schemas.openxmlformats.org/officeDocument/2006/relationships/hyperlink" Target="https://nexusacademicpublishers.com/table_contents_detail/4/1983/html" TargetMode="External"/><Relationship Id="rId2" Type="http://schemas.openxmlformats.org/officeDocument/2006/relationships/hyperlink" Target="https://www.sciencedirect.com/science/article/pii/S0959652617309824" TargetMode="External"/><Relationship Id="rId16" Type="http://schemas.openxmlformats.org/officeDocument/2006/relationships/hyperlink" Target="https://dergipark.org.tr/tr/download/article-file/1369920" TargetMode="External"/><Relationship Id="rId20" Type="http://schemas.openxmlformats.org/officeDocument/2006/relationships/hyperlink" Target="https://onlinelibrary.wiley.com/doi/full/10.1002/jib.536?sid=worldcat.org" TargetMode="External"/><Relationship Id="rId29" Type="http://schemas.openxmlformats.org/officeDocument/2006/relationships/hyperlink" Target="https://www.mdpi.com/1996-1073/13/24/6684" TargetMode="External"/><Relationship Id="rId41" Type="http://schemas.openxmlformats.org/officeDocument/2006/relationships/drawing" Target="../drawings/drawing10.xml"/><Relationship Id="rId1" Type="http://schemas.openxmlformats.org/officeDocument/2006/relationships/hyperlink" Target="https://www.sciencedirect.com/science/article/pii/S0959652617309824" TargetMode="External"/><Relationship Id="rId6" Type="http://schemas.openxmlformats.org/officeDocument/2006/relationships/hyperlink" Target="https://www-sciencedirect-com.ezproxy.library.wur.nl/science/article/pii/S0306261911008907" TargetMode="External"/><Relationship Id="rId11" Type="http://schemas.openxmlformats.org/officeDocument/2006/relationships/hyperlink" Target="https://www.sciencedirect.com/science/article/pii/S0016236115005967?via%3Dihub" TargetMode="External"/><Relationship Id="rId24" Type="http://schemas.openxmlformats.org/officeDocument/2006/relationships/hyperlink" Target="https://www.mdpi.com/1996-1073/12/17/3222" TargetMode="External"/><Relationship Id="rId32" Type="http://schemas.openxmlformats.org/officeDocument/2006/relationships/hyperlink" Target="https://www.researchgate.net/publication/349208963_5-Hydroxy-2-Methylfurfural_from_Sugar_Beet_Thick_Juice_Kinetic_and_Modeling_Studies" TargetMode="External"/><Relationship Id="rId37" Type="http://schemas.openxmlformats.org/officeDocument/2006/relationships/hyperlink" Target="https://www.mdpi.com/1996-1073/10/9/1255" TargetMode="External"/><Relationship Id="rId40" Type="http://schemas.openxmlformats.org/officeDocument/2006/relationships/hyperlink" Target="https://link.springer.com/article/10.1007/s12355-017-0543-5" TargetMode="External"/><Relationship Id="rId5" Type="http://schemas.openxmlformats.org/officeDocument/2006/relationships/hyperlink" Target="https://www-sciencedirect-com.ezproxy.library.wur.nl/science/article/pii/S0306261911008907" TargetMode="External"/><Relationship Id="rId15" Type="http://schemas.openxmlformats.org/officeDocument/2006/relationships/hyperlink" Target="https://dergipark.org.tr/tr/download/article-file/1369920" TargetMode="External"/><Relationship Id="rId23" Type="http://schemas.openxmlformats.org/officeDocument/2006/relationships/hyperlink" Target="https://www-sciencedirect-com.ezproxy.library.wur.nl/science/article/pii/S0141022911000044" TargetMode="External"/><Relationship Id="rId28" Type="http://schemas.openxmlformats.org/officeDocument/2006/relationships/hyperlink" Target="https://www.mdpi.com/1996-1073/13/24/6684" TargetMode="External"/><Relationship Id="rId36" Type="http://schemas.openxmlformats.org/officeDocument/2006/relationships/hyperlink" Target="https://www.mdpi.com/1996-1073/10/9/1255" TargetMode="External"/><Relationship Id="rId10" Type="http://schemas.openxmlformats.org/officeDocument/2006/relationships/hyperlink" Target="https://www.eurekaselect.com/article/70433" TargetMode="External"/><Relationship Id="rId19" Type="http://schemas.openxmlformats.org/officeDocument/2006/relationships/hyperlink" Target="https://onlinelibrary.wiley.com/doi/full/10.1002/jib.536?sid=worldcat.org" TargetMode="External"/><Relationship Id="rId31" Type="http://schemas.openxmlformats.org/officeDocument/2006/relationships/hyperlink" Target="https://chemistry-europe.onlinelibrary.wiley.com/doi/10.1002/cssc.201901115" TargetMode="External"/><Relationship Id="rId4" Type="http://schemas.openxmlformats.org/officeDocument/2006/relationships/hyperlink" Target="https://hrcak.srce.hr/file/87226" TargetMode="External"/><Relationship Id="rId9" Type="http://schemas.openxmlformats.org/officeDocument/2006/relationships/hyperlink" Target="https://www.eurekaselect.com/article/70433" TargetMode="External"/><Relationship Id="rId14" Type="http://schemas.openxmlformats.org/officeDocument/2006/relationships/hyperlink" Target="https://elibrary.asabe.org/abstract.asp??JID=3&amp;AID=37124&amp;CID=biee2010&amp;v=3&amp;i=4&amp;T=1" TargetMode="External"/><Relationship Id="rId22" Type="http://schemas.openxmlformats.org/officeDocument/2006/relationships/hyperlink" Target="https://www-sciencedirect-com.ezproxy.library.wur.nl/science/article/pii/S0141022911000044" TargetMode="External"/><Relationship Id="rId27" Type="http://schemas.openxmlformats.org/officeDocument/2006/relationships/hyperlink" Target="https://www.sciencedirect.com/science/article/pii/S0959652621019132" TargetMode="External"/><Relationship Id="rId30" Type="http://schemas.openxmlformats.org/officeDocument/2006/relationships/hyperlink" Target="https://chemistry-europe.onlinelibrary.wiley.com/doi/10.1002/cssc.201901115" TargetMode="External"/><Relationship Id="rId35" Type="http://schemas.openxmlformats.org/officeDocument/2006/relationships/hyperlink" Target="https://www.mdpi.com/1996-1073/13/21/5649"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doi.org/10.1016/j.enzmictec.2010.12.009" TargetMode="External"/><Relationship Id="rId3" Type="http://schemas.openxmlformats.org/officeDocument/2006/relationships/hyperlink" Target="https://www.sciencedirect.com/science/article/pii/S0196890422006653?pes=vor" TargetMode="External"/><Relationship Id="rId7" Type="http://schemas.openxmlformats.org/officeDocument/2006/relationships/hyperlink" Target="https://doi.org/10.3390/fermentation5010012" TargetMode="External"/><Relationship Id="rId2" Type="http://schemas.openxmlformats.org/officeDocument/2006/relationships/hyperlink" Target="https://www.sciencedirect.com/science/article/pii/S0196890422006653?pes=vor" TargetMode="External"/><Relationship Id="rId1" Type="http://schemas.openxmlformats.org/officeDocument/2006/relationships/hyperlink" Target="https://www.sciencedirect.com/science/article/pii/S0196890422006653?pes=vor" TargetMode="External"/><Relationship Id="rId6" Type="http://schemas.openxmlformats.org/officeDocument/2006/relationships/hyperlink" Target="https://www.foodwasteexplorer.eu/byWasteStream?foodname=&amp;wastestream=Rapeseed%20meal&amp;compgroup=&amp;ftc=Dry%20Matter" TargetMode="External"/><Relationship Id="rId11" Type="http://schemas.openxmlformats.org/officeDocument/2006/relationships/drawing" Target="../drawings/drawing11.xml"/><Relationship Id="rId5" Type="http://schemas.openxmlformats.org/officeDocument/2006/relationships/hyperlink" Target="https://doi.org/10.1016/j.biortech.2010.09.071" TargetMode="External"/><Relationship Id="rId10" Type="http://schemas.openxmlformats.org/officeDocument/2006/relationships/printerSettings" Target="../printerSettings/printerSettings9.bin"/><Relationship Id="rId4" Type="http://schemas.openxmlformats.org/officeDocument/2006/relationships/hyperlink" Target="https://www.sciencedirect.com/science/article/pii/S0196890422006653?pes=vor" TargetMode="External"/><Relationship Id="rId9" Type="http://schemas.openxmlformats.org/officeDocument/2006/relationships/hyperlink" Target="https://ift.co.za/media/mediafiles/archive/SAIChE%20Congress%202003%20Arnold%20and%20Buzzard%20paper.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sciencedirect-com.proxy.library.uu.nl/science/article/pii/S0960852424001937" TargetMode="External"/><Relationship Id="rId13" Type="http://schemas.openxmlformats.org/officeDocument/2006/relationships/hyperlink" Target="https://onlinelibrary-wiley-com.proxy.library.uu.nl/doi/epdf/10.1002/jsfa.2276" TargetMode="External"/><Relationship Id="rId18" Type="http://schemas.openxmlformats.org/officeDocument/2006/relationships/hyperlink" Target="https://ift.co.za/media/mediafiles/archive/SAIChE%20Congress%202003%20Arnold%20and%20Buzzard%20paper.pdf" TargetMode="External"/><Relationship Id="rId3" Type="http://schemas.openxmlformats.org/officeDocument/2006/relationships/hyperlink" Target="https://www-sciencedirect-com.proxy.library.uu.nl/science/article/pii/S0926669008000241" TargetMode="External"/><Relationship Id="rId7" Type="http://schemas.openxmlformats.org/officeDocument/2006/relationships/hyperlink" Target="https://www-sciencedirect-com.proxy.library.uu.nl/science/article/pii/S0960852419315974" TargetMode="External"/><Relationship Id="rId12" Type="http://schemas.openxmlformats.org/officeDocument/2006/relationships/hyperlink" Target="https://www-sciencedirect-com.proxy.library.uu.nl/science/article/pii/S1369703X08000235" TargetMode="External"/><Relationship Id="rId17" Type="http://schemas.openxmlformats.org/officeDocument/2006/relationships/hyperlink" Target="https://aiche-onlinelibrary-wiley-com.proxy.library.uu.nl/doi/epdf/10.1021/bp0501118" TargetMode="External"/><Relationship Id="rId2" Type="http://schemas.openxmlformats.org/officeDocument/2006/relationships/hyperlink" Target="https://link.springer.com/article/10.1007/s12010-011-9304-1?utm_source=getftr&amp;utm_medium=getftr&amp;utm_campaign=getftr_pilot" TargetMode="External"/><Relationship Id="rId16" Type="http://schemas.openxmlformats.org/officeDocument/2006/relationships/hyperlink" Target="https://www.sciencedirect.com/science/article/abs/pii/S0032959204001657" TargetMode="External"/><Relationship Id="rId20" Type="http://schemas.openxmlformats.org/officeDocument/2006/relationships/printerSettings" Target="../printerSettings/printerSettings10.bin"/><Relationship Id="rId1" Type="http://schemas.openxmlformats.org/officeDocument/2006/relationships/hyperlink" Target="https://www.researchgate.net/publication/256197077_Ethanol_Production_from_Winter_Hulless_Barley" TargetMode="External"/><Relationship Id="rId6" Type="http://schemas.openxmlformats.org/officeDocument/2006/relationships/hyperlink" Target="https://www-sciencedirect-com.proxy.library.uu.nl/science/article/pii/S1871678418302279" TargetMode="External"/><Relationship Id="rId11" Type="http://schemas.openxmlformats.org/officeDocument/2006/relationships/hyperlink" Target="https://link-springer-com.proxy.library.uu.nl/article/10.1007/s10529-007-9494-3" TargetMode="External"/><Relationship Id="rId5" Type="http://schemas.openxmlformats.org/officeDocument/2006/relationships/hyperlink" Target="https://pubs.acs.org/doi/10.1021/acs.energyfuels.8b00343" TargetMode="External"/><Relationship Id="rId15" Type="http://schemas.openxmlformats.org/officeDocument/2006/relationships/hyperlink" Target="https://link-springer-com.proxy.library.uu.nl/article/10.1007/s10529-007-9468-5" TargetMode="External"/><Relationship Id="rId10" Type="http://schemas.openxmlformats.org/officeDocument/2006/relationships/hyperlink" Target="https://www-sciencedirect-com.proxy.library.uu.nl/science/article/pii/S0956053X15302154" TargetMode="External"/><Relationship Id="rId19" Type="http://schemas.openxmlformats.org/officeDocument/2006/relationships/hyperlink" Target="https://ift.co.za/media/mediafiles/archive/SAIChE%20Congress%202003%20Arnold%20and%20Buzzard%20paper.pdf" TargetMode="External"/><Relationship Id="rId4" Type="http://schemas.openxmlformats.org/officeDocument/2006/relationships/hyperlink" Target="https://www-sciencedirect-com.proxy.library.uu.nl/science/article/pii/S0960148122002919" TargetMode="External"/><Relationship Id="rId9" Type="http://schemas.openxmlformats.org/officeDocument/2006/relationships/hyperlink" Target="https://www-sciencedirect-com.proxy.library.uu.nl/science/article/pii/S1369703X08000235" TargetMode="External"/><Relationship Id="rId14" Type="http://schemas.openxmlformats.org/officeDocument/2006/relationships/hyperlink" Target="https://link-springer-com.proxy.library.uu.nl/article/10.1007/s10529-007-9468-5"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sciencedirect.com/science/article/pii/S0360544221027183?via%3Dihub" TargetMode="External"/><Relationship Id="rId13" Type="http://schemas.openxmlformats.org/officeDocument/2006/relationships/hyperlink" Target="https://www.sciencedirect.com/science/article/pii/S0023643806000326?via%3Dihub" TargetMode="External"/><Relationship Id="rId18" Type="http://schemas.openxmlformats.org/officeDocument/2006/relationships/hyperlink" Target="https://www.sciencedirect.com/science/article/pii/S096085242031511X?via%3Dihub" TargetMode="External"/><Relationship Id="rId3" Type="http://schemas.openxmlformats.org/officeDocument/2006/relationships/hyperlink" Target="https://www.sciencedirect.com/topics/engineering/kinetic-parameter" TargetMode="External"/><Relationship Id="rId21" Type="http://schemas.openxmlformats.org/officeDocument/2006/relationships/printerSettings" Target="../printerSettings/printerSettings2.bin"/><Relationship Id="rId7" Type="http://schemas.openxmlformats.org/officeDocument/2006/relationships/hyperlink" Target="https://www.sciencedirect.com/science/article/pii/S0360544221027183?via%3Dihub" TargetMode="External"/><Relationship Id="rId12" Type="http://schemas.openxmlformats.org/officeDocument/2006/relationships/hyperlink" Target="https://www.sciencedirect.com/science/article/pii/S0023643806000326?via%3Dihub" TargetMode="External"/><Relationship Id="rId17" Type="http://schemas.openxmlformats.org/officeDocument/2006/relationships/hyperlink" Target="https://www.sciencedirect.com/science/article/pii/S096085242031511X?via%3Dihub" TargetMode="External"/><Relationship Id="rId2" Type="http://schemas.openxmlformats.org/officeDocument/2006/relationships/hyperlink" Target="https://link.springer.com/article/10.1007/s12010-009-8781-y" TargetMode="External"/><Relationship Id="rId16" Type="http://schemas.openxmlformats.org/officeDocument/2006/relationships/hyperlink" Target="https://www.sciencedirect.com/science/article/pii/S096085242031511X?via%3Dihub" TargetMode="External"/><Relationship Id="rId20" Type="http://schemas.openxmlformats.org/officeDocument/2006/relationships/hyperlink" Target="https://www.sciencedirect.com/science/article/pii/S0960852407000119?via%3Dihub" TargetMode="External"/><Relationship Id="rId1" Type="http://schemas.openxmlformats.org/officeDocument/2006/relationships/hyperlink" Target="https://link.springer.com/article/10.1007/s12155-023-10627-1" TargetMode="External"/><Relationship Id="rId6" Type="http://schemas.openxmlformats.org/officeDocument/2006/relationships/hyperlink" Target="https://www.sciencedirect.com/science/article/pii/S0360544221027183?via%3Dihub" TargetMode="External"/><Relationship Id="rId11" Type="http://schemas.openxmlformats.org/officeDocument/2006/relationships/hyperlink" Target="https://www.sciencedirect.com/science/article/pii/S0023643806000326?via%3Dihub" TargetMode="External"/><Relationship Id="rId5" Type="http://schemas.openxmlformats.org/officeDocument/2006/relationships/hyperlink" Target="https://www.sciencedirect.com/science/article/pii/S0360544221027183?via%3Dihub" TargetMode="External"/><Relationship Id="rId15" Type="http://schemas.openxmlformats.org/officeDocument/2006/relationships/hyperlink" Target="https://www.sciencedirect.com/science/article/pii/S096085242031511X?via%3Dihub" TargetMode="External"/><Relationship Id="rId10" Type="http://schemas.openxmlformats.org/officeDocument/2006/relationships/hyperlink" Target="https://www.sciencedirect.com/science/article/pii/S0023643806000326?via%3Dihub" TargetMode="External"/><Relationship Id="rId19" Type="http://schemas.openxmlformats.org/officeDocument/2006/relationships/hyperlink" Target="https://www.sciencedirect.com/science/article/pii/S096085242031511X?via%3Dihub" TargetMode="External"/><Relationship Id="rId4" Type="http://schemas.openxmlformats.org/officeDocument/2006/relationships/hyperlink" Target="https://www.sciencedirect.com/science/article/pii/S0360544221027183?via%3Dihub" TargetMode="External"/><Relationship Id="rId9" Type="http://schemas.openxmlformats.org/officeDocument/2006/relationships/hyperlink" Target="https://www.sciencedirect.com/science/article/pii/S0023643806000326?via%3Dihub" TargetMode="External"/><Relationship Id="rId14" Type="http://schemas.openxmlformats.org/officeDocument/2006/relationships/hyperlink" Target="https://www.sciencedirect.com/science/article/pii/S0023643806000326?via%3Dihub" TargetMode="External"/><Relationship Id="rId2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sciencedirect.com/science/article/pii/S0959652617317560" TargetMode="External"/><Relationship Id="rId13" Type="http://schemas.openxmlformats.org/officeDocument/2006/relationships/hyperlink" Target="https://www.sciencedirect.com/science/article/pii/S0959652617317560" TargetMode="External"/><Relationship Id="rId18" Type="http://schemas.openxmlformats.org/officeDocument/2006/relationships/hyperlink" Target="https://www.sciencedirect.com/science/article/pii/S1369703X1930052X?via%3Dihub" TargetMode="External"/><Relationship Id="rId3" Type="http://schemas.openxmlformats.org/officeDocument/2006/relationships/hyperlink" Target="https://www.sciencedirect.com/science/article/pii/S0956053X20303305" TargetMode="External"/><Relationship Id="rId21" Type="http://schemas.openxmlformats.org/officeDocument/2006/relationships/printerSettings" Target="../printerSettings/printerSettings3.bin"/><Relationship Id="rId7" Type="http://schemas.openxmlformats.org/officeDocument/2006/relationships/hyperlink" Target="https://www.sciencedirect.com/science/article/pii/S0959652617317560" TargetMode="External"/><Relationship Id="rId12" Type="http://schemas.openxmlformats.org/officeDocument/2006/relationships/hyperlink" Target="https://www.sciencedirect.com/science/article/pii/S0959652617317560" TargetMode="External"/><Relationship Id="rId17" Type="http://schemas.openxmlformats.org/officeDocument/2006/relationships/hyperlink" Target="https://www.sciencedirect.com/science/article/pii/S1369703X1930052X?via%3Dihub" TargetMode="External"/><Relationship Id="rId2" Type="http://schemas.openxmlformats.org/officeDocument/2006/relationships/hyperlink" Target="https://www.sciencedirect.com/science/article/pii/S0956053X20303305" TargetMode="External"/><Relationship Id="rId16" Type="http://schemas.openxmlformats.org/officeDocument/2006/relationships/hyperlink" Target="https://www.sciencedirect.com/science/article/pii/S1369703X1930052X?via%3Dihub" TargetMode="External"/><Relationship Id="rId20" Type="http://schemas.openxmlformats.org/officeDocument/2006/relationships/hyperlink" Target="https://www.sciencedirect.com/science/article/pii/S1369703X1930052X?via%3Dihub" TargetMode="External"/><Relationship Id="rId1" Type="http://schemas.openxmlformats.org/officeDocument/2006/relationships/hyperlink" Target="https://www.sciencedirect.com/science/article/pii/S0956053X20303305" TargetMode="External"/><Relationship Id="rId6" Type="http://schemas.openxmlformats.org/officeDocument/2006/relationships/hyperlink" Target="https://www.sciencedirect.com/science/article/pii/S0956053X20303305" TargetMode="External"/><Relationship Id="rId11" Type="http://schemas.openxmlformats.org/officeDocument/2006/relationships/hyperlink" Target="https://www.sciencedirect.com/science/article/pii/S0959652617317560" TargetMode="External"/><Relationship Id="rId5" Type="http://schemas.openxmlformats.org/officeDocument/2006/relationships/hyperlink" Target="https://www.sciencedirect.com/science/article/pii/S0956053X20303305" TargetMode="External"/><Relationship Id="rId15" Type="http://schemas.openxmlformats.org/officeDocument/2006/relationships/hyperlink" Target="https://www.sciencedirect.com/science/article/pii/S0959652617317560" TargetMode="External"/><Relationship Id="rId10" Type="http://schemas.openxmlformats.org/officeDocument/2006/relationships/hyperlink" Target="https://www.sciencedirect.com/science/article/pii/S0959652617317560" TargetMode="External"/><Relationship Id="rId19" Type="http://schemas.openxmlformats.org/officeDocument/2006/relationships/hyperlink" Target="https://www.sciencedirect.com/science/article/pii/S1369703X1930052X?via%3Dihub" TargetMode="External"/><Relationship Id="rId4" Type="http://schemas.openxmlformats.org/officeDocument/2006/relationships/hyperlink" Target="https://www.sciencedirect.com/science/article/pii/S0956053X20303305" TargetMode="External"/><Relationship Id="rId9" Type="http://schemas.openxmlformats.org/officeDocument/2006/relationships/hyperlink" Target="https://www.sciencedirect.com/science/article/pii/S0959652617317560" TargetMode="External"/><Relationship Id="rId14" Type="http://schemas.openxmlformats.org/officeDocument/2006/relationships/hyperlink" Target="https://www.sciencedirect.com/science/article/pii/S0959652617317560" TargetMode="External"/><Relationship Id="rId2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sciencedirect.com/science/article/pii/S1226086X14006996?via%3Dihub" TargetMode="External"/><Relationship Id="rId13" Type="http://schemas.openxmlformats.org/officeDocument/2006/relationships/hyperlink" Target="https://www.sciencedirect.com/science/article/pii/S2589014X1930146X?via%3Dihub" TargetMode="External"/><Relationship Id="rId3" Type="http://schemas.openxmlformats.org/officeDocument/2006/relationships/hyperlink" Target="https://link.springer.com/article/10.1007/s13399-020-00880-1" TargetMode="External"/><Relationship Id="rId7" Type="http://schemas.openxmlformats.org/officeDocument/2006/relationships/hyperlink" Target="https://www.sciencedirect.com/science/article/pii/S1226086X14006996?via%3Dihub" TargetMode="External"/><Relationship Id="rId12" Type="http://schemas.openxmlformats.org/officeDocument/2006/relationships/hyperlink" Target="https://www.sciencedirect.com/science/article/pii/S2589014X1930146X?via%3Dihub" TargetMode="External"/><Relationship Id="rId2" Type="http://schemas.openxmlformats.org/officeDocument/2006/relationships/hyperlink" Target="https://link.springer.com/article/10.1007/s13399-020-00880-1" TargetMode="External"/><Relationship Id="rId16" Type="http://schemas.openxmlformats.org/officeDocument/2006/relationships/drawing" Target="../drawings/drawing4.xml"/><Relationship Id="rId1" Type="http://schemas.openxmlformats.org/officeDocument/2006/relationships/hyperlink" Target="https://link.springer.com/article/10.1007/s11274-023-03588-2" TargetMode="External"/><Relationship Id="rId6" Type="http://schemas.openxmlformats.org/officeDocument/2006/relationships/hyperlink" Target="https://www.sciencedirect.com/science/article/pii/S1226086X14006996?via%3Dihub" TargetMode="External"/><Relationship Id="rId11" Type="http://schemas.openxmlformats.org/officeDocument/2006/relationships/hyperlink" Target="https://www.sciencedirect.com/science/article/pii/S2589014X1930146X?via%3Dihub" TargetMode="External"/><Relationship Id="rId5" Type="http://schemas.openxmlformats.org/officeDocument/2006/relationships/hyperlink" Target="https://www.sciencedirect.com/science/article/pii/S1226086X14006996?via%3Dihub" TargetMode="External"/><Relationship Id="rId15" Type="http://schemas.openxmlformats.org/officeDocument/2006/relationships/printerSettings" Target="../printerSettings/printerSettings4.bin"/><Relationship Id="rId10" Type="http://schemas.openxmlformats.org/officeDocument/2006/relationships/hyperlink" Target="https://www.sciencedirect.com/science/article/pii/S1226086X14006996?via%3Dihub" TargetMode="External"/><Relationship Id="rId4" Type="http://schemas.openxmlformats.org/officeDocument/2006/relationships/hyperlink" Target="https://www.sciencedirect.com/science/article/pii/S0956053X11000742?via%3Dihub" TargetMode="External"/><Relationship Id="rId9" Type="http://schemas.openxmlformats.org/officeDocument/2006/relationships/hyperlink" Target="https://www.sciencedirect.com/science/article/pii/S1226086X14006996?via%3Dihub" TargetMode="External"/><Relationship Id="rId14" Type="http://schemas.openxmlformats.org/officeDocument/2006/relationships/hyperlink" Target="https://www.sciencedirect.com/science/article/pii/S2589014X1930146X?via%3Dihub"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sciencedirect.com/science/article/pii/S0961953423003331?via%3Dihub" TargetMode="External"/><Relationship Id="rId13" Type="http://schemas.openxmlformats.org/officeDocument/2006/relationships/hyperlink" Target="https://www.sciencedirect.com/science/article/pii/S0961953423003331?via%3Dihub" TargetMode="External"/><Relationship Id="rId18" Type="http://schemas.openxmlformats.org/officeDocument/2006/relationships/hyperlink" Target="https://www.sciencedirect.com/science/article/pii/S0961953423003331?via%3Dihub" TargetMode="External"/><Relationship Id="rId26" Type="http://schemas.openxmlformats.org/officeDocument/2006/relationships/hyperlink" Target="https://www.sciencedirect.com/science/article/pii/S0961953423003331?via%3Dihub" TargetMode="External"/><Relationship Id="rId3" Type="http://schemas.openxmlformats.org/officeDocument/2006/relationships/hyperlink" Target="https://www.sciencedirect.com/science/article/pii/S0961953423003331?via%3Dihub" TargetMode="External"/><Relationship Id="rId21" Type="http://schemas.openxmlformats.org/officeDocument/2006/relationships/hyperlink" Target="https://www.sciencedirect.com/science/article/pii/S0961953423003331?via%3Dihub" TargetMode="External"/><Relationship Id="rId7" Type="http://schemas.openxmlformats.org/officeDocument/2006/relationships/hyperlink" Target="https://www.sciencedirect.com/science/article/pii/S0961953423003331?via%3Dihub" TargetMode="External"/><Relationship Id="rId12" Type="http://schemas.openxmlformats.org/officeDocument/2006/relationships/hyperlink" Target="https://www.sciencedirect.com/science/article/pii/S0961953423003331?via%3Dihub" TargetMode="External"/><Relationship Id="rId17" Type="http://schemas.openxmlformats.org/officeDocument/2006/relationships/hyperlink" Target="https://www.sciencedirect.com/science/article/pii/S0961953423003331?via%3Dihub" TargetMode="External"/><Relationship Id="rId25" Type="http://schemas.openxmlformats.org/officeDocument/2006/relationships/hyperlink" Target="https://www.sciencedirect.com/science/article/pii/S0961953423003331?via%3Dihub" TargetMode="External"/><Relationship Id="rId33" Type="http://schemas.openxmlformats.org/officeDocument/2006/relationships/hyperlink" Target="https://www.sciencedirect.com/science/article/pii/S0961953423003331?via%3Dihub" TargetMode="External"/><Relationship Id="rId2" Type="http://schemas.openxmlformats.org/officeDocument/2006/relationships/hyperlink" Target="https://www.sciencedirect.com/science/article/pii/S0961953423003331?via%3Dihub" TargetMode="External"/><Relationship Id="rId16" Type="http://schemas.openxmlformats.org/officeDocument/2006/relationships/hyperlink" Target="https://www.sciencedirect.com/science/article/pii/S0961953423003331?via%3Dihub" TargetMode="External"/><Relationship Id="rId20" Type="http://schemas.openxmlformats.org/officeDocument/2006/relationships/hyperlink" Target="https://www.sciencedirect.com/science/article/pii/S0961953423003331?via%3Dihub" TargetMode="External"/><Relationship Id="rId29" Type="http://schemas.openxmlformats.org/officeDocument/2006/relationships/hyperlink" Target="https://www.sciencedirect.com/science/article/pii/S0961953423003331?via%3Dihub" TargetMode="External"/><Relationship Id="rId1" Type="http://schemas.openxmlformats.org/officeDocument/2006/relationships/hyperlink" Target="https://www.sciencedirect.com/topics/engineering/kinetic-parameter" TargetMode="External"/><Relationship Id="rId6" Type="http://schemas.openxmlformats.org/officeDocument/2006/relationships/hyperlink" Target="https://www.sciencedirect.com/science/article/pii/S0961953423003331?via%3Dihub" TargetMode="External"/><Relationship Id="rId11" Type="http://schemas.openxmlformats.org/officeDocument/2006/relationships/hyperlink" Target="https://www.sciencedirect.com/science/article/pii/S0961953423003331?via%3Dihub" TargetMode="External"/><Relationship Id="rId24" Type="http://schemas.openxmlformats.org/officeDocument/2006/relationships/hyperlink" Target="https://www.sciencedirect.com/science/article/pii/S0961953423003331?via%3Dihub" TargetMode="External"/><Relationship Id="rId32" Type="http://schemas.openxmlformats.org/officeDocument/2006/relationships/hyperlink" Target="https://www.sciencedirect.com/science/article/pii/S0961953423003331?via%3Dihub" TargetMode="External"/><Relationship Id="rId5" Type="http://schemas.openxmlformats.org/officeDocument/2006/relationships/hyperlink" Target="https://www.sciencedirect.com/science/article/pii/S0961953423003331?via%3Dihub" TargetMode="External"/><Relationship Id="rId15" Type="http://schemas.openxmlformats.org/officeDocument/2006/relationships/hyperlink" Target="https://www.sciencedirect.com/science/article/pii/S0961953423003331?via%3Dihub" TargetMode="External"/><Relationship Id="rId23" Type="http://schemas.openxmlformats.org/officeDocument/2006/relationships/hyperlink" Target="https://www.sciencedirect.com/science/article/pii/S0961953423003331?via%3Dihub" TargetMode="External"/><Relationship Id="rId28" Type="http://schemas.openxmlformats.org/officeDocument/2006/relationships/hyperlink" Target="https://www.sciencedirect.com/science/article/pii/S0961953423003331?via%3Dihub" TargetMode="External"/><Relationship Id="rId10" Type="http://schemas.openxmlformats.org/officeDocument/2006/relationships/hyperlink" Target="https://www.sciencedirect.com/science/article/pii/S0961953423003331?via%3Dihub" TargetMode="External"/><Relationship Id="rId19" Type="http://schemas.openxmlformats.org/officeDocument/2006/relationships/hyperlink" Target="https://www.sciencedirect.com/science/article/pii/S0961953423003331?via%3Dihub" TargetMode="External"/><Relationship Id="rId31" Type="http://schemas.openxmlformats.org/officeDocument/2006/relationships/hyperlink" Target="https://www.sciencedirect.com/science/article/pii/S0961953423003331?via%3Dihub" TargetMode="External"/><Relationship Id="rId4" Type="http://schemas.openxmlformats.org/officeDocument/2006/relationships/hyperlink" Target="https://www.sciencedirect.com/science/article/pii/S0961953423003331?via%3Dihub" TargetMode="External"/><Relationship Id="rId9" Type="http://schemas.openxmlformats.org/officeDocument/2006/relationships/hyperlink" Target="https://www.sciencedirect.com/science/article/pii/S0961953423003331?via%3Dihub" TargetMode="External"/><Relationship Id="rId14" Type="http://schemas.openxmlformats.org/officeDocument/2006/relationships/hyperlink" Target="https://www.sciencedirect.com/science/article/pii/S0961953423003331?via%3Dihub" TargetMode="External"/><Relationship Id="rId22" Type="http://schemas.openxmlformats.org/officeDocument/2006/relationships/hyperlink" Target="https://www.sciencedirect.com/science/article/pii/S0961953423003331?via%3Dihub" TargetMode="External"/><Relationship Id="rId27" Type="http://schemas.openxmlformats.org/officeDocument/2006/relationships/hyperlink" Target="https://www.sciencedirect.com/science/article/pii/S0961953423003331?via%3Dihub" TargetMode="External"/><Relationship Id="rId30" Type="http://schemas.openxmlformats.org/officeDocument/2006/relationships/hyperlink" Target="https://www.sciencedirect.com/science/article/pii/S0961953423003331?via%3Dihub"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link.springer.com/article/10.1007/s42452-021-04369-y" TargetMode="External"/><Relationship Id="rId2" Type="http://schemas.openxmlformats.org/officeDocument/2006/relationships/hyperlink" Target="https://www.sciencedirect.com/science/article/pii/S0959652611005683?via%3Dihub" TargetMode="External"/><Relationship Id="rId1" Type="http://schemas.openxmlformats.org/officeDocument/2006/relationships/hyperlink" Target="https://www.sciencedirect.com/science/article/pii/S0959652611005683?via%3Dihub"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3" Type="http://schemas.openxmlformats.org/officeDocument/2006/relationships/hyperlink" Target="https://www.sciencedirect.com/science/article/pii/S0960852416316182" TargetMode="External"/><Relationship Id="rId18" Type="http://schemas.openxmlformats.org/officeDocument/2006/relationships/hyperlink" Target="https://www.sciencedirect.com/science/article/pii/S0960852413016866" TargetMode="External"/><Relationship Id="rId26" Type="http://schemas.openxmlformats.org/officeDocument/2006/relationships/hyperlink" Target="https://link.springer.com/article/10.1007/s10570-021-03764-3" TargetMode="External"/><Relationship Id="rId39" Type="http://schemas.openxmlformats.org/officeDocument/2006/relationships/hyperlink" Target="https://www.sciencedirect.com/science/article/pii/S0960852414012966" TargetMode="External"/><Relationship Id="rId3" Type="http://schemas.openxmlformats.org/officeDocument/2006/relationships/hyperlink" Target="https://www.sciencedirect.com/science/article/pii/S1359511316300010" TargetMode="External"/><Relationship Id="rId21" Type="http://schemas.openxmlformats.org/officeDocument/2006/relationships/hyperlink" Target="https://www.sciencedirect.com/science/article/pii/S0960852419318164" TargetMode="External"/><Relationship Id="rId34" Type="http://schemas.openxmlformats.org/officeDocument/2006/relationships/hyperlink" Target="https://www.sciencedirect.com/science/article/pii/S0960852410008278" TargetMode="External"/><Relationship Id="rId42" Type="http://schemas.openxmlformats.org/officeDocument/2006/relationships/hyperlink" Target="https://www.sciencedirect.com/science/article/pii/S0960852414012966" TargetMode="External"/><Relationship Id="rId47" Type="http://schemas.openxmlformats.org/officeDocument/2006/relationships/hyperlink" Target="https://www.mdpi.com/2227-9717/10/4/661" TargetMode="External"/><Relationship Id="rId7" Type="http://schemas.openxmlformats.org/officeDocument/2006/relationships/hyperlink" Target="https://www.sciencedirect.com/science/article/pii/S0016236110000025" TargetMode="External"/><Relationship Id="rId12" Type="http://schemas.openxmlformats.org/officeDocument/2006/relationships/hyperlink" Target="https://www.sciencedirect.com/science/article/pii/S0960852416316182" TargetMode="External"/><Relationship Id="rId17" Type="http://schemas.openxmlformats.org/officeDocument/2006/relationships/hyperlink" Target="https://www.sciencedirect.com/science/article/pii/S0960852413016866" TargetMode="External"/><Relationship Id="rId25" Type="http://schemas.openxmlformats.org/officeDocument/2006/relationships/hyperlink" Target="https://link.springer.com/article/10.1007/s10570-021-03764-3" TargetMode="External"/><Relationship Id="rId33" Type="http://schemas.openxmlformats.org/officeDocument/2006/relationships/hyperlink" Target="https://www.sciencedirect.com/science/article/pii/S0960852410008278" TargetMode="External"/><Relationship Id="rId38" Type="http://schemas.openxmlformats.org/officeDocument/2006/relationships/hyperlink" Target="https://www.sciencedirect.com/science/article/pii/S0960852410008278" TargetMode="External"/><Relationship Id="rId46" Type="http://schemas.openxmlformats.org/officeDocument/2006/relationships/hyperlink" Target="https://www.mdpi.com/2227-9717/10/4/661" TargetMode="External"/><Relationship Id="rId2" Type="http://schemas.openxmlformats.org/officeDocument/2006/relationships/hyperlink" Target="https://www.mdpi.com/2227-9717/7/9/578" TargetMode="External"/><Relationship Id="rId16" Type="http://schemas.openxmlformats.org/officeDocument/2006/relationships/hyperlink" Target="https://www.sciencedirect.com/science/article/pii/S096085241631639X" TargetMode="External"/><Relationship Id="rId20" Type="http://schemas.openxmlformats.org/officeDocument/2006/relationships/hyperlink" Target="https://www.sciencedirect.com/science/article/pii/S0959652620354561" TargetMode="External"/><Relationship Id="rId29" Type="http://schemas.openxmlformats.org/officeDocument/2006/relationships/hyperlink" Target="https://pubmed.ncbi.nlm.nih.gov/24078255/" TargetMode="External"/><Relationship Id="rId41" Type="http://schemas.openxmlformats.org/officeDocument/2006/relationships/hyperlink" Target="https://www.sciencedirect.com/science/article/pii/S0960852414012966" TargetMode="External"/><Relationship Id="rId1" Type="http://schemas.openxmlformats.org/officeDocument/2006/relationships/hyperlink" Target="https://www.mdpi.com/2227-9717/7/9/578" TargetMode="External"/><Relationship Id="rId6" Type="http://schemas.openxmlformats.org/officeDocument/2006/relationships/hyperlink" Target="https://www.sciencedirect.com/science/article/pii/S0016236110000025" TargetMode="External"/><Relationship Id="rId11" Type="http://schemas.openxmlformats.org/officeDocument/2006/relationships/hyperlink" Target="https://www.sciencedirect.com/science/article/pii/S0960852417313822" TargetMode="External"/><Relationship Id="rId24" Type="http://schemas.openxmlformats.org/officeDocument/2006/relationships/hyperlink" Target="https://link.springer.com/article/10.1007/s13399-022-03648-x" TargetMode="External"/><Relationship Id="rId32" Type="http://schemas.openxmlformats.org/officeDocument/2006/relationships/hyperlink" Target="https://www.sciencedirect.com/science/article/pii/S0141022923001540" TargetMode="External"/><Relationship Id="rId37" Type="http://schemas.openxmlformats.org/officeDocument/2006/relationships/hyperlink" Target="https://www.sciencedirect.com/science/article/pii/S0960852410008278" TargetMode="External"/><Relationship Id="rId40" Type="http://schemas.openxmlformats.org/officeDocument/2006/relationships/hyperlink" Target="https://www.sciencedirect.com/science/article/pii/S0960852414012966" TargetMode="External"/><Relationship Id="rId45" Type="http://schemas.openxmlformats.org/officeDocument/2006/relationships/hyperlink" Target="https://elibrary.asabe.org/abstract.asp?aid=27102" TargetMode="External"/><Relationship Id="rId5" Type="http://schemas.openxmlformats.org/officeDocument/2006/relationships/hyperlink" Target="https://www.sciencedirect.com/science/article/pii/S0016236110000025" TargetMode="External"/><Relationship Id="rId15" Type="http://schemas.openxmlformats.org/officeDocument/2006/relationships/hyperlink" Target="https://www.sciencedirect.com/science/article/pii/S096085241631639X" TargetMode="External"/><Relationship Id="rId23" Type="http://schemas.openxmlformats.org/officeDocument/2006/relationships/hyperlink" Target="https://link.springer.com/article/10.1007/s13399-022-03648-x" TargetMode="External"/><Relationship Id="rId28" Type="http://schemas.openxmlformats.org/officeDocument/2006/relationships/hyperlink" Target="https://pubs.rsc.org/en/content/articlelanding/2020/ee/d0ee00812e" TargetMode="External"/><Relationship Id="rId36" Type="http://schemas.openxmlformats.org/officeDocument/2006/relationships/hyperlink" Target="https://www.sciencedirect.com/science/article/pii/S0960852410008278" TargetMode="External"/><Relationship Id="rId49" Type="http://schemas.openxmlformats.org/officeDocument/2006/relationships/drawing" Target="../drawings/drawing6.xml"/><Relationship Id="rId10" Type="http://schemas.openxmlformats.org/officeDocument/2006/relationships/hyperlink" Target="https://www.sciencedirect.com/science/article/pii/S0960852417313822" TargetMode="External"/><Relationship Id="rId19" Type="http://schemas.openxmlformats.org/officeDocument/2006/relationships/hyperlink" Target="https://www.sciencedirect.com/science/article/pii/S0959652620354561" TargetMode="External"/><Relationship Id="rId31" Type="http://schemas.openxmlformats.org/officeDocument/2006/relationships/hyperlink" Target="https://www.sciencedirect.com/science/article/pii/S0141022923001540" TargetMode="External"/><Relationship Id="rId44" Type="http://schemas.openxmlformats.org/officeDocument/2006/relationships/hyperlink" Target="https://www.sciencedirect.com/science/article/pii/S0960852415016326" TargetMode="External"/><Relationship Id="rId4" Type="http://schemas.openxmlformats.org/officeDocument/2006/relationships/hyperlink" Target="https://www.sciencedirect.com/science/article/pii/S1359511316300010" TargetMode="External"/><Relationship Id="rId9" Type="http://schemas.openxmlformats.org/officeDocument/2006/relationships/hyperlink" Target="https://biotechnologyforbiofuels.biomedcentral.com/articles/10.1186/s13068-014-0167-x" TargetMode="External"/><Relationship Id="rId14" Type="http://schemas.openxmlformats.org/officeDocument/2006/relationships/hyperlink" Target="https://www.sciencedirect.com/science/article/pii/S0960852416316182" TargetMode="External"/><Relationship Id="rId22" Type="http://schemas.openxmlformats.org/officeDocument/2006/relationships/hyperlink" Target="https://www.sciencedirect.com/science/article/pii/S0960852419318164" TargetMode="External"/><Relationship Id="rId27" Type="http://schemas.openxmlformats.org/officeDocument/2006/relationships/hyperlink" Target="https://pubs.rsc.org/en/content/articlelanding/2020/ee/d0ee00812e" TargetMode="External"/><Relationship Id="rId30" Type="http://schemas.openxmlformats.org/officeDocument/2006/relationships/hyperlink" Target="https://pubmed.ncbi.nlm.nih.gov/24078255/" TargetMode="External"/><Relationship Id="rId35" Type="http://schemas.openxmlformats.org/officeDocument/2006/relationships/hyperlink" Target="https://www.sciencedirect.com/science/article/pii/S0960852410008278" TargetMode="External"/><Relationship Id="rId43" Type="http://schemas.openxmlformats.org/officeDocument/2006/relationships/hyperlink" Target="https://www.sciencedirect.com/science/article/pii/S0960852415016326" TargetMode="External"/><Relationship Id="rId48" Type="http://schemas.openxmlformats.org/officeDocument/2006/relationships/printerSettings" Target="../printerSettings/printerSettings6.bin"/><Relationship Id="rId8" Type="http://schemas.openxmlformats.org/officeDocument/2006/relationships/hyperlink" Target="https://biotechnologyforbiofuels.biomedcentral.com/articles/10.1186/s13068-014-0167-x"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sciencedirect.com/science/article/pii/S0961953412002784" TargetMode="External"/><Relationship Id="rId18" Type="http://schemas.openxmlformats.org/officeDocument/2006/relationships/hyperlink" Target="https://www.sciencedirect.com/science/article/pii/S0960852412000375" TargetMode="External"/><Relationship Id="rId26" Type="http://schemas.openxmlformats.org/officeDocument/2006/relationships/hyperlink" Target="https://www.sciencedirect.com/science/article/pii/S0960852408002022" TargetMode="External"/><Relationship Id="rId39" Type="http://schemas.openxmlformats.org/officeDocument/2006/relationships/hyperlink" Target="https://www.sciencedirect.com/science/article/pii/S0960852406005815" TargetMode="External"/><Relationship Id="rId21" Type="http://schemas.openxmlformats.org/officeDocument/2006/relationships/hyperlink" Target="https://biotechnologyforbiofuels.biomedcentral.com/articles/10.1186/s13068-020-01850-5" TargetMode="External"/><Relationship Id="rId34" Type="http://schemas.openxmlformats.org/officeDocument/2006/relationships/hyperlink" Target="https://www.sciencedirect.com/science/article/pii/S0960852408002022" TargetMode="External"/><Relationship Id="rId42" Type="http://schemas.openxmlformats.org/officeDocument/2006/relationships/hyperlink" Target="https://www.sciencedirect.com/science/article/pii/S0960852420311275" TargetMode="External"/><Relationship Id="rId47" Type="http://schemas.openxmlformats.org/officeDocument/2006/relationships/hyperlink" Target="https://pubs.rsc.org/en/content/articlelanding/2015/RA/C5RA07159C" TargetMode="External"/><Relationship Id="rId50" Type="http://schemas.openxmlformats.org/officeDocument/2006/relationships/hyperlink" Target="https://www.sciencedirect.com/science/article/pii/S0960852412000375" TargetMode="External"/><Relationship Id="rId55" Type="http://schemas.openxmlformats.org/officeDocument/2006/relationships/hyperlink" Target="https://www.sciencedirect.com/science/article/pii/S0960852420311275" TargetMode="External"/><Relationship Id="rId7" Type="http://schemas.openxmlformats.org/officeDocument/2006/relationships/hyperlink" Target="https://www.sciencedirect.com/science/article/pii/S096195341300295X" TargetMode="External"/><Relationship Id="rId12" Type="http://schemas.openxmlformats.org/officeDocument/2006/relationships/hyperlink" Target="https://www.sciencedirect.com/science/article/pii/S0961953412002784" TargetMode="External"/><Relationship Id="rId17" Type="http://schemas.openxmlformats.org/officeDocument/2006/relationships/hyperlink" Target="https://www.sciencedirect.com/science/article/pii/S0960852412000375" TargetMode="External"/><Relationship Id="rId25" Type="http://schemas.openxmlformats.org/officeDocument/2006/relationships/hyperlink" Target="https://www.sciencedirect.com/science/article/pii/S0960852408002022" TargetMode="External"/><Relationship Id="rId33" Type="http://schemas.openxmlformats.org/officeDocument/2006/relationships/hyperlink" Target="https://www.sciencedirect.com/science/article/pii/S0960852408002022" TargetMode="External"/><Relationship Id="rId38" Type="http://schemas.openxmlformats.org/officeDocument/2006/relationships/hyperlink" Target="https://www.sciencedirect.com/science/article/pii/S0960852406005815" TargetMode="External"/><Relationship Id="rId46" Type="http://schemas.openxmlformats.org/officeDocument/2006/relationships/hyperlink" Target="https://pubs.rsc.org/en/content/articlelanding/2015/RA/C5RA07159C" TargetMode="External"/><Relationship Id="rId2" Type="http://schemas.openxmlformats.org/officeDocument/2006/relationships/hyperlink" Target="https://www.sciencedirect.com/science/article/pii/S096195341300295X" TargetMode="External"/><Relationship Id="rId16" Type="http://schemas.openxmlformats.org/officeDocument/2006/relationships/hyperlink" Target="https://www.sciencedirect.com/science/article/pii/S0960852412000375" TargetMode="External"/><Relationship Id="rId20" Type="http://schemas.openxmlformats.org/officeDocument/2006/relationships/hyperlink" Target="https://www.sciencedirect.com/science/article/pii/S0045653521033014" TargetMode="External"/><Relationship Id="rId29" Type="http://schemas.openxmlformats.org/officeDocument/2006/relationships/hyperlink" Target="https://www.sciencedirect.com/science/article/pii/S0960852408002022" TargetMode="External"/><Relationship Id="rId41" Type="http://schemas.openxmlformats.org/officeDocument/2006/relationships/hyperlink" Target="https://www.sciencedirect.com/topics/biochemistry-genetics-and-molecular-biology/alpha-linolenic-acid" TargetMode="External"/><Relationship Id="rId54" Type="http://schemas.openxmlformats.org/officeDocument/2006/relationships/hyperlink" Target="https://www.sciencedirect.com/science/article/pii/S0960852412000375" TargetMode="External"/><Relationship Id="rId1" Type="http://schemas.openxmlformats.org/officeDocument/2006/relationships/hyperlink" Target="https://www.sciencedirect.com/science/article/pii/S096195341300295X" TargetMode="External"/><Relationship Id="rId6" Type="http://schemas.openxmlformats.org/officeDocument/2006/relationships/hyperlink" Target="https://www.sciencedirect.com/science/article/pii/S096195341300295X" TargetMode="External"/><Relationship Id="rId11" Type="http://schemas.openxmlformats.org/officeDocument/2006/relationships/hyperlink" Target="https://www.sciencedirect.com/science/article/pii/S0141022910002607" TargetMode="External"/><Relationship Id="rId24" Type="http://schemas.openxmlformats.org/officeDocument/2006/relationships/hyperlink" Target="https://www.sciencedirect.com/science/article/pii/S0960852408010225" TargetMode="External"/><Relationship Id="rId32" Type="http://schemas.openxmlformats.org/officeDocument/2006/relationships/hyperlink" Target="https://www.sciencedirect.com/science/article/pii/S0960852408002022" TargetMode="External"/><Relationship Id="rId37" Type="http://schemas.openxmlformats.org/officeDocument/2006/relationships/hyperlink" Target="https://www.sciencedirect.com/science/article/pii/S0960852406005815" TargetMode="External"/><Relationship Id="rId40" Type="http://schemas.openxmlformats.org/officeDocument/2006/relationships/hyperlink" Target="https://www.sciencedirect.com/science/article/pii/S0960852406005815" TargetMode="External"/><Relationship Id="rId45" Type="http://schemas.openxmlformats.org/officeDocument/2006/relationships/hyperlink" Target="https://www.sciencedirect.com/science/article/pii/S2589014X22000792" TargetMode="External"/><Relationship Id="rId53" Type="http://schemas.openxmlformats.org/officeDocument/2006/relationships/hyperlink" Target="https://www.sciencedirect.com/science/article/pii/S0960852412000375" TargetMode="External"/><Relationship Id="rId5" Type="http://schemas.openxmlformats.org/officeDocument/2006/relationships/hyperlink" Target="https://www.sciencedirect.com/science/article/pii/S096195341300295X" TargetMode="External"/><Relationship Id="rId15" Type="http://schemas.openxmlformats.org/officeDocument/2006/relationships/hyperlink" Target="https://www.sciencedirect.com/science/article/pii/S0960852412000375" TargetMode="External"/><Relationship Id="rId23" Type="http://schemas.openxmlformats.org/officeDocument/2006/relationships/hyperlink" Target="https://www.sciencedirect.com/science/article/pii/S0960852408010225" TargetMode="External"/><Relationship Id="rId28" Type="http://schemas.openxmlformats.org/officeDocument/2006/relationships/hyperlink" Target="https://www.sciencedirect.com/science/article/pii/S0960852408002022" TargetMode="External"/><Relationship Id="rId36" Type="http://schemas.openxmlformats.org/officeDocument/2006/relationships/hyperlink" Target="https://link.springer.com/article/10.1007/s00253-010-2726-9" TargetMode="External"/><Relationship Id="rId49" Type="http://schemas.openxmlformats.org/officeDocument/2006/relationships/hyperlink" Target="https://www.sciencedirect.com/science/article/pii/S0378382017319549" TargetMode="External"/><Relationship Id="rId57" Type="http://schemas.openxmlformats.org/officeDocument/2006/relationships/drawing" Target="../drawings/drawing7.xml"/><Relationship Id="rId10" Type="http://schemas.openxmlformats.org/officeDocument/2006/relationships/hyperlink" Target="https://www.sciencedirect.com/science/article/pii/S0141022910002607" TargetMode="External"/><Relationship Id="rId19" Type="http://schemas.openxmlformats.org/officeDocument/2006/relationships/hyperlink" Target="https://www.sciencedirect.com/science/article/pii/S0045653521033014" TargetMode="External"/><Relationship Id="rId31" Type="http://schemas.openxmlformats.org/officeDocument/2006/relationships/hyperlink" Target="https://www.sciencedirect.com/science/article/pii/S0960852408002022" TargetMode="External"/><Relationship Id="rId44" Type="http://schemas.openxmlformats.org/officeDocument/2006/relationships/hyperlink" Target="https://www.sciencedirect.com/science/article/pii/S2589014X22000792" TargetMode="External"/><Relationship Id="rId52" Type="http://schemas.openxmlformats.org/officeDocument/2006/relationships/hyperlink" Target="https://www.sciencedirect.com/science/article/pii/S0960852412000375" TargetMode="External"/><Relationship Id="rId4" Type="http://schemas.openxmlformats.org/officeDocument/2006/relationships/hyperlink" Target="https://www.sciencedirect.com/science/article/pii/S096195341300295X" TargetMode="External"/><Relationship Id="rId9" Type="http://schemas.openxmlformats.org/officeDocument/2006/relationships/hyperlink" Target="https://www.sciencedirect.com/science/article/pii/S0957582007714428" TargetMode="External"/><Relationship Id="rId14" Type="http://schemas.openxmlformats.org/officeDocument/2006/relationships/hyperlink" Target="https://www.sciencedirect.com/science/article/pii/S0960852412000375" TargetMode="External"/><Relationship Id="rId22" Type="http://schemas.openxmlformats.org/officeDocument/2006/relationships/hyperlink" Target="https://biotechnologyforbiofuels.biomedcentral.com/articles/10.1186/s13068-020-01850-5" TargetMode="External"/><Relationship Id="rId27" Type="http://schemas.openxmlformats.org/officeDocument/2006/relationships/hyperlink" Target="https://www.sciencedirect.com/science/article/pii/S0960852408002022" TargetMode="External"/><Relationship Id="rId30" Type="http://schemas.openxmlformats.org/officeDocument/2006/relationships/hyperlink" Target="https://www.sciencedirect.com/science/article/pii/S0960852408002022" TargetMode="External"/><Relationship Id="rId35" Type="http://schemas.openxmlformats.org/officeDocument/2006/relationships/hyperlink" Target="https://link.springer.com/article/10.1007/s00253-010-2726-9" TargetMode="External"/><Relationship Id="rId43" Type="http://schemas.openxmlformats.org/officeDocument/2006/relationships/hyperlink" Target="https://www.sciencedirect.com/science/article/pii/S095965262302824X?casa_token=AJVwBlQT4awAAAAA:iBE6Ui5a4rPA9r4mYyLL37VyFgt7coeu9x2puuBiwdn-YedaKrYdNlUSC4CAOSj830Yn6MA" TargetMode="External"/><Relationship Id="rId48" Type="http://schemas.openxmlformats.org/officeDocument/2006/relationships/hyperlink" Target="https://www.sciencedirect.com/science/article/pii/S0378382017319549" TargetMode="External"/><Relationship Id="rId56" Type="http://schemas.openxmlformats.org/officeDocument/2006/relationships/printerSettings" Target="../printerSettings/printerSettings7.bin"/><Relationship Id="rId8" Type="http://schemas.openxmlformats.org/officeDocument/2006/relationships/hyperlink" Target="https://www.sciencedirect.com/science/article/pii/S0957582007714428" TargetMode="External"/><Relationship Id="rId51" Type="http://schemas.openxmlformats.org/officeDocument/2006/relationships/hyperlink" Target="https://www.sciencedirect.com/science/article/pii/S0960852412000375" TargetMode="External"/><Relationship Id="rId3" Type="http://schemas.openxmlformats.org/officeDocument/2006/relationships/hyperlink" Target="https://www.sciencedirect.com/science/article/pii/S096195341300295X"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sciencedirect.com/science/article/pii/S0961953417302349" TargetMode="External"/><Relationship Id="rId13" Type="http://schemas.openxmlformats.org/officeDocument/2006/relationships/drawing" Target="../drawings/drawing8.xml"/><Relationship Id="rId3" Type="http://schemas.openxmlformats.org/officeDocument/2006/relationships/hyperlink" Target="https://www.sciencedirect.com/science/article/pii/S0961953417302349" TargetMode="External"/><Relationship Id="rId7" Type="http://schemas.openxmlformats.org/officeDocument/2006/relationships/hyperlink" Target="https://www.sciencedirect.com/science/article/pii/S0961953417302349" TargetMode="External"/><Relationship Id="rId12" Type="http://schemas.openxmlformats.org/officeDocument/2006/relationships/hyperlink" Target="https://link.springer.com/article/10.1007/s12155-019-10016-7" TargetMode="External"/><Relationship Id="rId2" Type="http://schemas.openxmlformats.org/officeDocument/2006/relationships/hyperlink" Target="https://www.sciencedirect.com/science/article/pii/S0961953417302349" TargetMode="External"/><Relationship Id="rId1" Type="http://schemas.openxmlformats.org/officeDocument/2006/relationships/hyperlink" Target="https://www.sciencedirect.com/science/article/pii/S0961953417302349" TargetMode="External"/><Relationship Id="rId6" Type="http://schemas.openxmlformats.org/officeDocument/2006/relationships/hyperlink" Target="https://www.sciencedirect.com/science/article/pii/S0961953417302349" TargetMode="External"/><Relationship Id="rId11" Type="http://schemas.openxmlformats.org/officeDocument/2006/relationships/hyperlink" Target="https://link.springer.com/article/10.1007/s12155-019-10016-7" TargetMode="External"/><Relationship Id="rId5" Type="http://schemas.openxmlformats.org/officeDocument/2006/relationships/hyperlink" Target="https://www.sciencedirect.com/science/article/pii/S0961953417302349" TargetMode="External"/><Relationship Id="rId10" Type="http://schemas.openxmlformats.org/officeDocument/2006/relationships/hyperlink" Target="https://www.sciencedirect.com/science/article/pii/S0961953417302349" TargetMode="External"/><Relationship Id="rId4" Type="http://schemas.openxmlformats.org/officeDocument/2006/relationships/hyperlink" Target="https://www.sciencedirect.com/science/article/pii/S0961953417302349" TargetMode="External"/><Relationship Id="rId9" Type="http://schemas.openxmlformats.org/officeDocument/2006/relationships/hyperlink" Target="https://www.sciencedirect.com/science/article/pii/S09619534173023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Y1238"/>
  <sheetViews>
    <sheetView tabSelected="1" topLeftCell="A842" zoomScale="86" workbookViewId="0">
      <selection activeCell="D855" sqref="D855"/>
    </sheetView>
  </sheetViews>
  <sheetFormatPr defaultRowHeight="14.4"/>
  <cols>
    <col min="1" max="1" width="13.88671875" customWidth="1"/>
    <col min="2" max="2" width="14.109375" customWidth="1"/>
    <col min="3" max="3" width="13.6640625" customWidth="1"/>
    <col min="4" max="4" width="37.88671875" customWidth="1"/>
    <col min="5" max="5" width="25.33203125" customWidth="1"/>
    <col min="6" max="6" width="24.5546875" customWidth="1"/>
    <col min="7" max="7" width="13.5546875" customWidth="1"/>
    <col min="8" max="8" width="19.44140625" customWidth="1"/>
    <col min="9" max="9" width="12.33203125" customWidth="1"/>
    <col min="10" max="10" width="16.6640625" customWidth="1"/>
    <col min="11" max="11" width="13.88671875" bestFit="1" customWidth="1"/>
  </cols>
  <sheetData>
    <row r="1" spans="1:13">
      <c r="A1" t="s">
        <v>0</v>
      </c>
      <c r="B1" t="s">
        <v>1</v>
      </c>
    </row>
    <row r="2" spans="1:13">
      <c r="A2" t="s">
        <v>2</v>
      </c>
      <c r="B2" t="s">
        <v>3</v>
      </c>
      <c r="C2" t="s">
        <v>4</v>
      </c>
      <c r="D2" s="7" t="s">
        <v>5</v>
      </c>
      <c r="J2" t="s">
        <v>6</v>
      </c>
    </row>
    <row r="3" spans="1:13">
      <c r="A3" t="s">
        <v>2</v>
      </c>
      <c r="B3" t="s">
        <v>3</v>
      </c>
      <c r="D3" s="7" t="s">
        <v>7</v>
      </c>
    </row>
    <row r="4" spans="1:13" ht="15" thickBot="1">
      <c r="A4" t="s">
        <v>2</v>
      </c>
      <c r="B4" t="s">
        <v>3</v>
      </c>
      <c r="D4" t="s">
        <v>8</v>
      </c>
      <c r="L4" t="s">
        <v>9</v>
      </c>
    </row>
    <row r="5" spans="1:13" ht="69.75" customHeight="1">
      <c r="A5" t="s">
        <v>2</v>
      </c>
      <c r="B5" t="s">
        <v>3</v>
      </c>
      <c r="D5" s="545" t="s">
        <v>10</v>
      </c>
      <c r="E5" s="545" t="s">
        <v>11</v>
      </c>
      <c r="F5" s="1" t="s">
        <v>7199</v>
      </c>
      <c r="G5" s="547" t="s">
        <v>12</v>
      </c>
      <c r="H5" s="547" t="s">
        <v>13</v>
      </c>
      <c r="I5" s="549" t="s">
        <v>14</v>
      </c>
      <c r="J5" s="535" t="s">
        <v>15</v>
      </c>
      <c r="K5" s="535" t="s">
        <v>16</v>
      </c>
      <c r="L5" s="535" t="s">
        <v>17</v>
      </c>
      <c r="M5" s="535" t="s">
        <v>18</v>
      </c>
    </row>
    <row r="6" spans="1:13" ht="15" thickBot="1">
      <c r="A6" t="s">
        <v>2</v>
      </c>
      <c r="B6" t="s">
        <v>3</v>
      </c>
      <c r="D6" s="546"/>
      <c r="E6" s="546"/>
      <c r="F6" s="2" t="s">
        <v>19</v>
      </c>
      <c r="G6" s="548"/>
      <c r="H6" s="548"/>
      <c r="I6" s="550"/>
      <c r="J6" s="535"/>
      <c r="K6" s="535"/>
      <c r="L6" s="535"/>
      <c r="M6" s="535"/>
    </row>
    <row r="7" spans="1:13" ht="15" thickBot="1">
      <c r="A7" t="s">
        <v>2</v>
      </c>
      <c r="B7" t="s">
        <v>3</v>
      </c>
      <c r="D7" s="4" t="s">
        <v>20</v>
      </c>
      <c r="E7" s="3">
        <v>75.02</v>
      </c>
      <c r="F7" s="3">
        <v>78</v>
      </c>
      <c r="G7" s="3">
        <v>0.81</v>
      </c>
      <c r="H7" s="6">
        <v>0.78</v>
      </c>
      <c r="I7" s="3" t="s">
        <v>21</v>
      </c>
      <c r="J7" s="46">
        <f t="shared" ref="J7:J18" si="0">E7/(F7%)</f>
        <v>96.179487179487168</v>
      </c>
      <c r="K7" s="46">
        <f t="shared" ref="K7:K18" si="1">J7/(2*46)*180</f>
        <v>188.17725752508358</v>
      </c>
      <c r="L7" s="46">
        <f>K7/0.8267</f>
        <v>227.6246008528893</v>
      </c>
      <c r="M7" s="46">
        <f t="shared" ref="M7:M18" si="2">E7/L7</f>
        <v>0.32957773333333334</v>
      </c>
    </row>
    <row r="8" spans="1:13" ht="15" thickBot="1">
      <c r="A8" t="s">
        <v>2</v>
      </c>
      <c r="B8" t="s">
        <v>3</v>
      </c>
      <c r="D8" s="4" t="s">
        <v>22</v>
      </c>
      <c r="E8" s="3">
        <v>101.38</v>
      </c>
      <c r="F8" s="3">
        <v>100</v>
      </c>
      <c r="G8" s="3">
        <v>1.07</v>
      </c>
      <c r="H8" s="6">
        <v>1</v>
      </c>
      <c r="I8" s="5"/>
      <c r="J8" s="46">
        <f t="shared" si="0"/>
        <v>101.38</v>
      </c>
      <c r="K8" s="46">
        <f t="shared" si="1"/>
        <v>198.35217391304346</v>
      </c>
      <c r="L8" s="46">
        <f t="shared" ref="L8:L18" si="3">K8/0.8267</f>
        <v>239.93247116613458</v>
      </c>
      <c r="M8" s="46">
        <f t="shared" si="2"/>
        <v>0.42253555555555561</v>
      </c>
    </row>
    <row r="9" spans="1:13" ht="15" thickBot="1">
      <c r="A9" t="s">
        <v>2</v>
      </c>
      <c r="B9" t="s">
        <v>3</v>
      </c>
      <c r="D9" s="3" t="s">
        <v>23</v>
      </c>
      <c r="E9" s="3">
        <v>93.48</v>
      </c>
      <c r="F9" s="3">
        <v>93</v>
      </c>
      <c r="G9" s="3">
        <v>0.97</v>
      </c>
      <c r="H9" s="6">
        <v>0.95</v>
      </c>
      <c r="I9" s="5"/>
      <c r="J9" s="46">
        <f t="shared" si="0"/>
        <v>100.51612903225806</v>
      </c>
      <c r="K9" s="46">
        <f t="shared" si="1"/>
        <v>196.66199158485276</v>
      </c>
      <c r="L9" s="46">
        <f t="shared" si="3"/>
        <v>237.88797820836186</v>
      </c>
      <c r="M9" s="46">
        <f t="shared" si="2"/>
        <v>0.39295806666666666</v>
      </c>
    </row>
    <row r="10" spans="1:13" ht="15" thickBot="1">
      <c r="A10" t="s">
        <v>2</v>
      </c>
      <c r="B10" t="s">
        <v>3</v>
      </c>
      <c r="D10" s="4" t="s">
        <v>24</v>
      </c>
      <c r="E10" s="3">
        <v>79.45</v>
      </c>
      <c r="F10" s="3">
        <v>81</v>
      </c>
      <c r="G10" s="3">
        <v>0.85</v>
      </c>
      <c r="H10" s="6">
        <v>0.81</v>
      </c>
      <c r="I10" s="5"/>
      <c r="J10" s="46">
        <f t="shared" si="0"/>
        <v>98.086419753086417</v>
      </c>
      <c r="K10" s="46">
        <f t="shared" si="1"/>
        <v>191.90821256038649</v>
      </c>
      <c r="L10" s="46">
        <f t="shared" si="3"/>
        <v>232.13767093309119</v>
      </c>
      <c r="M10" s="46">
        <f t="shared" si="2"/>
        <v>0.3422538</v>
      </c>
    </row>
    <row r="11" spans="1:13" ht="15" thickBot="1">
      <c r="A11" t="s">
        <v>2</v>
      </c>
      <c r="B11" t="s">
        <v>3</v>
      </c>
      <c r="D11" s="4" t="s">
        <v>25</v>
      </c>
      <c r="E11" s="3">
        <v>97.3</v>
      </c>
      <c r="F11" s="3">
        <v>99</v>
      </c>
      <c r="G11" s="3">
        <v>1.04</v>
      </c>
      <c r="H11" s="6">
        <v>0.99</v>
      </c>
      <c r="I11" s="5"/>
      <c r="J11" s="46">
        <f t="shared" si="0"/>
        <v>98.282828282828277</v>
      </c>
      <c r="K11" s="46">
        <f t="shared" si="1"/>
        <v>192.29249011857706</v>
      </c>
      <c r="L11" s="46">
        <f t="shared" si="3"/>
        <v>232.60250407472731</v>
      </c>
      <c r="M11" s="46">
        <f t="shared" si="2"/>
        <v>0.41831020000000002</v>
      </c>
    </row>
    <row r="12" spans="1:13" ht="15" thickBot="1">
      <c r="A12" t="s">
        <v>2</v>
      </c>
      <c r="B12" t="s">
        <v>3</v>
      </c>
      <c r="D12" s="3" t="s">
        <v>26</v>
      </c>
      <c r="E12" s="3">
        <v>76.69</v>
      </c>
      <c r="F12" s="3">
        <v>79</v>
      </c>
      <c r="G12" s="3">
        <v>0.82</v>
      </c>
      <c r="H12" s="6">
        <v>0.79</v>
      </c>
      <c r="I12" s="5"/>
      <c r="J12" s="46">
        <f t="shared" si="0"/>
        <v>97.075949367088597</v>
      </c>
      <c r="K12" s="46">
        <f t="shared" si="1"/>
        <v>189.9312052834342</v>
      </c>
      <c r="L12" s="46">
        <f t="shared" si="3"/>
        <v>229.74622630148082</v>
      </c>
      <c r="M12" s="46">
        <f t="shared" si="2"/>
        <v>0.33380308888888893</v>
      </c>
    </row>
    <row r="13" spans="1:13" ht="15" thickBot="1">
      <c r="A13" t="s">
        <v>2</v>
      </c>
      <c r="B13" t="s">
        <v>3</v>
      </c>
      <c r="D13" s="4" t="s">
        <v>20</v>
      </c>
      <c r="E13" s="3">
        <v>86.81</v>
      </c>
      <c r="F13" s="3">
        <v>89</v>
      </c>
      <c r="G13" s="3">
        <v>0.54</v>
      </c>
      <c r="H13" s="6">
        <v>0.89</v>
      </c>
      <c r="I13" s="3" t="s">
        <v>27</v>
      </c>
      <c r="J13" s="46">
        <f t="shared" si="0"/>
        <v>97.539325842696627</v>
      </c>
      <c r="K13" s="46">
        <f t="shared" si="1"/>
        <v>190.83781143136295</v>
      </c>
      <c r="L13" s="46">
        <f t="shared" si="3"/>
        <v>230.84288306684766</v>
      </c>
      <c r="M13" s="46">
        <f t="shared" si="2"/>
        <v>0.37605664444444448</v>
      </c>
    </row>
    <row r="14" spans="1:13" ht="15" thickBot="1">
      <c r="A14" t="s">
        <v>2</v>
      </c>
      <c r="B14" t="s">
        <v>3</v>
      </c>
      <c r="D14" s="4" t="s">
        <v>22</v>
      </c>
      <c r="E14" s="3">
        <v>99.49</v>
      </c>
      <c r="F14" s="3">
        <v>100</v>
      </c>
      <c r="G14" s="3">
        <v>0.6</v>
      </c>
      <c r="H14" s="6">
        <v>1</v>
      </c>
      <c r="I14" s="5"/>
      <c r="J14" s="46">
        <f t="shared" si="0"/>
        <v>99.49</v>
      </c>
      <c r="K14" s="46">
        <f t="shared" si="1"/>
        <v>194.65434782608693</v>
      </c>
      <c r="L14" s="46">
        <f t="shared" si="3"/>
        <v>235.45947481079827</v>
      </c>
      <c r="M14" s="46">
        <f t="shared" si="2"/>
        <v>0.42253555555555561</v>
      </c>
    </row>
    <row r="15" spans="1:13" ht="15" thickBot="1">
      <c r="A15" t="s">
        <v>2</v>
      </c>
      <c r="B15" t="s">
        <v>3</v>
      </c>
      <c r="D15" s="3" t="s">
        <v>23</v>
      </c>
      <c r="E15" s="3">
        <v>100.83</v>
      </c>
      <c r="F15" s="3">
        <v>100</v>
      </c>
      <c r="G15" s="3">
        <v>0.6</v>
      </c>
      <c r="H15" s="6">
        <v>1</v>
      </c>
      <c r="I15" s="5"/>
      <c r="J15" s="46">
        <f t="shared" si="0"/>
        <v>100.83</v>
      </c>
      <c r="K15" s="46">
        <f t="shared" si="1"/>
        <v>197.27608695652174</v>
      </c>
      <c r="L15" s="46">
        <f t="shared" si="3"/>
        <v>238.63080556008435</v>
      </c>
      <c r="M15" s="46">
        <f t="shared" si="2"/>
        <v>0.42253555555555555</v>
      </c>
    </row>
    <row r="16" spans="1:13" ht="15" thickBot="1">
      <c r="A16" t="s">
        <v>2</v>
      </c>
      <c r="B16" t="s">
        <v>3</v>
      </c>
      <c r="D16" s="4" t="s">
        <v>24</v>
      </c>
      <c r="E16" s="3">
        <v>90.4</v>
      </c>
      <c r="F16" s="3">
        <v>92</v>
      </c>
      <c r="G16" s="3">
        <v>0.55000000000000004</v>
      </c>
      <c r="H16" s="6">
        <v>0.92</v>
      </c>
      <c r="I16" s="5"/>
      <c r="J16" s="46">
        <f t="shared" si="0"/>
        <v>98.260869565217391</v>
      </c>
      <c r="K16" s="46">
        <f t="shared" si="1"/>
        <v>192.24952741020795</v>
      </c>
      <c r="L16" s="46">
        <f t="shared" si="3"/>
        <v>232.55053515205992</v>
      </c>
      <c r="M16" s="46">
        <f t="shared" si="2"/>
        <v>0.38873271111111113</v>
      </c>
    </row>
    <row r="17" spans="1:13" ht="15" thickBot="1">
      <c r="A17" t="s">
        <v>2</v>
      </c>
      <c r="B17" t="s">
        <v>3</v>
      </c>
      <c r="D17" s="4" t="s">
        <v>25</v>
      </c>
      <c r="E17" s="3">
        <v>99.59</v>
      </c>
      <c r="F17" s="3">
        <v>100</v>
      </c>
      <c r="G17" s="3">
        <v>0.61</v>
      </c>
      <c r="H17" s="6">
        <v>1</v>
      </c>
      <c r="I17" s="5"/>
      <c r="J17" s="46">
        <f t="shared" si="0"/>
        <v>99.59</v>
      </c>
      <c r="K17" s="46">
        <f t="shared" si="1"/>
        <v>194.85</v>
      </c>
      <c r="L17" s="46">
        <f t="shared" si="3"/>
        <v>235.69614128462561</v>
      </c>
      <c r="M17" s="46">
        <f t="shared" si="2"/>
        <v>0.42253555555555561</v>
      </c>
    </row>
    <row r="18" spans="1:13" ht="15" thickBot="1">
      <c r="A18" t="s">
        <v>2</v>
      </c>
      <c r="B18" t="s">
        <v>3</v>
      </c>
      <c r="D18" s="3" t="s">
        <v>26</v>
      </c>
      <c r="E18" s="3">
        <v>100.23</v>
      </c>
      <c r="F18" s="3">
        <v>100</v>
      </c>
      <c r="G18" s="3">
        <v>0.6</v>
      </c>
      <c r="H18" s="6">
        <v>1</v>
      </c>
      <c r="I18" s="5"/>
      <c r="J18" s="46">
        <f t="shared" si="0"/>
        <v>100.23</v>
      </c>
      <c r="K18" s="46">
        <f t="shared" si="1"/>
        <v>196.10217391304349</v>
      </c>
      <c r="L18" s="46">
        <f t="shared" si="3"/>
        <v>237.21080671712048</v>
      </c>
      <c r="M18" s="46">
        <f t="shared" si="2"/>
        <v>0.42253555555555555</v>
      </c>
    </row>
    <row r="19" spans="1:13">
      <c r="A19" t="s">
        <v>2</v>
      </c>
      <c r="B19" t="s">
        <v>3</v>
      </c>
      <c r="D19" t="s">
        <v>28</v>
      </c>
      <c r="M19" s="8">
        <f>AVERAGE(M7:M18)</f>
        <v>0.39119750185185187</v>
      </c>
    </row>
    <row r="20" spans="1:13">
      <c r="A20" t="s">
        <v>2</v>
      </c>
      <c r="B20" t="s">
        <v>3</v>
      </c>
      <c r="D20" s="353" t="s">
        <v>7200</v>
      </c>
    </row>
    <row r="21" spans="1:13">
      <c r="A21" t="s">
        <v>2</v>
      </c>
      <c r="B21" t="s">
        <v>3</v>
      </c>
      <c r="C21" t="s">
        <v>29</v>
      </c>
      <c r="D21" s="7" t="s">
        <v>30</v>
      </c>
      <c r="H21" t="s">
        <v>31</v>
      </c>
    </row>
    <row r="22" spans="1:13">
      <c r="A22" t="s">
        <v>2</v>
      </c>
      <c r="B22" t="s">
        <v>3</v>
      </c>
      <c r="D22" s="7" t="s">
        <v>32</v>
      </c>
    </row>
    <row r="23" spans="1:13">
      <c r="A23" t="s">
        <v>2</v>
      </c>
      <c r="B23" t="s">
        <v>3</v>
      </c>
      <c r="D23" s="7"/>
      <c r="K23" t="s">
        <v>9</v>
      </c>
    </row>
    <row r="24" spans="1:13" ht="64.8" thickBot="1">
      <c r="A24" t="s">
        <v>2</v>
      </c>
      <c r="B24" t="s">
        <v>3</v>
      </c>
      <c r="D24" s="9" t="s">
        <v>33</v>
      </c>
      <c r="E24" s="9" t="s">
        <v>34</v>
      </c>
      <c r="F24" s="9" t="s">
        <v>35</v>
      </c>
      <c r="G24" s="9" t="s">
        <v>36</v>
      </c>
      <c r="H24" s="9" t="s">
        <v>37</v>
      </c>
      <c r="I24" s="9" t="s">
        <v>38</v>
      </c>
      <c r="J24" s="47" t="s">
        <v>39</v>
      </c>
      <c r="K24" s="47" t="s">
        <v>40</v>
      </c>
    </row>
    <row r="25" spans="1:13" ht="16.2" thickTop="1">
      <c r="A25" t="s">
        <v>2</v>
      </c>
      <c r="B25" t="s">
        <v>3</v>
      </c>
      <c r="D25" s="10" t="s">
        <v>41</v>
      </c>
      <c r="E25" s="10">
        <v>20</v>
      </c>
      <c r="F25" s="10" t="s">
        <v>42</v>
      </c>
      <c r="G25" s="10" t="s">
        <v>43</v>
      </c>
      <c r="H25" s="10" t="s">
        <v>44</v>
      </c>
      <c r="I25" s="10" t="s">
        <v>45</v>
      </c>
      <c r="J25" s="48">
        <v>0.46300000000000002</v>
      </c>
      <c r="K25" s="48">
        <f t="shared" ref="K25:K30" si="4">J25*0.8267</f>
        <v>0.38276209999999999</v>
      </c>
    </row>
    <row r="26" spans="1:13" ht="19.2">
      <c r="A26" t="s">
        <v>2</v>
      </c>
      <c r="B26" t="s">
        <v>3</v>
      </c>
      <c r="D26" s="10" t="s">
        <v>46</v>
      </c>
      <c r="E26" s="10">
        <v>20</v>
      </c>
      <c r="F26" s="10" t="s">
        <v>47</v>
      </c>
      <c r="G26" s="10" t="s">
        <v>48</v>
      </c>
      <c r="H26" s="10" t="s">
        <v>49</v>
      </c>
      <c r="I26" s="10" t="s">
        <v>50</v>
      </c>
      <c r="J26" s="48">
        <v>0.46</v>
      </c>
      <c r="K26" s="48">
        <f t="shared" si="4"/>
        <v>0.38028200000000001</v>
      </c>
    </row>
    <row r="27" spans="1:13" ht="15.6">
      <c r="A27" t="s">
        <v>2</v>
      </c>
      <c r="B27" t="s">
        <v>3</v>
      </c>
      <c r="D27" s="10" t="s">
        <v>51</v>
      </c>
      <c r="E27" s="10">
        <v>20</v>
      </c>
      <c r="F27" s="10" t="s">
        <v>52</v>
      </c>
      <c r="G27" s="10" t="s">
        <v>53</v>
      </c>
      <c r="H27" s="10" t="s">
        <v>54</v>
      </c>
      <c r="I27" s="10" t="s">
        <v>55</v>
      </c>
      <c r="J27" s="48">
        <v>0.46400000000000002</v>
      </c>
      <c r="K27" s="48">
        <f t="shared" si="4"/>
        <v>0.38358880000000001</v>
      </c>
    </row>
    <row r="28" spans="1:13" ht="15.6">
      <c r="A28" t="s">
        <v>2</v>
      </c>
      <c r="B28" t="s">
        <v>3</v>
      </c>
      <c r="D28" s="10" t="s">
        <v>56</v>
      </c>
      <c r="E28" s="10">
        <v>20</v>
      </c>
      <c r="F28" s="10" t="s">
        <v>47</v>
      </c>
      <c r="G28" s="10" t="s">
        <v>57</v>
      </c>
      <c r="H28" s="10" t="s">
        <v>58</v>
      </c>
      <c r="I28" s="10" t="s">
        <v>59</v>
      </c>
      <c r="J28" s="48">
        <v>0.46500000000000002</v>
      </c>
      <c r="K28" s="48">
        <f t="shared" si="4"/>
        <v>0.38441550000000002</v>
      </c>
    </row>
    <row r="29" spans="1:13" ht="15.6">
      <c r="A29" t="s">
        <v>2</v>
      </c>
      <c r="B29" t="s">
        <v>3</v>
      </c>
      <c r="D29" s="10" t="s">
        <v>60</v>
      </c>
      <c r="E29" s="10">
        <v>20</v>
      </c>
      <c r="F29" s="10" t="s">
        <v>61</v>
      </c>
      <c r="G29" s="10" t="s">
        <v>62</v>
      </c>
      <c r="H29" s="10" t="s">
        <v>63</v>
      </c>
      <c r="I29" s="10" t="s">
        <v>64</v>
      </c>
      <c r="J29" s="48">
        <v>0.46500000000000002</v>
      </c>
      <c r="K29" s="48">
        <f t="shared" si="4"/>
        <v>0.38441550000000002</v>
      </c>
    </row>
    <row r="30" spans="1:13" ht="15.6">
      <c r="A30" t="s">
        <v>2</v>
      </c>
      <c r="B30" t="s">
        <v>3</v>
      </c>
      <c r="D30" s="10" t="s">
        <v>65</v>
      </c>
      <c r="E30" s="10">
        <v>20</v>
      </c>
      <c r="F30" s="10" t="s">
        <v>66</v>
      </c>
      <c r="G30" s="10" t="s">
        <v>67</v>
      </c>
      <c r="H30" s="10" t="s">
        <v>49</v>
      </c>
      <c r="I30" s="10" t="s">
        <v>68</v>
      </c>
      <c r="J30" s="48">
        <v>0.47</v>
      </c>
      <c r="K30" s="48">
        <f t="shared" si="4"/>
        <v>0.38854899999999998</v>
      </c>
    </row>
    <row r="31" spans="1:13">
      <c r="A31" t="s">
        <v>2</v>
      </c>
      <c r="B31" t="s">
        <v>3</v>
      </c>
      <c r="D31" t="s">
        <v>28</v>
      </c>
      <c r="J31" s="48">
        <f>AVERAGE(J25:J30)</f>
        <v>0.46449999999999997</v>
      </c>
      <c r="K31" s="48">
        <f>AVERAGE(K25:K30)</f>
        <v>0.38400214999999999</v>
      </c>
    </row>
    <row r="32" spans="1:13">
      <c r="A32" t="s">
        <v>2</v>
      </c>
      <c r="B32" t="s">
        <v>3</v>
      </c>
    </row>
    <row r="33" spans="1:21">
      <c r="A33" t="s">
        <v>2</v>
      </c>
      <c r="B33" t="s">
        <v>3</v>
      </c>
      <c r="C33" t="s">
        <v>69</v>
      </c>
      <c r="D33" s="23" t="s">
        <v>70</v>
      </c>
    </row>
    <row r="34" spans="1:21">
      <c r="A34" t="s">
        <v>2</v>
      </c>
      <c r="B34" t="s">
        <v>3</v>
      </c>
      <c r="D34" t="s">
        <v>71</v>
      </c>
    </row>
    <row r="35" spans="1:21" ht="15" thickBot="1">
      <c r="A35" t="s">
        <v>2</v>
      </c>
      <c r="B35" t="s">
        <v>3</v>
      </c>
      <c r="D35" s="22" t="s">
        <v>72</v>
      </c>
    </row>
    <row r="36" spans="1:21" ht="15" thickBot="1">
      <c r="A36" t="s">
        <v>2</v>
      </c>
      <c r="B36" t="s">
        <v>3</v>
      </c>
      <c r="D36" s="18" t="s">
        <v>73</v>
      </c>
      <c r="E36" s="536">
        <v>72</v>
      </c>
      <c r="F36" s="536"/>
      <c r="G36" s="536"/>
      <c r="H36" s="536"/>
      <c r="I36" s="536"/>
      <c r="J36" s="536"/>
      <c r="K36" s="536">
        <v>96</v>
      </c>
      <c r="L36" s="536"/>
      <c r="M36" s="536"/>
      <c r="N36" s="536"/>
      <c r="O36" s="25"/>
    </row>
    <row r="37" spans="1:21" ht="28.5" customHeight="1" thickBot="1">
      <c r="A37" t="s">
        <v>2</v>
      </c>
      <c r="B37" t="s">
        <v>3</v>
      </c>
      <c r="D37" s="531" t="s">
        <v>74</v>
      </c>
      <c r="E37" s="536" t="s">
        <v>75</v>
      </c>
      <c r="F37" s="536"/>
      <c r="G37" s="536" t="s">
        <v>76</v>
      </c>
      <c r="H37" s="536"/>
      <c r="I37" s="536" t="s">
        <v>77</v>
      </c>
      <c r="J37" s="536"/>
      <c r="K37" s="536" t="s">
        <v>78</v>
      </c>
      <c r="L37" s="536"/>
      <c r="M37" s="536" t="s">
        <v>79</v>
      </c>
      <c r="N37" s="536"/>
      <c r="O37" s="538" t="s">
        <v>80</v>
      </c>
      <c r="P37" s="539" t="s">
        <v>81</v>
      </c>
      <c r="Q37" s="535" t="s">
        <v>15</v>
      </c>
      <c r="R37" s="535" t="s">
        <v>16</v>
      </c>
      <c r="S37" s="535" t="s">
        <v>17</v>
      </c>
      <c r="T37" s="535" t="s">
        <v>18</v>
      </c>
      <c r="U37" s="537"/>
    </row>
    <row r="38" spans="1:21" ht="28.2" thickBot="1">
      <c r="A38" t="s">
        <v>2</v>
      </c>
      <c r="B38" t="s">
        <v>3</v>
      </c>
      <c r="D38" s="544"/>
      <c r="E38" s="13" t="s">
        <v>82</v>
      </c>
      <c r="F38" s="13" t="s">
        <v>83</v>
      </c>
      <c r="G38" s="13" t="s">
        <v>82</v>
      </c>
      <c r="H38" s="13" t="s">
        <v>83</v>
      </c>
      <c r="I38" s="13" t="s">
        <v>82</v>
      </c>
      <c r="J38" s="13" t="s">
        <v>83</v>
      </c>
      <c r="K38" s="13" t="s">
        <v>82</v>
      </c>
      <c r="L38" s="13" t="s">
        <v>83</v>
      </c>
      <c r="M38" s="13" t="s">
        <v>82</v>
      </c>
      <c r="N38" s="13" t="s">
        <v>83</v>
      </c>
      <c r="O38" s="538"/>
      <c r="P38" s="539"/>
      <c r="Q38" s="535"/>
      <c r="R38" s="535"/>
      <c r="S38" s="535"/>
      <c r="T38" s="535"/>
      <c r="U38" s="537"/>
    </row>
    <row r="39" spans="1:21" ht="27.6">
      <c r="A39" t="s">
        <v>2</v>
      </c>
      <c r="B39" t="s">
        <v>3</v>
      </c>
      <c r="D39" s="15" t="s">
        <v>84</v>
      </c>
      <c r="E39" s="16" t="s">
        <v>85</v>
      </c>
      <c r="F39" s="16" t="s">
        <v>86</v>
      </c>
      <c r="G39" s="16">
        <v>0</v>
      </c>
      <c r="H39" s="16" t="s">
        <v>87</v>
      </c>
      <c r="I39" s="16" t="s">
        <v>88</v>
      </c>
      <c r="J39" s="16" t="s">
        <v>89</v>
      </c>
      <c r="K39" s="16" t="s">
        <v>90</v>
      </c>
      <c r="L39" s="16" t="s">
        <v>91</v>
      </c>
      <c r="M39" s="16" t="s">
        <v>89</v>
      </c>
      <c r="N39" s="16" t="s">
        <v>92</v>
      </c>
      <c r="O39" s="49"/>
      <c r="P39" s="48"/>
      <c r="Q39" s="48"/>
      <c r="R39" s="48"/>
      <c r="S39" s="48"/>
      <c r="T39" s="48"/>
    </row>
    <row r="40" spans="1:21" ht="27.6">
      <c r="A40" t="s">
        <v>2</v>
      </c>
      <c r="B40" t="s">
        <v>3</v>
      </c>
      <c r="D40" s="15" t="s">
        <v>93</v>
      </c>
      <c r="E40" s="16" t="s">
        <v>94</v>
      </c>
      <c r="F40" s="16" t="s">
        <v>95</v>
      </c>
      <c r="G40" s="16" t="s">
        <v>96</v>
      </c>
      <c r="H40" s="16" t="s">
        <v>97</v>
      </c>
      <c r="I40" s="16" t="s">
        <v>87</v>
      </c>
      <c r="J40" s="16" t="s">
        <v>98</v>
      </c>
      <c r="K40" s="16" t="s">
        <v>99</v>
      </c>
      <c r="L40" s="16" t="s">
        <v>100</v>
      </c>
      <c r="M40" s="16" t="s">
        <v>101</v>
      </c>
      <c r="N40" s="16" t="s">
        <v>102</v>
      </c>
      <c r="O40" s="49"/>
      <c r="P40" s="48"/>
      <c r="Q40" s="48"/>
      <c r="R40" s="48"/>
      <c r="S40" s="48"/>
      <c r="T40" s="48"/>
    </row>
    <row r="41" spans="1:21" ht="27.6">
      <c r="A41" t="s">
        <v>2</v>
      </c>
      <c r="B41" t="s">
        <v>3</v>
      </c>
      <c r="D41" s="15" t="s">
        <v>103</v>
      </c>
      <c r="E41" s="16" t="s">
        <v>104</v>
      </c>
      <c r="F41" s="16" t="s">
        <v>105</v>
      </c>
      <c r="G41" s="16" t="s">
        <v>106</v>
      </c>
      <c r="H41" s="16" t="s">
        <v>107</v>
      </c>
      <c r="I41" s="16" t="s">
        <v>108</v>
      </c>
      <c r="J41" s="16" t="s">
        <v>109</v>
      </c>
      <c r="K41" s="16" t="s">
        <v>110</v>
      </c>
      <c r="L41" s="16" t="s">
        <v>111</v>
      </c>
      <c r="M41" s="16" t="s">
        <v>112</v>
      </c>
      <c r="N41" s="16" t="s">
        <v>113</v>
      </c>
      <c r="O41" s="49"/>
      <c r="P41" s="48"/>
      <c r="Q41" s="48"/>
      <c r="R41" s="48"/>
      <c r="S41" s="48"/>
      <c r="T41" s="48"/>
    </row>
    <row r="42" spans="1:21" ht="27.6">
      <c r="A42" t="s">
        <v>2</v>
      </c>
      <c r="B42" t="s">
        <v>3</v>
      </c>
      <c r="D42" s="15" t="s">
        <v>2</v>
      </c>
      <c r="E42" s="16" t="s">
        <v>114</v>
      </c>
      <c r="F42" s="16" t="s">
        <v>115</v>
      </c>
      <c r="G42" s="16" t="s">
        <v>116</v>
      </c>
      <c r="H42" s="16" t="s">
        <v>117</v>
      </c>
      <c r="I42" s="16" t="s">
        <v>118</v>
      </c>
      <c r="J42" s="16" t="s">
        <v>119</v>
      </c>
      <c r="K42" s="16" t="s">
        <v>120</v>
      </c>
      <c r="L42" s="24" t="s">
        <v>121</v>
      </c>
      <c r="M42" s="16" t="s">
        <v>122</v>
      </c>
      <c r="N42" s="16" t="s">
        <v>123</v>
      </c>
      <c r="O42" s="48">
        <v>53.18</v>
      </c>
      <c r="P42" s="50">
        <v>0.97</v>
      </c>
      <c r="Q42" s="48">
        <f>O42/P42</f>
        <v>54.824742268041241</v>
      </c>
      <c r="R42" s="51">
        <f>Q42/(2*46)*180</f>
        <v>107.26580008964591</v>
      </c>
      <c r="S42" s="48">
        <f>R42/0.8267</f>
        <v>129.75178431068818</v>
      </c>
      <c r="T42" s="48">
        <f>O42/S42</f>
        <v>0.40985948888888879</v>
      </c>
    </row>
    <row r="43" spans="1:21">
      <c r="A43" t="s">
        <v>2</v>
      </c>
      <c r="B43" t="s">
        <v>3</v>
      </c>
      <c r="D43" s="15" t="s">
        <v>124</v>
      </c>
      <c r="E43" s="16"/>
      <c r="F43" s="16" t="s">
        <v>125</v>
      </c>
      <c r="G43" s="16"/>
      <c r="H43" s="16" t="s">
        <v>126</v>
      </c>
      <c r="I43" s="16"/>
      <c r="J43" s="16" t="s">
        <v>126</v>
      </c>
      <c r="K43" s="16"/>
      <c r="L43" s="24" t="s">
        <v>127</v>
      </c>
      <c r="M43" s="16"/>
      <c r="N43" s="16" t="s">
        <v>128</v>
      </c>
      <c r="O43" s="49"/>
      <c r="P43" s="48"/>
      <c r="Q43" s="48"/>
      <c r="R43" s="48"/>
      <c r="S43" s="48"/>
      <c r="T43" s="48"/>
    </row>
    <row r="44" spans="1:21">
      <c r="A44" t="s">
        <v>2</v>
      </c>
      <c r="B44" t="s">
        <v>3</v>
      </c>
      <c r="D44" s="17" t="s">
        <v>129</v>
      </c>
      <c r="E44" s="16">
        <v>0.05</v>
      </c>
      <c r="F44" s="16">
        <v>0.09</v>
      </c>
      <c r="G44" s="16">
        <v>0.09</v>
      </c>
      <c r="H44" s="16">
        <v>0.32</v>
      </c>
      <c r="I44" s="16">
        <v>0.08</v>
      </c>
      <c r="J44" s="16">
        <v>0.19</v>
      </c>
      <c r="K44" s="16">
        <v>7.0000000000000007E-2</v>
      </c>
      <c r="L44" s="16">
        <v>0.55000000000000004</v>
      </c>
      <c r="M44" s="16">
        <v>0.13</v>
      </c>
      <c r="N44" s="16">
        <v>0.69</v>
      </c>
      <c r="O44" s="49"/>
      <c r="P44" s="48"/>
      <c r="Q44" s="48"/>
      <c r="R44" s="48"/>
      <c r="S44" s="48"/>
      <c r="T44" s="48"/>
    </row>
    <row r="45" spans="1:21" ht="15" thickBot="1">
      <c r="A45" t="s">
        <v>2</v>
      </c>
      <c r="B45" t="s">
        <v>3</v>
      </c>
      <c r="D45" s="19" t="s">
        <v>130</v>
      </c>
      <c r="E45" s="20">
        <v>0.13</v>
      </c>
      <c r="F45" s="20">
        <v>0.25</v>
      </c>
      <c r="G45" s="20">
        <v>0.24</v>
      </c>
      <c r="H45" s="20">
        <v>0.81</v>
      </c>
      <c r="I45" s="20">
        <v>0.23</v>
      </c>
      <c r="J45" s="20">
        <v>0.47</v>
      </c>
      <c r="K45" s="20">
        <v>0.17</v>
      </c>
      <c r="L45" s="20">
        <v>1.22</v>
      </c>
      <c r="M45" s="20">
        <v>0.27</v>
      </c>
      <c r="N45" s="14"/>
      <c r="O45" s="48"/>
      <c r="P45" s="48"/>
      <c r="Q45" s="48"/>
      <c r="R45" s="48"/>
      <c r="S45" s="48"/>
      <c r="T45" s="48"/>
    </row>
    <row r="46" spans="1:21">
      <c r="A46" t="s">
        <v>2</v>
      </c>
      <c r="B46" t="s">
        <v>3</v>
      </c>
      <c r="D46" s="11" t="s">
        <v>131</v>
      </c>
    </row>
    <row r="47" spans="1:21">
      <c r="A47" t="s">
        <v>2</v>
      </c>
      <c r="B47" t="s">
        <v>3</v>
      </c>
    </row>
    <row r="48" spans="1:21">
      <c r="A48" t="s">
        <v>2</v>
      </c>
      <c r="B48" t="s">
        <v>3</v>
      </c>
      <c r="C48" t="s">
        <v>132</v>
      </c>
      <c r="D48" t="s">
        <v>133</v>
      </c>
      <c r="H48" t="s">
        <v>6</v>
      </c>
    </row>
    <row r="49" spans="1:10">
      <c r="A49" t="s">
        <v>2</v>
      </c>
      <c r="B49" t="s">
        <v>3</v>
      </c>
      <c r="D49" t="s">
        <v>134</v>
      </c>
    </row>
    <row r="50" spans="1:10" ht="15.6" thickBot="1">
      <c r="A50" t="s">
        <v>2</v>
      </c>
      <c r="B50" t="s">
        <v>3</v>
      </c>
      <c r="D50" s="39" t="s">
        <v>135</v>
      </c>
    </row>
    <row r="51" spans="1:10" ht="18" thickTop="1" thickBot="1">
      <c r="A51" t="s">
        <v>2</v>
      </c>
      <c r="B51" t="s">
        <v>3</v>
      </c>
      <c r="D51" s="29"/>
      <c r="E51" s="30" t="s">
        <v>136</v>
      </c>
      <c r="F51" s="30" t="s">
        <v>137</v>
      </c>
      <c r="G51" s="30" t="s">
        <v>138</v>
      </c>
      <c r="H51" s="30" t="s">
        <v>139</v>
      </c>
      <c r="I51" s="30" t="s">
        <v>140</v>
      </c>
      <c r="J51" s="31" t="s">
        <v>141</v>
      </c>
    </row>
    <row r="52" spans="1:10" ht="17.399999999999999" thickBot="1">
      <c r="A52" t="s">
        <v>2</v>
      </c>
      <c r="B52" t="s">
        <v>3</v>
      </c>
      <c r="D52" s="32" t="s">
        <v>142</v>
      </c>
      <c r="E52" s="27" t="s">
        <v>143</v>
      </c>
      <c r="F52" s="27" t="s">
        <v>144</v>
      </c>
      <c r="G52" s="27" t="s">
        <v>145</v>
      </c>
      <c r="H52" s="27" t="s">
        <v>146</v>
      </c>
      <c r="I52" s="27" t="s">
        <v>147</v>
      </c>
      <c r="J52" s="33" t="s">
        <v>148</v>
      </c>
    </row>
    <row r="53" spans="1:10" ht="17.399999999999999" thickBot="1">
      <c r="A53" t="s">
        <v>2</v>
      </c>
      <c r="B53" t="s">
        <v>3</v>
      </c>
      <c r="D53" s="34" t="s">
        <v>149</v>
      </c>
      <c r="E53" s="28" t="s">
        <v>150</v>
      </c>
      <c r="F53" s="28" t="s">
        <v>151</v>
      </c>
      <c r="G53" s="28" t="s">
        <v>152</v>
      </c>
      <c r="H53" s="28" t="s">
        <v>153</v>
      </c>
      <c r="I53" s="28" t="s">
        <v>154</v>
      </c>
      <c r="J53" s="35" t="s">
        <v>155</v>
      </c>
    </row>
    <row r="54" spans="1:10" ht="17.399999999999999" thickBot="1">
      <c r="A54" t="s">
        <v>2</v>
      </c>
      <c r="B54" t="s">
        <v>3</v>
      </c>
      <c r="D54" s="34" t="s">
        <v>156</v>
      </c>
      <c r="E54" s="28">
        <v>78.989999999999995</v>
      </c>
      <c r="F54" s="28">
        <v>87.87</v>
      </c>
      <c r="G54" s="28">
        <v>89.55</v>
      </c>
      <c r="H54" s="28">
        <v>84.3</v>
      </c>
      <c r="I54" s="28">
        <v>85.22</v>
      </c>
      <c r="J54" s="35">
        <v>83.32</v>
      </c>
    </row>
    <row r="55" spans="1:10" ht="17.399999999999999" thickBot="1">
      <c r="A55" t="s">
        <v>2</v>
      </c>
      <c r="B55" t="s">
        <v>3</v>
      </c>
      <c r="D55" s="34" t="s">
        <v>157</v>
      </c>
      <c r="E55" s="28">
        <v>0.4</v>
      </c>
      <c r="F55" s="28">
        <v>0.45</v>
      </c>
      <c r="G55" s="28">
        <v>0.46</v>
      </c>
      <c r="H55" s="28">
        <v>0.43</v>
      </c>
      <c r="I55" s="28">
        <v>0.44</v>
      </c>
      <c r="J55" s="35">
        <v>0.43</v>
      </c>
    </row>
    <row r="56" spans="1:10" ht="17.399999999999999" thickBot="1">
      <c r="A56" t="s">
        <v>2</v>
      </c>
      <c r="B56" t="s">
        <v>3</v>
      </c>
      <c r="D56" s="34" t="s">
        <v>158</v>
      </c>
      <c r="E56" s="28">
        <v>0.04</v>
      </c>
      <c r="F56" s="28">
        <v>0.04</v>
      </c>
      <c r="G56" s="28">
        <v>0.04</v>
      </c>
      <c r="H56" s="28">
        <v>0.03</v>
      </c>
      <c r="I56" s="28">
        <v>0.03</v>
      </c>
      <c r="J56" s="35">
        <v>0.05</v>
      </c>
    </row>
    <row r="57" spans="1:10" ht="17.399999999999999" thickBot="1">
      <c r="A57" t="s">
        <v>2</v>
      </c>
      <c r="B57" t="s">
        <v>3</v>
      </c>
      <c r="D57" s="34" t="s">
        <v>159</v>
      </c>
      <c r="E57" s="28">
        <v>1.1399999999999999</v>
      </c>
      <c r="F57" s="28">
        <v>1.28</v>
      </c>
      <c r="G57" s="28">
        <v>1.3</v>
      </c>
      <c r="H57" s="28">
        <v>1.22</v>
      </c>
      <c r="I57" s="28">
        <v>1.1299999999999999</v>
      </c>
      <c r="J57" s="35">
        <v>1.2</v>
      </c>
    </row>
    <row r="58" spans="1:10" ht="34.200000000000003" thickBot="1">
      <c r="A58" t="s">
        <v>2</v>
      </c>
      <c r="B58" t="s">
        <v>3</v>
      </c>
      <c r="D58" s="34" t="s">
        <v>160</v>
      </c>
      <c r="E58" s="28">
        <v>2.82</v>
      </c>
      <c r="F58" s="28">
        <v>2.84</v>
      </c>
      <c r="G58" s="28">
        <v>2.84</v>
      </c>
      <c r="H58" s="28">
        <v>2.83</v>
      </c>
      <c r="I58" s="28">
        <v>2.59</v>
      </c>
      <c r="J58" s="35">
        <v>2.83</v>
      </c>
    </row>
    <row r="59" spans="1:10" ht="17.399999999999999" thickBot="1">
      <c r="A59" t="s">
        <v>2</v>
      </c>
      <c r="B59" t="s">
        <v>3</v>
      </c>
      <c r="D59" s="36" t="s">
        <v>161</v>
      </c>
      <c r="E59" s="37" t="s">
        <v>162</v>
      </c>
      <c r="F59" s="37" t="s">
        <v>163</v>
      </c>
      <c r="G59" s="37">
        <v>0</v>
      </c>
      <c r="H59" s="37" t="s">
        <v>164</v>
      </c>
      <c r="I59" s="37" t="s">
        <v>165</v>
      </c>
      <c r="J59" s="38" t="s">
        <v>166</v>
      </c>
    </row>
    <row r="60" spans="1:10" ht="17.399999999999999" thickTop="1">
      <c r="A60" t="s">
        <v>2</v>
      </c>
      <c r="B60" t="s">
        <v>3</v>
      </c>
      <c r="D60" s="32"/>
      <c r="E60" s="27"/>
      <c r="F60" s="27"/>
      <c r="G60" s="27"/>
      <c r="H60" s="27"/>
      <c r="I60" s="27"/>
      <c r="J60" s="33"/>
    </row>
    <row r="61" spans="1:10">
      <c r="A61" t="s">
        <v>2</v>
      </c>
      <c r="B61" t="s">
        <v>3</v>
      </c>
      <c r="D61" s="52" t="s">
        <v>167</v>
      </c>
      <c r="E61" s="53">
        <v>54.67</v>
      </c>
      <c r="F61" s="53">
        <v>61.25</v>
      </c>
      <c r="G61" s="53">
        <v>62.45</v>
      </c>
      <c r="H61" s="53">
        <v>58.5</v>
      </c>
      <c r="I61" s="53">
        <v>54.1</v>
      </c>
      <c r="J61" s="53">
        <v>57.8</v>
      </c>
    </row>
    <row r="62" spans="1:10" ht="28.8">
      <c r="A62" t="s">
        <v>2</v>
      </c>
      <c r="B62" t="s">
        <v>3</v>
      </c>
      <c r="D62" s="52" t="s">
        <v>168</v>
      </c>
      <c r="E62" s="53">
        <v>0.4</v>
      </c>
      <c r="F62" s="53">
        <v>0.45</v>
      </c>
      <c r="G62" s="53">
        <v>0.46</v>
      </c>
      <c r="H62" s="53">
        <v>0.43</v>
      </c>
      <c r="I62" s="53">
        <v>0.44</v>
      </c>
      <c r="J62" s="53">
        <v>0.43</v>
      </c>
    </row>
    <row r="63" spans="1:10">
      <c r="A63" t="s">
        <v>2</v>
      </c>
      <c r="B63" t="s">
        <v>3</v>
      </c>
      <c r="D63" s="52" t="s">
        <v>169</v>
      </c>
      <c r="E63" s="48">
        <v>1.03</v>
      </c>
      <c r="F63" s="48">
        <v>0.06</v>
      </c>
      <c r="G63" s="48">
        <v>0</v>
      </c>
      <c r="H63" s="48">
        <v>0.53</v>
      </c>
      <c r="I63" s="48">
        <v>12.26</v>
      </c>
      <c r="J63" s="48">
        <v>0.72</v>
      </c>
    </row>
    <row r="64" spans="1:10">
      <c r="A64" t="s">
        <v>2</v>
      </c>
      <c r="B64" t="s">
        <v>3</v>
      </c>
      <c r="D64" s="52" t="s">
        <v>170</v>
      </c>
      <c r="E64" s="48">
        <f t="shared" ref="E64:J64" si="5">E61/(2*46)*180</f>
        <v>106.96304347826087</v>
      </c>
      <c r="F64" s="48">
        <f t="shared" si="5"/>
        <v>119.83695652173914</v>
      </c>
      <c r="G64" s="48">
        <f t="shared" si="5"/>
        <v>122.18478260869566</v>
      </c>
      <c r="H64" s="48">
        <f t="shared" si="5"/>
        <v>114.45652173913044</v>
      </c>
      <c r="I64" s="48">
        <f t="shared" si="5"/>
        <v>105.84782608695652</v>
      </c>
      <c r="J64" s="48">
        <f t="shared" si="5"/>
        <v>113.08695652173911</v>
      </c>
    </row>
    <row r="65" spans="1:10">
      <c r="A65" t="s">
        <v>2</v>
      </c>
      <c r="B65" t="s">
        <v>3</v>
      </c>
      <c r="D65" s="52" t="s">
        <v>171</v>
      </c>
      <c r="E65" s="48">
        <f t="shared" ref="E65:J65" si="6">E64+E63</f>
        <v>107.99304347826087</v>
      </c>
      <c r="F65" s="48">
        <f t="shared" si="6"/>
        <v>119.89695652173914</v>
      </c>
      <c r="G65" s="48">
        <f t="shared" si="6"/>
        <v>122.18478260869566</v>
      </c>
      <c r="H65" s="48">
        <f t="shared" si="6"/>
        <v>114.98652173913044</v>
      </c>
      <c r="I65" s="48">
        <f t="shared" si="6"/>
        <v>118.10782608695652</v>
      </c>
      <c r="J65" s="48">
        <f t="shared" si="6"/>
        <v>113.80695652173911</v>
      </c>
    </row>
    <row r="66" spans="1:10">
      <c r="A66" t="s">
        <v>2</v>
      </c>
      <c r="B66" t="s">
        <v>3</v>
      </c>
      <c r="D66" s="52" t="s">
        <v>172</v>
      </c>
      <c r="E66" s="48">
        <f t="shared" ref="E66:J66" si="7">E65/0.8267</f>
        <v>130.63147874472102</v>
      </c>
      <c r="F66" s="48">
        <f t="shared" si="7"/>
        <v>145.03079293787243</v>
      </c>
      <c r="G66" s="48">
        <f t="shared" si="7"/>
        <v>147.79821290515986</v>
      </c>
      <c r="H66" s="48">
        <f t="shared" si="7"/>
        <v>139.09099037030416</v>
      </c>
      <c r="I66" s="48">
        <f t="shared" si="7"/>
        <v>142.86660951609596</v>
      </c>
      <c r="J66" s="48">
        <f t="shared" si="7"/>
        <v>137.6641544958741</v>
      </c>
    </row>
    <row r="67" spans="1:10">
      <c r="A67" t="s">
        <v>2</v>
      </c>
      <c r="B67" t="s">
        <v>3</v>
      </c>
      <c r="D67" s="52" t="s">
        <v>18</v>
      </c>
      <c r="E67" s="48">
        <f t="shared" ref="E67:J67" si="8">E61/E66</f>
        <v>0.41850555873164136</v>
      </c>
      <c r="F67" s="48">
        <f t="shared" si="8"/>
        <v>0.42232410620714161</v>
      </c>
      <c r="G67" s="48">
        <f t="shared" si="8"/>
        <v>0.42253555555555555</v>
      </c>
      <c r="H67" s="48">
        <f t="shared" si="8"/>
        <v>0.42058798951862031</v>
      </c>
      <c r="I67" s="48">
        <f t="shared" si="8"/>
        <v>0.3786749064966427</v>
      </c>
      <c r="J67" s="48">
        <f t="shared" si="8"/>
        <v>0.4198623832882532</v>
      </c>
    </row>
    <row r="68" spans="1:10">
      <c r="A68" t="s">
        <v>2</v>
      </c>
      <c r="B68" t="s">
        <v>3</v>
      </c>
      <c r="D68" s="52" t="s">
        <v>28</v>
      </c>
      <c r="E68" s="48">
        <f>AVERAGE(E67:J67)</f>
        <v>0.41374841663297585</v>
      </c>
      <c r="F68" s="48"/>
      <c r="G68" s="48"/>
      <c r="H68" s="48"/>
      <c r="I68" s="48"/>
      <c r="J68" s="48"/>
    </row>
    <row r="69" spans="1:10">
      <c r="A69" t="s">
        <v>2</v>
      </c>
      <c r="B69" t="s">
        <v>3</v>
      </c>
    </row>
    <row r="70" spans="1:10" ht="15" thickBot="1">
      <c r="A70" t="s">
        <v>2</v>
      </c>
      <c r="B70" t="s">
        <v>3</v>
      </c>
      <c r="D70" t="s">
        <v>173</v>
      </c>
    </row>
    <row r="71" spans="1:10" ht="18" thickTop="1" thickBot="1">
      <c r="A71" t="s">
        <v>2</v>
      </c>
      <c r="B71" t="s">
        <v>3</v>
      </c>
      <c r="D71" s="29"/>
      <c r="E71" s="30" t="s">
        <v>136</v>
      </c>
      <c r="F71" s="30" t="s">
        <v>137</v>
      </c>
      <c r="G71" s="30" t="s">
        <v>138</v>
      </c>
      <c r="H71" s="30" t="s">
        <v>139</v>
      </c>
      <c r="I71" s="30" t="s">
        <v>140</v>
      </c>
      <c r="J71" s="31" t="s">
        <v>141</v>
      </c>
    </row>
    <row r="72" spans="1:10" ht="18" thickTop="1" thickBot="1">
      <c r="A72" t="s">
        <v>2</v>
      </c>
      <c r="B72" t="s">
        <v>3</v>
      </c>
      <c r="D72" s="54" t="s">
        <v>174</v>
      </c>
      <c r="E72" s="55" t="s">
        <v>175</v>
      </c>
      <c r="F72" s="55" t="s">
        <v>176</v>
      </c>
      <c r="G72" s="55" t="s">
        <v>177</v>
      </c>
      <c r="H72" s="55" t="s">
        <v>178</v>
      </c>
      <c r="I72" s="55" t="s">
        <v>179</v>
      </c>
      <c r="J72" s="56" t="s">
        <v>180</v>
      </c>
    </row>
    <row r="73" spans="1:10" ht="18" thickTop="1" thickBot="1">
      <c r="A73" t="s">
        <v>2</v>
      </c>
      <c r="B73" t="s">
        <v>3</v>
      </c>
      <c r="D73" s="41" t="s">
        <v>181</v>
      </c>
      <c r="E73" s="40" t="s">
        <v>182</v>
      </c>
      <c r="F73" s="40" t="s">
        <v>183</v>
      </c>
      <c r="G73" s="40" t="s">
        <v>184</v>
      </c>
      <c r="H73" s="40" t="s">
        <v>185</v>
      </c>
      <c r="I73" s="40" t="s">
        <v>186</v>
      </c>
      <c r="J73" s="42" t="s">
        <v>187</v>
      </c>
    </row>
    <row r="74" spans="1:10" ht="17.399999999999999" thickBot="1">
      <c r="A74" t="s">
        <v>2</v>
      </c>
      <c r="B74" t="s">
        <v>3</v>
      </c>
      <c r="D74" s="41" t="s">
        <v>156</v>
      </c>
      <c r="E74" s="40">
        <v>78.56</v>
      </c>
      <c r="F74" s="40">
        <v>92.68</v>
      </c>
      <c r="G74" s="40">
        <v>85.27</v>
      </c>
      <c r="H74" s="40">
        <v>84.14</v>
      </c>
      <c r="I74" s="40">
        <v>86.64</v>
      </c>
      <c r="J74" s="42">
        <v>93.04</v>
      </c>
    </row>
    <row r="75" spans="1:10" ht="17.399999999999999" thickBot="1">
      <c r="A75" t="s">
        <v>2</v>
      </c>
      <c r="B75" t="s">
        <v>3</v>
      </c>
      <c r="D75" s="41" t="s">
        <v>188</v>
      </c>
      <c r="E75" s="40">
        <v>0.4</v>
      </c>
      <c r="F75" s="40">
        <v>0.47</v>
      </c>
      <c r="G75" s="40">
        <v>0.44</v>
      </c>
      <c r="H75" s="40">
        <v>0.43</v>
      </c>
      <c r="I75" s="40">
        <v>0.44</v>
      </c>
      <c r="J75" s="42">
        <v>0.48</v>
      </c>
    </row>
    <row r="76" spans="1:10" ht="17.399999999999999" thickBot="1">
      <c r="A76" t="s">
        <v>2</v>
      </c>
      <c r="B76" t="s">
        <v>3</v>
      </c>
      <c r="D76" s="41" t="s">
        <v>189</v>
      </c>
      <c r="E76" s="40">
        <v>0.03</v>
      </c>
      <c r="F76" s="40">
        <v>0.04</v>
      </c>
      <c r="G76" s="40">
        <v>0.04</v>
      </c>
      <c r="H76" s="40">
        <v>0.04</v>
      </c>
      <c r="I76" s="40">
        <v>0.03</v>
      </c>
      <c r="J76" s="42">
        <v>0.05</v>
      </c>
    </row>
    <row r="77" spans="1:10" ht="17.399999999999999" thickBot="1">
      <c r="A77" t="s">
        <v>2</v>
      </c>
      <c r="B77" t="s">
        <v>3</v>
      </c>
      <c r="D77" s="41" t="s">
        <v>190</v>
      </c>
      <c r="E77" s="40">
        <v>1.04</v>
      </c>
      <c r="F77" s="40">
        <v>1.23</v>
      </c>
      <c r="G77" s="40">
        <v>1.1299999999999999</v>
      </c>
      <c r="H77" s="40">
        <v>1.1100000000000001</v>
      </c>
      <c r="I77" s="40">
        <v>1.1499999999999999</v>
      </c>
      <c r="J77" s="42">
        <v>1.23</v>
      </c>
    </row>
    <row r="78" spans="1:10" ht="34.200000000000003" thickBot="1">
      <c r="A78" t="s">
        <v>2</v>
      </c>
      <c r="B78" t="s">
        <v>3</v>
      </c>
      <c r="D78" s="41" t="s">
        <v>191</v>
      </c>
      <c r="E78" s="40">
        <v>2.59</v>
      </c>
      <c r="F78" s="40">
        <v>2.59</v>
      </c>
      <c r="G78" s="40">
        <v>2.59</v>
      </c>
      <c r="H78" s="40">
        <v>2.59</v>
      </c>
      <c r="I78" s="40">
        <v>2.59</v>
      </c>
      <c r="J78" s="42">
        <v>2.58</v>
      </c>
    </row>
    <row r="79" spans="1:10" ht="17.399999999999999" thickBot="1">
      <c r="A79" t="s">
        <v>2</v>
      </c>
      <c r="B79" t="s">
        <v>3</v>
      </c>
      <c r="D79" s="43" t="s">
        <v>192</v>
      </c>
      <c r="E79" s="44">
        <v>0</v>
      </c>
      <c r="F79" s="44">
        <v>0</v>
      </c>
      <c r="G79" s="44">
        <v>0</v>
      </c>
      <c r="H79" s="44" t="s">
        <v>193</v>
      </c>
      <c r="I79" s="44" t="s">
        <v>194</v>
      </c>
      <c r="J79" s="45" t="s">
        <v>195</v>
      </c>
    </row>
    <row r="80" spans="1:10" ht="15" thickTop="1">
      <c r="A80" t="s">
        <v>2</v>
      </c>
      <c r="B80" t="s">
        <v>3</v>
      </c>
      <c r="D80" s="52" t="s">
        <v>167</v>
      </c>
      <c r="E80" s="53">
        <v>49.96</v>
      </c>
      <c r="F80" s="53">
        <v>58.93</v>
      </c>
      <c r="G80" s="53">
        <v>54.22</v>
      </c>
      <c r="H80" s="53">
        <v>53.43</v>
      </c>
      <c r="I80" s="53">
        <v>55.01</v>
      </c>
      <c r="J80" s="53">
        <v>58.92</v>
      </c>
    </row>
    <row r="81" spans="1:10" ht="28.8">
      <c r="A81" t="s">
        <v>2</v>
      </c>
      <c r="B81" t="s">
        <v>3</v>
      </c>
      <c r="D81" s="52" t="s">
        <v>168</v>
      </c>
      <c r="E81" s="53">
        <v>0.4</v>
      </c>
      <c r="F81" s="53">
        <v>0.47</v>
      </c>
      <c r="G81" s="53">
        <v>0.44</v>
      </c>
      <c r="H81" s="53">
        <v>0.43</v>
      </c>
      <c r="I81" s="53">
        <v>0.44</v>
      </c>
      <c r="J81" s="53">
        <v>0.48</v>
      </c>
    </row>
    <row r="82" spans="1:10">
      <c r="A82" t="s">
        <v>2</v>
      </c>
      <c r="B82" t="s">
        <v>3</v>
      </c>
      <c r="D82" s="52" t="s">
        <v>169</v>
      </c>
      <c r="E82" s="53">
        <v>0</v>
      </c>
      <c r="F82" s="53">
        <v>0</v>
      </c>
      <c r="G82" s="53">
        <v>0</v>
      </c>
      <c r="H82" s="51">
        <v>0.17</v>
      </c>
      <c r="I82" s="53">
        <v>0.2</v>
      </c>
      <c r="J82" s="53">
        <v>0.51</v>
      </c>
    </row>
    <row r="83" spans="1:10">
      <c r="A83" t="s">
        <v>2</v>
      </c>
      <c r="B83" t="s">
        <v>3</v>
      </c>
      <c r="D83" s="52" t="s">
        <v>170</v>
      </c>
      <c r="E83" s="51">
        <f t="shared" ref="E83:J83" si="9">E80/(2*46)*180</f>
        <v>97.747826086956536</v>
      </c>
      <c r="F83" s="51">
        <f t="shared" si="9"/>
        <v>115.29782608695652</v>
      </c>
      <c r="G83" s="51">
        <f t="shared" si="9"/>
        <v>106.08260869565217</v>
      </c>
      <c r="H83" s="51">
        <f t="shared" si="9"/>
        <v>104.53695652173914</v>
      </c>
      <c r="I83" s="51">
        <f t="shared" si="9"/>
        <v>107.62826086956521</v>
      </c>
      <c r="J83" s="51">
        <f t="shared" si="9"/>
        <v>115.27826086956523</v>
      </c>
    </row>
    <row r="84" spans="1:10">
      <c r="A84" t="s">
        <v>2</v>
      </c>
      <c r="B84" t="s">
        <v>3</v>
      </c>
      <c r="D84" s="52" t="s">
        <v>171</v>
      </c>
      <c r="E84" s="48">
        <f t="shared" ref="E84:J84" si="10">E83+E82</f>
        <v>97.747826086956536</v>
      </c>
      <c r="F84" s="48">
        <f t="shared" si="10"/>
        <v>115.29782608695652</v>
      </c>
      <c r="G84" s="48">
        <f t="shared" si="10"/>
        <v>106.08260869565217</v>
      </c>
      <c r="H84" s="51">
        <f t="shared" si="10"/>
        <v>104.70695652173914</v>
      </c>
      <c r="I84" s="48">
        <f t="shared" si="10"/>
        <v>107.82826086956521</v>
      </c>
      <c r="J84" s="48">
        <f t="shared" si="10"/>
        <v>115.78826086956524</v>
      </c>
    </row>
    <row r="85" spans="1:10">
      <c r="A85" t="s">
        <v>2</v>
      </c>
      <c r="B85" t="s">
        <v>3</v>
      </c>
      <c r="D85" s="52" t="s">
        <v>172</v>
      </c>
      <c r="E85" s="48">
        <f t="shared" ref="E85:J85" si="11">E84/0.8267</f>
        <v>118.23857032412791</v>
      </c>
      <c r="F85" s="48">
        <f t="shared" si="11"/>
        <v>139.46755302643828</v>
      </c>
      <c r="G85" s="48">
        <f t="shared" si="11"/>
        <v>128.32056210917162</v>
      </c>
      <c r="H85" s="48">
        <f t="shared" si="11"/>
        <v>126.65653383541689</v>
      </c>
      <c r="I85" s="48">
        <f t="shared" si="11"/>
        <v>130.43215298120867</v>
      </c>
      <c r="J85" s="48">
        <f t="shared" si="11"/>
        <v>140.06079698749878</v>
      </c>
    </row>
    <row r="86" spans="1:10">
      <c r="A86" t="s">
        <v>2</v>
      </c>
      <c r="B86" t="s">
        <v>3</v>
      </c>
      <c r="D86" s="52" t="s">
        <v>18</v>
      </c>
      <c r="E86" s="48">
        <f t="shared" ref="E86:J86" si="12">E80/E85</f>
        <v>0.4225355555555555</v>
      </c>
      <c r="F86" s="48">
        <f t="shared" si="12"/>
        <v>0.42253555555555555</v>
      </c>
      <c r="G86" s="48">
        <f t="shared" si="12"/>
        <v>0.42253555555555555</v>
      </c>
      <c r="H86" s="48">
        <f t="shared" si="12"/>
        <v>0.42184953576441075</v>
      </c>
      <c r="I86" s="48">
        <f t="shared" si="12"/>
        <v>0.42175183605169253</v>
      </c>
      <c r="J86" s="48">
        <f t="shared" si="12"/>
        <v>0.42067445900125033</v>
      </c>
    </row>
    <row r="87" spans="1:10">
      <c r="A87" t="s">
        <v>2</v>
      </c>
      <c r="B87" t="s">
        <v>3</v>
      </c>
      <c r="D87" s="52" t="s">
        <v>28</v>
      </c>
      <c r="E87" s="48">
        <f>AVERAGE(E86:J86)</f>
        <v>0.42198041624733668</v>
      </c>
      <c r="F87" s="48"/>
      <c r="G87" s="48"/>
      <c r="H87" s="48"/>
      <c r="I87" s="48"/>
      <c r="J87" s="48"/>
    </row>
    <row r="88" spans="1:10">
      <c r="A88" t="s">
        <v>2</v>
      </c>
      <c r="B88" t="s">
        <v>3</v>
      </c>
    </row>
    <row r="89" spans="1:10">
      <c r="A89" t="s">
        <v>2</v>
      </c>
      <c r="B89" t="s">
        <v>196</v>
      </c>
      <c r="C89" t="s">
        <v>197</v>
      </c>
      <c r="D89" t="s">
        <v>198</v>
      </c>
    </row>
    <row r="90" spans="1:10">
      <c r="A90" t="s">
        <v>2</v>
      </c>
      <c r="B90" t="s">
        <v>196</v>
      </c>
      <c r="D90" t="s">
        <v>199</v>
      </c>
    </row>
    <row r="91" spans="1:10">
      <c r="A91" t="s">
        <v>2</v>
      </c>
      <c r="B91" t="s">
        <v>196</v>
      </c>
      <c r="D91" t="s">
        <v>200</v>
      </c>
    </row>
    <row r="92" spans="1:10">
      <c r="A92" t="s">
        <v>2</v>
      </c>
      <c r="B92" t="s">
        <v>196</v>
      </c>
    </row>
    <row r="93" spans="1:10">
      <c r="A93" t="s">
        <v>2</v>
      </c>
      <c r="B93" t="s">
        <v>196</v>
      </c>
      <c r="D93" t="s">
        <v>201</v>
      </c>
    </row>
    <row r="94" spans="1:10">
      <c r="A94" t="s">
        <v>2</v>
      </c>
      <c r="B94" t="s">
        <v>196</v>
      </c>
      <c r="D94" s="58" t="s">
        <v>202</v>
      </c>
      <c r="E94" s="58" t="s">
        <v>203</v>
      </c>
      <c r="F94" s="58" t="s">
        <v>204</v>
      </c>
      <c r="G94" s="58" t="s">
        <v>205</v>
      </c>
      <c r="H94" s="58" t="s">
        <v>206</v>
      </c>
    </row>
    <row r="95" spans="1:10">
      <c r="A95" t="s">
        <v>2</v>
      </c>
      <c r="B95" t="s">
        <v>196</v>
      </c>
      <c r="D95" t="s">
        <v>207</v>
      </c>
      <c r="E95" t="s">
        <v>208</v>
      </c>
      <c r="F95" t="s">
        <v>209</v>
      </c>
      <c r="G95" t="s">
        <v>209</v>
      </c>
      <c r="H95" t="s">
        <v>209</v>
      </c>
    </row>
    <row r="96" spans="1:10" ht="16.2">
      <c r="A96" t="s">
        <v>2</v>
      </c>
      <c r="B96" t="s">
        <v>196</v>
      </c>
      <c r="D96" s="57" t="s">
        <v>210</v>
      </c>
      <c r="E96" s="57" t="s">
        <v>211</v>
      </c>
      <c r="F96" s="57" t="s">
        <v>212</v>
      </c>
      <c r="G96" s="57" t="s">
        <v>213</v>
      </c>
      <c r="H96" s="57" t="s">
        <v>214</v>
      </c>
    </row>
    <row r="97" spans="1:13" ht="16.2">
      <c r="A97" t="s">
        <v>2</v>
      </c>
      <c r="B97" t="s">
        <v>196</v>
      </c>
      <c r="D97" t="s">
        <v>215</v>
      </c>
    </row>
    <row r="98" spans="1:13">
      <c r="A98" t="s">
        <v>2</v>
      </c>
      <c r="B98" t="s">
        <v>196</v>
      </c>
    </row>
    <row r="99" spans="1:13">
      <c r="A99" t="s">
        <v>2</v>
      </c>
      <c r="B99" t="s">
        <v>196</v>
      </c>
      <c r="D99" t="s">
        <v>216</v>
      </c>
    </row>
    <row r="100" spans="1:13" ht="43.2">
      <c r="A100" t="s">
        <v>2</v>
      </c>
      <c r="B100" t="s">
        <v>196</v>
      </c>
      <c r="D100" s="58" t="s">
        <v>202</v>
      </c>
      <c r="E100" s="59" t="s">
        <v>217</v>
      </c>
      <c r="F100" s="59" t="s">
        <v>218</v>
      </c>
      <c r="G100" s="59" t="s">
        <v>219</v>
      </c>
      <c r="H100" s="59" t="s">
        <v>220</v>
      </c>
    </row>
    <row r="101" spans="1:13" ht="16.2">
      <c r="A101" t="s">
        <v>2</v>
      </c>
      <c r="B101" t="s">
        <v>196</v>
      </c>
      <c r="D101" t="s">
        <v>207</v>
      </c>
      <c r="E101">
        <v>100</v>
      </c>
      <c r="F101">
        <v>0.49</v>
      </c>
      <c r="G101">
        <v>0.18</v>
      </c>
      <c r="H101" t="s">
        <v>221</v>
      </c>
    </row>
    <row r="102" spans="1:13" ht="16.2">
      <c r="A102" t="s">
        <v>2</v>
      </c>
      <c r="B102" t="s">
        <v>196</v>
      </c>
      <c r="D102" s="57" t="s">
        <v>210</v>
      </c>
      <c r="E102" s="57">
        <v>100</v>
      </c>
      <c r="F102" s="57">
        <v>0.47</v>
      </c>
      <c r="G102" s="57">
        <v>0.158</v>
      </c>
      <c r="H102" s="57" t="s">
        <v>222</v>
      </c>
    </row>
    <row r="103" spans="1:13" ht="16.2">
      <c r="A103" t="s">
        <v>2</v>
      </c>
      <c r="B103" t="s">
        <v>196</v>
      </c>
      <c r="D103" t="s">
        <v>223</v>
      </c>
    </row>
    <row r="104" spans="1:13">
      <c r="A104" t="s">
        <v>2</v>
      </c>
      <c r="B104" t="s">
        <v>196</v>
      </c>
    </row>
    <row r="105" spans="1:13">
      <c r="A105" t="s">
        <v>2</v>
      </c>
      <c r="B105" t="s">
        <v>196</v>
      </c>
      <c r="D105" s="48" t="s">
        <v>224</v>
      </c>
      <c r="E105" s="60">
        <v>0.3508</v>
      </c>
    </row>
    <row r="106" spans="1:13">
      <c r="A106" t="s">
        <v>2</v>
      </c>
      <c r="B106" t="s">
        <v>196</v>
      </c>
      <c r="D106" s="48" t="s">
        <v>225</v>
      </c>
      <c r="E106" s="48">
        <f>F102*E105</f>
        <v>0.16487599999999999</v>
      </c>
    </row>
    <row r="107" spans="1:13">
      <c r="A107" t="s">
        <v>2</v>
      </c>
      <c r="B107" t="s">
        <v>196</v>
      </c>
    </row>
    <row r="108" spans="1:13">
      <c r="A108" t="s">
        <v>2</v>
      </c>
      <c r="B108" t="s">
        <v>196</v>
      </c>
      <c r="C108" t="s">
        <v>226</v>
      </c>
      <c r="D108" t="s">
        <v>227</v>
      </c>
    </row>
    <row r="109" spans="1:13">
      <c r="A109" t="s">
        <v>2</v>
      </c>
      <c r="B109" t="s">
        <v>196</v>
      </c>
      <c r="D109" t="s">
        <v>228</v>
      </c>
    </row>
    <row r="110" spans="1:13" ht="15" thickBot="1">
      <c r="A110" t="s">
        <v>2</v>
      </c>
      <c r="B110" t="s">
        <v>196</v>
      </c>
      <c r="D110" s="61" t="s">
        <v>229</v>
      </c>
    </row>
    <row r="111" spans="1:13" ht="16.5" customHeight="1">
      <c r="A111" t="s">
        <v>2</v>
      </c>
      <c r="B111" t="s">
        <v>196</v>
      </c>
      <c r="D111" s="540" t="s">
        <v>230</v>
      </c>
      <c r="E111" s="542" t="s">
        <v>231</v>
      </c>
      <c r="F111" s="542"/>
      <c r="G111" s="542"/>
      <c r="H111" s="542"/>
      <c r="I111" s="542"/>
      <c r="J111" s="542"/>
      <c r="K111" s="542"/>
      <c r="L111" s="543"/>
      <c r="M111" s="48"/>
    </row>
    <row r="112" spans="1:13" ht="31.2">
      <c r="A112" t="s">
        <v>2</v>
      </c>
      <c r="B112" t="s">
        <v>196</v>
      </c>
      <c r="D112" s="541"/>
      <c r="E112" s="62" t="s">
        <v>232</v>
      </c>
      <c r="F112" s="63" t="s">
        <v>233</v>
      </c>
      <c r="G112" s="63" t="s">
        <v>234</v>
      </c>
      <c r="H112" s="63" t="s">
        <v>235</v>
      </c>
      <c r="I112" s="63" t="s">
        <v>236</v>
      </c>
      <c r="J112" s="63" t="s">
        <v>237</v>
      </c>
      <c r="K112" s="63" t="s">
        <v>238</v>
      </c>
      <c r="L112" s="64" t="s">
        <v>239</v>
      </c>
      <c r="M112" s="68" t="s">
        <v>240</v>
      </c>
    </row>
    <row r="113" spans="1:13" ht="31.2">
      <c r="A113" t="s">
        <v>2</v>
      </c>
      <c r="B113" t="s">
        <v>196</v>
      </c>
      <c r="D113" s="181" t="s">
        <v>241</v>
      </c>
      <c r="E113" s="185" t="s">
        <v>242</v>
      </c>
      <c r="F113" s="185" t="s">
        <v>243</v>
      </c>
      <c r="G113" s="185" t="s">
        <v>244</v>
      </c>
      <c r="H113" s="185" t="s">
        <v>245</v>
      </c>
      <c r="I113" s="185" t="s">
        <v>246</v>
      </c>
      <c r="J113" s="185" t="s">
        <v>247</v>
      </c>
      <c r="K113" s="185" t="s">
        <v>248</v>
      </c>
      <c r="L113" s="239" t="s">
        <v>249</v>
      </c>
      <c r="M113" s="48"/>
    </row>
    <row r="114" spans="1:13" ht="31.2">
      <c r="A114" t="s">
        <v>2</v>
      </c>
      <c r="B114" t="s">
        <v>196</v>
      </c>
      <c r="D114" s="181" t="s">
        <v>250</v>
      </c>
      <c r="E114" s="185" t="s">
        <v>251</v>
      </c>
      <c r="F114" s="185" t="s">
        <v>252</v>
      </c>
      <c r="G114" s="185" t="s">
        <v>253</v>
      </c>
      <c r="H114" s="185" t="s">
        <v>254</v>
      </c>
      <c r="I114" s="185" t="s">
        <v>255</v>
      </c>
      <c r="J114" s="185" t="s">
        <v>256</v>
      </c>
      <c r="K114" s="185" t="s">
        <v>257</v>
      </c>
      <c r="L114" s="239" t="s">
        <v>258</v>
      </c>
      <c r="M114" s="48"/>
    </row>
    <row r="115" spans="1:13" ht="31.2">
      <c r="A115" t="s">
        <v>2</v>
      </c>
      <c r="B115" t="s">
        <v>196</v>
      </c>
      <c r="D115" s="181" t="s">
        <v>259</v>
      </c>
      <c r="E115" s="185" t="s">
        <v>260</v>
      </c>
      <c r="F115" s="185" t="s">
        <v>261</v>
      </c>
      <c r="G115" s="185" t="s">
        <v>262</v>
      </c>
      <c r="H115" s="185" t="s">
        <v>263</v>
      </c>
      <c r="I115" s="185" t="s">
        <v>264</v>
      </c>
      <c r="J115" s="185" t="s">
        <v>265</v>
      </c>
      <c r="K115" s="185" t="s">
        <v>266</v>
      </c>
      <c r="L115" s="239" t="s">
        <v>267</v>
      </c>
      <c r="M115" s="48"/>
    </row>
    <row r="116" spans="1:13" ht="31.2">
      <c r="A116" t="s">
        <v>2</v>
      </c>
      <c r="B116" t="s">
        <v>196</v>
      </c>
      <c r="D116" s="181" t="s">
        <v>268</v>
      </c>
      <c r="E116" s="185" t="s">
        <v>269</v>
      </c>
      <c r="F116" s="185" t="s">
        <v>270</v>
      </c>
      <c r="G116" s="185" t="s">
        <v>271</v>
      </c>
      <c r="H116" s="185" t="s">
        <v>272</v>
      </c>
      <c r="I116" s="185" t="s">
        <v>273</v>
      </c>
      <c r="J116" s="185" t="s">
        <v>274</v>
      </c>
      <c r="K116" s="185" t="s">
        <v>275</v>
      </c>
      <c r="L116" s="239" t="s">
        <v>276</v>
      </c>
      <c r="M116" s="48">
        <v>22.16</v>
      </c>
    </row>
    <row r="117" spans="1:13" ht="31.2">
      <c r="A117" t="s">
        <v>2</v>
      </c>
      <c r="B117" t="s">
        <v>196</v>
      </c>
      <c r="D117" s="181" t="s">
        <v>277</v>
      </c>
      <c r="E117" s="185" t="s">
        <v>278</v>
      </c>
      <c r="F117" s="185" t="s">
        <v>279</v>
      </c>
      <c r="G117" s="185" t="s">
        <v>280</v>
      </c>
      <c r="H117" s="185" t="s">
        <v>281</v>
      </c>
      <c r="I117" s="185" t="s">
        <v>282</v>
      </c>
      <c r="J117" s="185" t="s">
        <v>283</v>
      </c>
      <c r="K117" s="185" t="s">
        <v>284</v>
      </c>
      <c r="L117" s="239" t="s">
        <v>285</v>
      </c>
      <c r="M117" s="48">
        <v>35.69</v>
      </c>
    </row>
    <row r="118" spans="1:13" ht="31.2">
      <c r="A118" t="s">
        <v>2</v>
      </c>
      <c r="B118" t="s">
        <v>196</v>
      </c>
      <c r="D118" s="181" t="s">
        <v>286</v>
      </c>
      <c r="E118" s="185" t="s">
        <v>287</v>
      </c>
      <c r="F118" s="185" t="s">
        <v>288</v>
      </c>
      <c r="G118" s="185" t="s">
        <v>289</v>
      </c>
      <c r="H118" s="185" t="s">
        <v>290</v>
      </c>
      <c r="I118" s="185" t="s">
        <v>291</v>
      </c>
      <c r="J118" s="185" t="s">
        <v>292</v>
      </c>
      <c r="K118" s="185" t="s">
        <v>293</v>
      </c>
      <c r="L118" s="239" t="s">
        <v>294</v>
      </c>
      <c r="M118" s="48">
        <v>33.43</v>
      </c>
    </row>
    <row r="119" spans="1:13" ht="31.2">
      <c r="A119" t="s">
        <v>2</v>
      </c>
      <c r="B119" t="s">
        <v>196</v>
      </c>
      <c r="D119" s="181" t="s">
        <v>295</v>
      </c>
      <c r="E119" s="185" t="s">
        <v>296</v>
      </c>
      <c r="F119" s="185" t="s">
        <v>297</v>
      </c>
      <c r="G119" s="185" t="s">
        <v>298</v>
      </c>
      <c r="H119" s="185" t="s">
        <v>299</v>
      </c>
      <c r="I119" s="185" t="s">
        <v>300</v>
      </c>
      <c r="J119" s="185" t="s">
        <v>301</v>
      </c>
      <c r="K119" s="185" t="s">
        <v>293</v>
      </c>
      <c r="L119" s="239" t="s">
        <v>302</v>
      </c>
      <c r="M119" s="48">
        <v>32.32</v>
      </c>
    </row>
    <row r="120" spans="1:13" ht="31.2">
      <c r="A120" t="s">
        <v>2</v>
      </c>
      <c r="B120" t="s">
        <v>196</v>
      </c>
      <c r="D120" s="181" t="s">
        <v>303</v>
      </c>
      <c r="E120" s="185" t="s">
        <v>304</v>
      </c>
      <c r="F120" s="185" t="s">
        <v>305</v>
      </c>
      <c r="G120" s="185" t="s">
        <v>306</v>
      </c>
      <c r="H120" s="185" t="s">
        <v>307</v>
      </c>
      <c r="I120" s="185" t="s">
        <v>308</v>
      </c>
      <c r="J120" s="185" t="s">
        <v>301</v>
      </c>
      <c r="K120" s="185" t="s">
        <v>309</v>
      </c>
      <c r="L120" s="239" t="s">
        <v>310</v>
      </c>
      <c r="M120" s="48">
        <v>25.53</v>
      </c>
    </row>
    <row r="121" spans="1:13" ht="31.8" thickBot="1">
      <c r="A121" t="s">
        <v>2</v>
      </c>
      <c r="B121" t="s">
        <v>196</v>
      </c>
      <c r="D121" s="240" t="s">
        <v>311</v>
      </c>
      <c r="E121" s="241" t="s">
        <v>312</v>
      </c>
      <c r="F121" s="241" t="s">
        <v>313</v>
      </c>
      <c r="G121" s="241" t="s">
        <v>314</v>
      </c>
      <c r="H121" s="241" t="s">
        <v>315</v>
      </c>
      <c r="I121" s="241" t="s">
        <v>316</v>
      </c>
      <c r="J121" s="241" t="s">
        <v>317</v>
      </c>
      <c r="K121" s="241" t="s">
        <v>293</v>
      </c>
      <c r="L121" s="279" t="s">
        <v>318</v>
      </c>
      <c r="M121" s="48">
        <v>31.8</v>
      </c>
    </row>
    <row r="122" spans="1:13">
      <c r="A122" t="s">
        <v>2</v>
      </c>
      <c r="B122" t="s">
        <v>196</v>
      </c>
      <c r="D122" s="66" t="s">
        <v>319</v>
      </c>
    </row>
    <row r="123" spans="1:13" ht="17.399999999999999">
      <c r="A123" t="s">
        <v>2</v>
      </c>
      <c r="B123" t="s">
        <v>196</v>
      </c>
      <c r="D123" s="67" t="s">
        <v>320</v>
      </c>
    </row>
    <row r="124" spans="1:13">
      <c r="A124" t="s">
        <v>2</v>
      </c>
      <c r="B124" t="s">
        <v>196</v>
      </c>
      <c r="D124" s="69" t="s">
        <v>28</v>
      </c>
      <c r="E124" s="48"/>
      <c r="F124" s="48"/>
      <c r="G124" s="48"/>
      <c r="H124" s="48"/>
      <c r="I124" s="48"/>
      <c r="J124" s="48"/>
      <c r="K124" s="48"/>
      <c r="L124" s="48"/>
      <c r="M124" s="48">
        <f>AVERAGE(M116:M121)</f>
        <v>30.155000000000001</v>
      </c>
    </row>
    <row r="125" spans="1:13">
      <c r="A125" t="s">
        <v>2</v>
      </c>
      <c r="B125" t="s">
        <v>196</v>
      </c>
    </row>
    <row r="126" spans="1:13">
      <c r="A126" t="s">
        <v>2</v>
      </c>
      <c r="B126" t="s">
        <v>196</v>
      </c>
    </row>
    <row r="127" spans="1:13" ht="15" thickBot="1">
      <c r="A127" t="s">
        <v>2</v>
      </c>
      <c r="B127" t="s">
        <v>196</v>
      </c>
      <c r="D127" s="61" t="s">
        <v>321</v>
      </c>
    </row>
    <row r="128" spans="1:13" ht="16.5" customHeight="1">
      <c r="A128" t="s">
        <v>2</v>
      </c>
      <c r="B128" t="s">
        <v>196</v>
      </c>
      <c r="D128" s="540" t="s">
        <v>230</v>
      </c>
      <c r="E128" s="542" t="s">
        <v>231</v>
      </c>
      <c r="F128" s="542"/>
      <c r="G128" s="542"/>
      <c r="H128" s="542"/>
      <c r="I128" s="542"/>
      <c r="J128" s="542"/>
      <c r="K128" s="542"/>
      <c r="L128" s="543"/>
    </row>
    <row r="129" spans="1:13" ht="28.8">
      <c r="A129" t="s">
        <v>2</v>
      </c>
      <c r="B129" t="s">
        <v>196</v>
      </c>
      <c r="D129" s="541"/>
      <c r="E129" s="62" t="s">
        <v>322</v>
      </c>
      <c r="F129" s="63" t="s">
        <v>323</v>
      </c>
      <c r="G129" s="63" t="s">
        <v>324</v>
      </c>
      <c r="H129" s="63" t="s">
        <v>325</v>
      </c>
      <c r="I129" s="63" t="s">
        <v>236</v>
      </c>
      <c r="J129" s="63" t="s">
        <v>237</v>
      </c>
      <c r="K129" s="63" t="s">
        <v>238</v>
      </c>
      <c r="L129" s="64" t="s">
        <v>239</v>
      </c>
      <c r="M129" s="68" t="s">
        <v>240</v>
      </c>
    </row>
    <row r="130" spans="1:13" ht="31.2">
      <c r="A130" t="s">
        <v>2</v>
      </c>
      <c r="B130" t="s">
        <v>196</v>
      </c>
      <c r="D130" s="181" t="s">
        <v>241</v>
      </c>
      <c r="E130" s="185" t="s">
        <v>326</v>
      </c>
      <c r="F130" s="185" t="s">
        <v>327</v>
      </c>
      <c r="G130" s="185" t="s">
        <v>328</v>
      </c>
      <c r="H130" s="185" t="s">
        <v>329</v>
      </c>
      <c r="I130" s="185" t="s">
        <v>330</v>
      </c>
      <c r="J130" s="185" t="s">
        <v>331</v>
      </c>
      <c r="K130" s="185" t="s">
        <v>332</v>
      </c>
      <c r="L130" s="239" t="s">
        <v>333</v>
      </c>
      <c r="M130" s="48"/>
    </row>
    <row r="131" spans="1:13" ht="31.2">
      <c r="A131" t="s">
        <v>2</v>
      </c>
      <c r="B131" t="s">
        <v>196</v>
      </c>
      <c r="D131" s="181" t="s">
        <v>250</v>
      </c>
      <c r="E131" s="185" t="s">
        <v>334</v>
      </c>
      <c r="F131" s="185" t="s">
        <v>335</v>
      </c>
      <c r="G131" s="185" t="s">
        <v>336</v>
      </c>
      <c r="H131" s="185" t="s">
        <v>337</v>
      </c>
      <c r="I131" s="185" t="s">
        <v>338</v>
      </c>
      <c r="J131" s="185" t="s">
        <v>339</v>
      </c>
      <c r="K131" s="185" t="s">
        <v>340</v>
      </c>
      <c r="L131" s="239" t="s">
        <v>341</v>
      </c>
      <c r="M131" s="48"/>
    </row>
    <row r="132" spans="1:13" ht="31.2">
      <c r="A132" t="s">
        <v>2</v>
      </c>
      <c r="B132" t="s">
        <v>196</v>
      </c>
      <c r="D132" s="181" t="s">
        <v>259</v>
      </c>
      <c r="E132" s="185" t="s">
        <v>342</v>
      </c>
      <c r="F132" s="185" t="s">
        <v>343</v>
      </c>
      <c r="G132" s="185" t="s">
        <v>344</v>
      </c>
      <c r="H132" s="185" t="s">
        <v>345</v>
      </c>
      <c r="I132" s="185" t="s">
        <v>346</v>
      </c>
      <c r="J132" s="185" t="s">
        <v>347</v>
      </c>
      <c r="K132" s="185" t="s">
        <v>348</v>
      </c>
      <c r="L132" s="239" t="s">
        <v>349</v>
      </c>
      <c r="M132" s="48"/>
    </row>
    <row r="133" spans="1:13" ht="31.2">
      <c r="A133" t="s">
        <v>2</v>
      </c>
      <c r="B133" t="s">
        <v>196</v>
      </c>
      <c r="D133" s="181" t="s">
        <v>268</v>
      </c>
      <c r="E133" s="185" t="s">
        <v>350</v>
      </c>
      <c r="F133" s="185" t="s">
        <v>351</v>
      </c>
      <c r="G133" s="185" t="s">
        <v>352</v>
      </c>
      <c r="H133" s="185" t="s">
        <v>353</v>
      </c>
      <c r="I133" s="185" t="s">
        <v>354</v>
      </c>
      <c r="J133" s="185" t="s">
        <v>355</v>
      </c>
      <c r="K133" s="185" t="s">
        <v>356</v>
      </c>
      <c r="L133" s="239" t="s">
        <v>357</v>
      </c>
      <c r="M133" s="48">
        <v>30.1</v>
      </c>
    </row>
    <row r="134" spans="1:13" ht="31.2">
      <c r="A134" t="s">
        <v>2</v>
      </c>
      <c r="B134" t="s">
        <v>196</v>
      </c>
      <c r="D134" s="181" t="s">
        <v>277</v>
      </c>
      <c r="E134" s="185" t="s">
        <v>358</v>
      </c>
      <c r="F134" s="185" t="s">
        <v>359</v>
      </c>
      <c r="G134" s="185" t="s">
        <v>360</v>
      </c>
      <c r="H134" s="185" t="s">
        <v>361</v>
      </c>
      <c r="I134" s="185" t="s">
        <v>362</v>
      </c>
      <c r="J134" s="185" t="s">
        <v>363</v>
      </c>
      <c r="K134" s="185" t="s">
        <v>293</v>
      </c>
      <c r="L134" s="239" t="s">
        <v>364</v>
      </c>
      <c r="M134" s="48">
        <v>38.33</v>
      </c>
    </row>
    <row r="135" spans="1:13" ht="31.2">
      <c r="A135" t="s">
        <v>2</v>
      </c>
      <c r="B135" t="s">
        <v>196</v>
      </c>
      <c r="D135" s="181" t="s">
        <v>286</v>
      </c>
      <c r="E135" s="185" t="s">
        <v>365</v>
      </c>
      <c r="F135" s="185" t="s">
        <v>366</v>
      </c>
      <c r="G135" s="185" t="s">
        <v>367</v>
      </c>
      <c r="H135" s="185" t="s">
        <v>368</v>
      </c>
      <c r="I135" s="185" t="s">
        <v>369</v>
      </c>
      <c r="J135" s="185" t="s">
        <v>370</v>
      </c>
      <c r="K135" s="185" t="s">
        <v>371</v>
      </c>
      <c r="L135" s="239" t="s">
        <v>372</v>
      </c>
      <c r="M135" s="48">
        <v>25.97</v>
      </c>
    </row>
    <row r="136" spans="1:13" ht="31.2">
      <c r="A136" t="s">
        <v>2</v>
      </c>
      <c r="B136" t="s">
        <v>196</v>
      </c>
      <c r="D136" s="181" t="s">
        <v>295</v>
      </c>
      <c r="E136" s="185" t="s">
        <v>373</v>
      </c>
      <c r="F136" s="185" t="s">
        <v>374</v>
      </c>
      <c r="G136" s="185" t="s">
        <v>375</v>
      </c>
      <c r="H136" s="185" t="s">
        <v>376</v>
      </c>
      <c r="I136" s="185" t="s">
        <v>377</v>
      </c>
      <c r="J136" s="185" t="s">
        <v>378</v>
      </c>
      <c r="K136" s="185" t="s">
        <v>356</v>
      </c>
      <c r="L136" s="239" t="s">
        <v>379</v>
      </c>
      <c r="M136" s="48">
        <v>24.6</v>
      </c>
    </row>
    <row r="137" spans="1:13" ht="31.2">
      <c r="A137" t="s">
        <v>2</v>
      </c>
      <c r="B137" t="s">
        <v>196</v>
      </c>
      <c r="D137" s="181" t="s">
        <v>303</v>
      </c>
      <c r="E137" s="185" t="s">
        <v>380</v>
      </c>
      <c r="F137" s="185" t="s">
        <v>381</v>
      </c>
      <c r="G137" s="185" t="s">
        <v>382</v>
      </c>
      <c r="H137" s="185" t="s">
        <v>383</v>
      </c>
      <c r="I137" s="185" t="s">
        <v>384</v>
      </c>
      <c r="J137" s="185" t="s">
        <v>385</v>
      </c>
      <c r="K137" s="185" t="s">
        <v>386</v>
      </c>
      <c r="L137" s="239" t="s">
        <v>387</v>
      </c>
      <c r="M137" s="48">
        <v>26.59</v>
      </c>
    </row>
    <row r="138" spans="1:13" ht="31.8" thickBot="1">
      <c r="A138" t="s">
        <v>2</v>
      </c>
      <c r="B138" t="s">
        <v>196</v>
      </c>
      <c r="D138" s="240" t="s">
        <v>311</v>
      </c>
      <c r="E138" s="241" t="s">
        <v>388</v>
      </c>
      <c r="F138" s="241" t="s">
        <v>389</v>
      </c>
      <c r="G138" s="241" t="s">
        <v>390</v>
      </c>
      <c r="H138" s="241" t="s">
        <v>391</v>
      </c>
      <c r="I138" s="241" t="s">
        <v>392</v>
      </c>
      <c r="J138" s="241" t="s">
        <v>393</v>
      </c>
      <c r="K138" s="241" t="s">
        <v>371</v>
      </c>
      <c r="L138" s="279" t="s">
        <v>394</v>
      </c>
      <c r="M138" s="48">
        <v>37.549999999999997</v>
      </c>
    </row>
    <row r="139" spans="1:13" ht="15.6">
      <c r="A139" t="s">
        <v>2</v>
      </c>
      <c r="B139" t="s">
        <v>196</v>
      </c>
      <c r="D139" s="65" t="s">
        <v>395</v>
      </c>
    </row>
    <row r="140" spans="1:13">
      <c r="A140" t="s">
        <v>2</v>
      </c>
      <c r="B140" t="s">
        <v>196</v>
      </c>
      <c r="D140" s="69" t="s">
        <v>28</v>
      </c>
      <c r="E140" s="48"/>
      <c r="F140" s="48"/>
      <c r="G140" s="48"/>
      <c r="H140" s="48"/>
      <c r="I140" s="48"/>
      <c r="J140" s="48"/>
      <c r="K140" s="48"/>
      <c r="L140" s="48"/>
      <c r="M140" s="48">
        <f>AVERAGE(M133:M138)</f>
        <v>30.52333333333333</v>
      </c>
    </row>
    <row r="141" spans="1:13">
      <c r="A141" t="s">
        <v>2</v>
      </c>
      <c r="B141" t="s">
        <v>196</v>
      </c>
    </row>
    <row r="142" spans="1:13">
      <c r="A142" t="s">
        <v>2</v>
      </c>
      <c r="B142" t="s">
        <v>196</v>
      </c>
      <c r="C142" t="s">
        <v>396</v>
      </c>
      <c r="D142" t="s">
        <v>397</v>
      </c>
    </row>
    <row r="143" spans="1:13">
      <c r="A143" t="s">
        <v>2</v>
      </c>
      <c r="B143" t="s">
        <v>196</v>
      </c>
      <c r="D143" t="s">
        <v>398</v>
      </c>
    </row>
    <row r="144" spans="1:13" ht="15" thickBot="1">
      <c r="A144" t="s">
        <v>2</v>
      </c>
      <c r="B144" t="s">
        <v>196</v>
      </c>
      <c r="D144" s="22" t="s">
        <v>399</v>
      </c>
    </row>
    <row r="145" spans="1:11">
      <c r="A145" t="s">
        <v>2</v>
      </c>
      <c r="B145" t="s">
        <v>196</v>
      </c>
      <c r="D145" s="531" t="s">
        <v>202</v>
      </c>
      <c r="E145" s="531" t="s">
        <v>400</v>
      </c>
      <c r="F145" s="532" t="s">
        <v>2</v>
      </c>
      <c r="G145" s="532"/>
      <c r="H145" s="532"/>
      <c r="I145" s="77" t="s">
        <v>401</v>
      </c>
    </row>
    <row r="146" spans="1:11" ht="43.8" thickBot="1">
      <c r="A146" t="s">
        <v>2</v>
      </c>
      <c r="B146" t="s">
        <v>196</v>
      </c>
      <c r="D146" s="533"/>
      <c r="E146" s="533"/>
      <c r="F146" s="70" t="s">
        <v>402</v>
      </c>
      <c r="G146" s="70" t="s">
        <v>403</v>
      </c>
      <c r="H146" s="71" t="s">
        <v>404</v>
      </c>
      <c r="I146" s="72" t="s">
        <v>405</v>
      </c>
      <c r="J146" s="81" t="s">
        <v>406</v>
      </c>
      <c r="K146" s="81" t="s">
        <v>407</v>
      </c>
    </row>
    <row r="147" spans="1:11">
      <c r="A147" t="s">
        <v>2</v>
      </c>
      <c r="B147" t="s">
        <v>196</v>
      </c>
      <c r="D147" s="534" t="s">
        <v>408</v>
      </c>
      <c r="E147" s="534"/>
      <c r="F147" s="534"/>
      <c r="G147" s="534"/>
      <c r="H147" s="534"/>
      <c r="I147" s="534"/>
      <c r="J147" s="48"/>
      <c r="K147" s="48"/>
    </row>
    <row r="148" spans="1:11">
      <c r="A148" t="s">
        <v>2</v>
      </c>
      <c r="B148" t="s">
        <v>196</v>
      </c>
      <c r="D148" s="504"/>
      <c r="E148" s="73" t="s">
        <v>409</v>
      </c>
      <c r="F148" s="75">
        <v>0.53</v>
      </c>
      <c r="G148" s="75"/>
      <c r="H148" s="75">
        <v>0.4</v>
      </c>
      <c r="I148" s="75" t="s">
        <v>410</v>
      </c>
      <c r="J148" s="48"/>
      <c r="K148" s="48"/>
    </row>
    <row r="149" spans="1:11">
      <c r="A149" t="s">
        <v>2</v>
      </c>
      <c r="B149" t="s">
        <v>196</v>
      </c>
      <c r="D149" s="504"/>
      <c r="E149" s="73" t="s">
        <v>411</v>
      </c>
      <c r="F149" s="74"/>
      <c r="G149" s="75">
        <v>0.46</v>
      </c>
      <c r="H149" s="75">
        <v>0.21</v>
      </c>
      <c r="I149" s="75">
        <v>0.13</v>
      </c>
      <c r="J149" s="48"/>
      <c r="K149" s="48"/>
    </row>
    <row r="150" spans="1:11">
      <c r="A150" t="s">
        <v>2</v>
      </c>
      <c r="B150" t="s">
        <v>196</v>
      </c>
      <c r="D150" s="504"/>
      <c r="E150" s="74" t="s">
        <v>412</v>
      </c>
      <c r="F150" s="74"/>
      <c r="G150" s="75">
        <v>0.77</v>
      </c>
      <c r="H150" s="75">
        <v>0.69</v>
      </c>
      <c r="I150" s="75">
        <v>0.79</v>
      </c>
      <c r="J150" s="48"/>
      <c r="K150" s="48"/>
    </row>
    <row r="151" spans="1:11">
      <c r="A151" t="s">
        <v>2</v>
      </c>
      <c r="B151" t="s">
        <v>196</v>
      </c>
      <c r="D151" s="504"/>
      <c r="E151" s="504"/>
      <c r="F151" s="504"/>
      <c r="G151" s="504"/>
      <c r="H151" s="504"/>
      <c r="I151" s="504"/>
      <c r="J151" s="48"/>
      <c r="K151" s="48"/>
    </row>
    <row r="152" spans="1:11">
      <c r="A152" t="s">
        <v>2</v>
      </c>
      <c r="B152" t="s">
        <v>196</v>
      </c>
      <c r="D152" s="534" t="s">
        <v>413</v>
      </c>
      <c r="E152" s="534"/>
      <c r="F152" s="534"/>
      <c r="G152" s="534"/>
      <c r="H152" s="534"/>
      <c r="I152" s="534"/>
      <c r="J152" s="48"/>
      <c r="K152" s="48"/>
    </row>
    <row r="153" spans="1:11">
      <c r="A153" t="s">
        <v>2</v>
      </c>
      <c r="B153" t="s">
        <v>196</v>
      </c>
      <c r="D153" s="504"/>
      <c r="E153" s="73" t="s">
        <v>409</v>
      </c>
      <c r="F153" s="75">
        <v>0.52</v>
      </c>
      <c r="G153" s="75"/>
      <c r="H153" s="75">
        <v>0.38</v>
      </c>
      <c r="I153" s="75" t="s">
        <v>410</v>
      </c>
      <c r="J153" s="48">
        <v>0.52</v>
      </c>
      <c r="K153" s="48"/>
    </row>
    <row r="154" spans="1:11">
      <c r="A154" t="s">
        <v>2</v>
      </c>
      <c r="B154" t="s">
        <v>196</v>
      </c>
      <c r="D154" s="504"/>
      <c r="E154" s="73" t="s">
        <v>411</v>
      </c>
      <c r="F154" s="74"/>
      <c r="G154" s="75">
        <v>0.45</v>
      </c>
      <c r="H154" s="75">
        <v>0.16</v>
      </c>
      <c r="I154" s="75">
        <v>0.33</v>
      </c>
      <c r="J154" s="48"/>
      <c r="K154" s="82">
        <v>0.45</v>
      </c>
    </row>
    <row r="155" spans="1:11" ht="15" thickBot="1">
      <c r="A155" t="s">
        <v>2</v>
      </c>
      <c r="B155" t="s">
        <v>196</v>
      </c>
      <c r="D155" s="505"/>
      <c r="E155" s="78" t="s">
        <v>412</v>
      </c>
      <c r="F155" s="78"/>
      <c r="G155" s="79">
        <v>0.62</v>
      </c>
      <c r="H155" s="79">
        <v>0.25</v>
      </c>
      <c r="I155" s="79">
        <v>0.45</v>
      </c>
      <c r="J155" s="48"/>
      <c r="K155" s="82">
        <v>0.62</v>
      </c>
    </row>
    <row r="156" spans="1:11">
      <c r="A156" t="s">
        <v>2</v>
      </c>
      <c r="B156" t="s">
        <v>196</v>
      </c>
      <c r="D156" s="80" t="s">
        <v>414</v>
      </c>
    </row>
    <row r="157" spans="1:11">
      <c r="A157" t="s">
        <v>2</v>
      </c>
      <c r="B157" t="s">
        <v>196</v>
      </c>
      <c r="D157" s="80" t="s">
        <v>415</v>
      </c>
    </row>
    <row r="158" spans="1:11">
      <c r="A158" t="s">
        <v>2</v>
      </c>
      <c r="B158" t="s">
        <v>196</v>
      </c>
      <c r="D158" s="80" t="s">
        <v>416</v>
      </c>
    </row>
    <row r="159" spans="1:11">
      <c r="A159" t="s">
        <v>2</v>
      </c>
      <c r="B159" t="s">
        <v>196</v>
      </c>
      <c r="D159" s="48" t="s">
        <v>417</v>
      </c>
      <c r="E159" s="48"/>
      <c r="F159" s="48"/>
      <c r="G159" s="48"/>
      <c r="H159" s="48"/>
      <c r="I159" s="48"/>
      <c r="J159" s="48"/>
      <c r="K159" s="48">
        <f>(35.08+12.99)%</f>
        <v>0.48070000000000002</v>
      </c>
    </row>
    <row r="160" spans="1:11">
      <c r="A160" t="s">
        <v>2</v>
      </c>
      <c r="B160" t="s">
        <v>196</v>
      </c>
      <c r="D160" s="48" t="s">
        <v>418</v>
      </c>
      <c r="E160" s="48"/>
      <c r="F160" s="48"/>
      <c r="G160" s="48"/>
      <c r="H160" s="48"/>
      <c r="I160" s="48"/>
      <c r="J160" s="48">
        <v>0.3508</v>
      </c>
      <c r="K160" s="48"/>
    </row>
    <row r="161" spans="1:12">
      <c r="A161" t="s">
        <v>2</v>
      </c>
      <c r="B161" t="s">
        <v>196</v>
      </c>
      <c r="D161" s="48" t="s">
        <v>419</v>
      </c>
      <c r="E161" s="48"/>
      <c r="F161" s="48"/>
      <c r="G161" s="48"/>
      <c r="H161" s="48"/>
      <c r="I161" s="48"/>
      <c r="J161" s="48">
        <f>J153*J160</f>
        <v>0.18241599999999999</v>
      </c>
      <c r="K161" s="48">
        <f>(K154+K155)/2*K159</f>
        <v>0.25717450000000003</v>
      </c>
    </row>
    <row r="162" spans="1:12">
      <c r="A162" t="s">
        <v>2</v>
      </c>
      <c r="B162" t="s">
        <v>196</v>
      </c>
    </row>
    <row r="163" spans="1:12">
      <c r="A163" t="s">
        <v>2</v>
      </c>
      <c r="B163" t="s">
        <v>196</v>
      </c>
      <c r="C163" t="s">
        <v>420</v>
      </c>
      <c r="D163" t="s">
        <v>421</v>
      </c>
    </row>
    <row r="164" spans="1:12">
      <c r="A164" t="s">
        <v>2</v>
      </c>
      <c r="B164" t="s">
        <v>196</v>
      </c>
      <c r="D164" t="s">
        <v>422</v>
      </c>
    </row>
    <row r="165" spans="1:12" ht="17.399999999999999">
      <c r="A165" t="s">
        <v>2</v>
      </c>
      <c r="B165" t="s">
        <v>196</v>
      </c>
      <c r="D165" s="83" t="s">
        <v>423</v>
      </c>
    </row>
    <row r="166" spans="1:12">
      <c r="A166" t="s">
        <v>2</v>
      </c>
      <c r="B166" t="s">
        <v>196</v>
      </c>
      <c r="D166" t="s">
        <v>424</v>
      </c>
      <c r="E166">
        <v>347.25</v>
      </c>
    </row>
    <row r="167" spans="1:12">
      <c r="A167" t="s">
        <v>2</v>
      </c>
      <c r="B167" t="s">
        <v>196</v>
      </c>
      <c r="D167" s="48" t="s">
        <v>419</v>
      </c>
      <c r="E167" s="48">
        <f>E166*0.79/1000</f>
        <v>0.2743275</v>
      </c>
    </row>
    <row r="168" spans="1:12">
      <c r="A168" t="s">
        <v>2</v>
      </c>
      <c r="B168" t="s">
        <v>196</v>
      </c>
    </row>
    <row r="169" spans="1:12">
      <c r="A169" t="s">
        <v>2</v>
      </c>
      <c r="B169" t="s">
        <v>196</v>
      </c>
      <c r="C169" t="s">
        <v>425</v>
      </c>
      <c r="D169" t="s">
        <v>426</v>
      </c>
    </row>
    <row r="170" spans="1:12">
      <c r="A170" t="s">
        <v>2</v>
      </c>
      <c r="B170" t="s">
        <v>196</v>
      </c>
      <c r="D170" t="s">
        <v>427</v>
      </c>
    </row>
    <row r="171" spans="1:12" ht="15" thickBot="1">
      <c r="A171" t="s">
        <v>2</v>
      </c>
      <c r="B171" t="s">
        <v>196</v>
      </c>
      <c r="D171" s="22" t="s">
        <v>428</v>
      </c>
    </row>
    <row r="172" spans="1:12">
      <c r="A172" t="s">
        <v>2</v>
      </c>
      <c r="B172" t="s">
        <v>196</v>
      </c>
      <c r="D172" s="76" t="s">
        <v>429</v>
      </c>
      <c r="E172" s="531" t="s">
        <v>430</v>
      </c>
      <c r="F172" s="531"/>
      <c r="G172" s="531" t="s">
        <v>431</v>
      </c>
      <c r="H172" s="531"/>
      <c r="I172" s="532" t="s">
        <v>432</v>
      </c>
      <c r="J172" s="532"/>
      <c r="K172" s="532" t="s">
        <v>413</v>
      </c>
      <c r="L172" s="532"/>
    </row>
    <row r="173" spans="1:12" ht="28.2" thickBot="1">
      <c r="A173" t="s">
        <v>2</v>
      </c>
      <c r="B173" t="s">
        <v>196</v>
      </c>
      <c r="D173" s="78" t="s">
        <v>14</v>
      </c>
      <c r="E173" s="533"/>
      <c r="F173" s="533"/>
      <c r="G173" s="19" t="s">
        <v>433</v>
      </c>
      <c r="H173" s="19" t="s">
        <v>434</v>
      </c>
      <c r="I173" s="71" t="s">
        <v>433</v>
      </c>
      <c r="J173" s="71" t="s">
        <v>434</v>
      </c>
      <c r="K173" s="71" t="s">
        <v>433</v>
      </c>
      <c r="L173" s="71" t="s">
        <v>434</v>
      </c>
    </row>
    <row r="174" spans="1:12">
      <c r="A174" t="s">
        <v>2</v>
      </c>
      <c r="B174" t="s">
        <v>196</v>
      </c>
      <c r="D174" s="73" t="s">
        <v>435</v>
      </c>
      <c r="E174" s="504" t="s">
        <v>436</v>
      </c>
      <c r="F174" s="504"/>
      <c r="G174" s="75">
        <v>0.4</v>
      </c>
      <c r="H174" s="75">
        <v>0.45</v>
      </c>
      <c r="I174" s="75" t="s">
        <v>410</v>
      </c>
      <c r="J174" s="75" t="s">
        <v>410</v>
      </c>
      <c r="K174" s="75">
        <v>0.4</v>
      </c>
      <c r="L174" s="75">
        <v>0.13</v>
      </c>
    </row>
    <row r="175" spans="1:12">
      <c r="A175" t="s">
        <v>2</v>
      </c>
      <c r="B175" t="s">
        <v>196</v>
      </c>
      <c r="D175" s="73" t="s">
        <v>437</v>
      </c>
      <c r="E175" s="504"/>
      <c r="F175" s="504"/>
      <c r="G175" s="75">
        <v>0.42</v>
      </c>
      <c r="H175" s="75">
        <v>0.2</v>
      </c>
      <c r="I175" s="75" t="s">
        <v>410</v>
      </c>
      <c r="J175" s="75" t="s">
        <v>410</v>
      </c>
      <c r="K175" s="75">
        <v>0.51</v>
      </c>
      <c r="L175" s="75">
        <v>0.13</v>
      </c>
    </row>
    <row r="176" spans="1:12">
      <c r="A176" t="s">
        <v>2</v>
      </c>
      <c r="B176" t="s">
        <v>196</v>
      </c>
      <c r="D176" s="73" t="s">
        <v>437</v>
      </c>
      <c r="E176" s="504" t="s">
        <v>438</v>
      </c>
      <c r="F176" s="74" t="s">
        <v>439</v>
      </c>
      <c r="G176" s="75" t="s">
        <v>410</v>
      </c>
      <c r="H176" s="75" t="s">
        <v>410</v>
      </c>
      <c r="I176" s="75">
        <v>0.5</v>
      </c>
      <c r="J176" s="75">
        <v>0</v>
      </c>
      <c r="K176" s="75">
        <v>0.48</v>
      </c>
      <c r="L176" s="75">
        <v>0</v>
      </c>
    </row>
    <row r="177" spans="1:14" ht="15" thickBot="1">
      <c r="A177" t="s">
        <v>2</v>
      </c>
      <c r="B177" t="s">
        <v>196</v>
      </c>
      <c r="D177" s="78"/>
      <c r="E177" s="505"/>
      <c r="F177" s="78" t="s">
        <v>440</v>
      </c>
      <c r="G177" s="79" t="s">
        <v>410</v>
      </c>
      <c r="H177" s="79" t="s">
        <v>410</v>
      </c>
      <c r="I177" s="79">
        <v>0.51</v>
      </c>
      <c r="J177" s="79">
        <v>0.24</v>
      </c>
      <c r="K177" s="79">
        <v>0.44</v>
      </c>
      <c r="L177" s="79">
        <v>0.11</v>
      </c>
    </row>
    <row r="178" spans="1:14">
      <c r="A178" t="s">
        <v>2</v>
      </c>
      <c r="B178" t="s">
        <v>196</v>
      </c>
      <c r="D178" s="84" t="s">
        <v>441</v>
      </c>
    </row>
    <row r="179" spans="1:14">
      <c r="A179" t="s">
        <v>2</v>
      </c>
      <c r="B179" t="s">
        <v>196</v>
      </c>
      <c r="D179" s="52" t="s">
        <v>442</v>
      </c>
      <c r="E179" s="48"/>
      <c r="F179" s="48"/>
      <c r="G179" s="48"/>
      <c r="H179" s="48"/>
      <c r="I179" s="48"/>
      <c r="J179" s="48"/>
      <c r="K179" s="48">
        <f>AVERAGE(K174:K177)</f>
        <v>0.45750000000000002</v>
      </c>
    </row>
    <row r="180" spans="1:14">
      <c r="A180" t="s">
        <v>2</v>
      </c>
      <c r="B180" t="s">
        <v>196</v>
      </c>
      <c r="D180" s="48" t="s">
        <v>417</v>
      </c>
      <c r="E180" s="48"/>
      <c r="F180" s="48"/>
      <c r="G180" s="48"/>
      <c r="H180" s="48"/>
      <c r="I180" s="48"/>
      <c r="J180" s="48"/>
      <c r="K180" s="48">
        <f>(35.08+12.99)%</f>
        <v>0.48070000000000002</v>
      </c>
    </row>
    <row r="181" spans="1:14">
      <c r="A181" t="s">
        <v>2</v>
      </c>
      <c r="B181" t="s">
        <v>196</v>
      </c>
      <c r="D181" s="48" t="s">
        <v>419</v>
      </c>
      <c r="E181" s="48"/>
      <c r="F181" s="48"/>
      <c r="G181" s="48"/>
      <c r="H181" s="48"/>
      <c r="I181" s="48"/>
      <c r="J181" s="48"/>
      <c r="K181" s="48">
        <f>K179*K180</f>
        <v>0.21992025000000001</v>
      </c>
    </row>
    <row r="182" spans="1:14">
      <c r="A182" t="s">
        <v>2</v>
      </c>
      <c r="B182" t="s">
        <v>196</v>
      </c>
    </row>
    <row r="183" spans="1:14">
      <c r="A183" t="s">
        <v>2</v>
      </c>
      <c r="B183" t="s">
        <v>443</v>
      </c>
      <c r="C183" t="s">
        <v>444</v>
      </c>
      <c r="D183" t="s">
        <v>445</v>
      </c>
    </row>
    <row r="184" spans="1:14">
      <c r="A184" t="s">
        <v>2</v>
      </c>
      <c r="B184" t="s">
        <v>443</v>
      </c>
      <c r="D184" t="s">
        <v>446</v>
      </c>
    </row>
    <row r="185" spans="1:14" ht="15" thickBot="1">
      <c r="A185" t="s">
        <v>2</v>
      </c>
      <c r="B185" t="s">
        <v>443</v>
      </c>
      <c r="D185" s="22" t="s">
        <v>447</v>
      </c>
    </row>
    <row r="186" spans="1:14">
      <c r="A186" t="s">
        <v>2</v>
      </c>
      <c r="B186" t="s">
        <v>443</v>
      </c>
      <c r="D186" s="529" t="s">
        <v>448</v>
      </c>
      <c r="E186" s="531" t="s">
        <v>449</v>
      </c>
      <c r="F186" s="531"/>
      <c r="G186" s="531" t="s">
        <v>450</v>
      </c>
      <c r="H186" s="531"/>
    </row>
    <row r="187" spans="1:14" ht="57" customHeight="1">
      <c r="A187" t="s">
        <v>2</v>
      </c>
      <c r="B187" t="s">
        <v>443</v>
      </c>
      <c r="D187" s="530"/>
      <c r="E187" s="15" t="s">
        <v>80</v>
      </c>
      <c r="F187" s="15" t="s">
        <v>451</v>
      </c>
      <c r="G187" s="15" t="s">
        <v>80</v>
      </c>
      <c r="H187" s="15" t="s">
        <v>451</v>
      </c>
      <c r="I187" s="52" t="s">
        <v>80</v>
      </c>
      <c r="J187" s="52" t="s">
        <v>451</v>
      </c>
      <c r="K187" s="52" t="s">
        <v>452</v>
      </c>
      <c r="L187" s="82" t="s">
        <v>16</v>
      </c>
      <c r="M187" s="82" t="s">
        <v>453</v>
      </c>
      <c r="N187" s="82" t="s">
        <v>18</v>
      </c>
    </row>
    <row r="188" spans="1:14" ht="15" thickBot="1">
      <c r="A188" t="s">
        <v>2</v>
      </c>
      <c r="B188" t="s">
        <v>443</v>
      </c>
      <c r="D188" s="12" t="s">
        <v>454</v>
      </c>
      <c r="E188" s="79" t="s">
        <v>455</v>
      </c>
      <c r="F188" s="79" t="s">
        <v>456</v>
      </c>
      <c r="G188" s="79" t="s">
        <v>457</v>
      </c>
      <c r="H188" s="79" t="s">
        <v>458</v>
      </c>
      <c r="I188" s="48">
        <v>13.4</v>
      </c>
      <c r="J188" s="60">
        <v>0.72470000000000001</v>
      </c>
      <c r="K188" s="82">
        <f>I188/J188</f>
        <v>18.490409824755073</v>
      </c>
      <c r="L188" s="46">
        <f>K188/(2*46)*180</f>
        <v>36.176888787564273</v>
      </c>
      <c r="M188" s="46">
        <f>L188/0.1659</f>
        <v>218.06442909924218</v>
      </c>
      <c r="N188" s="46">
        <f>I188/M188</f>
        <v>6.1449728666666655E-2</v>
      </c>
    </row>
    <row r="189" spans="1:14" ht="28.2" thickBot="1">
      <c r="A189" t="s">
        <v>2</v>
      </c>
      <c r="B189" t="s">
        <v>443</v>
      </c>
      <c r="D189" s="12">
        <v>405</v>
      </c>
      <c r="E189" s="79" t="s">
        <v>459</v>
      </c>
      <c r="F189" s="79" t="s">
        <v>460</v>
      </c>
      <c r="G189" s="79" t="s">
        <v>461</v>
      </c>
      <c r="H189" s="79" t="s">
        <v>462</v>
      </c>
      <c r="I189" s="48">
        <v>6.34</v>
      </c>
      <c r="J189" s="60">
        <v>0.40050000000000002</v>
      </c>
      <c r="K189" s="82">
        <f>I189/J189</f>
        <v>15.830212234706616</v>
      </c>
      <c r="L189" s="46">
        <f t="shared" ref="L189:L192" si="13">K189/(2*46)*180</f>
        <v>30.972154372252078</v>
      </c>
      <c r="M189" s="46">
        <f t="shared" ref="M189:M192" si="14">L189/0.1659</f>
        <v>186.69170809072983</v>
      </c>
      <c r="N189" s="46">
        <f>I189/M189</f>
        <v>3.3959729999999994E-2</v>
      </c>
    </row>
    <row r="190" spans="1:14" ht="28.2" thickBot="1">
      <c r="A190" t="s">
        <v>2</v>
      </c>
      <c r="B190" t="s">
        <v>443</v>
      </c>
      <c r="D190" s="12">
        <v>548</v>
      </c>
      <c r="E190" s="79">
        <v>0</v>
      </c>
      <c r="F190" s="79">
        <v>0</v>
      </c>
      <c r="G190" s="79" t="s">
        <v>463</v>
      </c>
      <c r="H190" s="79" t="s">
        <v>464</v>
      </c>
      <c r="I190" s="82"/>
      <c r="J190" s="48"/>
      <c r="K190" s="82"/>
      <c r="L190" s="46"/>
      <c r="M190" s="46"/>
      <c r="N190" s="46"/>
    </row>
    <row r="191" spans="1:14" ht="28.2" thickBot="1">
      <c r="A191" t="s">
        <v>2</v>
      </c>
      <c r="B191" t="s">
        <v>443</v>
      </c>
      <c r="D191" s="12">
        <v>550</v>
      </c>
      <c r="E191" s="79" t="s">
        <v>465</v>
      </c>
      <c r="F191" s="79" t="s">
        <v>466</v>
      </c>
      <c r="G191" s="79" t="s">
        <v>467</v>
      </c>
      <c r="H191" s="79" t="s">
        <v>468</v>
      </c>
      <c r="I191" s="48">
        <v>3.4980000000000002</v>
      </c>
      <c r="J191" s="60">
        <v>0.20449999999999999</v>
      </c>
      <c r="K191" s="82">
        <f>I191/J191</f>
        <v>17.105134474327631</v>
      </c>
      <c r="L191" s="46">
        <f t="shared" si="13"/>
        <v>33.466567449771453</v>
      </c>
      <c r="M191" s="46">
        <f t="shared" si="14"/>
        <v>201.72735051097922</v>
      </c>
      <c r="N191" s="46">
        <f>I191/M191</f>
        <v>1.7340236666666665E-2</v>
      </c>
    </row>
    <row r="192" spans="1:14" ht="28.2" thickBot="1">
      <c r="A192" t="s">
        <v>2</v>
      </c>
      <c r="B192" t="s">
        <v>443</v>
      </c>
      <c r="D192" s="12">
        <v>551</v>
      </c>
      <c r="E192" s="79" t="s">
        <v>469</v>
      </c>
      <c r="F192" s="79" t="s">
        <v>470</v>
      </c>
      <c r="G192" s="79" t="s">
        <v>471</v>
      </c>
      <c r="H192" s="79" t="s">
        <v>472</v>
      </c>
      <c r="I192" s="48">
        <v>8.9559999999999995</v>
      </c>
      <c r="J192" s="60">
        <v>0.48370000000000002</v>
      </c>
      <c r="K192" s="82">
        <f>I192/J192</f>
        <v>18.515608848459788</v>
      </c>
      <c r="L192" s="46">
        <f t="shared" si="13"/>
        <v>36.226191225247412</v>
      </c>
      <c r="M192" s="46">
        <f t="shared" si="14"/>
        <v>218.361610760985</v>
      </c>
      <c r="N192" s="46">
        <f>I192/M192</f>
        <v>4.1014535333333331E-2</v>
      </c>
    </row>
    <row r="193" spans="1:14">
      <c r="A193" t="s">
        <v>2</v>
      </c>
      <c r="B193" t="s">
        <v>443</v>
      </c>
      <c r="D193" s="48" t="s">
        <v>28</v>
      </c>
      <c r="E193" s="48"/>
      <c r="F193" s="48"/>
      <c r="G193" s="48"/>
      <c r="H193" s="48"/>
      <c r="I193" s="48"/>
      <c r="J193" s="48"/>
      <c r="K193" s="48"/>
      <c r="L193" s="48"/>
      <c r="M193" s="48"/>
      <c r="N193" s="51">
        <f>AVERAGE(N188:N192)</f>
        <v>3.844105766666666E-2</v>
      </c>
    </row>
    <row r="194" spans="1:14">
      <c r="A194" t="s">
        <v>2</v>
      </c>
      <c r="B194" t="s">
        <v>443</v>
      </c>
    </row>
    <row r="195" spans="1:14">
      <c r="A195" t="s">
        <v>2</v>
      </c>
      <c r="B195" t="s">
        <v>443</v>
      </c>
    </row>
    <row r="196" spans="1:14">
      <c r="A196" t="s">
        <v>2</v>
      </c>
      <c r="B196" t="s">
        <v>443</v>
      </c>
      <c r="C196" t="s">
        <v>473</v>
      </c>
    </row>
    <row r="197" spans="1:14" ht="18">
      <c r="A197" t="s">
        <v>2</v>
      </c>
      <c r="B197" t="s">
        <v>443</v>
      </c>
      <c r="D197" s="99" t="s">
        <v>474</v>
      </c>
    </row>
    <row r="198" spans="1:14" ht="15" thickBot="1">
      <c r="A198" t="s">
        <v>2</v>
      </c>
      <c r="B198" t="s">
        <v>443</v>
      </c>
      <c r="D198" s="26" t="s">
        <v>475</v>
      </c>
    </row>
    <row r="199" spans="1:14" ht="22.2" thickTop="1" thickBot="1">
      <c r="A199" t="s">
        <v>2</v>
      </c>
      <c r="B199" t="s">
        <v>443</v>
      </c>
      <c r="D199" s="517" t="s">
        <v>476</v>
      </c>
      <c r="E199" s="520" t="s">
        <v>477</v>
      </c>
      <c r="F199" s="521"/>
      <c r="G199" s="521"/>
      <c r="H199" s="521"/>
      <c r="I199" s="521"/>
      <c r="J199" s="521"/>
      <c r="K199" s="521"/>
      <c r="L199" s="522"/>
    </row>
    <row r="200" spans="1:14" ht="42.6" thickTop="1">
      <c r="A200" t="s">
        <v>2</v>
      </c>
      <c r="B200" t="s">
        <v>443</v>
      </c>
      <c r="D200" s="518"/>
      <c r="E200" s="85" t="s">
        <v>478</v>
      </c>
      <c r="F200" s="85" t="s">
        <v>479</v>
      </c>
      <c r="G200" s="85" t="s">
        <v>480</v>
      </c>
      <c r="H200" s="523" t="s">
        <v>481</v>
      </c>
      <c r="I200" s="523" t="s">
        <v>482</v>
      </c>
      <c r="J200" s="523" t="s">
        <v>483</v>
      </c>
      <c r="K200" s="85" t="s">
        <v>484</v>
      </c>
      <c r="L200" s="526" t="s">
        <v>485</v>
      </c>
    </row>
    <row r="201" spans="1:14" ht="15" customHeight="1">
      <c r="A201" t="s">
        <v>2</v>
      </c>
      <c r="B201" t="s">
        <v>443</v>
      </c>
      <c r="D201" s="518"/>
      <c r="E201" s="86"/>
      <c r="F201" s="86"/>
      <c r="G201" s="86"/>
      <c r="H201" s="524"/>
      <c r="I201" s="524"/>
      <c r="J201" s="524"/>
      <c r="K201" s="512" t="s">
        <v>486</v>
      </c>
      <c r="L201" s="527"/>
    </row>
    <row r="202" spans="1:14" ht="21.6" thickBot="1">
      <c r="A202" t="s">
        <v>2</v>
      </c>
      <c r="B202" t="s">
        <v>443</v>
      </c>
      <c r="D202" s="519"/>
      <c r="E202" s="87" t="s">
        <v>487</v>
      </c>
      <c r="F202" s="87" t="s">
        <v>488</v>
      </c>
      <c r="G202" s="87" t="s">
        <v>487</v>
      </c>
      <c r="H202" s="525"/>
      <c r="I202" s="525"/>
      <c r="J202" s="525"/>
      <c r="K202" s="513"/>
      <c r="L202" s="528"/>
    </row>
    <row r="203" spans="1:14" ht="21.6" thickTop="1">
      <c r="A203" t="s">
        <v>2</v>
      </c>
      <c r="B203" t="s">
        <v>443</v>
      </c>
      <c r="D203" s="90" t="s">
        <v>489</v>
      </c>
      <c r="E203" s="506">
        <v>89</v>
      </c>
      <c r="F203" s="506">
        <v>32.729999999999997</v>
      </c>
      <c r="G203" s="514">
        <v>56.27</v>
      </c>
      <c r="H203" s="506">
        <v>28.7</v>
      </c>
      <c r="I203" s="506">
        <v>28.4</v>
      </c>
      <c r="J203" s="506" t="s">
        <v>490</v>
      </c>
      <c r="K203" s="506">
        <v>0.4</v>
      </c>
      <c r="L203" s="509">
        <v>78.959999999999994</v>
      </c>
    </row>
    <row r="204" spans="1:14">
      <c r="A204" t="s">
        <v>2</v>
      </c>
      <c r="B204" t="s">
        <v>443</v>
      </c>
      <c r="D204" s="91"/>
      <c r="E204" s="507"/>
      <c r="F204" s="507"/>
      <c r="G204" s="515"/>
      <c r="H204" s="507"/>
      <c r="I204" s="507"/>
      <c r="J204" s="507"/>
      <c r="K204" s="507"/>
      <c r="L204" s="510"/>
    </row>
    <row r="205" spans="1:14" ht="21.6" thickBot="1">
      <c r="A205" t="s">
        <v>2</v>
      </c>
      <c r="B205" t="s">
        <v>443</v>
      </c>
      <c r="D205" s="92" t="s">
        <v>491</v>
      </c>
      <c r="E205" s="508"/>
      <c r="F205" s="508"/>
      <c r="G205" s="516"/>
      <c r="H205" s="508"/>
      <c r="I205" s="508"/>
      <c r="J205" s="508"/>
      <c r="K205" s="508"/>
      <c r="L205" s="511"/>
    </row>
    <row r="206" spans="1:14" ht="22.2" thickTop="1" thickBot="1">
      <c r="A206" t="s">
        <v>2</v>
      </c>
      <c r="B206" t="s">
        <v>443</v>
      </c>
      <c r="D206" s="92" t="s">
        <v>492</v>
      </c>
      <c r="E206" s="89">
        <v>92.09</v>
      </c>
      <c r="F206" s="89">
        <v>35.32</v>
      </c>
      <c r="G206" s="88">
        <v>56.77</v>
      </c>
      <c r="H206" s="89">
        <v>28.95</v>
      </c>
      <c r="I206" s="89">
        <v>23.24</v>
      </c>
      <c r="J206" s="89" t="s">
        <v>493</v>
      </c>
      <c r="K206" s="89">
        <v>0.33</v>
      </c>
      <c r="L206" s="93">
        <v>64.08</v>
      </c>
    </row>
    <row r="207" spans="1:14" ht="22.2" thickTop="1" thickBot="1">
      <c r="A207" t="s">
        <v>2</v>
      </c>
      <c r="B207" t="s">
        <v>443</v>
      </c>
      <c r="D207" s="92" t="s">
        <v>494</v>
      </c>
      <c r="E207" s="89">
        <v>90.25</v>
      </c>
      <c r="F207" s="89">
        <v>37.49</v>
      </c>
      <c r="G207" s="88">
        <v>52.76</v>
      </c>
      <c r="H207" s="89">
        <v>26.91</v>
      </c>
      <c r="I207" s="89">
        <v>20.52</v>
      </c>
      <c r="J207" s="89" t="s">
        <v>495</v>
      </c>
      <c r="K207" s="89">
        <v>0.31</v>
      </c>
      <c r="L207" s="93">
        <v>60.83</v>
      </c>
    </row>
    <row r="208" spans="1:14" ht="22.2" thickTop="1" thickBot="1">
      <c r="A208" t="s">
        <v>2</v>
      </c>
      <c r="B208" t="s">
        <v>443</v>
      </c>
      <c r="D208" s="92" t="s">
        <v>496</v>
      </c>
      <c r="E208" s="89">
        <v>87.36</v>
      </c>
      <c r="F208" s="89">
        <v>34.64</v>
      </c>
      <c r="G208" s="88">
        <v>52.72</v>
      </c>
      <c r="H208" s="89">
        <v>26.89</v>
      </c>
      <c r="I208" s="89">
        <v>19.809999999999999</v>
      </c>
      <c r="J208" s="89" t="s">
        <v>497</v>
      </c>
      <c r="K208" s="89">
        <v>0.3</v>
      </c>
      <c r="L208" s="93">
        <v>58.79</v>
      </c>
    </row>
    <row r="209" spans="1:12" ht="22.2" thickTop="1" thickBot="1">
      <c r="A209" t="s">
        <v>2</v>
      </c>
      <c r="B209" t="s">
        <v>443</v>
      </c>
      <c r="D209" s="92" t="s">
        <v>498</v>
      </c>
      <c r="E209" s="89">
        <v>89.39</v>
      </c>
      <c r="F209" s="89">
        <v>36.99</v>
      </c>
      <c r="G209" s="88">
        <v>52.4</v>
      </c>
      <c r="H209" s="89">
        <v>26.72</v>
      </c>
      <c r="I209" s="89">
        <v>19.940000000000001</v>
      </c>
      <c r="J209" s="89" t="s">
        <v>499</v>
      </c>
      <c r="K209" s="89">
        <v>0.3</v>
      </c>
      <c r="L209" s="93">
        <v>59.54</v>
      </c>
    </row>
    <row r="210" spans="1:12" ht="22.2" thickTop="1" thickBot="1">
      <c r="A210" t="s">
        <v>2</v>
      </c>
      <c r="B210" t="s">
        <v>443</v>
      </c>
      <c r="D210" s="92" t="s">
        <v>500</v>
      </c>
      <c r="E210" s="89">
        <v>90.59</v>
      </c>
      <c r="F210" s="89">
        <v>39.75</v>
      </c>
      <c r="G210" s="88">
        <v>50.84</v>
      </c>
      <c r="H210" s="89">
        <v>25.93</v>
      </c>
      <c r="I210" s="89">
        <v>19.690000000000001</v>
      </c>
      <c r="J210" s="89" t="s">
        <v>501</v>
      </c>
      <c r="K210" s="89">
        <v>0.31</v>
      </c>
      <c r="L210" s="93">
        <v>60.59</v>
      </c>
    </row>
    <row r="211" spans="1:12" ht="22.2" thickTop="1" thickBot="1">
      <c r="A211" t="s">
        <v>2</v>
      </c>
      <c r="B211" t="s">
        <v>443</v>
      </c>
      <c r="D211" s="92" t="s">
        <v>502</v>
      </c>
      <c r="E211" s="89">
        <v>85.42</v>
      </c>
      <c r="F211" s="89">
        <v>36.42</v>
      </c>
      <c r="G211" s="88">
        <v>49</v>
      </c>
      <c r="H211" s="89">
        <v>24.99</v>
      </c>
      <c r="I211" s="89">
        <v>18.34</v>
      </c>
      <c r="J211" s="89" t="s">
        <v>503</v>
      </c>
      <c r="K211" s="89">
        <v>0.3</v>
      </c>
      <c r="L211" s="93">
        <v>58.58</v>
      </c>
    </row>
    <row r="212" spans="1:12" ht="22.2" thickTop="1" thickBot="1">
      <c r="A212" t="s">
        <v>2</v>
      </c>
      <c r="B212" t="s">
        <v>443</v>
      </c>
      <c r="D212" s="92" t="s">
        <v>504</v>
      </c>
      <c r="E212" s="89">
        <v>71.790000000000006</v>
      </c>
      <c r="F212" s="89">
        <v>32.15</v>
      </c>
      <c r="G212" s="88">
        <v>39.64</v>
      </c>
      <c r="H212" s="89">
        <v>20.22</v>
      </c>
      <c r="I212" s="89">
        <v>11.47</v>
      </c>
      <c r="J212" s="89" t="s">
        <v>505</v>
      </c>
      <c r="K212" s="89">
        <v>0.23</v>
      </c>
      <c r="L212" s="93">
        <v>45.25</v>
      </c>
    </row>
    <row r="213" spans="1:12" ht="22.2" thickTop="1" thickBot="1">
      <c r="A213" t="s">
        <v>2</v>
      </c>
      <c r="B213" t="s">
        <v>443</v>
      </c>
      <c r="D213" s="92" t="s">
        <v>506</v>
      </c>
      <c r="E213" s="89">
        <v>73.930000000000007</v>
      </c>
      <c r="F213" s="89">
        <v>36.64</v>
      </c>
      <c r="G213" s="88">
        <v>37.29</v>
      </c>
      <c r="H213" s="89">
        <v>19.02</v>
      </c>
      <c r="I213" s="89">
        <v>12.06</v>
      </c>
      <c r="J213" s="89" t="s">
        <v>507</v>
      </c>
      <c r="K213" s="89">
        <v>0.26</v>
      </c>
      <c r="L213" s="93">
        <v>50.57</v>
      </c>
    </row>
    <row r="214" spans="1:12" ht="22.2" thickTop="1" thickBot="1">
      <c r="A214" t="s">
        <v>2</v>
      </c>
      <c r="B214" t="s">
        <v>443</v>
      </c>
      <c r="D214" s="94" t="s">
        <v>508</v>
      </c>
      <c r="E214" s="95">
        <v>82.04</v>
      </c>
      <c r="F214" s="95">
        <v>40.07</v>
      </c>
      <c r="G214" s="96">
        <v>41.97</v>
      </c>
      <c r="H214" s="95">
        <v>21.4</v>
      </c>
      <c r="I214" s="95">
        <v>12.34</v>
      </c>
      <c r="J214" s="95" t="s">
        <v>509</v>
      </c>
      <c r="K214" s="95">
        <v>0.23</v>
      </c>
      <c r="L214" s="97">
        <v>46.02</v>
      </c>
    </row>
    <row r="215" spans="1:12" ht="15" thickTop="1">
      <c r="A215" t="s">
        <v>2</v>
      </c>
      <c r="B215" t="s">
        <v>443</v>
      </c>
      <c r="D215" s="52" t="s">
        <v>510</v>
      </c>
      <c r="E215" s="48"/>
      <c r="F215" s="48"/>
      <c r="G215" s="48"/>
      <c r="H215" s="48"/>
      <c r="I215" s="48"/>
      <c r="J215" s="48"/>
      <c r="K215" s="48">
        <f>AVERAGE(K206:K214)</f>
        <v>0.28555555555555556</v>
      </c>
    </row>
    <row r="216" spans="1:12">
      <c r="A216" t="s">
        <v>2</v>
      </c>
      <c r="B216" t="s">
        <v>443</v>
      </c>
      <c r="D216" s="52" t="s">
        <v>511</v>
      </c>
      <c r="E216" s="48"/>
      <c r="F216" s="48"/>
      <c r="G216" s="48"/>
      <c r="H216" s="48"/>
      <c r="I216" s="48"/>
      <c r="J216" s="48"/>
      <c r="K216" s="82">
        <v>0.2656</v>
      </c>
    </row>
    <row r="217" spans="1:12">
      <c r="A217" t="s">
        <v>2</v>
      </c>
      <c r="B217" t="s">
        <v>443</v>
      </c>
      <c r="D217" s="52" t="s">
        <v>512</v>
      </c>
      <c r="E217" s="48"/>
      <c r="F217" s="48"/>
      <c r="G217" s="48"/>
      <c r="H217" s="48"/>
      <c r="I217" s="48"/>
      <c r="J217" s="48"/>
      <c r="K217" s="48">
        <f>K215*K216</f>
        <v>7.5843555555555553E-2</v>
      </c>
    </row>
    <row r="218" spans="1:12">
      <c r="A218" t="s">
        <v>2</v>
      </c>
      <c r="B218" t="s">
        <v>443</v>
      </c>
    </row>
    <row r="219" spans="1:12">
      <c r="A219" t="s">
        <v>2</v>
      </c>
      <c r="B219" t="s">
        <v>443</v>
      </c>
    </row>
    <row r="220" spans="1:12">
      <c r="A220" t="s">
        <v>2</v>
      </c>
      <c r="B220" t="s">
        <v>443</v>
      </c>
      <c r="C220" t="s">
        <v>396</v>
      </c>
      <c r="D220" t="s">
        <v>513</v>
      </c>
    </row>
    <row r="221" spans="1:12">
      <c r="A221" t="s">
        <v>2</v>
      </c>
      <c r="B221" t="s">
        <v>443</v>
      </c>
      <c r="D221" t="s">
        <v>514</v>
      </c>
    </row>
    <row r="222" spans="1:12">
      <c r="A222" t="s">
        <v>2</v>
      </c>
      <c r="B222" t="s">
        <v>443</v>
      </c>
      <c r="D222" s="100" t="s">
        <v>515</v>
      </c>
    </row>
    <row r="223" spans="1:12" ht="28.8">
      <c r="A223" t="s">
        <v>2</v>
      </c>
      <c r="B223" t="s">
        <v>443</v>
      </c>
      <c r="D223" t="s">
        <v>516</v>
      </c>
      <c r="E223" t="s">
        <v>517</v>
      </c>
      <c r="F223" t="s">
        <v>518</v>
      </c>
      <c r="G223" s="52" t="s">
        <v>519</v>
      </c>
      <c r="H223" s="52" t="s">
        <v>512</v>
      </c>
    </row>
    <row r="224" spans="1:12">
      <c r="A224" t="s">
        <v>2</v>
      </c>
      <c r="B224" t="s">
        <v>443</v>
      </c>
      <c r="D224" t="s">
        <v>520</v>
      </c>
      <c r="E224" t="s">
        <v>521</v>
      </c>
      <c r="F224">
        <v>33.549999999999997</v>
      </c>
      <c r="G224" s="48"/>
      <c r="H224" s="48"/>
    </row>
    <row r="225" spans="1:13">
      <c r="A225" t="s">
        <v>2</v>
      </c>
      <c r="B225" t="s">
        <v>443</v>
      </c>
      <c r="D225" t="s">
        <v>522</v>
      </c>
      <c r="E225" t="s">
        <v>523</v>
      </c>
      <c r="F225">
        <v>88.5</v>
      </c>
      <c r="G225" s="48"/>
      <c r="H225" s="48"/>
    </row>
    <row r="226" spans="1:13">
      <c r="A226" t="s">
        <v>2</v>
      </c>
      <c r="B226" t="s">
        <v>443</v>
      </c>
      <c r="D226" t="s">
        <v>524</v>
      </c>
      <c r="E226" t="s">
        <v>525</v>
      </c>
      <c r="F226">
        <v>12.47</v>
      </c>
      <c r="G226" s="48"/>
      <c r="H226" s="48"/>
    </row>
    <row r="227" spans="1:13">
      <c r="A227" t="s">
        <v>2</v>
      </c>
      <c r="B227" t="s">
        <v>443</v>
      </c>
      <c r="D227" t="s">
        <v>526</v>
      </c>
      <c r="E227" t="s">
        <v>527</v>
      </c>
      <c r="F227">
        <v>6.25</v>
      </c>
      <c r="G227" s="48"/>
      <c r="H227" s="48"/>
    </row>
    <row r="228" spans="1:13">
      <c r="A228" t="s">
        <v>2</v>
      </c>
      <c r="B228" t="s">
        <v>443</v>
      </c>
      <c r="D228" t="s">
        <v>528</v>
      </c>
      <c r="E228" t="s">
        <v>529</v>
      </c>
      <c r="F228">
        <v>0.42</v>
      </c>
      <c r="G228" s="82">
        <v>0.2656</v>
      </c>
      <c r="H228" s="48">
        <f>F228*G228</f>
        <v>0.111552</v>
      </c>
    </row>
    <row r="229" spans="1:13">
      <c r="A229" t="s">
        <v>2</v>
      </c>
      <c r="B229" t="s">
        <v>443</v>
      </c>
      <c r="D229" t="s">
        <v>530</v>
      </c>
      <c r="E229" t="s">
        <v>531</v>
      </c>
      <c r="F229">
        <v>0.21</v>
      </c>
    </row>
    <row r="230" spans="1:13">
      <c r="A230" t="s">
        <v>2</v>
      </c>
      <c r="B230" t="s">
        <v>443</v>
      </c>
      <c r="D230" t="s">
        <v>532</v>
      </c>
      <c r="E230" t="s">
        <v>533</v>
      </c>
      <c r="F230">
        <v>0.17299999999999999</v>
      </c>
    </row>
    <row r="231" spans="1:13">
      <c r="A231" t="s">
        <v>2</v>
      </c>
      <c r="B231" t="s">
        <v>443</v>
      </c>
      <c r="D231" t="s">
        <v>534</v>
      </c>
      <c r="E231" t="s">
        <v>535</v>
      </c>
      <c r="F231">
        <v>81.739999999999995</v>
      </c>
    </row>
    <row r="232" spans="1:13">
      <c r="A232" t="s">
        <v>2</v>
      </c>
      <c r="B232" t="s">
        <v>443</v>
      </c>
    </row>
    <row r="233" spans="1:13">
      <c r="A233" t="s">
        <v>2</v>
      </c>
      <c r="B233" t="s">
        <v>443</v>
      </c>
    </row>
    <row r="234" spans="1:13">
      <c r="A234" t="s">
        <v>2</v>
      </c>
      <c r="B234" t="s">
        <v>443</v>
      </c>
      <c r="C234" t="s">
        <v>420</v>
      </c>
      <c r="D234" t="s">
        <v>536</v>
      </c>
    </row>
    <row r="235" spans="1:13">
      <c r="A235" t="s">
        <v>2</v>
      </c>
      <c r="B235" t="s">
        <v>443</v>
      </c>
      <c r="D235" t="s">
        <v>537</v>
      </c>
    </row>
    <row r="236" spans="1:13" ht="15" thickBot="1">
      <c r="A236" t="s">
        <v>2</v>
      </c>
      <c r="B236" t="s">
        <v>443</v>
      </c>
      <c r="D236" t="s">
        <v>538</v>
      </c>
    </row>
    <row r="237" spans="1:13" ht="85.2" thickTop="1" thickBot="1">
      <c r="A237" t="s">
        <v>2</v>
      </c>
      <c r="B237" t="s">
        <v>443</v>
      </c>
      <c r="D237" s="517" t="s">
        <v>231</v>
      </c>
      <c r="E237" s="556" t="s">
        <v>539</v>
      </c>
      <c r="F237" s="557"/>
      <c r="G237" s="101" t="s">
        <v>540</v>
      </c>
      <c r="H237" s="558" t="s">
        <v>541</v>
      </c>
      <c r="I237" s="558"/>
      <c r="J237" s="52" t="s">
        <v>542</v>
      </c>
      <c r="K237" s="48" t="s">
        <v>510</v>
      </c>
      <c r="L237" s="52" t="s">
        <v>519</v>
      </c>
      <c r="M237" s="52" t="s">
        <v>512</v>
      </c>
    </row>
    <row r="238" spans="1:13" ht="22.2" thickTop="1" thickBot="1">
      <c r="A238" t="s">
        <v>2</v>
      </c>
      <c r="B238" t="s">
        <v>443</v>
      </c>
      <c r="D238" s="519"/>
      <c r="E238" s="87" t="s">
        <v>543</v>
      </c>
      <c r="F238" s="87" t="s">
        <v>544</v>
      </c>
      <c r="G238" s="102" t="s">
        <v>544</v>
      </c>
      <c r="H238" s="52" t="s">
        <v>543</v>
      </c>
      <c r="I238" s="52" t="s">
        <v>544</v>
      </c>
      <c r="J238" s="52" t="s">
        <v>544</v>
      </c>
      <c r="K238" s="48"/>
      <c r="L238" s="48"/>
      <c r="M238" s="48"/>
    </row>
    <row r="239" spans="1:13" ht="43.2" thickTop="1" thickBot="1">
      <c r="A239" t="s">
        <v>2</v>
      </c>
      <c r="B239" t="s">
        <v>443</v>
      </c>
      <c r="D239" s="92" t="s">
        <v>545</v>
      </c>
      <c r="E239" s="89" t="s">
        <v>546</v>
      </c>
      <c r="F239" s="89" t="s">
        <v>547</v>
      </c>
      <c r="G239" s="93" t="s">
        <v>548</v>
      </c>
      <c r="H239" s="48">
        <v>0.2</v>
      </c>
      <c r="I239" s="48">
        <v>0.33</v>
      </c>
      <c r="J239" s="48">
        <v>0.14000000000000001</v>
      </c>
      <c r="K239" s="48">
        <f>AVERAGE(H239:J239)</f>
        <v>0.22333333333333336</v>
      </c>
      <c r="L239" s="82">
        <v>0.2656</v>
      </c>
      <c r="M239" s="48">
        <f>K239*L239</f>
        <v>5.931733333333334E-2</v>
      </c>
    </row>
    <row r="240" spans="1:13" ht="22.8" thickTop="1" thickBot="1">
      <c r="A240" t="s">
        <v>2</v>
      </c>
      <c r="B240" t="s">
        <v>443</v>
      </c>
      <c r="D240" s="92" t="s">
        <v>549</v>
      </c>
      <c r="E240" s="89" t="s">
        <v>550</v>
      </c>
      <c r="F240" s="89" t="s">
        <v>551</v>
      </c>
      <c r="G240" s="93" t="s">
        <v>552</v>
      </c>
    </row>
    <row r="241" spans="1:7" ht="22.8" thickTop="1" thickBot="1">
      <c r="A241" t="s">
        <v>2</v>
      </c>
      <c r="B241" t="s">
        <v>443</v>
      </c>
      <c r="D241" s="92" t="s">
        <v>553</v>
      </c>
      <c r="E241" s="89" t="s">
        <v>554</v>
      </c>
      <c r="F241" s="89" t="s">
        <v>555</v>
      </c>
      <c r="G241" s="93" t="s">
        <v>556</v>
      </c>
    </row>
    <row r="242" spans="1:7" ht="22.8" thickTop="1" thickBot="1">
      <c r="A242" t="s">
        <v>2</v>
      </c>
      <c r="B242" t="s">
        <v>443</v>
      </c>
      <c r="D242" s="92" t="s">
        <v>557</v>
      </c>
      <c r="E242" s="89" t="s">
        <v>558</v>
      </c>
      <c r="F242" s="89" t="s">
        <v>559</v>
      </c>
      <c r="G242" s="93" t="s">
        <v>560</v>
      </c>
    </row>
    <row r="243" spans="1:7" ht="22.2" thickTop="1" thickBot="1">
      <c r="A243" t="s">
        <v>2</v>
      </c>
      <c r="B243" t="s">
        <v>443</v>
      </c>
      <c r="D243" s="92" t="s">
        <v>561</v>
      </c>
      <c r="E243" s="89" t="s">
        <v>562</v>
      </c>
      <c r="F243" s="89" t="s">
        <v>563</v>
      </c>
      <c r="G243" s="93" t="s">
        <v>564</v>
      </c>
    </row>
    <row r="244" spans="1:7" ht="22.2" thickTop="1" thickBot="1">
      <c r="A244" t="s">
        <v>2</v>
      </c>
      <c r="B244" t="s">
        <v>443</v>
      </c>
      <c r="D244" s="92" t="s">
        <v>565</v>
      </c>
      <c r="E244" s="89" t="s">
        <v>566</v>
      </c>
      <c r="F244" s="89" t="s">
        <v>567</v>
      </c>
      <c r="G244" s="93" t="s">
        <v>568</v>
      </c>
    </row>
    <row r="245" spans="1:7" ht="22.2" thickTop="1" thickBot="1">
      <c r="A245" t="s">
        <v>2</v>
      </c>
      <c r="B245" t="s">
        <v>443</v>
      </c>
      <c r="D245" s="92" t="s">
        <v>569</v>
      </c>
      <c r="E245" s="89" t="s">
        <v>570</v>
      </c>
      <c r="F245" s="89" t="s">
        <v>571</v>
      </c>
      <c r="G245" s="93" t="s">
        <v>410</v>
      </c>
    </row>
    <row r="246" spans="1:7" ht="22.8" thickTop="1" thickBot="1">
      <c r="A246" t="s">
        <v>2</v>
      </c>
      <c r="B246" t="s">
        <v>443</v>
      </c>
      <c r="D246" s="94" t="s">
        <v>572</v>
      </c>
      <c r="E246" s="95">
        <v>72</v>
      </c>
      <c r="F246" s="95">
        <v>72</v>
      </c>
      <c r="G246" s="97">
        <v>96</v>
      </c>
    </row>
    <row r="247" spans="1:7" ht="15" thickTop="1">
      <c r="A247" t="s">
        <v>2</v>
      </c>
      <c r="B247" t="s">
        <v>443</v>
      </c>
      <c r="D247" s="104" t="s">
        <v>573</v>
      </c>
    </row>
    <row r="248" spans="1:7">
      <c r="A248" t="s">
        <v>2</v>
      </c>
      <c r="B248" t="s">
        <v>443</v>
      </c>
      <c r="D248" s="105" t="s">
        <v>574</v>
      </c>
    </row>
    <row r="249" spans="1:7">
      <c r="A249" t="s">
        <v>2</v>
      </c>
      <c r="B249" t="s">
        <v>443</v>
      </c>
      <c r="D249" s="105" t="s">
        <v>575</v>
      </c>
    </row>
    <row r="250" spans="1:7">
      <c r="A250" t="s">
        <v>2</v>
      </c>
      <c r="B250" t="s">
        <v>443</v>
      </c>
      <c r="D250" s="105" t="s">
        <v>576</v>
      </c>
    </row>
    <row r="251" spans="1:7">
      <c r="A251" t="s">
        <v>2</v>
      </c>
      <c r="B251" t="s">
        <v>443</v>
      </c>
      <c r="D251" s="105" t="s">
        <v>577</v>
      </c>
    </row>
    <row r="252" spans="1:7">
      <c r="A252" t="s">
        <v>2</v>
      </c>
      <c r="B252" t="s">
        <v>443</v>
      </c>
      <c r="D252" s="105" t="s">
        <v>578</v>
      </c>
    </row>
    <row r="253" spans="1:7">
      <c r="A253" t="s">
        <v>2</v>
      </c>
      <c r="B253" t="s">
        <v>443</v>
      </c>
    </row>
    <row r="254" spans="1:7">
      <c r="A254" t="s">
        <v>2</v>
      </c>
      <c r="B254" t="s">
        <v>443</v>
      </c>
    </row>
    <row r="255" spans="1:7">
      <c r="A255" t="s">
        <v>2</v>
      </c>
      <c r="B255" t="s">
        <v>443</v>
      </c>
      <c r="C255" t="s">
        <v>425</v>
      </c>
      <c r="D255" t="s">
        <v>579</v>
      </c>
    </row>
    <row r="256" spans="1:7">
      <c r="A256" t="s">
        <v>2</v>
      </c>
      <c r="B256" t="s">
        <v>443</v>
      </c>
      <c r="D256" t="s">
        <v>580</v>
      </c>
    </row>
    <row r="257" spans="1:10">
      <c r="A257" t="s">
        <v>2</v>
      </c>
      <c r="B257" t="s">
        <v>443</v>
      </c>
      <c r="D257" s="112" t="s">
        <v>581</v>
      </c>
    </row>
    <row r="258" spans="1:10" ht="15" thickBot="1">
      <c r="A258" t="s">
        <v>2</v>
      </c>
      <c r="B258" t="s">
        <v>443</v>
      </c>
      <c r="D258" s="26" t="s">
        <v>582</v>
      </c>
    </row>
    <row r="259" spans="1:10" ht="22.8" thickTop="1" thickBot="1">
      <c r="A259" t="s">
        <v>2</v>
      </c>
      <c r="B259" t="s">
        <v>443</v>
      </c>
      <c r="D259" s="106" t="s">
        <v>476</v>
      </c>
      <c r="E259" s="107" t="s">
        <v>583</v>
      </c>
      <c r="F259" s="107" t="s">
        <v>584</v>
      </c>
      <c r="G259" s="107" t="s">
        <v>585</v>
      </c>
      <c r="H259" s="107" t="s">
        <v>586</v>
      </c>
      <c r="I259" s="98" t="s">
        <v>587</v>
      </c>
      <c r="J259" s="107" t="s">
        <v>584</v>
      </c>
    </row>
    <row r="260" spans="1:10" ht="22.8" thickTop="1" thickBot="1">
      <c r="A260" t="s">
        <v>2</v>
      </c>
      <c r="B260" t="s">
        <v>443</v>
      </c>
      <c r="D260" s="108"/>
      <c r="E260" s="88" t="s">
        <v>588</v>
      </c>
      <c r="F260" s="88" t="s">
        <v>589</v>
      </c>
      <c r="G260" s="88" t="s">
        <v>589</v>
      </c>
      <c r="H260" s="88" t="s">
        <v>590</v>
      </c>
      <c r="I260" s="109" t="s">
        <v>590</v>
      </c>
      <c r="J260" s="88" t="s">
        <v>589</v>
      </c>
    </row>
    <row r="261" spans="1:10" ht="43.8" thickTop="1" thickBot="1">
      <c r="A261" t="s">
        <v>2</v>
      </c>
      <c r="B261" t="s">
        <v>443</v>
      </c>
      <c r="D261" s="92" t="s">
        <v>591</v>
      </c>
      <c r="E261" s="88" t="s">
        <v>592</v>
      </c>
      <c r="F261" s="88" t="s">
        <v>593</v>
      </c>
      <c r="G261" s="88" t="s">
        <v>594</v>
      </c>
      <c r="H261" s="88" t="s">
        <v>595</v>
      </c>
      <c r="I261" s="109" t="s">
        <v>596</v>
      </c>
      <c r="J261">
        <v>0.38</v>
      </c>
    </row>
    <row r="262" spans="1:10" ht="44.4" thickTop="1" thickBot="1">
      <c r="A262" t="s">
        <v>2</v>
      </c>
      <c r="B262" t="s">
        <v>443</v>
      </c>
      <c r="D262" s="92" t="s">
        <v>597</v>
      </c>
      <c r="E262" s="88" t="s">
        <v>598</v>
      </c>
      <c r="F262" s="88" t="s">
        <v>599</v>
      </c>
      <c r="G262" s="88" t="s">
        <v>600</v>
      </c>
      <c r="H262" s="88" t="s">
        <v>601</v>
      </c>
      <c r="I262" s="109" t="s">
        <v>602</v>
      </c>
      <c r="J262">
        <v>0.5</v>
      </c>
    </row>
    <row r="263" spans="1:10" ht="22.8" thickTop="1" thickBot="1">
      <c r="A263" t="s">
        <v>2</v>
      </c>
      <c r="B263" t="s">
        <v>443</v>
      </c>
      <c r="D263" s="92" t="s">
        <v>603</v>
      </c>
      <c r="E263" s="88" t="s">
        <v>604</v>
      </c>
      <c r="F263" s="88" t="s">
        <v>605</v>
      </c>
      <c r="G263" s="88" t="s">
        <v>606</v>
      </c>
      <c r="H263" s="88" t="s">
        <v>607</v>
      </c>
      <c r="I263" s="109" t="s">
        <v>606</v>
      </c>
      <c r="J263">
        <v>0.49</v>
      </c>
    </row>
    <row r="264" spans="1:10" ht="22.8" thickTop="1" thickBot="1">
      <c r="A264" t="s">
        <v>2</v>
      </c>
      <c r="B264" t="s">
        <v>443</v>
      </c>
      <c r="D264" s="92" t="s">
        <v>608</v>
      </c>
      <c r="E264" s="88" t="s">
        <v>609</v>
      </c>
      <c r="F264" s="88" t="s">
        <v>610</v>
      </c>
      <c r="G264" s="88" t="s">
        <v>611</v>
      </c>
      <c r="H264" s="88" t="s">
        <v>612</v>
      </c>
      <c r="I264" s="109" t="s">
        <v>613</v>
      </c>
      <c r="J264">
        <v>0.28999999999999998</v>
      </c>
    </row>
    <row r="265" spans="1:10" ht="43.8" thickTop="1" thickBot="1">
      <c r="A265" t="s">
        <v>2</v>
      </c>
      <c r="B265" t="s">
        <v>443</v>
      </c>
      <c r="D265" s="92" t="s">
        <v>614</v>
      </c>
      <c r="E265" s="88" t="s">
        <v>615</v>
      </c>
      <c r="F265" s="88" t="s">
        <v>616</v>
      </c>
      <c r="G265" s="88" t="s">
        <v>617</v>
      </c>
      <c r="H265" s="88" t="s">
        <v>618</v>
      </c>
      <c r="I265" s="109" t="s">
        <v>619</v>
      </c>
      <c r="J265">
        <v>0.32</v>
      </c>
    </row>
    <row r="266" spans="1:10" ht="43.8" thickTop="1" thickBot="1">
      <c r="A266" t="s">
        <v>2</v>
      </c>
      <c r="B266" t="s">
        <v>443</v>
      </c>
      <c r="D266" s="92" t="s">
        <v>620</v>
      </c>
      <c r="E266" s="88" t="s">
        <v>621</v>
      </c>
      <c r="F266" s="88" t="s">
        <v>622</v>
      </c>
      <c r="G266" s="88" t="s">
        <v>623</v>
      </c>
      <c r="H266" s="88" t="s">
        <v>624</v>
      </c>
      <c r="I266" s="109" t="s">
        <v>625</v>
      </c>
      <c r="J266">
        <v>0.28000000000000003</v>
      </c>
    </row>
    <row r="267" spans="1:10" ht="43.8" thickTop="1" thickBot="1">
      <c r="A267" t="s">
        <v>2</v>
      </c>
      <c r="B267" t="s">
        <v>443</v>
      </c>
      <c r="D267" s="94" t="s">
        <v>626</v>
      </c>
      <c r="E267" s="96" t="s">
        <v>627</v>
      </c>
      <c r="F267" s="96" t="s">
        <v>599</v>
      </c>
      <c r="G267" s="96" t="s">
        <v>628</v>
      </c>
      <c r="H267" s="96" t="s">
        <v>629</v>
      </c>
      <c r="I267" s="110" t="s">
        <v>630</v>
      </c>
      <c r="J267">
        <v>0.5</v>
      </c>
    </row>
    <row r="268" spans="1:10" ht="15" thickTop="1">
      <c r="A268" t="s">
        <v>2</v>
      </c>
      <c r="B268" t="s">
        <v>443</v>
      </c>
      <c r="D268" s="104" t="s">
        <v>631</v>
      </c>
    </row>
    <row r="269" spans="1:10">
      <c r="A269" t="s">
        <v>2</v>
      </c>
      <c r="B269" t="s">
        <v>443</v>
      </c>
      <c r="D269" s="105" t="s">
        <v>632</v>
      </c>
    </row>
    <row r="270" spans="1:10">
      <c r="A270" t="s">
        <v>2</v>
      </c>
      <c r="B270" t="s">
        <v>443</v>
      </c>
      <c r="D270" s="104" t="s">
        <v>633</v>
      </c>
    </row>
    <row r="271" spans="1:10">
      <c r="A271" t="s">
        <v>2</v>
      </c>
      <c r="B271" t="s">
        <v>443</v>
      </c>
      <c r="D271" s="81" t="s">
        <v>634</v>
      </c>
      <c r="E271" s="48"/>
      <c r="F271" s="48"/>
      <c r="G271" s="48"/>
      <c r="H271" s="48"/>
      <c r="I271" s="48"/>
      <c r="J271" s="48">
        <f>AVERAGE(J261:J267)</f>
        <v>0.39428571428571429</v>
      </c>
    </row>
    <row r="272" spans="1:10">
      <c r="A272" t="s">
        <v>2</v>
      </c>
      <c r="B272" t="s">
        <v>443</v>
      </c>
      <c r="D272" s="52" t="s">
        <v>635</v>
      </c>
      <c r="E272" s="48"/>
      <c r="F272" s="48"/>
      <c r="G272" s="48"/>
      <c r="H272" s="48"/>
      <c r="I272" s="48"/>
      <c r="J272" s="60">
        <v>0.165926233918129</v>
      </c>
    </row>
    <row r="273" spans="1:10">
      <c r="A273" t="s">
        <v>2</v>
      </c>
      <c r="B273" t="s">
        <v>443</v>
      </c>
      <c r="D273" s="52" t="s">
        <v>512</v>
      </c>
      <c r="E273" s="48"/>
      <c r="F273" s="48"/>
      <c r="G273" s="48"/>
      <c r="H273" s="48"/>
      <c r="I273" s="48"/>
      <c r="J273" s="48">
        <f>J271*J272</f>
        <v>6.5422343659148008E-2</v>
      </c>
    </row>
    <row r="275" spans="1:10">
      <c r="A275" t="s">
        <v>636</v>
      </c>
      <c r="B275" t="s">
        <v>637</v>
      </c>
      <c r="C275" t="s">
        <v>638</v>
      </c>
      <c r="D275" t="s">
        <v>639</v>
      </c>
    </row>
    <row r="276" spans="1:10">
      <c r="A276" t="s">
        <v>636</v>
      </c>
      <c r="D276" t="s">
        <v>640</v>
      </c>
    </row>
    <row r="277" spans="1:10">
      <c r="A277" t="s">
        <v>636</v>
      </c>
    </row>
    <row r="278" spans="1:10">
      <c r="A278" t="s">
        <v>636</v>
      </c>
      <c r="D278" s="48" t="s">
        <v>641</v>
      </c>
      <c r="E278" s="48">
        <v>0.72719999999999996</v>
      </c>
    </row>
    <row r="279" spans="1:10">
      <c r="A279" t="s">
        <v>636</v>
      </c>
      <c r="D279" s="48" t="s">
        <v>642</v>
      </c>
      <c r="E279" s="48">
        <v>0</v>
      </c>
    </row>
    <row r="280" spans="1:10">
      <c r="A280" t="s">
        <v>636</v>
      </c>
      <c r="D280" s="48" t="s">
        <v>643</v>
      </c>
      <c r="E280" s="48">
        <f>E278*E279</f>
        <v>0</v>
      </c>
    </row>
    <row r="281" spans="1:10">
      <c r="A281" t="s">
        <v>636</v>
      </c>
    </row>
    <row r="282" spans="1:10">
      <c r="A282" t="s">
        <v>636</v>
      </c>
    </row>
    <row r="283" spans="1:10">
      <c r="A283" t="s">
        <v>636</v>
      </c>
      <c r="B283" t="s">
        <v>644</v>
      </c>
      <c r="C283" t="s">
        <v>197</v>
      </c>
      <c r="D283" s="7" t="s">
        <v>645</v>
      </c>
    </row>
    <row r="284" spans="1:10">
      <c r="A284" t="s">
        <v>636</v>
      </c>
      <c r="D284" t="s">
        <v>646</v>
      </c>
    </row>
    <row r="285" spans="1:10">
      <c r="A285" t="s">
        <v>636</v>
      </c>
    </row>
    <row r="286" spans="1:10">
      <c r="A286" t="s">
        <v>636</v>
      </c>
    </row>
    <row r="287" spans="1:10">
      <c r="A287" t="s">
        <v>636</v>
      </c>
    </row>
    <row r="288" spans="1:10">
      <c r="A288" t="s">
        <v>636</v>
      </c>
    </row>
    <row r="289" spans="1:5">
      <c r="A289" t="s">
        <v>636</v>
      </c>
    </row>
    <row r="290" spans="1:5">
      <c r="A290" t="s">
        <v>636</v>
      </c>
    </row>
    <row r="291" spans="1:5">
      <c r="A291" t="s">
        <v>636</v>
      </c>
    </row>
    <row r="292" spans="1:5">
      <c r="A292" t="s">
        <v>636</v>
      </c>
    </row>
    <row r="293" spans="1:5">
      <c r="A293" t="s">
        <v>636</v>
      </c>
    </row>
    <row r="294" spans="1:5">
      <c r="A294" t="s">
        <v>636</v>
      </c>
    </row>
    <row r="295" spans="1:5">
      <c r="A295" t="s">
        <v>636</v>
      </c>
    </row>
    <row r="296" spans="1:5">
      <c r="A296" t="s">
        <v>636</v>
      </c>
    </row>
    <row r="297" spans="1:5">
      <c r="A297" t="s">
        <v>636</v>
      </c>
    </row>
    <row r="298" spans="1:5">
      <c r="A298" t="s">
        <v>636</v>
      </c>
    </row>
    <row r="299" spans="1:5">
      <c r="A299" t="s">
        <v>636</v>
      </c>
      <c r="D299" s="48" t="s">
        <v>647</v>
      </c>
      <c r="E299" s="50">
        <v>0.06</v>
      </c>
    </row>
    <row r="300" spans="1:5">
      <c r="A300" t="s">
        <v>636</v>
      </c>
      <c r="D300" s="48" t="s">
        <v>648</v>
      </c>
      <c r="E300" s="48">
        <v>12.08</v>
      </c>
    </row>
    <row r="301" spans="1:5">
      <c r="A301" t="s">
        <v>636</v>
      </c>
      <c r="D301" s="48" t="s">
        <v>649</v>
      </c>
      <c r="E301" s="48">
        <f>E299*(1-E300%)</f>
        <v>5.2752E-2</v>
      </c>
    </row>
    <row r="302" spans="1:5">
      <c r="A302" t="s">
        <v>636</v>
      </c>
    </row>
    <row r="303" spans="1:5">
      <c r="A303" t="s">
        <v>636</v>
      </c>
    </row>
    <row r="304" spans="1:5">
      <c r="A304" t="s">
        <v>636</v>
      </c>
    </row>
    <row r="305" spans="1:5">
      <c r="A305" t="s">
        <v>636</v>
      </c>
      <c r="C305" t="s">
        <v>226</v>
      </c>
      <c r="D305" s="7" t="s">
        <v>650</v>
      </c>
    </row>
    <row r="306" spans="1:5">
      <c r="A306" t="s">
        <v>636</v>
      </c>
      <c r="D306" t="s">
        <v>651</v>
      </c>
    </row>
    <row r="307" spans="1:5">
      <c r="A307" t="s">
        <v>636</v>
      </c>
      <c r="D307" t="s">
        <v>652</v>
      </c>
    </row>
    <row r="308" spans="1:5">
      <c r="A308" t="s">
        <v>636</v>
      </c>
      <c r="D308" t="s">
        <v>653</v>
      </c>
    </row>
    <row r="309" spans="1:5">
      <c r="A309" t="s">
        <v>636</v>
      </c>
    </row>
    <row r="310" spans="1:5">
      <c r="A310" t="s">
        <v>636</v>
      </c>
    </row>
    <row r="311" spans="1:5">
      <c r="A311" t="s">
        <v>636</v>
      </c>
      <c r="D311" s="48" t="s">
        <v>654</v>
      </c>
      <c r="E311" s="48">
        <v>0.72719999999999996</v>
      </c>
    </row>
    <row r="312" spans="1:5">
      <c r="A312" t="s">
        <v>636</v>
      </c>
      <c r="D312" s="48" t="s">
        <v>655</v>
      </c>
      <c r="E312" s="50">
        <v>0.9</v>
      </c>
    </row>
    <row r="313" spans="1:5">
      <c r="A313" t="s">
        <v>636</v>
      </c>
      <c r="D313" s="48" t="s">
        <v>656</v>
      </c>
      <c r="E313" s="48">
        <f>E311*E312</f>
        <v>0.65447999999999995</v>
      </c>
    </row>
    <row r="314" spans="1:5">
      <c r="A314" t="s">
        <v>636</v>
      </c>
      <c r="D314" s="48" t="s">
        <v>657</v>
      </c>
      <c r="E314" s="48">
        <v>0.12989999999999999</v>
      </c>
    </row>
    <row r="315" spans="1:5">
      <c r="A315" t="s">
        <v>636</v>
      </c>
      <c r="D315" s="48" t="s">
        <v>658</v>
      </c>
      <c r="E315" s="48">
        <f>E313*E314</f>
        <v>8.5016951999999979E-2</v>
      </c>
    </row>
    <row r="316" spans="1:5">
      <c r="A316" t="s">
        <v>636</v>
      </c>
    </row>
    <row r="317" spans="1:5">
      <c r="A317" t="s">
        <v>636</v>
      </c>
    </row>
    <row r="318" spans="1:5">
      <c r="A318" t="s">
        <v>636</v>
      </c>
      <c r="C318" t="s">
        <v>396</v>
      </c>
      <c r="D318" t="s">
        <v>659</v>
      </c>
    </row>
    <row r="319" spans="1:5">
      <c r="A319" t="s">
        <v>636</v>
      </c>
      <c r="D319" t="s">
        <v>660</v>
      </c>
    </row>
    <row r="320" spans="1:5" ht="72">
      <c r="A320" t="s">
        <v>636</v>
      </c>
      <c r="D320" s="136" t="s">
        <v>661</v>
      </c>
    </row>
    <row r="321" spans="1:6">
      <c r="A321" t="s">
        <v>636</v>
      </c>
      <c r="D321" t="s">
        <v>662</v>
      </c>
      <c r="E321">
        <v>0.55000000000000004</v>
      </c>
    </row>
    <row r="322" spans="1:6">
      <c r="A322" t="s">
        <v>636</v>
      </c>
      <c r="D322" s="48" t="s">
        <v>654</v>
      </c>
      <c r="E322" s="48">
        <v>0.72719999999999996</v>
      </c>
    </row>
    <row r="323" spans="1:6">
      <c r="A323" t="s">
        <v>636</v>
      </c>
      <c r="D323" s="48" t="s">
        <v>656</v>
      </c>
      <c r="E323" s="48">
        <f>E321*E322</f>
        <v>0.39995999999999998</v>
      </c>
    </row>
    <row r="324" spans="1:6">
      <c r="A324" t="s">
        <v>636</v>
      </c>
      <c r="D324" s="48" t="s">
        <v>657</v>
      </c>
      <c r="E324" s="48">
        <v>0.12989999999999999</v>
      </c>
    </row>
    <row r="325" spans="1:6">
      <c r="A325" t="s">
        <v>636</v>
      </c>
      <c r="D325" s="48" t="s">
        <v>658</v>
      </c>
      <c r="E325" s="48">
        <f>E323*E324</f>
        <v>5.1954803999999993E-2</v>
      </c>
    </row>
    <row r="326" spans="1:6">
      <c r="A326" t="s">
        <v>636</v>
      </c>
    </row>
    <row r="327" spans="1:6">
      <c r="A327" t="s">
        <v>636</v>
      </c>
    </row>
    <row r="328" spans="1:6">
      <c r="A328" t="s">
        <v>636</v>
      </c>
      <c r="C328" t="s">
        <v>420</v>
      </c>
      <c r="D328" t="s">
        <v>663</v>
      </c>
    </row>
    <row r="329" spans="1:6">
      <c r="A329" t="s">
        <v>636</v>
      </c>
      <c r="D329" t="s">
        <v>664</v>
      </c>
    </row>
    <row r="330" spans="1:6" ht="15" thickBot="1">
      <c r="A330" t="s">
        <v>636</v>
      </c>
      <c r="D330" s="160" t="s">
        <v>665</v>
      </c>
    </row>
    <row r="331" spans="1:6" ht="21" thickBot="1">
      <c r="A331" t="s">
        <v>636</v>
      </c>
      <c r="D331" s="177" t="s">
        <v>666</v>
      </c>
      <c r="E331" s="177" t="s">
        <v>667</v>
      </c>
      <c r="F331" s="157" t="s">
        <v>668</v>
      </c>
    </row>
    <row r="332" spans="1:6">
      <c r="A332" t="s">
        <v>636</v>
      </c>
      <c r="D332" s="175" t="s">
        <v>196</v>
      </c>
      <c r="E332" s="176" t="s">
        <v>669</v>
      </c>
      <c r="F332" s="156" t="s">
        <v>670</v>
      </c>
    </row>
    <row r="333" spans="1:6">
      <c r="A333" t="s">
        <v>636</v>
      </c>
      <c r="D333" s="175" t="s">
        <v>671</v>
      </c>
      <c r="E333" s="176" t="s">
        <v>672</v>
      </c>
      <c r="F333" s="156" t="s">
        <v>673</v>
      </c>
    </row>
    <row r="334" spans="1:6" ht="28.8">
      <c r="A334" t="s">
        <v>636</v>
      </c>
      <c r="D334" s="175" t="s">
        <v>674</v>
      </c>
      <c r="E334" s="176" t="s">
        <v>675</v>
      </c>
      <c r="F334" s="156">
        <v>17.34</v>
      </c>
    </row>
    <row r="335" spans="1:6" ht="15" thickBot="1">
      <c r="A335" t="s">
        <v>636</v>
      </c>
      <c r="D335" s="178" t="s">
        <v>676</v>
      </c>
      <c r="E335" s="178" t="s">
        <v>677</v>
      </c>
      <c r="F335" s="158">
        <v>8.9</v>
      </c>
    </row>
    <row r="336" spans="1:6">
      <c r="A336" t="s">
        <v>636</v>
      </c>
    </row>
    <row r="337" spans="1:6">
      <c r="A337" t="s">
        <v>636</v>
      </c>
      <c r="D337" s="48" t="s">
        <v>658</v>
      </c>
      <c r="E337" s="48"/>
      <c r="F337" s="48">
        <v>8.8999999999999996E-2</v>
      </c>
    </row>
    <row r="338" spans="1:6">
      <c r="A338" t="s">
        <v>636</v>
      </c>
    </row>
    <row r="339" spans="1:6">
      <c r="A339" t="s">
        <v>636</v>
      </c>
    </row>
    <row r="340" spans="1:6">
      <c r="A340" t="s">
        <v>636</v>
      </c>
      <c r="C340" t="s">
        <v>425</v>
      </c>
      <c r="D340" t="s">
        <v>678</v>
      </c>
    </row>
    <row r="341" spans="1:6" ht="15" thickBot="1">
      <c r="A341" t="s">
        <v>636</v>
      </c>
      <c r="D341" t="s">
        <v>646</v>
      </c>
    </row>
    <row r="342" spans="1:6" ht="21" thickBot="1">
      <c r="A342" t="s">
        <v>636</v>
      </c>
      <c r="D342" s="177" t="s">
        <v>666</v>
      </c>
      <c r="E342" s="177" t="s">
        <v>667</v>
      </c>
      <c r="F342" s="157" t="s">
        <v>668</v>
      </c>
    </row>
    <row r="343" spans="1:6">
      <c r="A343" t="s">
        <v>636</v>
      </c>
      <c r="D343" s="175" t="s">
        <v>196</v>
      </c>
      <c r="E343" s="176" t="s">
        <v>669</v>
      </c>
      <c r="F343" s="156" t="s">
        <v>670</v>
      </c>
    </row>
    <row r="344" spans="1:6">
      <c r="A344" t="s">
        <v>636</v>
      </c>
    </row>
    <row r="345" spans="1:6">
      <c r="A345" t="s">
        <v>636</v>
      </c>
      <c r="D345" s="48" t="s">
        <v>658</v>
      </c>
      <c r="E345" s="48"/>
      <c r="F345" s="48">
        <v>0.105</v>
      </c>
    </row>
    <row r="346" spans="1:6">
      <c r="A346" t="s">
        <v>636</v>
      </c>
    </row>
    <row r="347" spans="1:6">
      <c r="A347" t="s">
        <v>636</v>
      </c>
    </row>
    <row r="348" spans="1:6">
      <c r="A348" t="s">
        <v>636</v>
      </c>
      <c r="B348" t="s">
        <v>443</v>
      </c>
      <c r="C348" t="s">
        <v>638</v>
      </c>
      <c r="D348" t="s">
        <v>639</v>
      </c>
    </row>
    <row r="349" spans="1:6">
      <c r="A349" t="s">
        <v>636</v>
      </c>
      <c r="D349" t="s">
        <v>640</v>
      </c>
    </row>
    <row r="350" spans="1:6">
      <c r="A350" t="s">
        <v>636</v>
      </c>
    </row>
    <row r="351" spans="1:6">
      <c r="A351" t="s">
        <v>636</v>
      </c>
      <c r="D351" s="48" t="s">
        <v>641</v>
      </c>
      <c r="E351" s="48">
        <v>0.72719999999999996</v>
      </c>
    </row>
    <row r="352" spans="1:6">
      <c r="A352" t="s">
        <v>636</v>
      </c>
      <c r="D352" s="48" t="s">
        <v>642</v>
      </c>
      <c r="E352" s="48">
        <v>6.7400000000000002E-2</v>
      </c>
    </row>
    <row r="353" spans="1:8">
      <c r="A353" t="s">
        <v>636</v>
      </c>
      <c r="D353" s="48" t="s">
        <v>643</v>
      </c>
      <c r="E353" s="48">
        <f>E351*E352</f>
        <v>4.9013279999999999E-2</v>
      </c>
    </row>
    <row r="358" spans="1:8">
      <c r="A358" t="s">
        <v>679</v>
      </c>
      <c r="C358" t="s">
        <v>638</v>
      </c>
      <c r="D358" t="s">
        <v>680</v>
      </c>
    </row>
    <row r="359" spans="1:8">
      <c r="A359" t="s">
        <v>679</v>
      </c>
      <c r="D359" s="184" t="s">
        <v>7017</v>
      </c>
    </row>
    <row r="360" spans="1:8">
      <c r="A360" t="s">
        <v>679</v>
      </c>
      <c r="D360">
        <v>180</v>
      </c>
      <c r="E360">
        <v>126</v>
      </c>
    </row>
    <row r="361" spans="1:8">
      <c r="A361" t="s">
        <v>679</v>
      </c>
      <c r="D361" t="s">
        <v>682</v>
      </c>
      <c r="E361">
        <f>1/180*126</f>
        <v>0.70000000000000007</v>
      </c>
    </row>
    <row r="362" spans="1:8">
      <c r="A362" t="s">
        <v>679</v>
      </c>
    </row>
    <row r="363" spans="1:8">
      <c r="A363" t="s">
        <v>679</v>
      </c>
      <c r="B363" t="s">
        <v>637</v>
      </c>
      <c r="C363" t="s">
        <v>197</v>
      </c>
      <c r="D363" t="s">
        <v>683</v>
      </c>
    </row>
    <row r="364" spans="1:8">
      <c r="A364" t="s">
        <v>679</v>
      </c>
      <c r="D364" t="s">
        <v>684</v>
      </c>
    </row>
    <row r="365" spans="1:8">
      <c r="A365" t="s">
        <v>679</v>
      </c>
    </row>
    <row r="366" spans="1:8" ht="15.6">
      <c r="A366" t="s">
        <v>679</v>
      </c>
      <c r="H366" t="s">
        <v>685</v>
      </c>
    </row>
    <row r="367" spans="1:8" ht="15.6">
      <c r="A367" t="s">
        <v>679</v>
      </c>
      <c r="H367" t="s">
        <v>686</v>
      </c>
    </row>
    <row r="368" spans="1:8" ht="15.6">
      <c r="A368" t="s">
        <v>679</v>
      </c>
      <c r="H368" t="s">
        <v>687</v>
      </c>
    </row>
    <row r="369" spans="1:8" ht="15.6">
      <c r="A369" t="s">
        <v>679</v>
      </c>
      <c r="H369" t="s">
        <v>688</v>
      </c>
    </row>
    <row r="370" spans="1:8">
      <c r="A370" t="s">
        <v>679</v>
      </c>
    </row>
    <row r="371" spans="1:8">
      <c r="A371" t="s">
        <v>679</v>
      </c>
    </row>
    <row r="372" spans="1:8">
      <c r="A372" t="s">
        <v>679</v>
      </c>
    </row>
    <row r="373" spans="1:8">
      <c r="A373" t="s">
        <v>679</v>
      </c>
    </row>
    <row r="374" spans="1:8">
      <c r="A374" t="s">
        <v>679</v>
      </c>
    </row>
    <row r="375" spans="1:8">
      <c r="A375" t="s">
        <v>679</v>
      </c>
    </row>
    <row r="376" spans="1:8">
      <c r="A376" t="s">
        <v>679</v>
      </c>
    </row>
    <row r="377" spans="1:8">
      <c r="A377" t="s">
        <v>679</v>
      </c>
    </row>
    <row r="378" spans="1:8">
      <c r="A378" t="s">
        <v>679</v>
      </c>
      <c r="D378" t="s">
        <v>689</v>
      </c>
    </row>
    <row r="379" spans="1:8">
      <c r="A379" t="s">
        <v>679</v>
      </c>
      <c r="D379" s="48" t="s">
        <v>690</v>
      </c>
      <c r="E379" s="48">
        <v>35.200000000000003</v>
      </c>
      <c r="F379" s="48">
        <v>17.3</v>
      </c>
    </row>
    <row r="380" spans="1:8">
      <c r="A380" t="s">
        <v>679</v>
      </c>
      <c r="D380" s="48" t="s">
        <v>691</v>
      </c>
      <c r="E380" s="48">
        <f>AVERAGE(E379:F379)</f>
        <v>26.25</v>
      </c>
      <c r="F380" s="48"/>
    </row>
    <row r="381" spans="1:8">
      <c r="A381" t="s">
        <v>679</v>
      </c>
      <c r="D381" s="48" t="s">
        <v>692</v>
      </c>
      <c r="E381" s="48">
        <v>0.82666666666666699</v>
      </c>
      <c r="F381" s="48"/>
    </row>
    <row r="382" spans="1:8">
      <c r="A382" t="s">
        <v>679</v>
      </c>
      <c r="D382" s="48" t="s">
        <v>693</v>
      </c>
      <c r="E382" s="48">
        <f>E381/180</f>
        <v>4.5925925925925943E-3</v>
      </c>
      <c r="F382" s="48"/>
    </row>
    <row r="383" spans="1:8">
      <c r="A383" t="s">
        <v>679</v>
      </c>
      <c r="D383" s="48" t="s">
        <v>694</v>
      </c>
      <c r="E383" s="48">
        <f>E382*E379%</f>
        <v>1.6165925925925933E-3</v>
      </c>
      <c r="F383" s="48"/>
    </row>
    <row r="384" spans="1:8">
      <c r="A384" t="s">
        <v>679</v>
      </c>
      <c r="D384" s="48" t="s">
        <v>695</v>
      </c>
      <c r="E384" s="48">
        <f>E383*126</f>
        <v>0.20369066666666674</v>
      </c>
      <c r="F384" s="48"/>
    </row>
    <row r="385" spans="1:11">
      <c r="A385" t="s">
        <v>679</v>
      </c>
    </row>
    <row r="386" spans="1:11">
      <c r="A386" t="s">
        <v>679</v>
      </c>
    </row>
    <row r="387" spans="1:11">
      <c r="A387" t="s">
        <v>679</v>
      </c>
      <c r="C387" t="s">
        <v>226</v>
      </c>
      <c r="D387" s="7" t="s">
        <v>696</v>
      </c>
    </row>
    <row r="388" spans="1:11">
      <c r="A388" t="s">
        <v>679</v>
      </c>
      <c r="D388" t="s">
        <v>697</v>
      </c>
    </row>
    <row r="389" spans="1:11">
      <c r="A389" t="s">
        <v>679</v>
      </c>
    </row>
    <row r="390" spans="1:11" ht="15" thickBot="1">
      <c r="A390" t="s">
        <v>679</v>
      </c>
      <c r="D390" s="61" t="s">
        <v>698</v>
      </c>
    </row>
    <row r="391" spans="1:11" ht="15.6">
      <c r="A391" t="s">
        <v>679</v>
      </c>
      <c r="D391" s="275" t="s">
        <v>699</v>
      </c>
      <c r="E391" s="276" t="s">
        <v>700</v>
      </c>
      <c r="F391" s="276" t="s">
        <v>430</v>
      </c>
      <c r="G391" s="276" t="s">
        <v>701</v>
      </c>
      <c r="H391" s="276" t="s">
        <v>702</v>
      </c>
      <c r="I391" s="277" t="s">
        <v>207</v>
      </c>
      <c r="K391" s="276"/>
    </row>
    <row r="392" spans="1:11" ht="46.8">
      <c r="A392" t="s">
        <v>679</v>
      </c>
      <c r="D392" s="181" t="s">
        <v>703</v>
      </c>
      <c r="E392" s="179" t="s">
        <v>704</v>
      </c>
      <c r="F392" s="179" t="s">
        <v>705</v>
      </c>
      <c r="G392" s="179" t="s">
        <v>706</v>
      </c>
      <c r="H392" s="180">
        <v>0.42799999999999999</v>
      </c>
      <c r="I392" s="182" t="s">
        <v>707</v>
      </c>
      <c r="K392" s="142"/>
    </row>
    <row r="393" spans="1:11" ht="31.2">
      <c r="A393" t="s">
        <v>679</v>
      </c>
      <c r="D393" s="181" t="s">
        <v>84</v>
      </c>
      <c r="E393" s="179" t="s">
        <v>708</v>
      </c>
      <c r="F393" s="179" t="s">
        <v>709</v>
      </c>
      <c r="G393" s="179" t="s">
        <v>710</v>
      </c>
      <c r="H393" s="180">
        <v>0.17599999999999999</v>
      </c>
      <c r="I393" s="182" t="s">
        <v>711</v>
      </c>
      <c r="K393" s="142"/>
    </row>
    <row r="394" spans="1:11" ht="31.2">
      <c r="A394" t="s">
        <v>679</v>
      </c>
      <c r="D394" s="181" t="s">
        <v>84</v>
      </c>
      <c r="E394" s="179" t="s">
        <v>712</v>
      </c>
      <c r="F394" s="179" t="s">
        <v>713</v>
      </c>
      <c r="G394" s="179" t="s">
        <v>706</v>
      </c>
      <c r="H394" s="179" t="s">
        <v>714</v>
      </c>
      <c r="I394" s="183" t="s">
        <v>677</v>
      </c>
      <c r="K394" s="142"/>
    </row>
    <row r="395" spans="1:11" ht="31.2">
      <c r="A395" t="s">
        <v>679</v>
      </c>
      <c r="D395" s="181" t="s">
        <v>715</v>
      </c>
      <c r="E395" s="179" t="s">
        <v>716</v>
      </c>
      <c r="F395" s="179" t="s">
        <v>717</v>
      </c>
      <c r="G395" s="179" t="s">
        <v>718</v>
      </c>
      <c r="H395" s="179" t="s">
        <v>719</v>
      </c>
      <c r="I395" s="182" t="s">
        <v>720</v>
      </c>
      <c r="K395" s="142"/>
    </row>
    <row r="396" spans="1:11" ht="31.2">
      <c r="A396" t="s">
        <v>679</v>
      </c>
      <c r="D396" s="181" t="s">
        <v>93</v>
      </c>
      <c r="E396" s="179" t="s">
        <v>721</v>
      </c>
      <c r="F396" s="179" t="s">
        <v>722</v>
      </c>
      <c r="G396" s="179" t="s">
        <v>723</v>
      </c>
      <c r="H396" s="179" t="s">
        <v>724</v>
      </c>
      <c r="I396" s="182" t="s">
        <v>725</v>
      </c>
      <c r="K396" s="142"/>
    </row>
    <row r="397" spans="1:11" ht="31.2">
      <c r="A397" t="s">
        <v>679</v>
      </c>
      <c r="D397" s="181" t="s">
        <v>93</v>
      </c>
      <c r="E397" s="179" t="s">
        <v>726</v>
      </c>
      <c r="F397" s="179" t="s">
        <v>722</v>
      </c>
      <c r="G397" s="179" t="s">
        <v>723</v>
      </c>
      <c r="H397" s="179" t="s">
        <v>727</v>
      </c>
      <c r="I397" s="182" t="s">
        <v>725</v>
      </c>
      <c r="K397" s="142"/>
    </row>
    <row r="398" spans="1:11" ht="31.2">
      <c r="A398" t="s">
        <v>679</v>
      </c>
      <c r="D398" s="181" t="s">
        <v>93</v>
      </c>
      <c r="E398" s="179" t="s">
        <v>728</v>
      </c>
      <c r="F398" s="179" t="s">
        <v>722</v>
      </c>
      <c r="G398" s="179" t="s">
        <v>723</v>
      </c>
      <c r="H398" s="179" t="s">
        <v>729</v>
      </c>
      <c r="I398" s="182" t="s">
        <v>725</v>
      </c>
      <c r="K398" s="142"/>
    </row>
    <row r="399" spans="1:11">
      <c r="A399" t="s">
        <v>679</v>
      </c>
      <c r="D399" t="s">
        <v>93</v>
      </c>
      <c r="E399" t="s">
        <v>730</v>
      </c>
      <c r="F399" t="s">
        <v>713</v>
      </c>
      <c r="G399" t="s">
        <v>706</v>
      </c>
      <c r="H399" t="s">
        <v>731</v>
      </c>
      <c r="I399" t="s">
        <v>677</v>
      </c>
      <c r="K399" s="142"/>
    </row>
    <row r="400" spans="1:11" ht="31.2">
      <c r="A400" t="s">
        <v>679</v>
      </c>
      <c r="D400" s="181" t="s">
        <v>732</v>
      </c>
      <c r="E400" s="179" t="s">
        <v>733</v>
      </c>
      <c r="F400" s="179" t="s">
        <v>734</v>
      </c>
      <c r="G400" s="179" t="s">
        <v>723</v>
      </c>
      <c r="H400" s="179" t="s">
        <v>735</v>
      </c>
      <c r="I400" s="182" t="s">
        <v>736</v>
      </c>
      <c r="K400" s="142"/>
    </row>
    <row r="401" spans="1:11" ht="31.2">
      <c r="A401" t="s">
        <v>679</v>
      </c>
      <c r="D401" s="181" t="s">
        <v>737</v>
      </c>
      <c r="E401" s="179" t="s">
        <v>738</v>
      </c>
      <c r="F401" s="179" t="s">
        <v>734</v>
      </c>
      <c r="G401" s="179" t="s">
        <v>723</v>
      </c>
      <c r="H401" s="179" t="s">
        <v>739</v>
      </c>
      <c r="I401" s="182" t="s">
        <v>740</v>
      </c>
      <c r="J401" s="140"/>
      <c r="K401" s="142"/>
    </row>
    <row r="402" spans="1:11" ht="31.2">
      <c r="A402" t="s">
        <v>679</v>
      </c>
      <c r="D402" s="181" t="s">
        <v>737</v>
      </c>
      <c r="E402" s="179" t="s">
        <v>733</v>
      </c>
      <c r="F402" s="179" t="s">
        <v>741</v>
      </c>
      <c r="G402" s="179" t="s">
        <v>723</v>
      </c>
      <c r="H402" s="179" t="s">
        <v>742</v>
      </c>
      <c r="I402" s="182" t="s">
        <v>743</v>
      </c>
      <c r="J402" s="140"/>
      <c r="K402" s="142"/>
    </row>
    <row r="403" spans="1:11" ht="31.2">
      <c r="A403" t="s">
        <v>679</v>
      </c>
      <c r="D403" s="181" t="s">
        <v>737</v>
      </c>
      <c r="E403" s="179" t="s">
        <v>744</v>
      </c>
      <c r="F403" s="179" t="s">
        <v>745</v>
      </c>
      <c r="G403" s="179" t="s">
        <v>723</v>
      </c>
      <c r="H403" s="179" t="s">
        <v>746</v>
      </c>
      <c r="I403" s="182" t="s">
        <v>740</v>
      </c>
      <c r="K403" s="142"/>
    </row>
    <row r="404" spans="1:11" ht="29.4" thickBot="1">
      <c r="A404" t="s">
        <v>679</v>
      </c>
      <c r="D404" s="187" t="s">
        <v>737</v>
      </c>
      <c r="E404" s="188" t="s">
        <v>730</v>
      </c>
      <c r="F404" s="188" t="s">
        <v>713</v>
      </c>
      <c r="G404" s="188" t="s">
        <v>706</v>
      </c>
      <c r="H404" s="188" t="s">
        <v>747</v>
      </c>
      <c r="I404" s="189" t="s">
        <v>677</v>
      </c>
      <c r="K404" s="142"/>
    </row>
    <row r="405" spans="1:11" ht="15.6">
      <c r="A405" t="s">
        <v>679</v>
      </c>
      <c r="D405" s="185"/>
      <c r="E405" s="179"/>
      <c r="F405" s="179"/>
      <c r="G405" s="179"/>
      <c r="H405" s="179"/>
      <c r="I405" s="179"/>
      <c r="K405" s="142"/>
    </row>
    <row r="406" spans="1:11" ht="15.6">
      <c r="A406" t="s">
        <v>679</v>
      </c>
      <c r="D406" s="48" t="s">
        <v>690</v>
      </c>
      <c r="E406" s="51">
        <v>18.600000000000001</v>
      </c>
      <c r="F406" s="179"/>
      <c r="G406" s="179"/>
      <c r="H406" s="179"/>
      <c r="I406" s="179"/>
      <c r="K406" s="142"/>
    </row>
    <row r="407" spans="1:11" ht="15.6">
      <c r="A407" t="s">
        <v>679</v>
      </c>
      <c r="D407" s="48" t="s">
        <v>692</v>
      </c>
      <c r="E407" s="48">
        <v>0.82666666666666699</v>
      </c>
      <c r="F407" s="179"/>
      <c r="G407" s="179"/>
      <c r="H407" s="179"/>
      <c r="I407" s="179"/>
      <c r="K407" s="142"/>
    </row>
    <row r="408" spans="1:11" ht="15.6">
      <c r="A408" t="s">
        <v>679</v>
      </c>
      <c r="D408" s="48" t="s">
        <v>693</v>
      </c>
      <c r="E408" s="48">
        <f>E407/180</f>
        <v>4.5925925925925943E-3</v>
      </c>
      <c r="F408" s="179"/>
      <c r="G408" s="179"/>
      <c r="H408" s="179"/>
      <c r="I408" s="179"/>
      <c r="K408" s="142"/>
    </row>
    <row r="409" spans="1:11">
      <c r="A409" t="s">
        <v>679</v>
      </c>
      <c r="D409" s="48" t="s">
        <v>748</v>
      </c>
      <c r="E409" s="48">
        <f>E408*E406%</f>
        <v>8.5422222222222269E-4</v>
      </c>
    </row>
    <row r="410" spans="1:11">
      <c r="A410" t="s">
        <v>679</v>
      </c>
      <c r="D410" s="48" t="s">
        <v>695</v>
      </c>
      <c r="E410" s="48">
        <f>E409*126</f>
        <v>0.10763200000000006</v>
      </c>
    </row>
    <row r="411" spans="1:11">
      <c r="A411" t="s">
        <v>679</v>
      </c>
    </row>
    <row r="412" spans="1:11">
      <c r="A412" t="s">
        <v>679</v>
      </c>
    </row>
    <row r="413" spans="1:11">
      <c r="A413" t="s">
        <v>679</v>
      </c>
    </row>
    <row r="414" spans="1:11">
      <c r="A414" t="s">
        <v>679</v>
      </c>
      <c r="C414" t="s">
        <v>396</v>
      </c>
      <c r="D414" s="7" t="s">
        <v>749</v>
      </c>
    </row>
    <row r="415" spans="1:11">
      <c r="A415" t="s">
        <v>679</v>
      </c>
      <c r="D415" t="s">
        <v>750</v>
      </c>
    </row>
    <row r="416" spans="1:11" ht="15" thickBot="1">
      <c r="A416" t="s">
        <v>679</v>
      </c>
    </row>
    <row r="417" spans="1:10" ht="28.8">
      <c r="A417" t="s">
        <v>679</v>
      </c>
      <c r="D417" s="275" t="s">
        <v>699</v>
      </c>
      <c r="E417" s="276" t="s">
        <v>700</v>
      </c>
      <c r="F417" s="276" t="s">
        <v>430</v>
      </c>
      <c r="G417" s="276" t="s">
        <v>701</v>
      </c>
      <c r="H417" s="276" t="s">
        <v>702</v>
      </c>
      <c r="I417" s="68" t="s">
        <v>751</v>
      </c>
    </row>
    <row r="418" spans="1:10" ht="31.2">
      <c r="A418" t="s">
        <v>679</v>
      </c>
      <c r="D418" s="181" t="s">
        <v>737</v>
      </c>
      <c r="E418" s="179" t="s">
        <v>738</v>
      </c>
      <c r="F418" s="179" t="s">
        <v>734</v>
      </c>
      <c r="G418" s="179" t="s">
        <v>723</v>
      </c>
      <c r="H418" s="179" t="s">
        <v>739</v>
      </c>
      <c r="I418" s="48">
        <v>0.18099999999999999</v>
      </c>
    </row>
    <row r="419" spans="1:10" ht="15.6">
      <c r="A419" t="s">
        <v>679</v>
      </c>
      <c r="D419" s="181"/>
      <c r="E419" s="179"/>
      <c r="F419" s="179"/>
      <c r="G419" s="179"/>
      <c r="H419" s="179"/>
    </row>
    <row r="420" spans="1:10" ht="15.6">
      <c r="A420" t="s">
        <v>679</v>
      </c>
      <c r="D420" s="181"/>
      <c r="E420" s="179"/>
      <c r="F420" s="179"/>
      <c r="G420" s="179"/>
      <c r="H420" s="179"/>
    </row>
    <row r="421" spans="1:10" ht="15.6">
      <c r="A421" t="s">
        <v>679</v>
      </c>
      <c r="D421" s="181"/>
      <c r="E421" s="179"/>
      <c r="F421" s="179"/>
      <c r="G421" s="179"/>
      <c r="H421" s="179"/>
      <c r="J421" s="186" t="s">
        <v>752</v>
      </c>
    </row>
    <row r="422" spans="1:10" ht="15.6">
      <c r="A422" t="s">
        <v>679</v>
      </c>
      <c r="D422" s="181"/>
      <c r="E422" s="179"/>
      <c r="F422" s="179"/>
      <c r="G422" s="179"/>
      <c r="H422" s="179"/>
    </row>
    <row r="423" spans="1:10" ht="15.6">
      <c r="A423" t="s">
        <v>679</v>
      </c>
      <c r="D423" s="185"/>
      <c r="E423" s="179"/>
      <c r="F423" s="179"/>
      <c r="G423" s="179"/>
      <c r="H423" s="179"/>
    </row>
    <row r="424" spans="1:10" ht="15.6">
      <c r="A424" t="s">
        <v>679</v>
      </c>
      <c r="D424" s="185"/>
      <c r="E424" s="179"/>
      <c r="F424" s="179"/>
      <c r="G424" s="179"/>
      <c r="H424" s="179"/>
    </row>
    <row r="425" spans="1:10" ht="15.6">
      <c r="A425" t="s">
        <v>679</v>
      </c>
      <c r="D425" s="185"/>
      <c r="E425" s="179"/>
      <c r="F425" s="179"/>
      <c r="G425" s="179"/>
      <c r="H425" s="179"/>
    </row>
    <row r="426" spans="1:10" ht="16.2" thickBot="1">
      <c r="A426" t="s">
        <v>679</v>
      </c>
      <c r="D426" s="181"/>
      <c r="E426" s="179"/>
      <c r="F426" s="179"/>
      <c r="G426" s="179"/>
      <c r="H426" s="179"/>
    </row>
    <row r="427" spans="1:10" ht="28.8">
      <c r="A427" t="s">
        <v>679</v>
      </c>
      <c r="D427" s="275" t="s">
        <v>699</v>
      </c>
      <c r="E427" s="276" t="s">
        <v>700</v>
      </c>
      <c r="F427" s="276" t="s">
        <v>430</v>
      </c>
      <c r="G427" s="276" t="s">
        <v>701</v>
      </c>
      <c r="H427" s="276" t="s">
        <v>702</v>
      </c>
      <c r="I427" s="68" t="s">
        <v>7198</v>
      </c>
    </row>
    <row r="428" spans="1:10" ht="31.2">
      <c r="A428" t="s">
        <v>679</v>
      </c>
      <c r="D428" s="181" t="s">
        <v>737</v>
      </c>
      <c r="E428" s="179" t="s">
        <v>744</v>
      </c>
      <c r="F428" s="179" t="s">
        <v>745</v>
      </c>
      <c r="G428" s="179" t="s">
        <v>723</v>
      </c>
      <c r="H428" s="179" t="s">
        <v>746</v>
      </c>
      <c r="I428" s="48">
        <f xml:space="preserve"> (8.1+9.5)/2</f>
        <v>8.8000000000000007</v>
      </c>
    </row>
    <row r="429" spans="1:10">
      <c r="A429" t="s">
        <v>679</v>
      </c>
    </row>
    <row r="430" spans="1:10">
      <c r="A430" t="s">
        <v>679</v>
      </c>
      <c r="I430" s="186" t="s">
        <v>753</v>
      </c>
    </row>
    <row r="431" spans="1:10">
      <c r="A431" t="s">
        <v>679</v>
      </c>
      <c r="I431" t="s">
        <v>754</v>
      </c>
    </row>
    <row r="432" spans="1:10">
      <c r="A432" t="s">
        <v>679</v>
      </c>
      <c r="I432" t="s">
        <v>755</v>
      </c>
    </row>
    <row r="433" spans="1:5">
      <c r="A433" t="s">
        <v>679</v>
      </c>
    </row>
    <row r="434" spans="1:5">
      <c r="A434" t="s">
        <v>679</v>
      </c>
    </row>
    <row r="435" spans="1:5">
      <c r="A435" t="s">
        <v>679</v>
      </c>
    </row>
    <row r="436" spans="1:5">
      <c r="A436" t="s">
        <v>679</v>
      </c>
    </row>
    <row r="437" spans="1:5">
      <c r="A437" t="s">
        <v>679</v>
      </c>
    </row>
    <row r="438" spans="1:5">
      <c r="A438" t="s">
        <v>679</v>
      </c>
    </row>
    <row r="439" spans="1:5">
      <c r="A439" t="s">
        <v>679</v>
      </c>
    </row>
    <row r="440" spans="1:5">
      <c r="A440" t="s">
        <v>679</v>
      </c>
      <c r="D440" s="48" t="s">
        <v>690</v>
      </c>
      <c r="E440" s="48">
        <v>8.8000000000000007</v>
      </c>
    </row>
    <row r="441" spans="1:5">
      <c r="A441" t="s">
        <v>679</v>
      </c>
      <c r="D441" s="48" t="s">
        <v>692</v>
      </c>
      <c r="E441" s="48">
        <v>0.82666666666666699</v>
      </c>
    </row>
    <row r="442" spans="1:5">
      <c r="A442" t="s">
        <v>679</v>
      </c>
      <c r="D442" s="48" t="s">
        <v>693</v>
      </c>
      <c r="E442" s="48">
        <f>E441/180</f>
        <v>4.5925925925925943E-3</v>
      </c>
    </row>
    <row r="443" spans="1:5">
      <c r="A443" t="s">
        <v>679</v>
      </c>
      <c r="D443" s="48" t="s">
        <v>748</v>
      </c>
      <c r="E443" s="48">
        <f>E442*E440%</f>
        <v>4.0414814814814832E-4</v>
      </c>
    </row>
    <row r="444" spans="1:5">
      <c r="A444" t="s">
        <v>679</v>
      </c>
      <c r="D444" s="48" t="s">
        <v>695</v>
      </c>
      <c r="E444" s="48">
        <f>E443*126</f>
        <v>5.0922666666666686E-2</v>
      </c>
    </row>
    <row r="445" spans="1:5">
      <c r="A445" t="s">
        <v>679</v>
      </c>
      <c r="D445" s="48"/>
      <c r="E445" s="48"/>
    </row>
    <row r="446" spans="1:5">
      <c r="A446" t="s">
        <v>679</v>
      </c>
      <c r="D446" s="48" t="s">
        <v>510</v>
      </c>
      <c r="E446" s="48">
        <f>AVERAGE(E444,I418)</f>
        <v>0.11596133333333333</v>
      </c>
    </row>
    <row r="447" spans="1:5">
      <c r="A447" t="s">
        <v>679</v>
      </c>
    </row>
    <row r="448" spans="1:5">
      <c r="A448" t="s">
        <v>679</v>
      </c>
    </row>
    <row r="449" spans="1:10">
      <c r="A449" t="s">
        <v>679</v>
      </c>
      <c r="C449" t="s">
        <v>420</v>
      </c>
      <c r="D449" t="s">
        <v>696</v>
      </c>
    </row>
    <row r="450" spans="1:10">
      <c r="A450" t="s">
        <v>679</v>
      </c>
      <c r="D450" t="s">
        <v>697</v>
      </c>
    </row>
    <row r="451" spans="1:10" ht="15" thickBot="1">
      <c r="A451" t="s">
        <v>679</v>
      </c>
      <c r="D451" s="61" t="s">
        <v>698</v>
      </c>
    </row>
    <row r="452" spans="1:10" ht="15.6">
      <c r="A452" t="s">
        <v>679</v>
      </c>
      <c r="D452" s="275" t="s">
        <v>699</v>
      </c>
      <c r="E452" s="276" t="s">
        <v>700</v>
      </c>
      <c r="F452" s="276" t="s">
        <v>430</v>
      </c>
      <c r="G452" s="276" t="s">
        <v>701</v>
      </c>
      <c r="H452" s="276" t="s">
        <v>702</v>
      </c>
      <c r="I452" s="277" t="s">
        <v>207</v>
      </c>
    </row>
    <row r="453" spans="1:10" ht="31.2">
      <c r="A453" t="s">
        <v>679</v>
      </c>
      <c r="D453" s="181" t="s">
        <v>737</v>
      </c>
      <c r="E453" s="179" t="s">
        <v>733</v>
      </c>
      <c r="F453" s="179" t="s">
        <v>741</v>
      </c>
      <c r="G453" s="179" t="s">
        <v>723</v>
      </c>
      <c r="H453" s="179" t="s">
        <v>742</v>
      </c>
      <c r="I453" s="182" t="s">
        <v>743</v>
      </c>
      <c r="J453" s="140">
        <v>0.22600000000000001</v>
      </c>
    </row>
    <row r="454" spans="1:10">
      <c r="A454" t="s">
        <v>679</v>
      </c>
      <c r="D454" s="48" t="s">
        <v>695</v>
      </c>
      <c r="E454" s="51">
        <f>J453</f>
        <v>0.22600000000000001</v>
      </c>
    </row>
    <row r="455" spans="1:10">
      <c r="A455" t="s">
        <v>679</v>
      </c>
    </row>
    <row r="456" spans="1:10">
      <c r="A456" t="s">
        <v>679</v>
      </c>
    </row>
    <row r="457" spans="1:10">
      <c r="A457" t="s">
        <v>679</v>
      </c>
      <c r="C457" t="s">
        <v>425</v>
      </c>
      <c r="D457" t="s">
        <v>756</v>
      </c>
    </row>
    <row r="458" spans="1:10">
      <c r="A458" t="s">
        <v>679</v>
      </c>
      <c r="D458" t="s">
        <v>757</v>
      </c>
    </row>
    <row r="459" spans="1:10">
      <c r="A459" t="s">
        <v>679</v>
      </c>
    </row>
    <row r="460" spans="1:10">
      <c r="A460" t="s">
        <v>679</v>
      </c>
    </row>
    <row r="461" spans="1:10">
      <c r="A461" t="s">
        <v>679</v>
      </c>
    </row>
    <row r="462" spans="1:10">
      <c r="A462" t="s">
        <v>679</v>
      </c>
    </row>
    <row r="463" spans="1:10">
      <c r="A463" t="s">
        <v>679</v>
      </c>
    </row>
    <row r="464" spans="1:10">
      <c r="A464" t="s">
        <v>679</v>
      </c>
    </row>
    <row r="465" spans="1:10">
      <c r="A465" t="s">
        <v>679</v>
      </c>
    </row>
    <row r="466" spans="1:10">
      <c r="A466" t="s">
        <v>679</v>
      </c>
    </row>
    <row r="467" spans="1:10" ht="15" thickBot="1">
      <c r="A467" t="s">
        <v>679</v>
      </c>
      <c r="D467" s="61" t="s">
        <v>758</v>
      </c>
    </row>
    <row r="468" spans="1:10" ht="31.2">
      <c r="A468" t="s">
        <v>679</v>
      </c>
      <c r="D468" s="280" t="s">
        <v>759</v>
      </c>
      <c r="E468" s="281" t="s">
        <v>699</v>
      </c>
      <c r="F468" s="281" t="s">
        <v>760</v>
      </c>
      <c r="G468" s="281" t="s">
        <v>761</v>
      </c>
      <c r="H468" s="281" t="s">
        <v>430</v>
      </c>
      <c r="I468" s="281" t="s">
        <v>762</v>
      </c>
      <c r="J468" s="282" t="s">
        <v>763</v>
      </c>
    </row>
    <row r="469" spans="1:10" ht="15.6">
      <c r="A469" t="s">
        <v>679</v>
      </c>
      <c r="D469" s="191">
        <v>1</v>
      </c>
      <c r="E469" s="190" t="s">
        <v>764</v>
      </c>
      <c r="F469" s="190" t="s">
        <v>765</v>
      </c>
      <c r="G469" s="190" t="s">
        <v>766</v>
      </c>
      <c r="H469" s="190" t="s">
        <v>767</v>
      </c>
      <c r="I469" s="190">
        <v>61</v>
      </c>
      <c r="J469" s="192" t="s">
        <v>768</v>
      </c>
    </row>
    <row r="470" spans="1:10" ht="15.6">
      <c r="A470" t="s">
        <v>679</v>
      </c>
      <c r="D470" s="191">
        <v>2</v>
      </c>
      <c r="E470" s="190" t="s">
        <v>769</v>
      </c>
      <c r="F470" s="190" t="s">
        <v>765</v>
      </c>
      <c r="G470" s="190" t="s">
        <v>770</v>
      </c>
      <c r="H470" s="190" t="s">
        <v>771</v>
      </c>
      <c r="I470" s="190">
        <v>47</v>
      </c>
      <c r="J470" s="192" t="s">
        <v>768</v>
      </c>
    </row>
    <row r="471" spans="1:10" ht="15.6">
      <c r="A471" t="s">
        <v>679</v>
      </c>
      <c r="D471" s="191">
        <v>3</v>
      </c>
      <c r="E471" s="190" t="s">
        <v>772</v>
      </c>
      <c r="F471" s="190" t="s">
        <v>773</v>
      </c>
      <c r="G471" s="190" t="s">
        <v>774</v>
      </c>
      <c r="H471" s="190" t="s">
        <v>767</v>
      </c>
      <c r="I471" s="190">
        <v>64.5</v>
      </c>
      <c r="J471" s="192" t="s">
        <v>775</v>
      </c>
    </row>
    <row r="472" spans="1:10" ht="15.6">
      <c r="A472" t="s">
        <v>679</v>
      </c>
      <c r="D472" s="191">
        <v>4</v>
      </c>
      <c r="E472" s="190" t="s">
        <v>776</v>
      </c>
      <c r="F472" s="190" t="s">
        <v>773</v>
      </c>
      <c r="G472" s="190" t="s">
        <v>777</v>
      </c>
      <c r="H472" s="190" t="s">
        <v>778</v>
      </c>
      <c r="I472" s="190">
        <v>56</v>
      </c>
      <c r="J472" s="192" t="s">
        <v>775</v>
      </c>
    </row>
    <row r="473" spans="1:10" ht="31.2">
      <c r="A473" t="s">
        <v>679</v>
      </c>
      <c r="D473" s="191">
        <v>5</v>
      </c>
      <c r="E473" s="190" t="s">
        <v>772</v>
      </c>
      <c r="F473" s="190" t="s">
        <v>779</v>
      </c>
      <c r="G473" s="190" t="s">
        <v>774</v>
      </c>
      <c r="H473" s="190" t="s">
        <v>767</v>
      </c>
      <c r="I473" s="190">
        <v>58.7</v>
      </c>
      <c r="J473" s="192" t="s">
        <v>775</v>
      </c>
    </row>
    <row r="474" spans="1:10" ht="31.2">
      <c r="A474" t="s">
        <v>679</v>
      </c>
      <c r="D474" s="191">
        <v>6</v>
      </c>
      <c r="E474" s="190" t="s">
        <v>780</v>
      </c>
      <c r="F474" s="190" t="s">
        <v>781</v>
      </c>
      <c r="G474" s="190" t="s">
        <v>782</v>
      </c>
      <c r="H474" s="190" t="s">
        <v>783</v>
      </c>
      <c r="I474" s="190" t="s">
        <v>784</v>
      </c>
      <c r="J474" s="192" t="s">
        <v>785</v>
      </c>
    </row>
    <row r="475" spans="1:10" ht="31.2">
      <c r="A475" t="s">
        <v>679</v>
      </c>
      <c r="D475" s="191">
        <v>7</v>
      </c>
      <c r="E475" s="190" t="s">
        <v>786</v>
      </c>
      <c r="F475" s="190" t="s">
        <v>787</v>
      </c>
      <c r="G475" s="190" t="s">
        <v>788</v>
      </c>
      <c r="H475" s="190" t="s">
        <v>789</v>
      </c>
      <c r="I475" s="190">
        <v>26</v>
      </c>
      <c r="J475" s="192" t="s">
        <v>790</v>
      </c>
    </row>
    <row r="476" spans="1:10" ht="46.8">
      <c r="A476" t="s">
        <v>679</v>
      </c>
      <c r="D476" s="191">
        <v>8</v>
      </c>
      <c r="E476" s="190" t="s">
        <v>786</v>
      </c>
      <c r="F476" s="190" t="s">
        <v>791</v>
      </c>
      <c r="G476" s="190" t="s">
        <v>788</v>
      </c>
      <c r="H476" s="190" t="s">
        <v>792</v>
      </c>
      <c r="I476" s="190">
        <v>20.5</v>
      </c>
      <c r="J476" s="192" t="s">
        <v>793</v>
      </c>
    </row>
    <row r="477" spans="1:10" ht="31.2">
      <c r="A477" t="s">
        <v>679</v>
      </c>
      <c r="D477" s="191">
        <v>9</v>
      </c>
      <c r="E477" s="190" t="s">
        <v>786</v>
      </c>
      <c r="F477" s="190" t="s">
        <v>794</v>
      </c>
      <c r="G477" s="190" t="s">
        <v>788</v>
      </c>
      <c r="H477" s="190" t="s">
        <v>795</v>
      </c>
      <c r="I477" s="190">
        <v>24.3</v>
      </c>
      <c r="J477" s="192" t="s">
        <v>793</v>
      </c>
    </row>
    <row r="478" spans="1:10" ht="15.6">
      <c r="A478" t="s">
        <v>679</v>
      </c>
      <c r="D478" s="191">
        <v>10</v>
      </c>
      <c r="E478" s="190" t="s">
        <v>796</v>
      </c>
      <c r="F478" s="190" t="s">
        <v>797</v>
      </c>
      <c r="G478" s="190" t="s">
        <v>798</v>
      </c>
      <c r="H478" s="190" t="s">
        <v>799</v>
      </c>
      <c r="I478" s="190">
        <v>29.1</v>
      </c>
      <c r="J478" s="192" t="s">
        <v>800</v>
      </c>
    </row>
    <row r="479" spans="1:10" ht="15.6">
      <c r="A479" t="s">
        <v>679</v>
      </c>
      <c r="D479" s="191">
        <v>11</v>
      </c>
      <c r="E479" s="190" t="s">
        <v>796</v>
      </c>
      <c r="F479" s="190" t="s">
        <v>801</v>
      </c>
      <c r="G479" s="190" t="s">
        <v>798</v>
      </c>
      <c r="H479" s="190" t="s">
        <v>802</v>
      </c>
      <c r="I479" s="190">
        <v>64.3</v>
      </c>
      <c r="J479" s="192" t="s">
        <v>800</v>
      </c>
    </row>
    <row r="480" spans="1:10" ht="15.6">
      <c r="A480" t="s">
        <v>679</v>
      </c>
      <c r="D480" s="191">
        <v>12</v>
      </c>
      <c r="E480" s="190" t="s">
        <v>803</v>
      </c>
      <c r="F480" s="190" t="s">
        <v>801</v>
      </c>
      <c r="G480" s="190" t="s">
        <v>804</v>
      </c>
      <c r="H480" s="190" t="s">
        <v>802</v>
      </c>
      <c r="I480" s="190">
        <v>64</v>
      </c>
      <c r="J480" s="192" t="s">
        <v>800</v>
      </c>
    </row>
    <row r="481" spans="1:10">
      <c r="A481" t="s">
        <v>679</v>
      </c>
      <c r="D481" s="196">
        <v>13</v>
      </c>
      <c r="E481" s="197" t="s">
        <v>805</v>
      </c>
      <c r="F481" s="197" t="s">
        <v>801</v>
      </c>
      <c r="G481" s="197" t="s">
        <v>804</v>
      </c>
      <c r="H481" s="197" t="s">
        <v>802</v>
      </c>
      <c r="I481" s="197">
        <v>61.3</v>
      </c>
      <c r="J481" s="198" t="s">
        <v>800</v>
      </c>
    </row>
    <row r="482" spans="1:10" ht="16.2" thickBot="1">
      <c r="A482" t="s">
        <v>679</v>
      </c>
      <c r="D482" s="193">
        <v>14</v>
      </c>
      <c r="E482" s="194" t="s">
        <v>806</v>
      </c>
      <c r="F482" s="194" t="s">
        <v>801</v>
      </c>
      <c r="G482" s="194" t="s">
        <v>804</v>
      </c>
      <c r="H482" s="194" t="s">
        <v>802</v>
      </c>
      <c r="I482" s="194">
        <v>54.5</v>
      </c>
      <c r="J482" s="195" t="s">
        <v>800</v>
      </c>
    </row>
    <row r="483" spans="1:10">
      <c r="A483" t="s">
        <v>679</v>
      </c>
    </row>
    <row r="484" spans="1:10">
      <c r="A484" t="s">
        <v>679</v>
      </c>
    </row>
    <row r="485" spans="1:10">
      <c r="A485" t="s">
        <v>679</v>
      </c>
    </row>
    <row r="486" spans="1:10">
      <c r="A486" t="s">
        <v>679</v>
      </c>
      <c r="D486" s="48" t="s">
        <v>690</v>
      </c>
      <c r="E486" s="48">
        <v>61.3</v>
      </c>
    </row>
    <row r="487" spans="1:10">
      <c r="A487" t="s">
        <v>679</v>
      </c>
      <c r="D487" s="48" t="s">
        <v>692</v>
      </c>
      <c r="E487" s="48">
        <v>0.82666666666666699</v>
      </c>
    </row>
    <row r="488" spans="1:10">
      <c r="A488" t="s">
        <v>679</v>
      </c>
      <c r="D488" s="48" t="s">
        <v>693</v>
      </c>
      <c r="E488" s="48">
        <f>E487/180</f>
        <v>4.5925925925925943E-3</v>
      </c>
    </row>
    <row r="489" spans="1:10">
      <c r="A489" t="s">
        <v>679</v>
      </c>
      <c r="D489" s="48" t="s">
        <v>807</v>
      </c>
      <c r="E489" s="48">
        <f>E488*E486%</f>
        <v>2.8152592592592604E-3</v>
      </c>
    </row>
    <row r="490" spans="1:10">
      <c r="A490" t="s">
        <v>679</v>
      </c>
      <c r="D490" s="48" t="s">
        <v>695</v>
      </c>
      <c r="E490" s="48">
        <f>E489*126</f>
        <v>0.3547226666666668</v>
      </c>
    </row>
    <row r="491" spans="1:10">
      <c r="A491" t="s">
        <v>679</v>
      </c>
    </row>
    <row r="492" spans="1:10">
      <c r="A492" t="s">
        <v>679</v>
      </c>
    </row>
    <row r="493" spans="1:10">
      <c r="A493" t="s">
        <v>679</v>
      </c>
    </row>
    <row r="494" spans="1:10">
      <c r="A494" t="s">
        <v>679</v>
      </c>
      <c r="B494" t="s">
        <v>808</v>
      </c>
      <c r="C494" t="s">
        <v>638</v>
      </c>
      <c r="D494" t="s">
        <v>680</v>
      </c>
    </row>
    <row r="495" spans="1:10">
      <c r="A495" t="s">
        <v>679</v>
      </c>
      <c r="D495" s="184" t="s">
        <v>681</v>
      </c>
    </row>
    <row r="496" spans="1:10">
      <c r="A496" t="s">
        <v>679</v>
      </c>
      <c r="D496">
        <v>180</v>
      </c>
      <c r="E496">
        <v>126</v>
      </c>
    </row>
    <row r="497" spans="1:5">
      <c r="A497" t="s">
        <v>679</v>
      </c>
      <c r="D497" s="48" t="s">
        <v>809</v>
      </c>
      <c r="E497" s="48">
        <f>1/180*126</f>
        <v>0.70000000000000007</v>
      </c>
    </row>
    <row r="498" spans="1:5">
      <c r="A498" t="s">
        <v>679</v>
      </c>
      <c r="D498" s="48" t="s">
        <v>810</v>
      </c>
      <c r="E498" s="48">
        <v>35.084520404040404</v>
      </c>
    </row>
    <row r="499" spans="1:5">
      <c r="A499" t="s">
        <v>679</v>
      </c>
      <c r="D499" s="48" t="s">
        <v>811</v>
      </c>
      <c r="E499" s="48">
        <f>E497*E498%</f>
        <v>0.24559164282828286</v>
      </c>
    </row>
    <row r="500" spans="1:5">
      <c r="A500" t="s">
        <v>679</v>
      </c>
    </row>
    <row r="501" spans="1:5">
      <c r="A501" t="s">
        <v>679</v>
      </c>
      <c r="C501" t="s">
        <v>197</v>
      </c>
      <c r="D501" s="7" t="s">
        <v>812</v>
      </c>
    </row>
    <row r="502" spans="1:5">
      <c r="A502" t="s">
        <v>679</v>
      </c>
      <c r="D502" t="s">
        <v>813</v>
      </c>
    </row>
    <row r="503" spans="1:5">
      <c r="A503" t="s">
        <v>679</v>
      </c>
    </row>
    <row r="504" spans="1:5">
      <c r="A504" t="s">
        <v>679</v>
      </c>
    </row>
    <row r="505" spans="1:5">
      <c r="A505" t="s">
        <v>679</v>
      </c>
    </row>
    <row r="506" spans="1:5">
      <c r="A506" t="s">
        <v>679</v>
      </c>
    </row>
    <row r="507" spans="1:5">
      <c r="A507" t="s">
        <v>679</v>
      </c>
    </row>
    <row r="508" spans="1:5">
      <c r="A508" t="s">
        <v>679</v>
      </c>
      <c r="D508" t="s">
        <v>702</v>
      </c>
      <c r="E508" s="140">
        <v>8.6999999999999994E-2</v>
      </c>
    </row>
    <row r="509" spans="1:5">
      <c r="A509" t="s">
        <v>679</v>
      </c>
      <c r="D509" s="48" t="s">
        <v>690</v>
      </c>
      <c r="E509" s="48">
        <v>8.6999999999999993</v>
      </c>
    </row>
    <row r="510" spans="1:5">
      <c r="A510" t="s">
        <v>679</v>
      </c>
      <c r="D510" s="48" t="s">
        <v>814</v>
      </c>
      <c r="E510" s="48">
        <v>0.35084520404040398</v>
      </c>
    </row>
    <row r="511" spans="1:5">
      <c r="A511" t="s">
        <v>679</v>
      </c>
      <c r="D511" s="48" t="s">
        <v>693</v>
      </c>
      <c r="E511" s="48">
        <f>E510/180</f>
        <v>1.9491400224466889E-3</v>
      </c>
    </row>
    <row r="512" spans="1:5">
      <c r="A512" t="s">
        <v>679</v>
      </c>
      <c r="D512" s="48" t="s">
        <v>807</v>
      </c>
      <c r="E512" s="48">
        <f>E511*E509%</f>
        <v>1.6957518195286192E-4</v>
      </c>
    </row>
    <row r="513" spans="1:6">
      <c r="A513" t="s">
        <v>679</v>
      </c>
      <c r="D513" s="48" t="s">
        <v>695</v>
      </c>
      <c r="E513" s="48">
        <f>E512*126</f>
        <v>2.1366472926060601E-2</v>
      </c>
      <c r="F513" s="274" t="s">
        <v>815</v>
      </c>
    </row>
    <row r="514" spans="1:6">
      <c r="A514" t="s">
        <v>679</v>
      </c>
    </row>
    <row r="515" spans="1:6">
      <c r="A515" t="s">
        <v>679</v>
      </c>
      <c r="C515" t="s">
        <v>226</v>
      </c>
      <c r="D515" t="s">
        <v>816</v>
      </c>
    </row>
    <row r="516" spans="1:6">
      <c r="A516" t="s">
        <v>679</v>
      </c>
      <c r="D516" t="s">
        <v>817</v>
      </c>
    </row>
    <row r="517" spans="1:6">
      <c r="A517" t="s">
        <v>679</v>
      </c>
      <c r="D517" t="s">
        <v>818</v>
      </c>
    </row>
    <row r="518" spans="1:6">
      <c r="A518" t="s">
        <v>679</v>
      </c>
    </row>
    <row r="519" spans="1:6">
      <c r="A519" t="s">
        <v>679</v>
      </c>
    </row>
    <row r="520" spans="1:6">
      <c r="A520" t="s">
        <v>679</v>
      </c>
    </row>
    <row r="521" spans="1:6">
      <c r="A521" t="s">
        <v>679</v>
      </c>
    </row>
    <row r="522" spans="1:6">
      <c r="A522" t="s">
        <v>679</v>
      </c>
    </row>
    <row r="523" spans="1:6">
      <c r="A523" t="s">
        <v>679</v>
      </c>
      <c r="D523" t="s">
        <v>819</v>
      </c>
    </row>
    <row r="524" spans="1:6">
      <c r="A524" t="s">
        <v>679</v>
      </c>
    </row>
    <row r="525" spans="1:6">
      <c r="A525" t="s">
        <v>679</v>
      </c>
    </row>
    <row r="526" spans="1:6">
      <c r="A526" t="s">
        <v>679</v>
      </c>
      <c r="D526" t="s">
        <v>820</v>
      </c>
    </row>
    <row r="527" spans="1:6">
      <c r="A527" t="s">
        <v>679</v>
      </c>
      <c r="D527" t="s">
        <v>821</v>
      </c>
    </row>
    <row r="528" spans="1:6">
      <c r="A528" t="s">
        <v>679</v>
      </c>
      <c r="D528" t="s">
        <v>822</v>
      </c>
    </row>
    <row r="529" spans="1:5">
      <c r="A529" t="s">
        <v>679</v>
      </c>
    </row>
    <row r="530" spans="1:5">
      <c r="A530" t="s">
        <v>679</v>
      </c>
      <c r="D530" t="s">
        <v>702</v>
      </c>
      <c r="E530" s="174">
        <v>0.49</v>
      </c>
    </row>
    <row r="531" spans="1:5">
      <c r="A531" t="s">
        <v>679</v>
      </c>
      <c r="D531" t="s">
        <v>702</v>
      </c>
      <c r="E531" s="174">
        <v>0.52</v>
      </c>
    </row>
    <row r="532" spans="1:5">
      <c r="A532" t="s">
        <v>679</v>
      </c>
      <c r="D532" t="s">
        <v>702</v>
      </c>
      <c r="E532" s="174">
        <v>0.65</v>
      </c>
    </row>
    <row r="533" spans="1:5">
      <c r="A533" t="s">
        <v>679</v>
      </c>
      <c r="D533" s="48" t="s">
        <v>691</v>
      </c>
      <c r="E533" s="50">
        <f>AVERAGE(E530:E532)</f>
        <v>0.55333333333333334</v>
      </c>
    </row>
    <row r="534" spans="1:5">
      <c r="A534" t="s">
        <v>679</v>
      </c>
      <c r="D534" s="48" t="s">
        <v>690</v>
      </c>
      <c r="E534" s="48">
        <v>55</v>
      </c>
    </row>
    <row r="535" spans="1:5">
      <c r="A535" t="s">
        <v>679</v>
      </c>
      <c r="D535" s="48" t="s">
        <v>814</v>
      </c>
      <c r="E535" s="48">
        <v>0.35084520404040398</v>
      </c>
    </row>
    <row r="536" spans="1:5">
      <c r="A536" t="s">
        <v>679</v>
      </c>
      <c r="D536" s="48" t="s">
        <v>693</v>
      </c>
      <c r="E536" s="48">
        <f>E535/180</f>
        <v>1.9491400224466889E-3</v>
      </c>
    </row>
    <row r="537" spans="1:5">
      <c r="A537" t="s">
        <v>679</v>
      </c>
      <c r="D537" s="48" t="s">
        <v>807</v>
      </c>
      <c r="E537" s="48">
        <f>E536*E534%</f>
        <v>1.0720270123456789E-3</v>
      </c>
    </row>
    <row r="538" spans="1:5">
      <c r="A538" t="s">
        <v>679</v>
      </c>
      <c r="D538" s="48" t="s">
        <v>695</v>
      </c>
      <c r="E538" s="48">
        <f>E537*126</f>
        <v>0.13507540355555553</v>
      </c>
    </row>
    <row r="542" spans="1:5">
      <c r="A542" t="s">
        <v>823</v>
      </c>
      <c r="B542" t="s">
        <v>637</v>
      </c>
      <c r="C542" t="s">
        <v>638</v>
      </c>
      <c r="D542" t="s">
        <v>824</v>
      </c>
    </row>
    <row r="543" spans="1:5">
      <c r="A543" t="s">
        <v>823</v>
      </c>
      <c r="D543" t="s">
        <v>825</v>
      </c>
    </row>
    <row r="544" spans="1:5">
      <c r="A544" t="s">
        <v>823</v>
      </c>
    </row>
    <row r="545" spans="1:1">
      <c r="A545" t="s">
        <v>823</v>
      </c>
    </row>
    <row r="546" spans="1:1">
      <c r="A546" t="s">
        <v>823</v>
      </c>
    </row>
    <row r="547" spans="1:1">
      <c r="A547" t="s">
        <v>823</v>
      </c>
    </row>
    <row r="548" spans="1:1">
      <c r="A548" t="s">
        <v>823</v>
      </c>
    </row>
    <row r="549" spans="1:1">
      <c r="A549" t="s">
        <v>823</v>
      </c>
    </row>
    <row r="550" spans="1:1">
      <c r="A550" t="s">
        <v>823</v>
      </c>
    </row>
    <row r="551" spans="1:1">
      <c r="A551" t="s">
        <v>823</v>
      </c>
    </row>
    <row r="552" spans="1:1">
      <c r="A552" t="s">
        <v>823</v>
      </c>
    </row>
    <row r="553" spans="1:1">
      <c r="A553" t="s">
        <v>823</v>
      </c>
    </row>
    <row r="554" spans="1:1">
      <c r="A554" t="s">
        <v>823</v>
      </c>
    </row>
    <row r="555" spans="1:1">
      <c r="A555" t="s">
        <v>823</v>
      </c>
    </row>
    <row r="556" spans="1:1">
      <c r="A556" t="s">
        <v>823</v>
      </c>
    </row>
    <row r="557" spans="1:1">
      <c r="A557" t="s">
        <v>823</v>
      </c>
    </row>
    <row r="558" spans="1:1">
      <c r="A558" t="s">
        <v>823</v>
      </c>
    </row>
    <row r="559" spans="1:1">
      <c r="A559" t="s">
        <v>823</v>
      </c>
    </row>
    <row r="560" spans="1:1">
      <c r="A560" t="s">
        <v>823</v>
      </c>
    </row>
    <row r="561" spans="1:6">
      <c r="A561" t="s">
        <v>823</v>
      </c>
    </row>
    <row r="562" spans="1:6">
      <c r="A562" t="s">
        <v>823</v>
      </c>
    </row>
    <row r="563" spans="1:6">
      <c r="A563" t="s">
        <v>823</v>
      </c>
    </row>
    <row r="564" spans="1:6">
      <c r="A564" t="s">
        <v>823</v>
      </c>
      <c r="D564" t="s">
        <v>679</v>
      </c>
      <c r="E564" t="s">
        <v>826</v>
      </c>
    </row>
    <row r="565" spans="1:6">
      <c r="A565" t="s">
        <v>823</v>
      </c>
      <c r="D565" t="s">
        <v>827</v>
      </c>
      <c r="E565" t="s">
        <v>828</v>
      </c>
    </row>
    <row r="566" spans="1:6">
      <c r="A566" t="s">
        <v>823</v>
      </c>
      <c r="D566" t="s">
        <v>829</v>
      </c>
      <c r="E566" t="s">
        <v>830</v>
      </c>
    </row>
    <row r="567" spans="1:6">
      <c r="A567" t="s">
        <v>823</v>
      </c>
    </row>
    <row r="568" spans="1:6">
      <c r="A568" t="s">
        <v>823</v>
      </c>
      <c r="E568" t="s">
        <v>831</v>
      </c>
    </row>
    <row r="569" spans="1:6">
      <c r="A569" t="s">
        <v>823</v>
      </c>
      <c r="D569" t="s">
        <v>832</v>
      </c>
      <c r="E569" s="140">
        <v>0.86699999999999999</v>
      </c>
      <c r="F569" t="s">
        <v>833</v>
      </c>
    </row>
    <row r="570" spans="1:6">
      <c r="A570" t="s">
        <v>823</v>
      </c>
      <c r="D570" t="s">
        <v>834</v>
      </c>
      <c r="E570" s="140">
        <v>0.86699999999999999</v>
      </c>
    </row>
    <row r="571" spans="1:6">
      <c r="A571" t="s">
        <v>823</v>
      </c>
      <c r="D571" t="s">
        <v>835</v>
      </c>
      <c r="E571" s="140">
        <v>0.86699999999999999</v>
      </c>
    </row>
    <row r="572" spans="1:6">
      <c r="A572" t="s">
        <v>823</v>
      </c>
    </row>
    <row r="573" spans="1:6">
      <c r="A573" t="s">
        <v>823</v>
      </c>
      <c r="D573" t="s">
        <v>836</v>
      </c>
      <c r="E573">
        <v>0.86699999999999999</v>
      </c>
    </row>
    <row r="574" spans="1:6">
      <c r="A574" t="s">
        <v>823</v>
      </c>
      <c r="D574" s="48" t="s">
        <v>837</v>
      </c>
      <c r="E574" s="51">
        <v>82.666666666666671</v>
      </c>
    </row>
    <row r="575" spans="1:6">
      <c r="A575" t="s">
        <v>823</v>
      </c>
      <c r="D575" s="48" t="s">
        <v>838</v>
      </c>
      <c r="E575" s="48">
        <f>E573*E574%</f>
        <v>0.71672000000000002</v>
      </c>
    </row>
    <row r="576" spans="1:6">
      <c r="A576" t="s">
        <v>823</v>
      </c>
    </row>
    <row r="577" spans="1:5">
      <c r="A577" t="s">
        <v>823</v>
      </c>
    </row>
    <row r="578" spans="1:5">
      <c r="A578" t="s">
        <v>823</v>
      </c>
      <c r="B578" t="s">
        <v>808</v>
      </c>
      <c r="C578" t="s">
        <v>638</v>
      </c>
      <c r="D578" t="s">
        <v>824</v>
      </c>
    </row>
    <row r="579" spans="1:5">
      <c r="A579" t="s">
        <v>823</v>
      </c>
      <c r="D579" t="s">
        <v>825</v>
      </c>
    </row>
    <row r="580" spans="1:5">
      <c r="A580" t="s">
        <v>823</v>
      </c>
      <c r="D580" t="s">
        <v>836</v>
      </c>
      <c r="E580">
        <v>0.86699999999999999</v>
      </c>
    </row>
    <row r="581" spans="1:5">
      <c r="A581" t="s">
        <v>823</v>
      </c>
      <c r="D581" s="48" t="s">
        <v>839</v>
      </c>
      <c r="E581" s="51">
        <v>35.084520404040404</v>
      </c>
    </row>
    <row r="582" spans="1:5">
      <c r="A582" t="s">
        <v>823</v>
      </c>
      <c r="D582" s="48" t="s">
        <v>840</v>
      </c>
      <c r="E582" s="48">
        <f>E580*E581%</f>
        <v>0.30418279190303027</v>
      </c>
    </row>
    <row r="583" spans="1:5">
      <c r="A583" t="s">
        <v>823</v>
      </c>
    </row>
    <row r="584" spans="1:5">
      <c r="A584" t="s">
        <v>823</v>
      </c>
      <c r="B584" t="s">
        <v>443</v>
      </c>
      <c r="C584" t="s">
        <v>638</v>
      </c>
      <c r="D584" t="s">
        <v>824</v>
      </c>
    </row>
    <row r="585" spans="1:5">
      <c r="A585" t="s">
        <v>823</v>
      </c>
      <c r="D585" t="s">
        <v>825</v>
      </c>
    </row>
    <row r="586" spans="1:5">
      <c r="A586" t="s">
        <v>823</v>
      </c>
      <c r="D586" t="s">
        <v>836</v>
      </c>
      <c r="E586">
        <v>0.86699999999999999</v>
      </c>
    </row>
    <row r="587" spans="1:5">
      <c r="A587" t="s">
        <v>823</v>
      </c>
      <c r="D587" s="48" t="s">
        <v>841</v>
      </c>
      <c r="E587" s="51">
        <v>19.816202339181288</v>
      </c>
    </row>
    <row r="588" spans="1:5">
      <c r="A588" t="s">
        <v>823</v>
      </c>
      <c r="D588" s="48" t="s">
        <v>842</v>
      </c>
      <c r="E588" s="48">
        <f>E586*E587%</f>
        <v>0.17180647428070175</v>
      </c>
    </row>
    <row r="591" spans="1:5">
      <c r="A591" t="s">
        <v>843</v>
      </c>
      <c r="B591" t="s">
        <v>638</v>
      </c>
      <c r="C591" s="203" t="s">
        <v>844</v>
      </c>
    </row>
    <row r="592" spans="1:5">
      <c r="A592" t="s">
        <v>843</v>
      </c>
      <c r="B592" t="s">
        <v>638</v>
      </c>
      <c r="C592" s="203"/>
    </row>
    <row r="593" spans="1:5">
      <c r="A593" t="s">
        <v>843</v>
      </c>
      <c r="B593" t="s">
        <v>638</v>
      </c>
      <c r="C593" t="s">
        <v>638</v>
      </c>
      <c r="D593" s="7" t="s">
        <v>845</v>
      </c>
    </row>
    <row r="594" spans="1:5">
      <c r="A594" t="s">
        <v>843</v>
      </c>
      <c r="B594" t="s">
        <v>638</v>
      </c>
      <c r="D594" t="s">
        <v>846</v>
      </c>
    </row>
    <row r="595" spans="1:5">
      <c r="A595" t="s">
        <v>843</v>
      </c>
      <c r="B595" t="s">
        <v>638</v>
      </c>
      <c r="D595" t="s">
        <v>847</v>
      </c>
    </row>
    <row r="596" spans="1:5">
      <c r="A596" t="s">
        <v>843</v>
      </c>
      <c r="B596" t="s">
        <v>638</v>
      </c>
    </row>
    <row r="597" spans="1:5">
      <c r="A597" t="s">
        <v>843</v>
      </c>
      <c r="B597" t="s">
        <v>638</v>
      </c>
    </row>
    <row r="598" spans="1:5">
      <c r="A598" t="s">
        <v>843</v>
      </c>
      <c r="B598" t="s">
        <v>638</v>
      </c>
    </row>
    <row r="599" spans="1:5">
      <c r="A599" t="s">
        <v>843</v>
      </c>
      <c r="B599" t="s">
        <v>638</v>
      </c>
    </row>
    <row r="600" spans="1:5">
      <c r="A600" t="s">
        <v>843</v>
      </c>
      <c r="B600" t="s">
        <v>638</v>
      </c>
    </row>
    <row r="601" spans="1:5">
      <c r="A601" t="s">
        <v>843</v>
      </c>
      <c r="B601" t="s">
        <v>638</v>
      </c>
    </row>
    <row r="602" spans="1:5">
      <c r="A602" t="s">
        <v>843</v>
      </c>
      <c r="B602" t="s">
        <v>638</v>
      </c>
    </row>
    <row r="603" spans="1:5">
      <c r="A603" t="s">
        <v>843</v>
      </c>
      <c r="B603" t="s">
        <v>638</v>
      </c>
    </row>
    <row r="604" spans="1:5">
      <c r="A604" t="s">
        <v>843</v>
      </c>
      <c r="B604" t="s">
        <v>638</v>
      </c>
    </row>
    <row r="605" spans="1:5">
      <c r="A605" t="s">
        <v>843</v>
      </c>
      <c r="B605" t="s">
        <v>638</v>
      </c>
    </row>
    <row r="606" spans="1:5">
      <c r="A606" t="s">
        <v>843</v>
      </c>
      <c r="B606" t="s">
        <v>638</v>
      </c>
      <c r="D606" s="202" t="s">
        <v>848</v>
      </c>
    </row>
    <row r="607" spans="1:5">
      <c r="A607" t="s">
        <v>843</v>
      </c>
      <c r="B607" t="s">
        <v>638</v>
      </c>
    </row>
    <row r="608" spans="1:5">
      <c r="A608" t="s">
        <v>843</v>
      </c>
      <c r="B608" t="s">
        <v>638</v>
      </c>
      <c r="D608" s="48" t="s">
        <v>849</v>
      </c>
      <c r="E608" s="48">
        <v>0.46500000000000002</v>
      </c>
    </row>
    <row r="609" spans="1:5">
      <c r="A609" t="s">
        <v>843</v>
      </c>
      <c r="B609" t="s">
        <v>638</v>
      </c>
      <c r="D609" s="48" t="s">
        <v>850</v>
      </c>
      <c r="E609" s="48">
        <v>0.28899999999999998</v>
      </c>
    </row>
    <row r="610" spans="1:5">
      <c r="A610" t="s">
        <v>843</v>
      </c>
      <c r="B610" t="s">
        <v>638</v>
      </c>
      <c r="D610" s="48" t="s">
        <v>851</v>
      </c>
      <c r="E610" s="48">
        <f>E608*E609</f>
        <v>0.134385</v>
      </c>
    </row>
    <row r="611" spans="1:5">
      <c r="A611" t="s">
        <v>843</v>
      </c>
      <c r="B611" t="s">
        <v>638</v>
      </c>
    </row>
    <row r="612" spans="1:5">
      <c r="A612" t="s">
        <v>843</v>
      </c>
      <c r="B612" t="s">
        <v>638</v>
      </c>
    </row>
    <row r="613" spans="1:5">
      <c r="A613" t="s">
        <v>843</v>
      </c>
      <c r="B613" t="s">
        <v>638</v>
      </c>
    </row>
    <row r="614" spans="1:5">
      <c r="A614" t="s">
        <v>843</v>
      </c>
      <c r="B614" t="s">
        <v>638</v>
      </c>
      <c r="C614" t="s">
        <v>638</v>
      </c>
      <c r="D614" t="s">
        <v>852</v>
      </c>
    </row>
    <row r="615" spans="1:5">
      <c r="A615" t="s">
        <v>843</v>
      </c>
      <c r="B615" t="s">
        <v>638</v>
      </c>
      <c r="D615" t="s">
        <v>853</v>
      </c>
    </row>
    <row r="616" spans="1:5">
      <c r="A616" t="s">
        <v>843</v>
      </c>
      <c r="B616" t="s">
        <v>638</v>
      </c>
      <c r="D616" t="s">
        <v>854</v>
      </c>
    </row>
    <row r="617" spans="1:5" ht="16.2">
      <c r="A617" t="s">
        <v>843</v>
      </c>
      <c r="B617" t="s">
        <v>638</v>
      </c>
      <c r="D617" t="s">
        <v>855</v>
      </c>
    </row>
    <row r="618" spans="1:5">
      <c r="A618" t="s">
        <v>843</v>
      </c>
      <c r="B618" t="s">
        <v>638</v>
      </c>
      <c r="D618" t="s">
        <v>856</v>
      </c>
    </row>
    <row r="619" spans="1:5">
      <c r="A619" t="s">
        <v>843</v>
      </c>
      <c r="B619" t="s">
        <v>638</v>
      </c>
    </row>
    <row r="620" spans="1:5">
      <c r="A620" t="s">
        <v>843</v>
      </c>
      <c r="B620" t="s">
        <v>638</v>
      </c>
      <c r="D620" t="s">
        <v>857</v>
      </c>
      <c r="E620" s="140">
        <v>0.252</v>
      </c>
    </row>
    <row r="621" spans="1:5">
      <c r="A621" t="s">
        <v>843</v>
      </c>
      <c r="B621" t="s">
        <v>638</v>
      </c>
      <c r="D621" t="s">
        <v>858</v>
      </c>
      <c r="E621" s="174">
        <v>7.0000000000000007E-2</v>
      </c>
    </row>
    <row r="622" spans="1:5">
      <c r="A622" t="s">
        <v>843</v>
      </c>
      <c r="B622" t="s">
        <v>638</v>
      </c>
    </row>
    <row r="623" spans="1:5">
      <c r="A623" t="s">
        <v>843</v>
      </c>
      <c r="B623" t="s">
        <v>638</v>
      </c>
      <c r="E623" s="174"/>
    </row>
    <row r="624" spans="1:5">
      <c r="A624" t="s">
        <v>843</v>
      </c>
      <c r="B624" t="s">
        <v>638</v>
      </c>
      <c r="C624" t="s">
        <v>638</v>
      </c>
      <c r="D624" t="s">
        <v>859</v>
      </c>
      <c r="E624" s="174"/>
    </row>
    <row r="625" spans="1:5">
      <c r="A625" t="s">
        <v>843</v>
      </c>
      <c r="B625" t="s">
        <v>638</v>
      </c>
      <c r="D625" t="s">
        <v>860</v>
      </c>
    </row>
    <row r="626" spans="1:5">
      <c r="A626" t="s">
        <v>843</v>
      </c>
      <c r="B626" t="s">
        <v>638</v>
      </c>
    </row>
    <row r="627" spans="1:5">
      <c r="A627" t="s">
        <v>843</v>
      </c>
      <c r="B627" t="s">
        <v>638</v>
      </c>
      <c r="D627" s="186" t="s">
        <v>861</v>
      </c>
    </row>
    <row r="628" spans="1:5">
      <c r="A628" t="s">
        <v>843</v>
      </c>
      <c r="B628" t="s">
        <v>638</v>
      </c>
      <c r="D628" t="s">
        <v>862</v>
      </c>
      <c r="E628" t="s">
        <v>863</v>
      </c>
    </row>
    <row r="629" spans="1:5">
      <c r="A629" t="s">
        <v>843</v>
      </c>
      <c r="B629" t="s">
        <v>638</v>
      </c>
    </row>
    <row r="630" spans="1:5">
      <c r="A630" t="s">
        <v>843</v>
      </c>
      <c r="B630" t="s">
        <v>638</v>
      </c>
    </row>
    <row r="631" spans="1:5">
      <c r="A631" t="s">
        <v>843</v>
      </c>
      <c r="B631" t="s">
        <v>638</v>
      </c>
      <c r="C631" t="s">
        <v>638</v>
      </c>
      <c r="D631" t="s">
        <v>864</v>
      </c>
    </row>
    <row r="632" spans="1:5">
      <c r="A632" t="s">
        <v>843</v>
      </c>
      <c r="B632" t="s">
        <v>638</v>
      </c>
      <c r="D632" t="s">
        <v>865</v>
      </c>
    </row>
    <row r="633" spans="1:5">
      <c r="A633" t="s">
        <v>843</v>
      </c>
      <c r="B633" t="s">
        <v>638</v>
      </c>
    </row>
    <row r="634" spans="1:5">
      <c r="A634" t="s">
        <v>843</v>
      </c>
      <c r="B634" t="s">
        <v>638</v>
      </c>
    </row>
    <row r="635" spans="1:5">
      <c r="A635" t="s">
        <v>843</v>
      </c>
      <c r="B635" t="s">
        <v>638</v>
      </c>
      <c r="D635" s="186" t="s">
        <v>866</v>
      </c>
    </row>
    <row r="636" spans="1:5">
      <c r="A636" t="s">
        <v>843</v>
      </c>
      <c r="B636" t="s">
        <v>638</v>
      </c>
    </row>
    <row r="637" spans="1:5">
      <c r="A637" t="s">
        <v>843</v>
      </c>
      <c r="B637" t="s">
        <v>638</v>
      </c>
      <c r="D637" t="s">
        <v>858</v>
      </c>
      <c r="E637">
        <v>0.11</v>
      </c>
    </row>
    <row r="638" spans="1:5">
      <c r="A638" t="s">
        <v>843</v>
      </c>
      <c r="B638" t="s">
        <v>638</v>
      </c>
    </row>
    <row r="639" spans="1:5">
      <c r="A639" t="s">
        <v>843</v>
      </c>
      <c r="B639" t="s">
        <v>638</v>
      </c>
    </row>
    <row r="640" spans="1:5">
      <c r="A640" t="s">
        <v>843</v>
      </c>
      <c r="B640" t="s">
        <v>638</v>
      </c>
      <c r="D640" s="186" t="s">
        <v>867</v>
      </c>
    </row>
    <row r="641" spans="1:5">
      <c r="A641" t="s">
        <v>843</v>
      </c>
      <c r="B641" t="s">
        <v>638</v>
      </c>
    </row>
    <row r="642" spans="1:5">
      <c r="A642" t="s">
        <v>843</v>
      </c>
      <c r="B642" t="s">
        <v>638</v>
      </c>
      <c r="D642" t="s">
        <v>858</v>
      </c>
      <c r="E642">
        <v>0.24</v>
      </c>
    </row>
    <row r="643" spans="1:5">
      <c r="A643" t="s">
        <v>843</v>
      </c>
      <c r="B643" t="s">
        <v>638</v>
      </c>
      <c r="D643" t="s">
        <v>858</v>
      </c>
      <c r="E643">
        <v>0.28999999999999998</v>
      </c>
    </row>
    <row r="644" spans="1:5">
      <c r="A644" t="s">
        <v>843</v>
      </c>
      <c r="B644" t="s">
        <v>638</v>
      </c>
    </row>
    <row r="645" spans="1:5">
      <c r="A645" t="s">
        <v>843</v>
      </c>
      <c r="B645" t="s">
        <v>638</v>
      </c>
      <c r="C645" s="204" t="s">
        <v>638</v>
      </c>
      <c r="D645" s="204" t="s">
        <v>868</v>
      </c>
      <c r="E645" s="205">
        <f>AVERAGE(E610,E621,E628,E637,E642,E643)</f>
        <v>0.168877</v>
      </c>
    </row>
    <row r="646" spans="1:5">
      <c r="A646" t="s">
        <v>843</v>
      </c>
    </row>
    <row r="647" spans="1:5">
      <c r="A647" t="s">
        <v>843</v>
      </c>
    </row>
    <row r="648" spans="1:5">
      <c r="A648" t="s">
        <v>843</v>
      </c>
      <c r="B648" t="s">
        <v>637</v>
      </c>
      <c r="C648" t="s">
        <v>638</v>
      </c>
      <c r="D648" t="s">
        <v>869</v>
      </c>
      <c r="E648" s="142">
        <v>82.666666666666671</v>
      </c>
    </row>
    <row r="649" spans="1:5">
      <c r="A649" t="s">
        <v>843</v>
      </c>
      <c r="D649" t="s">
        <v>870</v>
      </c>
      <c r="E649">
        <f>E648%*17%</f>
        <v>0.14053333333333334</v>
      </c>
    </row>
    <row r="650" spans="1:5">
      <c r="A650" t="s">
        <v>843</v>
      </c>
    </row>
    <row r="651" spans="1:5">
      <c r="A651" t="s">
        <v>843</v>
      </c>
    </row>
    <row r="652" spans="1:5">
      <c r="A652" t="s">
        <v>843</v>
      </c>
      <c r="B652" t="s">
        <v>871</v>
      </c>
      <c r="C652" t="s">
        <v>638</v>
      </c>
      <c r="D652" t="s">
        <v>872</v>
      </c>
      <c r="E652" s="142">
        <v>35.084520404040404</v>
      </c>
    </row>
    <row r="653" spans="1:5">
      <c r="A653" t="s">
        <v>843</v>
      </c>
      <c r="D653" t="s">
        <v>873</v>
      </c>
      <c r="E653">
        <f>E652%*17%</f>
        <v>5.9643684686868689E-2</v>
      </c>
    </row>
    <row r="654" spans="1:5">
      <c r="A654" t="s">
        <v>843</v>
      </c>
    </row>
    <row r="655" spans="1:5">
      <c r="A655" t="s">
        <v>843</v>
      </c>
    </row>
    <row r="656" spans="1:5">
      <c r="A656" t="s">
        <v>843</v>
      </c>
      <c r="B656" t="s">
        <v>443</v>
      </c>
      <c r="C656" t="s">
        <v>638</v>
      </c>
      <c r="D656" t="s">
        <v>874</v>
      </c>
      <c r="E656" s="142">
        <v>16.592623391812864</v>
      </c>
    </row>
    <row r="657" spans="1:5">
      <c r="A657" t="s">
        <v>843</v>
      </c>
      <c r="D657" t="s">
        <v>875</v>
      </c>
      <c r="E657">
        <f>E656%*17%</f>
        <v>2.8207459766081869E-2</v>
      </c>
    </row>
    <row r="658" spans="1:5">
      <c r="A658" t="s">
        <v>843</v>
      </c>
    </row>
    <row r="659" spans="1:5">
      <c r="A659" t="s">
        <v>843</v>
      </c>
    </row>
    <row r="660" spans="1:5">
      <c r="A660" t="s">
        <v>876</v>
      </c>
      <c r="B660" t="s">
        <v>638</v>
      </c>
      <c r="C660" t="s">
        <v>638</v>
      </c>
      <c r="D660" s="7" t="s">
        <v>877</v>
      </c>
    </row>
    <row r="661" spans="1:5">
      <c r="A661" t="s">
        <v>876</v>
      </c>
      <c r="D661" t="s">
        <v>878</v>
      </c>
    </row>
    <row r="662" spans="1:5">
      <c r="A662" t="s">
        <v>876</v>
      </c>
      <c r="D662" t="s">
        <v>879</v>
      </c>
    </row>
    <row r="663" spans="1:5">
      <c r="A663" t="s">
        <v>876</v>
      </c>
      <c r="D663" t="s">
        <v>880</v>
      </c>
    </row>
    <row r="664" spans="1:5">
      <c r="A664" t="s">
        <v>876</v>
      </c>
    </row>
    <row r="665" spans="1:5">
      <c r="A665" t="s">
        <v>876</v>
      </c>
      <c r="D665" t="s">
        <v>881</v>
      </c>
      <c r="E665">
        <v>0.6</v>
      </c>
    </row>
    <row r="666" spans="1:5">
      <c r="A666" t="s">
        <v>876</v>
      </c>
      <c r="E666">
        <v>0.7</v>
      </c>
    </row>
    <row r="667" spans="1:5">
      <c r="A667" t="s">
        <v>876</v>
      </c>
      <c r="E667">
        <v>0.72</v>
      </c>
    </row>
    <row r="668" spans="1:5">
      <c r="A668" t="s">
        <v>876</v>
      </c>
      <c r="E668">
        <v>0.64</v>
      </c>
    </row>
    <row r="669" spans="1:5">
      <c r="A669" t="s">
        <v>876</v>
      </c>
      <c r="E669">
        <v>0.69</v>
      </c>
    </row>
    <row r="670" spans="1:5">
      <c r="A670" t="s">
        <v>876</v>
      </c>
      <c r="E670">
        <v>0.72</v>
      </c>
    </row>
    <row r="671" spans="1:5">
      <c r="A671" t="s">
        <v>876</v>
      </c>
      <c r="E671">
        <v>0.61</v>
      </c>
    </row>
    <row r="672" spans="1:5">
      <c r="A672" t="s">
        <v>876</v>
      </c>
      <c r="E672">
        <v>0.65</v>
      </c>
    </row>
    <row r="673" spans="1:5">
      <c r="A673" t="s">
        <v>876</v>
      </c>
      <c r="E673">
        <v>0.72</v>
      </c>
    </row>
    <row r="674" spans="1:5">
      <c r="A674" t="s">
        <v>876</v>
      </c>
      <c r="E674">
        <v>0.68</v>
      </c>
    </row>
    <row r="675" spans="1:5">
      <c r="A675" t="s">
        <v>876</v>
      </c>
      <c r="E675">
        <v>0.63</v>
      </c>
    </row>
    <row r="676" spans="1:5">
      <c r="A676" t="s">
        <v>876</v>
      </c>
      <c r="E676">
        <v>0.72</v>
      </c>
    </row>
    <row r="677" spans="1:5">
      <c r="A677" t="s">
        <v>876</v>
      </c>
      <c r="E677">
        <v>0.52</v>
      </c>
    </row>
    <row r="678" spans="1:5">
      <c r="A678" t="s">
        <v>876</v>
      </c>
      <c r="E678">
        <v>0.74</v>
      </c>
    </row>
    <row r="679" spans="1:5">
      <c r="A679" t="s">
        <v>876</v>
      </c>
      <c r="D679" s="48" t="s">
        <v>882</v>
      </c>
      <c r="E679" s="48">
        <f>AVERAGE(E665:E678)</f>
        <v>0.66714285714285715</v>
      </c>
    </row>
    <row r="680" spans="1:5">
      <c r="A680" t="s">
        <v>876</v>
      </c>
    </row>
    <row r="681" spans="1:5">
      <c r="A681" t="s">
        <v>876</v>
      </c>
      <c r="B681" t="s">
        <v>637</v>
      </c>
      <c r="C681" t="s">
        <v>638</v>
      </c>
      <c r="D681" t="s">
        <v>883</v>
      </c>
      <c r="E681">
        <v>0.66714285714285715</v>
      </c>
    </row>
    <row r="682" spans="1:5">
      <c r="A682" t="s">
        <v>876</v>
      </c>
      <c r="D682" s="48" t="s">
        <v>884</v>
      </c>
      <c r="E682" s="48">
        <v>82.6666666666667</v>
      </c>
    </row>
    <row r="683" spans="1:5">
      <c r="A683" t="s">
        <v>876</v>
      </c>
      <c r="D683" s="48" t="s">
        <v>885</v>
      </c>
      <c r="E683" s="48">
        <f>E681*E682%</f>
        <v>0.55150476190476216</v>
      </c>
    </row>
    <row r="684" spans="1:5">
      <c r="A684" t="s">
        <v>876</v>
      </c>
    </row>
    <row r="685" spans="1:5">
      <c r="A685" t="s">
        <v>876</v>
      </c>
    </row>
    <row r="686" spans="1:5">
      <c r="A686" t="s">
        <v>876</v>
      </c>
      <c r="B686" t="s">
        <v>871</v>
      </c>
      <c r="C686" t="s">
        <v>197</v>
      </c>
      <c r="D686" t="s">
        <v>886</v>
      </c>
    </row>
    <row r="687" spans="1:5">
      <c r="A687" t="s">
        <v>876</v>
      </c>
      <c r="D687" t="s">
        <v>887</v>
      </c>
    </row>
    <row r="688" spans="1:5">
      <c r="A688" t="s">
        <v>876</v>
      </c>
      <c r="D688" t="s">
        <v>888</v>
      </c>
    </row>
    <row r="689" spans="1:5">
      <c r="A689" t="s">
        <v>876</v>
      </c>
    </row>
    <row r="690" spans="1:5">
      <c r="A690" t="s">
        <v>876</v>
      </c>
      <c r="D690" t="s">
        <v>889</v>
      </c>
      <c r="E690">
        <v>0.125</v>
      </c>
    </row>
    <row r="691" spans="1:5">
      <c r="A691" t="s">
        <v>876</v>
      </c>
    </row>
    <row r="692" spans="1:5">
      <c r="A692" t="s">
        <v>876</v>
      </c>
    </row>
    <row r="693" spans="1:5">
      <c r="A693" t="s">
        <v>876</v>
      </c>
      <c r="B693" t="s">
        <v>443</v>
      </c>
      <c r="C693" t="s">
        <v>638</v>
      </c>
      <c r="D693" t="s">
        <v>883</v>
      </c>
      <c r="E693">
        <v>0.66714285714285715</v>
      </c>
    </row>
    <row r="694" spans="1:5">
      <c r="A694" t="s">
        <v>876</v>
      </c>
      <c r="D694" s="48" t="s">
        <v>890</v>
      </c>
      <c r="E694" s="48">
        <v>26.561122793726746</v>
      </c>
    </row>
    <row r="695" spans="1:5">
      <c r="A695" t="s">
        <v>876</v>
      </c>
      <c r="D695" s="48" t="s">
        <v>891</v>
      </c>
      <c r="E695" s="48">
        <f>E693*E694%</f>
        <v>0.17720063349529128</v>
      </c>
    </row>
    <row r="696" spans="1:5">
      <c r="A696" t="s">
        <v>876</v>
      </c>
    </row>
    <row r="698" spans="1:5">
      <c r="A698" t="s">
        <v>892</v>
      </c>
      <c r="B698" t="s">
        <v>638</v>
      </c>
      <c r="C698" t="s">
        <v>638</v>
      </c>
      <c r="D698" t="s">
        <v>893</v>
      </c>
    </row>
    <row r="699" spans="1:5">
      <c r="A699" t="s">
        <v>892</v>
      </c>
      <c r="D699" t="s">
        <v>894</v>
      </c>
    </row>
    <row r="700" spans="1:5">
      <c r="A700" t="s">
        <v>892</v>
      </c>
    </row>
    <row r="701" spans="1:5">
      <c r="A701" t="s">
        <v>892</v>
      </c>
      <c r="D701" t="s">
        <v>895</v>
      </c>
    </row>
    <row r="702" spans="1:5">
      <c r="A702" t="s">
        <v>892</v>
      </c>
      <c r="D702" t="s">
        <v>896</v>
      </c>
    </row>
    <row r="703" spans="1:5">
      <c r="A703" t="s">
        <v>892</v>
      </c>
      <c r="D703" t="s">
        <v>897</v>
      </c>
    </row>
    <row r="704" spans="1:5">
      <c r="A704" t="s">
        <v>892</v>
      </c>
      <c r="D704" t="s">
        <v>898</v>
      </c>
    </row>
    <row r="705" spans="1:9">
      <c r="A705" t="s">
        <v>892</v>
      </c>
    </row>
    <row r="706" spans="1:9">
      <c r="A706" t="s">
        <v>892</v>
      </c>
    </row>
    <row r="707" spans="1:9">
      <c r="A707" t="s">
        <v>892</v>
      </c>
    </row>
    <row r="708" spans="1:9">
      <c r="A708" t="s">
        <v>892</v>
      </c>
    </row>
    <row r="709" spans="1:9">
      <c r="A709" t="s">
        <v>892</v>
      </c>
    </row>
    <row r="710" spans="1:9">
      <c r="A710" t="s">
        <v>892</v>
      </c>
    </row>
    <row r="711" spans="1:9">
      <c r="A711" t="s">
        <v>892</v>
      </c>
    </row>
    <row r="712" spans="1:9">
      <c r="A712" t="s">
        <v>892</v>
      </c>
    </row>
    <row r="713" spans="1:9">
      <c r="A713" t="s">
        <v>892</v>
      </c>
    </row>
    <row r="714" spans="1:9">
      <c r="A714" t="s">
        <v>892</v>
      </c>
    </row>
    <row r="715" spans="1:9">
      <c r="A715" t="s">
        <v>892</v>
      </c>
      <c r="H715" t="s">
        <v>899</v>
      </c>
    </row>
    <row r="716" spans="1:9">
      <c r="A716" t="s">
        <v>892</v>
      </c>
    </row>
    <row r="717" spans="1:9">
      <c r="A717" t="s">
        <v>892</v>
      </c>
    </row>
    <row r="718" spans="1:9">
      <c r="A718" t="s">
        <v>892</v>
      </c>
      <c r="B718" t="s">
        <v>638</v>
      </c>
      <c r="C718" t="s">
        <v>638</v>
      </c>
      <c r="D718" t="s">
        <v>900</v>
      </c>
    </row>
    <row r="719" spans="1:9">
      <c r="A719" t="s">
        <v>892</v>
      </c>
      <c r="D719" t="s">
        <v>901</v>
      </c>
    </row>
    <row r="720" spans="1:9">
      <c r="A720" t="s">
        <v>892</v>
      </c>
      <c r="D720" t="s">
        <v>902</v>
      </c>
      <c r="E720" t="s">
        <v>903</v>
      </c>
      <c r="F720" t="s">
        <v>904</v>
      </c>
      <c r="G720" t="s">
        <v>905</v>
      </c>
      <c r="H720" t="s">
        <v>906</v>
      </c>
      <c r="I720" s="48" t="s">
        <v>907</v>
      </c>
    </row>
    <row r="721" spans="1:10">
      <c r="A721" t="s">
        <v>892</v>
      </c>
      <c r="D721" t="s">
        <v>908</v>
      </c>
      <c r="E721" t="s">
        <v>909</v>
      </c>
      <c r="F721">
        <v>0.18</v>
      </c>
      <c r="G721" t="s">
        <v>910</v>
      </c>
      <c r="H721" t="s">
        <v>911</v>
      </c>
      <c r="I721" s="51">
        <v>0.18</v>
      </c>
      <c r="J721" t="s">
        <v>910</v>
      </c>
    </row>
    <row r="722" spans="1:10">
      <c r="A722" t="s">
        <v>892</v>
      </c>
      <c r="D722" t="s">
        <v>908</v>
      </c>
      <c r="E722" t="s">
        <v>912</v>
      </c>
      <c r="F722">
        <v>0.19</v>
      </c>
      <c r="G722" t="s">
        <v>910</v>
      </c>
      <c r="H722" t="s">
        <v>911</v>
      </c>
      <c r="I722" s="51">
        <v>0.19</v>
      </c>
      <c r="J722" t="s">
        <v>910</v>
      </c>
    </row>
    <row r="723" spans="1:10">
      <c r="A723" t="s">
        <v>892</v>
      </c>
      <c r="D723" t="s">
        <v>908</v>
      </c>
      <c r="E723" t="s">
        <v>913</v>
      </c>
      <c r="F723">
        <v>0.432</v>
      </c>
      <c r="G723" t="s">
        <v>910</v>
      </c>
      <c r="H723" t="s">
        <v>911</v>
      </c>
      <c r="I723" s="51">
        <v>0.432</v>
      </c>
      <c r="J723" t="s">
        <v>910</v>
      </c>
    </row>
    <row r="724" spans="1:10">
      <c r="A724" t="s">
        <v>892</v>
      </c>
      <c r="D724" t="s">
        <v>908</v>
      </c>
      <c r="E724" t="s">
        <v>914</v>
      </c>
      <c r="F724">
        <v>0.36</v>
      </c>
      <c r="G724" t="s">
        <v>910</v>
      </c>
      <c r="H724" t="s">
        <v>911</v>
      </c>
      <c r="I724" s="51">
        <v>0.36</v>
      </c>
      <c r="J724" t="s">
        <v>910</v>
      </c>
    </row>
    <row r="725" spans="1:10">
      <c r="A725" t="s">
        <v>892</v>
      </c>
      <c r="D725" t="s">
        <v>409</v>
      </c>
      <c r="E725" t="s">
        <v>915</v>
      </c>
      <c r="F725" s="174">
        <v>0.13</v>
      </c>
      <c r="G725" t="s">
        <v>916</v>
      </c>
      <c r="H725" t="s">
        <v>911</v>
      </c>
      <c r="I725" s="51">
        <f>90/180*F725</f>
        <v>6.5000000000000002E-2</v>
      </c>
      <c r="J725" t="s">
        <v>910</v>
      </c>
    </row>
    <row r="726" spans="1:10">
      <c r="A726" t="s">
        <v>892</v>
      </c>
      <c r="D726" t="s">
        <v>409</v>
      </c>
      <c r="E726" t="s">
        <v>917</v>
      </c>
      <c r="F726">
        <v>0.14000000000000001</v>
      </c>
      <c r="G726" t="s">
        <v>916</v>
      </c>
      <c r="H726" t="s">
        <v>911</v>
      </c>
      <c r="I726" s="51">
        <f t="shared" ref="I726:I727" si="15">90/180*F726</f>
        <v>7.0000000000000007E-2</v>
      </c>
      <c r="J726" t="s">
        <v>910</v>
      </c>
    </row>
    <row r="727" spans="1:10">
      <c r="A727" t="s">
        <v>892</v>
      </c>
      <c r="D727" t="s">
        <v>409</v>
      </c>
      <c r="E727" t="s">
        <v>918</v>
      </c>
      <c r="F727" s="174">
        <v>0.28999999999999998</v>
      </c>
      <c r="G727" t="s">
        <v>916</v>
      </c>
      <c r="H727" t="s">
        <v>911</v>
      </c>
      <c r="I727" s="51">
        <f t="shared" si="15"/>
        <v>0.14499999999999999</v>
      </c>
      <c r="J727" t="s">
        <v>910</v>
      </c>
    </row>
    <row r="728" spans="1:10">
      <c r="A728" t="s">
        <v>892</v>
      </c>
      <c r="D728" t="s">
        <v>919</v>
      </c>
      <c r="E728" t="s">
        <v>920</v>
      </c>
      <c r="F728">
        <v>0.45</v>
      </c>
      <c r="G728" t="s">
        <v>910</v>
      </c>
      <c r="H728" t="s">
        <v>911</v>
      </c>
      <c r="I728" s="51">
        <v>0.45</v>
      </c>
      <c r="J728" t="s">
        <v>910</v>
      </c>
    </row>
    <row r="729" spans="1:10">
      <c r="A729" t="s">
        <v>892</v>
      </c>
      <c r="D729" s="48" t="s">
        <v>510</v>
      </c>
      <c r="E729" s="48"/>
      <c r="F729" s="48"/>
      <c r="G729" s="48"/>
      <c r="H729" s="48"/>
      <c r="I729" s="51">
        <f>AVERAGE(I721:I728)</f>
        <v>0.23649999999999999</v>
      </c>
    </row>
    <row r="730" spans="1:10">
      <c r="A730" t="s">
        <v>892</v>
      </c>
    </row>
    <row r="731" spans="1:10">
      <c r="A731" t="s">
        <v>892</v>
      </c>
      <c r="B731" t="s">
        <v>637</v>
      </c>
      <c r="C731" t="s">
        <v>638</v>
      </c>
      <c r="D731" t="s">
        <v>883</v>
      </c>
      <c r="E731">
        <v>0.23649999999999999</v>
      </c>
    </row>
    <row r="732" spans="1:10">
      <c r="A732" t="s">
        <v>892</v>
      </c>
      <c r="D732" t="s">
        <v>869</v>
      </c>
      <c r="E732" s="142">
        <v>82.666666666666671</v>
      </c>
    </row>
    <row r="733" spans="1:10">
      <c r="A733" t="s">
        <v>892</v>
      </c>
      <c r="D733" s="48" t="s">
        <v>921</v>
      </c>
      <c r="E733" s="48">
        <f>E731*E732%</f>
        <v>0.19550666666666666</v>
      </c>
    </row>
    <row r="734" spans="1:10">
      <c r="A734" t="s">
        <v>892</v>
      </c>
    </row>
    <row r="735" spans="1:10">
      <c r="A735" t="s">
        <v>892</v>
      </c>
      <c r="B735" t="s">
        <v>871</v>
      </c>
      <c r="C735" t="s">
        <v>638</v>
      </c>
      <c r="D735" t="s">
        <v>872</v>
      </c>
      <c r="E735" s="142">
        <v>35.084520404040404</v>
      </c>
    </row>
    <row r="736" spans="1:10">
      <c r="A736" t="s">
        <v>892</v>
      </c>
      <c r="D736" s="48" t="s">
        <v>922</v>
      </c>
      <c r="E736" s="48">
        <f>E735%*E731</f>
        <v>8.2974890755555544E-2</v>
      </c>
    </row>
    <row r="737" spans="1:5">
      <c r="A737" t="s">
        <v>892</v>
      </c>
    </row>
    <row r="738" spans="1:5">
      <c r="A738" t="s">
        <v>892</v>
      </c>
    </row>
    <row r="739" spans="1:5">
      <c r="A739" t="s">
        <v>892</v>
      </c>
      <c r="B739" t="s">
        <v>443</v>
      </c>
      <c r="C739" t="s">
        <v>638</v>
      </c>
      <c r="D739" t="s">
        <v>874</v>
      </c>
      <c r="E739" s="142">
        <v>16.592623391812864</v>
      </c>
    </row>
    <row r="740" spans="1:5">
      <c r="A740" t="s">
        <v>892</v>
      </c>
      <c r="D740" s="48" t="s">
        <v>923</v>
      </c>
      <c r="E740" s="48">
        <f>E739%*E731</f>
        <v>3.9241554321637423E-2</v>
      </c>
    </row>
    <row r="741" spans="1:5">
      <c r="A741" t="s">
        <v>892</v>
      </c>
    </row>
    <row r="742" spans="1:5">
      <c r="A742" t="s">
        <v>892</v>
      </c>
    </row>
    <row r="743" spans="1:5">
      <c r="A743" t="s">
        <v>892</v>
      </c>
    </row>
    <row r="744" spans="1:5">
      <c r="A744" t="s">
        <v>892</v>
      </c>
    </row>
    <row r="745" spans="1:5">
      <c r="A745" t="s">
        <v>924</v>
      </c>
      <c r="B745" t="s">
        <v>638</v>
      </c>
      <c r="C745" t="s">
        <v>197</v>
      </c>
      <c r="D745" t="s">
        <v>925</v>
      </c>
    </row>
    <row r="746" spans="1:5">
      <c r="A746" t="s">
        <v>924</v>
      </c>
      <c r="D746" t="s">
        <v>926</v>
      </c>
    </row>
    <row r="747" spans="1:5">
      <c r="A747" t="s">
        <v>924</v>
      </c>
      <c r="D747" t="s">
        <v>927</v>
      </c>
    </row>
    <row r="748" spans="1:5">
      <c r="A748" t="s">
        <v>924</v>
      </c>
      <c r="C748" t="s">
        <v>226</v>
      </c>
      <c r="D748" t="s">
        <v>928</v>
      </c>
    </row>
    <row r="749" spans="1:5">
      <c r="A749" t="s">
        <v>924</v>
      </c>
      <c r="D749" t="s">
        <v>929</v>
      </c>
    </row>
    <row r="750" spans="1:5">
      <c r="A750" t="s">
        <v>924</v>
      </c>
      <c r="D750" t="s">
        <v>930</v>
      </c>
    </row>
    <row r="751" spans="1:5">
      <c r="A751" t="s">
        <v>924</v>
      </c>
    </row>
    <row r="752" spans="1:5">
      <c r="A752" t="s">
        <v>924</v>
      </c>
    </row>
    <row r="753" spans="1:5">
      <c r="A753" t="s">
        <v>931</v>
      </c>
      <c r="B753" t="s">
        <v>638</v>
      </c>
      <c r="C753" t="s">
        <v>638</v>
      </c>
      <c r="D753" t="s">
        <v>932</v>
      </c>
    </row>
    <row r="754" spans="1:5">
      <c r="A754" t="s">
        <v>931</v>
      </c>
      <c r="B754" t="s">
        <v>638</v>
      </c>
      <c r="D754" t="s">
        <v>933</v>
      </c>
    </row>
    <row r="755" spans="1:5">
      <c r="A755" t="s">
        <v>931</v>
      </c>
      <c r="B755" t="s">
        <v>638</v>
      </c>
      <c r="D755" t="s">
        <v>934</v>
      </c>
      <c r="E755" t="s">
        <v>935</v>
      </c>
    </row>
    <row r="756" spans="1:5">
      <c r="A756" t="s">
        <v>931</v>
      </c>
      <c r="B756" t="s">
        <v>638</v>
      </c>
      <c r="D756" t="s">
        <v>936</v>
      </c>
      <c r="E756">
        <v>81</v>
      </c>
    </row>
    <row r="757" spans="1:5">
      <c r="A757" t="s">
        <v>931</v>
      </c>
      <c r="B757" t="s">
        <v>638</v>
      </c>
      <c r="D757" t="s">
        <v>937</v>
      </c>
      <c r="E757">
        <v>80.7</v>
      </c>
    </row>
    <row r="758" spans="1:5">
      <c r="A758" t="s">
        <v>931</v>
      </c>
      <c r="B758" t="s">
        <v>638</v>
      </c>
      <c r="D758" s="48" t="s">
        <v>510</v>
      </c>
      <c r="E758" s="48">
        <f>AVERAGE(E756:E757)</f>
        <v>80.849999999999994</v>
      </c>
    </row>
    <row r="759" spans="1:5">
      <c r="A759" t="s">
        <v>931</v>
      </c>
      <c r="B759" t="s">
        <v>638</v>
      </c>
    </row>
    <row r="760" spans="1:5">
      <c r="A760" t="s">
        <v>931</v>
      </c>
      <c r="B760" t="s">
        <v>638</v>
      </c>
      <c r="D760" t="s">
        <v>938</v>
      </c>
      <c r="E760">
        <f>E758%*116/180</f>
        <v>0.52103333333333335</v>
      </c>
    </row>
    <row r="761" spans="1:5">
      <c r="A761" t="s">
        <v>931</v>
      </c>
      <c r="B761" t="s">
        <v>638</v>
      </c>
    </row>
    <row r="762" spans="1:5">
      <c r="A762" t="s">
        <v>931</v>
      </c>
      <c r="B762" t="s">
        <v>638</v>
      </c>
    </row>
    <row r="763" spans="1:5">
      <c r="A763" t="s">
        <v>931</v>
      </c>
      <c r="B763" t="s">
        <v>638</v>
      </c>
    </row>
    <row r="764" spans="1:5">
      <c r="A764" t="s">
        <v>931</v>
      </c>
      <c r="B764" t="s">
        <v>638</v>
      </c>
    </row>
    <row r="765" spans="1:5">
      <c r="A765" t="s">
        <v>931</v>
      </c>
      <c r="B765" t="s">
        <v>638</v>
      </c>
    </row>
    <row r="766" spans="1:5">
      <c r="A766" t="s">
        <v>931</v>
      </c>
      <c r="B766" t="s">
        <v>638</v>
      </c>
    </row>
    <row r="767" spans="1:5">
      <c r="A767" t="s">
        <v>931</v>
      </c>
      <c r="B767" t="s">
        <v>638</v>
      </c>
    </row>
    <row r="768" spans="1:5">
      <c r="A768" t="s">
        <v>931</v>
      </c>
      <c r="B768" t="s">
        <v>638</v>
      </c>
    </row>
    <row r="769" spans="1:5">
      <c r="A769" t="s">
        <v>931</v>
      </c>
      <c r="B769" t="s">
        <v>638</v>
      </c>
    </row>
    <row r="770" spans="1:5">
      <c r="A770" t="s">
        <v>931</v>
      </c>
      <c r="B770" t="s">
        <v>638</v>
      </c>
    </row>
    <row r="771" spans="1:5">
      <c r="A771" t="s">
        <v>931</v>
      </c>
      <c r="B771" t="s">
        <v>939</v>
      </c>
      <c r="C771" t="s">
        <v>638</v>
      </c>
      <c r="D771" t="s">
        <v>940</v>
      </c>
      <c r="E771">
        <v>0.52103333333333335</v>
      </c>
    </row>
    <row r="772" spans="1:5">
      <c r="A772" t="s">
        <v>931</v>
      </c>
      <c r="B772" t="s">
        <v>939</v>
      </c>
      <c r="D772" t="s">
        <v>941</v>
      </c>
      <c r="E772">
        <v>82.666666666666671</v>
      </c>
    </row>
    <row r="773" spans="1:5">
      <c r="A773" t="s">
        <v>931</v>
      </c>
      <c r="B773" t="s">
        <v>939</v>
      </c>
      <c r="D773" s="48" t="s">
        <v>942</v>
      </c>
      <c r="E773" s="48">
        <f>E771*E772%</f>
        <v>0.43072088888888888</v>
      </c>
    </row>
    <row r="774" spans="1:5">
      <c r="A774" t="s">
        <v>931</v>
      </c>
    </row>
    <row r="775" spans="1:5">
      <c r="A775" t="s">
        <v>931</v>
      </c>
    </row>
    <row r="776" spans="1:5">
      <c r="A776" t="s">
        <v>931</v>
      </c>
    </row>
    <row r="777" spans="1:5">
      <c r="A777" t="s">
        <v>931</v>
      </c>
    </row>
    <row r="778" spans="1:5">
      <c r="A778" t="s">
        <v>931</v>
      </c>
      <c r="B778" t="s">
        <v>644</v>
      </c>
      <c r="C778" t="s">
        <v>197</v>
      </c>
      <c r="D778" t="s">
        <v>943</v>
      </c>
    </row>
    <row r="779" spans="1:5">
      <c r="A779" t="s">
        <v>931</v>
      </c>
      <c r="D779" t="s">
        <v>944</v>
      </c>
    </row>
    <row r="780" spans="1:5">
      <c r="A780" t="s">
        <v>931</v>
      </c>
      <c r="D780" t="s">
        <v>945</v>
      </c>
    </row>
    <row r="781" spans="1:5">
      <c r="A781" t="s">
        <v>931</v>
      </c>
    </row>
    <row r="782" spans="1:5">
      <c r="A782" t="s">
        <v>931</v>
      </c>
      <c r="D782" s="153" t="s">
        <v>946</v>
      </c>
      <c r="E782" t="s">
        <v>947</v>
      </c>
    </row>
    <row r="783" spans="1:5">
      <c r="A783" t="s">
        <v>931</v>
      </c>
    </row>
    <row r="784" spans="1:5">
      <c r="A784" t="s">
        <v>931</v>
      </c>
      <c r="D784" t="s">
        <v>948</v>
      </c>
    </row>
    <row r="785" spans="1:5">
      <c r="A785" t="s">
        <v>931</v>
      </c>
      <c r="D785" t="s">
        <v>949</v>
      </c>
    </row>
    <row r="786" spans="1:5">
      <c r="A786" t="s">
        <v>931</v>
      </c>
      <c r="D786" s="48" t="s">
        <v>950</v>
      </c>
      <c r="E786" s="48">
        <v>0.11799999999999999</v>
      </c>
    </row>
    <row r="787" spans="1:5">
      <c r="A787" t="s">
        <v>931</v>
      </c>
      <c r="D787" s="48" t="s">
        <v>951</v>
      </c>
      <c r="E787" s="60">
        <v>0.105</v>
      </c>
    </row>
    <row r="788" spans="1:5">
      <c r="A788" t="s">
        <v>931</v>
      </c>
      <c r="D788" s="48" t="s">
        <v>952</v>
      </c>
      <c r="E788" s="48">
        <f>E786*(1-E787)</f>
        <v>0.10561</v>
      </c>
    </row>
    <row r="789" spans="1:5">
      <c r="A789" t="s">
        <v>931</v>
      </c>
    </row>
    <row r="790" spans="1:5">
      <c r="A790" t="s">
        <v>931</v>
      </c>
    </row>
    <row r="791" spans="1:5">
      <c r="A791" t="s">
        <v>931</v>
      </c>
      <c r="C791" t="s">
        <v>226</v>
      </c>
      <c r="D791" t="s">
        <v>953</v>
      </c>
    </row>
    <row r="792" spans="1:5">
      <c r="A792" t="s">
        <v>931</v>
      </c>
      <c r="D792" t="s">
        <v>954</v>
      </c>
    </row>
    <row r="793" spans="1:5">
      <c r="A793" t="s">
        <v>931</v>
      </c>
      <c r="D793" t="s">
        <v>955</v>
      </c>
    </row>
    <row r="794" spans="1:5">
      <c r="A794" t="s">
        <v>931</v>
      </c>
      <c r="D794" s="206" t="s">
        <v>956</v>
      </c>
    </row>
    <row r="795" spans="1:5">
      <c r="A795" t="s">
        <v>931</v>
      </c>
    </row>
    <row r="796" spans="1:5">
      <c r="A796" t="s">
        <v>931</v>
      </c>
    </row>
    <row r="797" spans="1:5">
      <c r="A797" t="s">
        <v>931</v>
      </c>
    </row>
    <row r="798" spans="1:5">
      <c r="A798" t="s">
        <v>931</v>
      </c>
    </row>
    <row r="799" spans="1:5">
      <c r="A799" t="s">
        <v>931</v>
      </c>
    </row>
    <row r="800" spans="1:5">
      <c r="A800" t="s">
        <v>931</v>
      </c>
    </row>
    <row r="801" spans="1:5">
      <c r="A801" t="s">
        <v>931</v>
      </c>
      <c r="D801" t="s">
        <v>957</v>
      </c>
      <c r="E801" s="140">
        <v>0.27600000000000002</v>
      </c>
    </row>
    <row r="802" spans="1:5">
      <c r="A802" t="s">
        <v>931</v>
      </c>
      <c r="D802" t="s">
        <v>957</v>
      </c>
      <c r="E802" s="140">
        <v>0.39750000000000002</v>
      </c>
    </row>
    <row r="803" spans="1:5">
      <c r="A803" t="s">
        <v>931</v>
      </c>
      <c r="D803" t="s">
        <v>957</v>
      </c>
      <c r="E803" s="140">
        <v>0.1769</v>
      </c>
    </row>
    <row r="804" spans="1:5">
      <c r="A804" t="s">
        <v>931</v>
      </c>
      <c r="D804" t="s">
        <v>957</v>
      </c>
      <c r="E804" s="140">
        <v>0.19339999999999999</v>
      </c>
    </row>
    <row r="805" spans="1:5">
      <c r="A805" t="s">
        <v>931</v>
      </c>
      <c r="D805" t="s">
        <v>957</v>
      </c>
      <c r="E805" s="140">
        <v>0.14019999999999999</v>
      </c>
    </row>
    <row r="806" spans="1:5">
      <c r="A806" t="s">
        <v>931</v>
      </c>
      <c r="D806" t="s">
        <v>957</v>
      </c>
      <c r="E806" s="140">
        <v>0.1593</v>
      </c>
    </row>
    <row r="807" spans="1:5">
      <c r="A807" t="s">
        <v>931</v>
      </c>
      <c r="D807" s="48" t="s">
        <v>958</v>
      </c>
      <c r="E807" s="60">
        <f>AVERAGE(E801:E806)</f>
        <v>0.22388333333333335</v>
      </c>
    </row>
    <row r="808" spans="1:5">
      <c r="A808" t="s">
        <v>931</v>
      </c>
    </row>
    <row r="809" spans="1:5">
      <c r="A809" t="s">
        <v>931</v>
      </c>
      <c r="D809" t="s">
        <v>959</v>
      </c>
      <c r="E809" s="142">
        <f>29.2*0.8792</f>
        <v>25.672639999999998</v>
      </c>
    </row>
    <row r="810" spans="1:5">
      <c r="A810" t="s">
        <v>931</v>
      </c>
      <c r="D810" s="48" t="s">
        <v>960</v>
      </c>
      <c r="E810" s="48">
        <f>E809%*E807</f>
        <v>5.7476762186666662E-2</v>
      </c>
    </row>
    <row r="811" spans="1:5">
      <c r="A811" t="s">
        <v>931</v>
      </c>
    </row>
    <row r="812" spans="1:5">
      <c r="A812" t="s">
        <v>931</v>
      </c>
    </row>
    <row r="813" spans="1:5">
      <c r="A813" t="s">
        <v>931</v>
      </c>
      <c r="C813" t="s">
        <v>961</v>
      </c>
      <c r="D813" t="s">
        <v>962</v>
      </c>
    </row>
    <row r="814" spans="1:5">
      <c r="A814" t="s">
        <v>931</v>
      </c>
      <c r="D814" t="s">
        <v>963</v>
      </c>
    </row>
    <row r="815" spans="1:5">
      <c r="A815" t="s">
        <v>931</v>
      </c>
      <c r="D815" t="s">
        <v>964</v>
      </c>
    </row>
    <row r="816" spans="1:5">
      <c r="A816" t="s">
        <v>931</v>
      </c>
    </row>
    <row r="817" spans="1:5">
      <c r="A817" t="s">
        <v>931</v>
      </c>
    </row>
    <row r="818" spans="1:5">
      <c r="A818" t="s">
        <v>931</v>
      </c>
    </row>
    <row r="819" spans="1:5">
      <c r="A819" t="s">
        <v>931</v>
      </c>
    </row>
    <row r="820" spans="1:5" ht="15.6">
      <c r="A820" t="s">
        <v>931</v>
      </c>
      <c r="D820" s="121" t="s">
        <v>965</v>
      </c>
    </row>
    <row r="821" spans="1:5">
      <c r="A821" t="s">
        <v>931</v>
      </c>
      <c r="D821" s="48" t="s">
        <v>966</v>
      </c>
      <c r="E821" s="60">
        <v>0.623</v>
      </c>
    </row>
    <row r="822" spans="1:5">
      <c r="A822" t="s">
        <v>931</v>
      </c>
      <c r="D822" s="48" t="s">
        <v>966</v>
      </c>
      <c r="E822" s="60">
        <v>0.65849999999999997</v>
      </c>
    </row>
    <row r="823" spans="1:5">
      <c r="A823" t="s">
        <v>931</v>
      </c>
      <c r="D823" s="48" t="s">
        <v>966</v>
      </c>
      <c r="E823" s="60">
        <v>0.66049999999999998</v>
      </c>
    </row>
    <row r="824" spans="1:5">
      <c r="A824" t="s">
        <v>931</v>
      </c>
      <c r="D824" s="48" t="s">
        <v>510</v>
      </c>
      <c r="E824" s="48">
        <f>AVERAGE(E821:E823)</f>
        <v>0.64733333333333321</v>
      </c>
    </row>
    <row r="825" spans="1:5">
      <c r="A825" t="s">
        <v>931</v>
      </c>
      <c r="D825" s="48" t="s">
        <v>967</v>
      </c>
      <c r="E825" s="51">
        <v>35.084520404040397</v>
      </c>
    </row>
    <row r="826" spans="1:5">
      <c r="A826" t="s">
        <v>931</v>
      </c>
      <c r="D826" s="48" t="s">
        <v>968</v>
      </c>
      <c r="E826" s="207">
        <v>180</v>
      </c>
    </row>
    <row r="827" spans="1:5">
      <c r="A827" t="s">
        <v>931</v>
      </c>
      <c r="D827" s="48" t="s">
        <v>969</v>
      </c>
      <c r="E827" s="207">
        <v>116</v>
      </c>
    </row>
    <row r="828" spans="1:5">
      <c r="A828" t="s">
        <v>931</v>
      </c>
      <c r="D828" s="48" t="s">
        <v>970</v>
      </c>
      <c r="E828" s="48">
        <f>E824*E827/E826*E825%</f>
        <v>0.14636222371220348</v>
      </c>
    </row>
    <row r="829" spans="1:5">
      <c r="A829" t="s">
        <v>931</v>
      </c>
    </row>
    <row r="830" spans="1:5">
      <c r="A830" t="s">
        <v>931</v>
      </c>
    </row>
    <row r="831" spans="1:5">
      <c r="A831" t="s">
        <v>931</v>
      </c>
      <c r="C831" t="s">
        <v>420</v>
      </c>
      <c r="D831" t="s">
        <v>971</v>
      </c>
    </row>
    <row r="832" spans="1:5">
      <c r="A832" t="s">
        <v>931</v>
      </c>
      <c r="D832" t="s">
        <v>972</v>
      </c>
    </row>
    <row r="833" spans="1:5">
      <c r="A833" t="s">
        <v>931</v>
      </c>
      <c r="D833" t="s">
        <v>973</v>
      </c>
    </row>
    <row r="834" spans="1:5">
      <c r="A834" t="s">
        <v>931</v>
      </c>
    </row>
    <row r="835" spans="1:5">
      <c r="A835" t="s">
        <v>931</v>
      </c>
      <c r="D835" t="s">
        <v>974</v>
      </c>
    </row>
    <row r="836" spans="1:5">
      <c r="A836" t="s">
        <v>931</v>
      </c>
      <c r="D836" t="s">
        <v>975</v>
      </c>
    </row>
    <row r="837" spans="1:5">
      <c r="A837" t="s">
        <v>931</v>
      </c>
      <c r="D837" t="s">
        <v>976</v>
      </c>
    </row>
    <row r="838" spans="1:5">
      <c r="A838" t="s">
        <v>931</v>
      </c>
      <c r="D838" t="s">
        <v>977</v>
      </c>
      <c r="E838">
        <v>28.8</v>
      </c>
    </row>
    <row r="839" spans="1:5">
      <c r="A839" t="s">
        <v>931</v>
      </c>
      <c r="D839" t="s">
        <v>977</v>
      </c>
      <c r="E839">
        <v>61.8</v>
      </c>
    </row>
    <row r="840" spans="1:5">
      <c r="A840" t="s">
        <v>931</v>
      </c>
      <c r="D840" t="s">
        <v>977</v>
      </c>
      <c r="E840">
        <v>65.2</v>
      </c>
    </row>
    <row r="841" spans="1:5">
      <c r="A841" t="s">
        <v>931</v>
      </c>
      <c r="D841" s="48" t="s">
        <v>978</v>
      </c>
      <c r="E841" s="48">
        <f>AVERAGE(E838:E840)</f>
        <v>51.933333333333337</v>
      </c>
    </row>
    <row r="842" spans="1:5">
      <c r="A842" t="s">
        <v>931</v>
      </c>
      <c r="D842" s="48" t="s">
        <v>979</v>
      </c>
      <c r="E842" s="60">
        <v>0.51933333333333298</v>
      </c>
    </row>
    <row r="843" spans="1:5">
      <c r="A843" t="s">
        <v>931</v>
      </c>
      <c r="D843" s="48" t="s">
        <v>967</v>
      </c>
      <c r="E843" s="51">
        <v>35.084520404040397</v>
      </c>
    </row>
    <row r="844" spans="1:5">
      <c r="A844" t="s">
        <v>931</v>
      </c>
      <c r="D844" s="48" t="s">
        <v>968</v>
      </c>
      <c r="E844" s="207">
        <v>180</v>
      </c>
    </row>
    <row r="845" spans="1:5">
      <c r="A845" t="s">
        <v>931</v>
      </c>
      <c r="D845" s="48" t="s">
        <v>969</v>
      </c>
      <c r="E845" s="207">
        <v>116</v>
      </c>
    </row>
    <row r="846" spans="1:5">
      <c r="A846" t="s">
        <v>931</v>
      </c>
      <c r="D846" s="48" t="s">
        <v>970</v>
      </c>
      <c r="E846" s="48">
        <f>E842*E845/E844*E843%</f>
        <v>0.11742139265891498</v>
      </c>
    </row>
    <row r="847" spans="1:5">
      <c r="A847" t="s">
        <v>931</v>
      </c>
    </row>
    <row r="848" spans="1:5">
      <c r="A848" t="s">
        <v>931</v>
      </c>
    </row>
    <row r="849" spans="1:5">
      <c r="A849" t="s">
        <v>931</v>
      </c>
      <c r="B849" t="s">
        <v>443</v>
      </c>
      <c r="C849" t="s">
        <v>638</v>
      </c>
      <c r="D849" t="s">
        <v>940</v>
      </c>
      <c r="E849">
        <v>0.52103333333333335</v>
      </c>
    </row>
    <row r="850" spans="1:5">
      <c r="A850" t="s">
        <v>931</v>
      </c>
      <c r="D850" t="s">
        <v>980</v>
      </c>
      <c r="E850">
        <v>19.816202339181288</v>
      </c>
    </row>
    <row r="851" spans="1:5">
      <c r="A851" t="s">
        <v>931</v>
      </c>
      <c r="D851" s="48" t="s">
        <v>981</v>
      </c>
      <c r="E851" s="48">
        <f>E849*E850%</f>
        <v>0.10324901958791424</v>
      </c>
    </row>
    <row r="852" spans="1:5">
      <c r="A852" t="s">
        <v>931</v>
      </c>
    </row>
    <row r="853" spans="1:5">
      <c r="A853" t="s">
        <v>931</v>
      </c>
    </row>
    <row r="854" spans="1:5">
      <c r="A854" t="s">
        <v>931</v>
      </c>
    </row>
    <row r="855" spans="1:5">
      <c r="A855" t="s">
        <v>982</v>
      </c>
      <c r="B855" t="s">
        <v>983</v>
      </c>
      <c r="C855" t="s">
        <v>638</v>
      </c>
      <c r="D855" s="7" t="s">
        <v>984</v>
      </c>
    </row>
    <row r="856" spans="1:5">
      <c r="A856" t="s">
        <v>982</v>
      </c>
      <c r="D856" t="s">
        <v>985</v>
      </c>
    </row>
    <row r="857" spans="1:5" ht="15.6">
      <c r="A857" t="s">
        <v>982</v>
      </c>
      <c r="D857" s="199" t="s">
        <v>986</v>
      </c>
    </row>
    <row r="858" spans="1:5">
      <c r="A858" t="s">
        <v>982</v>
      </c>
      <c r="D858" t="s">
        <v>987</v>
      </c>
      <c r="E858">
        <v>0.76</v>
      </c>
    </row>
    <row r="859" spans="1:5">
      <c r="A859" t="s">
        <v>982</v>
      </c>
      <c r="D859" t="s">
        <v>988</v>
      </c>
      <c r="E859">
        <v>82.666666666666671</v>
      </c>
    </row>
    <row r="860" spans="1:5">
      <c r="A860" t="s">
        <v>982</v>
      </c>
      <c r="D860" t="s">
        <v>989</v>
      </c>
      <c r="E860">
        <f>E858*E859%</f>
        <v>0.62826666666666664</v>
      </c>
    </row>
    <row r="861" spans="1:5">
      <c r="A861" t="s">
        <v>982</v>
      </c>
    </row>
    <row r="862" spans="1:5">
      <c r="A862" t="s">
        <v>982</v>
      </c>
      <c r="B862" t="s">
        <v>644</v>
      </c>
      <c r="C862" t="s">
        <v>197</v>
      </c>
      <c r="D862" t="s">
        <v>990</v>
      </c>
    </row>
    <row r="863" spans="1:5">
      <c r="A863" t="s">
        <v>982</v>
      </c>
      <c r="D863" t="s">
        <v>991</v>
      </c>
    </row>
    <row r="864" spans="1:5">
      <c r="A864" t="s">
        <v>982</v>
      </c>
    </row>
    <row r="865" spans="1:6">
      <c r="A865" t="s">
        <v>982</v>
      </c>
      <c r="D865" t="s">
        <v>644</v>
      </c>
      <c r="E865" t="s">
        <v>156</v>
      </c>
    </row>
    <row r="866" spans="1:6">
      <c r="A866" t="s">
        <v>982</v>
      </c>
      <c r="D866">
        <v>0</v>
      </c>
      <c r="E866">
        <v>4.5</v>
      </c>
      <c r="F866" t="s">
        <v>992</v>
      </c>
    </row>
    <row r="867" spans="1:6">
      <c r="A867" t="s">
        <v>982</v>
      </c>
      <c r="D867">
        <v>200</v>
      </c>
      <c r="E867">
        <v>5.45</v>
      </c>
      <c r="F867" t="s">
        <v>992</v>
      </c>
    </row>
    <row r="868" spans="1:6">
      <c r="A868" t="s">
        <v>982</v>
      </c>
      <c r="D868">
        <v>400</v>
      </c>
      <c r="E868">
        <v>6.71</v>
      </c>
      <c r="F868" t="s">
        <v>992</v>
      </c>
    </row>
    <row r="869" spans="1:6">
      <c r="A869" t="s">
        <v>982</v>
      </c>
      <c r="D869">
        <v>600</v>
      </c>
      <c r="E869">
        <v>5.39</v>
      </c>
      <c r="F869" t="s">
        <v>992</v>
      </c>
    </row>
    <row r="870" spans="1:6">
      <c r="A870" t="s">
        <v>982</v>
      </c>
      <c r="D870">
        <v>800</v>
      </c>
      <c r="E870">
        <v>4.41</v>
      </c>
      <c r="F870" t="s">
        <v>992</v>
      </c>
    </row>
    <row r="871" spans="1:6">
      <c r="A871" t="s">
        <v>982</v>
      </c>
      <c r="D871">
        <v>0</v>
      </c>
      <c r="E871">
        <v>4.53</v>
      </c>
      <c r="F871" t="s">
        <v>993</v>
      </c>
    </row>
    <row r="872" spans="1:6">
      <c r="A872" t="s">
        <v>982</v>
      </c>
      <c r="D872">
        <v>200</v>
      </c>
      <c r="E872">
        <v>5.04</v>
      </c>
      <c r="F872" t="s">
        <v>993</v>
      </c>
    </row>
    <row r="873" spans="1:6">
      <c r="A873" t="s">
        <v>982</v>
      </c>
      <c r="D873">
        <v>400</v>
      </c>
      <c r="E873">
        <v>5.45</v>
      </c>
      <c r="F873" t="s">
        <v>993</v>
      </c>
    </row>
    <row r="874" spans="1:6">
      <c r="A874" t="s">
        <v>982</v>
      </c>
      <c r="D874">
        <v>600</v>
      </c>
      <c r="E874">
        <v>4.9000000000000004</v>
      </c>
      <c r="F874" t="s">
        <v>993</v>
      </c>
    </row>
    <row r="875" spans="1:6">
      <c r="A875" t="s">
        <v>982</v>
      </c>
      <c r="D875">
        <v>800</v>
      </c>
      <c r="E875">
        <v>3.92</v>
      </c>
      <c r="F875" t="s">
        <v>993</v>
      </c>
    </row>
    <row r="876" spans="1:6">
      <c r="A876" t="s">
        <v>982</v>
      </c>
      <c r="D876">
        <v>0</v>
      </c>
      <c r="E876">
        <v>4.53</v>
      </c>
      <c r="F876" t="s">
        <v>994</v>
      </c>
    </row>
    <row r="877" spans="1:6">
      <c r="A877" t="s">
        <v>982</v>
      </c>
      <c r="D877">
        <v>200</v>
      </c>
      <c r="E877">
        <v>3.19</v>
      </c>
      <c r="F877" t="s">
        <v>994</v>
      </c>
    </row>
    <row r="878" spans="1:6">
      <c r="A878" t="s">
        <v>982</v>
      </c>
      <c r="D878">
        <v>400</v>
      </c>
      <c r="E878">
        <v>1.77</v>
      </c>
      <c r="F878" t="s">
        <v>994</v>
      </c>
    </row>
    <row r="879" spans="1:6">
      <c r="A879" t="s">
        <v>982</v>
      </c>
      <c r="D879">
        <v>600</v>
      </c>
      <c r="E879">
        <v>1.35</v>
      </c>
      <c r="F879" t="s">
        <v>994</v>
      </c>
    </row>
    <row r="880" spans="1:6">
      <c r="A880" t="s">
        <v>982</v>
      </c>
      <c r="D880">
        <v>800</v>
      </c>
      <c r="E880">
        <v>0.49</v>
      </c>
      <c r="F880" t="s">
        <v>994</v>
      </c>
    </row>
    <row r="881" spans="1:5">
      <c r="A881" t="s">
        <v>982</v>
      </c>
      <c r="D881" s="48" t="s">
        <v>995</v>
      </c>
      <c r="E881" s="48">
        <f>AVERAGE(E866:E880)</f>
        <v>4.1086666666666671</v>
      </c>
    </row>
    <row r="882" spans="1:5">
      <c r="A882" t="s">
        <v>982</v>
      </c>
      <c r="D882" s="48" t="s">
        <v>996</v>
      </c>
      <c r="E882" s="48">
        <f>E881*0.01</f>
        <v>4.1086666666666674E-2</v>
      </c>
    </row>
    <row r="883" spans="1:5">
      <c r="A883" t="s">
        <v>982</v>
      </c>
    </row>
    <row r="884" spans="1:5">
      <c r="A884" t="s">
        <v>982</v>
      </c>
    </row>
    <row r="885" spans="1:5">
      <c r="A885" t="s">
        <v>982</v>
      </c>
      <c r="C885" t="s">
        <v>226</v>
      </c>
      <c r="D885" t="s">
        <v>997</v>
      </c>
    </row>
    <row r="886" spans="1:5">
      <c r="A886" t="s">
        <v>982</v>
      </c>
      <c r="D886" t="s">
        <v>998</v>
      </c>
    </row>
    <row r="887" spans="1:5">
      <c r="A887" t="s">
        <v>982</v>
      </c>
    </row>
    <row r="888" spans="1:5">
      <c r="A888" t="s">
        <v>982</v>
      </c>
    </row>
    <row r="889" spans="1:5">
      <c r="A889" t="s">
        <v>982</v>
      </c>
    </row>
    <row r="890" spans="1:5">
      <c r="A890" t="s">
        <v>982</v>
      </c>
    </row>
    <row r="891" spans="1:5">
      <c r="A891" t="s">
        <v>982</v>
      </c>
    </row>
    <row r="892" spans="1:5">
      <c r="A892" t="s">
        <v>982</v>
      </c>
    </row>
    <row r="893" spans="1:5">
      <c r="A893" t="s">
        <v>982</v>
      </c>
    </row>
    <row r="894" spans="1:5">
      <c r="A894" t="s">
        <v>982</v>
      </c>
    </row>
    <row r="895" spans="1:5">
      <c r="A895" t="s">
        <v>982</v>
      </c>
    </row>
    <row r="896" spans="1:5">
      <c r="A896" t="s">
        <v>982</v>
      </c>
    </row>
    <row r="897" spans="1:5">
      <c r="A897" t="s">
        <v>982</v>
      </c>
    </row>
    <row r="898" spans="1:5">
      <c r="A898" t="s">
        <v>982</v>
      </c>
    </row>
    <row r="899" spans="1:5">
      <c r="A899" t="s">
        <v>982</v>
      </c>
    </row>
    <row r="900" spans="1:5">
      <c r="A900" t="s">
        <v>982</v>
      </c>
    </row>
    <row r="901" spans="1:5">
      <c r="A901" t="s">
        <v>982</v>
      </c>
    </row>
    <row r="902" spans="1:5">
      <c r="A902" t="s">
        <v>982</v>
      </c>
    </row>
    <row r="903" spans="1:5">
      <c r="A903" t="s">
        <v>982</v>
      </c>
    </row>
    <row r="904" spans="1:5">
      <c r="A904" t="s">
        <v>982</v>
      </c>
    </row>
    <row r="905" spans="1:5">
      <c r="A905" t="s">
        <v>982</v>
      </c>
    </row>
    <row r="906" spans="1:5">
      <c r="A906" t="s">
        <v>982</v>
      </c>
    </row>
    <row r="907" spans="1:5">
      <c r="A907" t="s">
        <v>982</v>
      </c>
    </row>
    <row r="908" spans="1:5">
      <c r="A908" t="s">
        <v>982</v>
      </c>
    </row>
    <row r="909" spans="1:5">
      <c r="A909" t="s">
        <v>982</v>
      </c>
    </row>
    <row r="910" spans="1:5">
      <c r="A910" t="s">
        <v>982</v>
      </c>
      <c r="D910" s="48" t="s">
        <v>999</v>
      </c>
      <c r="E910" s="48">
        <f>2.91+3.88</f>
        <v>6.79</v>
      </c>
    </row>
    <row r="911" spans="1:5">
      <c r="A911" t="s">
        <v>982</v>
      </c>
      <c r="D911" s="48" t="s">
        <v>1000</v>
      </c>
      <c r="E911" s="48">
        <f>E910/100</f>
        <v>6.7900000000000002E-2</v>
      </c>
    </row>
    <row r="912" spans="1:5">
      <c r="A912" t="s">
        <v>982</v>
      </c>
    </row>
    <row r="913" spans="1:9">
      <c r="A913" t="s">
        <v>982</v>
      </c>
    </row>
    <row r="914" spans="1:9">
      <c r="A914" t="s">
        <v>982</v>
      </c>
      <c r="C914" t="s">
        <v>961</v>
      </c>
      <c r="D914" t="s">
        <v>1001</v>
      </c>
    </row>
    <row r="915" spans="1:9">
      <c r="A915" t="s">
        <v>982</v>
      </c>
      <c r="D915" t="s">
        <v>1002</v>
      </c>
    </row>
    <row r="916" spans="1:9" ht="15">
      <c r="A916" t="s">
        <v>982</v>
      </c>
      <c r="D916" s="216" t="s">
        <v>1003</v>
      </c>
    </row>
    <row r="917" spans="1:9">
      <c r="A917" t="s">
        <v>982</v>
      </c>
      <c r="D917" s="219" t="s">
        <v>1004</v>
      </c>
    </row>
    <row r="918" spans="1:9">
      <c r="A918" t="s">
        <v>982</v>
      </c>
      <c r="D918" s="551"/>
      <c r="E918" s="551"/>
      <c r="F918" s="551"/>
      <c r="G918" s="551"/>
      <c r="H918" s="551"/>
      <c r="I918" s="551"/>
    </row>
    <row r="919" spans="1:9">
      <c r="A919" t="s">
        <v>982</v>
      </c>
      <c r="D919" s="552" t="s">
        <v>699</v>
      </c>
      <c r="E919" s="554" t="s">
        <v>1005</v>
      </c>
      <c r="F919" s="218" t="s">
        <v>1006</v>
      </c>
      <c r="G919" s="218" t="s">
        <v>1007</v>
      </c>
      <c r="H919" s="218" t="s">
        <v>1008</v>
      </c>
      <c r="I919" s="154" t="s">
        <v>1009</v>
      </c>
    </row>
    <row r="920" spans="1:9">
      <c r="A920" t="s">
        <v>982</v>
      </c>
      <c r="D920" s="553"/>
      <c r="E920" s="555"/>
      <c r="F920" s="154" t="s">
        <v>1010</v>
      </c>
      <c r="G920" s="154" t="s">
        <v>1010</v>
      </c>
      <c r="H920" s="154" t="s">
        <v>1011</v>
      </c>
      <c r="I920" s="154" t="s">
        <v>1012</v>
      </c>
    </row>
    <row r="921" spans="1:9">
      <c r="A921" t="s">
        <v>982</v>
      </c>
      <c r="D921" s="551"/>
      <c r="E921" s="551"/>
      <c r="F921" s="551"/>
      <c r="G921" s="551"/>
      <c r="H921" s="551"/>
      <c r="I921" s="551"/>
    </row>
    <row r="922" spans="1:9">
      <c r="A922" t="s">
        <v>982</v>
      </c>
      <c r="D922" s="552" t="s">
        <v>1013</v>
      </c>
      <c r="E922" s="154" t="s">
        <v>1014</v>
      </c>
      <c r="F922" s="154">
        <v>40</v>
      </c>
      <c r="G922" s="154"/>
      <c r="H922" s="154">
        <v>0.76</v>
      </c>
      <c r="I922" s="154">
        <v>0.44</v>
      </c>
    </row>
    <row r="923" spans="1:9">
      <c r="A923" t="s">
        <v>982</v>
      </c>
      <c r="D923" s="553"/>
      <c r="E923" s="154" t="s">
        <v>1015</v>
      </c>
      <c r="F923" s="154">
        <v>40</v>
      </c>
      <c r="G923" s="154"/>
      <c r="H923" s="154">
        <v>0.75</v>
      </c>
      <c r="I923" s="154">
        <v>0.4</v>
      </c>
    </row>
    <row r="924" spans="1:9">
      <c r="A924" t="s">
        <v>982</v>
      </c>
      <c r="D924" s="553" t="s">
        <v>1016</v>
      </c>
      <c r="E924" s="154" t="s">
        <v>1014</v>
      </c>
      <c r="F924" s="154">
        <v>40</v>
      </c>
      <c r="G924" s="154"/>
      <c r="H924" s="154">
        <v>0.76</v>
      </c>
      <c r="I924" s="154">
        <v>0.42</v>
      </c>
    </row>
    <row r="925" spans="1:9">
      <c r="A925" t="s">
        <v>982</v>
      </c>
      <c r="D925" s="553"/>
      <c r="E925" s="154" t="s">
        <v>1015</v>
      </c>
      <c r="F925" s="154">
        <v>40</v>
      </c>
      <c r="G925" s="154"/>
      <c r="H925" s="154">
        <v>0.76</v>
      </c>
      <c r="I925" s="154">
        <v>0.42</v>
      </c>
    </row>
    <row r="926" spans="1:9">
      <c r="A926" t="s">
        <v>982</v>
      </c>
      <c r="D926" s="553" t="s">
        <v>1017</v>
      </c>
      <c r="E926" s="154" t="s">
        <v>1014</v>
      </c>
      <c r="F926" s="154">
        <v>40</v>
      </c>
      <c r="G926" s="154"/>
      <c r="H926" s="154">
        <v>0.86</v>
      </c>
      <c r="I926" s="154">
        <v>0.52</v>
      </c>
    </row>
    <row r="927" spans="1:9">
      <c r="A927" t="s">
        <v>982</v>
      </c>
      <c r="D927" s="553"/>
      <c r="E927" s="154" t="s">
        <v>1015</v>
      </c>
      <c r="F927" s="154">
        <v>40</v>
      </c>
      <c r="G927" s="154"/>
      <c r="H927" s="154">
        <v>0.86</v>
      </c>
      <c r="I927" s="154">
        <v>0.52</v>
      </c>
    </row>
    <row r="928" spans="1:9">
      <c r="A928" t="s">
        <v>982</v>
      </c>
      <c r="D928" s="553" t="s">
        <v>676</v>
      </c>
      <c r="E928" s="154" t="s">
        <v>1014</v>
      </c>
      <c r="F928" s="154">
        <v>40</v>
      </c>
      <c r="G928" s="154"/>
      <c r="H928" s="154">
        <v>0.83</v>
      </c>
      <c r="I928" s="154">
        <v>0.5</v>
      </c>
    </row>
    <row r="929" spans="1:9">
      <c r="A929" t="s">
        <v>982</v>
      </c>
      <c r="D929" s="553"/>
      <c r="E929" s="154" t="s">
        <v>1015</v>
      </c>
      <c r="F929" s="154">
        <v>40</v>
      </c>
      <c r="G929" s="154"/>
      <c r="H929" s="154">
        <v>0.83</v>
      </c>
      <c r="I929" s="154">
        <v>0.5</v>
      </c>
    </row>
    <row r="930" spans="1:9">
      <c r="A930" t="s">
        <v>982</v>
      </c>
      <c r="D930" s="217" t="s">
        <v>84</v>
      </c>
      <c r="E930" s="154" t="s">
        <v>1018</v>
      </c>
      <c r="F930" s="154">
        <v>40</v>
      </c>
      <c r="G930" s="154"/>
      <c r="H930" s="154">
        <v>0.96</v>
      </c>
      <c r="I930" s="154">
        <v>0.59</v>
      </c>
    </row>
    <row r="931" spans="1:9">
      <c r="A931" t="s">
        <v>982</v>
      </c>
      <c r="D931" s="551"/>
      <c r="E931" s="551"/>
      <c r="F931" s="551"/>
      <c r="G931" s="551"/>
      <c r="H931" s="551"/>
      <c r="I931" s="551"/>
    </row>
    <row r="932" spans="1:9" ht="15" customHeight="1">
      <c r="A932" t="s">
        <v>982</v>
      </c>
      <c r="D932" s="559" t="s">
        <v>1019</v>
      </c>
      <c r="E932" s="559"/>
      <c r="F932" s="559"/>
      <c r="G932" s="559"/>
      <c r="H932" s="559"/>
      <c r="I932" s="559"/>
    </row>
    <row r="933" spans="1:9">
      <c r="A933" t="s">
        <v>982</v>
      </c>
    </row>
    <row r="934" spans="1:9">
      <c r="A934" t="s">
        <v>982</v>
      </c>
      <c r="D934" s="218" t="s">
        <v>1008</v>
      </c>
      <c r="E934" s="154">
        <v>0.83</v>
      </c>
    </row>
    <row r="935" spans="1:9">
      <c r="A935" t="s">
        <v>982</v>
      </c>
      <c r="D935" s="48" t="s">
        <v>1020</v>
      </c>
      <c r="E935" s="48">
        <v>48.072702222222219</v>
      </c>
    </row>
    <row r="936" spans="1:9">
      <c r="A936" t="s">
        <v>982</v>
      </c>
      <c r="D936" s="48" t="s">
        <v>970</v>
      </c>
      <c r="E936" s="48">
        <f>E934*E935%</f>
        <v>0.39900342844444442</v>
      </c>
    </row>
    <row r="937" spans="1:9">
      <c r="A937" t="s">
        <v>982</v>
      </c>
    </row>
    <row r="938" spans="1:9">
      <c r="A938" t="s">
        <v>982</v>
      </c>
    </row>
    <row r="939" spans="1:9">
      <c r="A939" t="s">
        <v>982</v>
      </c>
      <c r="C939" t="s">
        <v>420</v>
      </c>
      <c r="D939" t="s">
        <v>1021</v>
      </c>
    </row>
    <row r="940" spans="1:9">
      <c r="A940" t="s">
        <v>982</v>
      </c>
      <c r="D940" t="s">
        <v>1022</v>
      </c>
    </row>
    <row r="941" spans="1:9">
      <c r="A941" t="s">
        <v>982</v>
      </c>
    </row>
    <row r="942" spans="1:9" ht="18">
      <c r="A942" t="s">
        <v>982</v>
      </c>
      <c r="D942" s="99" t="s">
        <v>1023</v>
      </c>
    </row>
    <row r="943" spans="1:9">
      <c r="A943" t="s">
        <v>982</v>
      </c>
      <c r="D943" s="26" t="s">
        <v>1024</v>
      </c>
    </row>
    <row r="944" spans="1:9">
      <c r="A944" t="s">
        <v>982</v>
      </c>
      <c r="D944" t="s">
        <v>1025</v>
      </c>
      <c r="E944" t="s">
        <v>1026</v>
      </c>
      <c r="F944" t="s">
        <v>1027</v>
      </c>
      <c r="G944" t="s">
        <v>1028</v>
      </c>
    </row>
    <row r="945" spans="1:11">
      <c r="A945" t="s">
        <v>982</v>
      </c>
      <c r="D945" t="s">
        <v>1029</v>
      </c>
      <c r="E945">
        <v>29.8</v>
      </c>
      <c r="F945">
        <v>82.2</v>
      </c>
      <c r="G945">
        <v>3.4</v>
      </c>
    </row>
    <row r="946" spans="1:11">
      <c r="A946" t="s">
        <v>982</v>
      </c>
      <c r="D946" t="s">
        <v>1030</v>
      </c>
      <c r="E946">
        <v>31.1</v>
      </c>
      <c r="F946">
        <v>96.3</v>
      </c>
      <c r="G946">
        <v>2.9</v>
      </c>
    </row>
    <row r="947" spans="1:11">
      <c r="A947" t="s">
        <v>982</v>
      </c>
      <c r="D947" t="s">
        <v>1031</v>
      </c>
      <c r="E947">
        <v>46.2</v>
      </c>
      <c r="F947">
        <v>99.2</v>
      </c>
      <c r="G947">
        <v>3.3</v>
      </c>
    </row>
    <row r="948" spans="1:11">
      <c r="A948" t="s">
        <v>982</v>
      </c>
    </row>
    <row r="949" spans="1:11">
      <c r="A949" t="s">
        <v>982</v>
      </c>
      <c r="D949" s="48" t="s">
        <v>1032</v>
      </c>
      <c r="E949" s="48">
        <v>48.072702222222219</v>
      </c>
    </row>
    <row r="950" spans="1:11">
      <c r="A950" t="s">
        <v>982</v>
      </c>
      <c r="D950" s="48" t="s">
        <v>1027</v>
      </c>
      <c r="E950" s="48">
        <v>99.2</v>
      </c>
    </row>
    <row r="951" spans="1:11">
      <c r="A951" t="s">
        <v>982</v>
      </c>
      <c r="D951" s="48" t="s">
        <v>1033</v>
      </c>
      <c r="E951" s="48">
        <f>E950%*E949%</f>
        <v>0.47688120604444439</v>
      </c>
    </row>
    <row r="952" spans="1:11">
      <c r="A952" t="s">
        <v>982</v>
      </c>
    </row>
    <row r="953" spans="1:11">
      <c r="A953" t="s">
        <v>982</v>
      </c>
    </row>
    <row r="954" spans="1:11">
      <c r="A954" t="s">
        <v>982</v>
      </c>
      <c r="C954" t="s">
        <v>425</v>
      </c>
      <c r="D954" t="s">
        <v>984</v>
      </c>
    </row>
    <row r="955" spans="1:11">
      <c r="A955" t="s">
        <v>982</v>
      </c>
      <c r="D955" t="s">
        <v>985</v>
      </c>
    </row>
    <row r="956" spans="1:11">
      <c r="A956" t="s">
        <v>982</v>
      </c>
    </row>
    <row r="957" spans="1:11">
      <c r="A957" t="s">
        <v>982</v>
      </c>
      <c r="D957" t="s">
        <v>1034</v>
      </c>
    </row>
    <row r="958" spans="1:11">
      <c r="A958" t="s">
        <v>982</v>
      </c>
      <c r="D958" t="s">
        <v>1035</v>
      </c>
      <c r="E958" t="s">
        <v>1036</v>
      </c>
      <c r="F958" s="204" t="s">
        <v>1037</v>
      </c>
      <c r="G958" t="s">
        <v>1038</v>
      </c>
      <c r="H958" t="s">
        <v>1039</v>
      </c>
      <c r="I958" t="s">
        <v>1040</v>
      </c>
      <c r="J958" t="s">
        <v>1041</v>
      </c>
      <c r="K958" t="s">
        <v>1042</v>
      </c>
    </row>
    <row r="959" spans="1:11">
      <c r="A959" t="s">
        <v>982</v>
      </c>
      <c r="D959">
        <v>12.69</v>
      </c>
      <c r="E959">
        <v>0.27</v>
      </c>
      <c r="F959" s="204">
        <v>0.53</v>
      </c>
      <c r="G959">
        <v>70.13</v>
      </c>
      <c r="H959">
        <v>0.44</v>
      </c>
      <c r="I959">
        <v>7.0000000000000007E-2</v>
      </c>
      <c r="J959">
        <v>0.14000000000000001</v>
      </c>
      <c r="K959">
        <v>0.09</v>
      </c>
    </row>
    <row r="960" spans="1:11">
      <c r="A960" t="s">
        <v>982</v>
      </c>
    </row>
    <row r="961" spans="1:5">
      <c r="A961" t="s">
        <v>982</v>
      </c>
      <c r="D961" t="s">
        <v>1043</v>
      </c>
    </row>
    <row r="962" spans="1:5" ht="15.6">
      <c r="A962" t="s">
        <v>982</v>
      </c>
      <c r="D962" s="220" t="s">
        <v>1044</v>
      </c>
    </row>
    <row r="963" spans="1:5" ht="15.6">
      <c r="A963" t="s">
        <v>982</v>
      </c>
      <c r="D963" s="199" t="s">
        <v>986</v>
      </c>
    </row>
    <row r="964" spans="1:5">
      <c r="A964" t="s">
        <v>982</v>
      </c>
    </row>
    <row r="965" spans="1:5">
      <c r="A965" t="s">
        <v>982</v>
      </c>
      <c r="D965" t="s">
        <v>1037</v>
      </c>
      <c r="E965">
        <v>0.53</v>
      </c>
    </row>
    <row r="966" spans="1:5">
      <c r="A966" t="s">
        <v>982</v>
      </c>
      <c r="D966" s="48" t="s">
        <v>1020</v>
      </c>
      <c r="E966" s="48">
        <v>48.072702222222219</v>
      </c>
    </row>
    <row r="967" spans="1:5">
      <c r="A967" t="s">
        <v>982</v>
      </c>
      <c r="D967" s="48" t="s">
        <v>970</v>
      </c>
      <c r="E967" s="48">
        <f>E965*E966%</f>
        <v>0.2547853217777778</v>
      </c>
    </row>
    <row r="968" spans="1:5">
      <c r="A968" t="s">
        <v>982</v>
      </c>
    </row>
    <row r="969" spans="1:5">
      <c r="A969" t="s">
        <v>982</v>
      </c>
    </row>
    <row r="970" spans="1:5">
      <c r="A970" t="s">
        <v>982</v>
      </c>
    </row>
    <row r="971" spans="1:5">
      <c r="A971" t="s">
        <v>982</v>
      </c>
    </row>
    <row r="972" spans="1:5">
      <c r="A972" t="s">
        <v>982</v>
      </c>
    </row>
    <row r="973" spans="1:5">
      <c r="A973" t="s">
        <v>982</v>
      </c>
    </row>
    <row r="974" spans="1:5">
      <c r="A974" t="s">
        <v>982</v>
      </c>
      <c r="B974" t="s">
        <v>443</v>
      </c>
      <c r="C974" t="s">
        <v>197</v>
      </c>
      <c r="D974" t="s">
        <v>1045</v>
      </c>
    </row>
    <row r="975" spans="1:5">
      <c r="A975" t="s">
        <v>982</v>
      </c>
      <c r="D975" t="s">
        <v>1046</v>
      </c>
    </row>
    <row r="976" spans="1:5">
      <c r="A976" t="s">
        <v>982</v>
      </c>
    </row>
    <row r="977" spans="1:8" ht="17.399999999999999">
      <c r="A977" t="s">
        <v>982</v>
      </c>
      <c r="D977" s="221" t="s">
        <v>1047</v>
      </c>
    </row>
    <row r="978" spans="1:8" ht="31.2" thickBot="1">
      <c r="A978" t="s">
        <v>982</v>
      </c>
      <c r="D978" s="222" t="s">
        <v>1048</v>
      </c>
      <c r="E978" s="223" t="s">
        <v>1049</v>
      </c>
      <c r="F978" s="223" t="s">
        <v>1050</v>
      </c>
      <c r="G978" s="222" t="s">
        <v>1051</v>
      </c>
      <c r="H978" s="222" t="s">
        <v>1052</v>
      </c>
    </row>
    <row r="979" spans="1:8" ht="15" thickTop="1">
      <c r="A979" t="s">
        <v>982</v>
      </c>
      <c r="D979" s="124">
        <v>1</v>
      </c>
      <c r="E979" s="124" t="s">
        <v>1053</v>
      </c>
      <c r="F979" s="124" t="s">
        <v>1054</v>
      </c>
      <c r="G979" s="124" t="s">
        <v>1055</v>
      </c>
      <c r="H979" s="124" t="s">
        <v>1056</v>
      </c>
    </row>
    <row r="980" spans="1:8">
      <c r="A980" t="s">
        <v>982</v>
      </c>
      <c r="D980" s="124">
        <v>2</v>
      </c>
      <c r="E980" s="124" t="s">
        <v>1057</v>
      </c>
      <c r="F980" s="124" t="s">
        <v>1058</v>
      </c>
      <c r="G980" s="124" t="s">
        <v>1059</v>
      </c>
      <c r="H980" s="124" t="s">
        <v>1060</v>
      </c>
    </row>
    <row r="981" spans="1:8">
      <c r="A981" t="s">
        <v>982</v>
      </c>
      <c r="D981" s="124">
        <v>3</v>
      </c>
      <c r="E981" s="124" t="s">
        <v>1061</v>
      </c>
      <c r="F981" s="124" t="s">
        <v>1062</v>
      </c>
      <c r="G981" s="124" t="s">
        <v>1063</v>
      </c>
      <c r="H981" s="124" t="s">
        <v>1064</v>
      </c>
    </row>
    <row r="982" spans="1:8">
      <c r="A982" t="s">
        <v>982</v>
      </c>
      <c r="D982" s="124">
        <v>4</v>
      </c>
      <c r="E982" s="124" t="s">
        <v>1065</v>
      </c>
      <c r="F982" s="124" t="s">
        <v>1066</v>
      </c>
      <c r="G982" s="124" t="s">
        <v>1067</v>
      </c>
      <c r="H982" s="124" t="s">
        <v>1068</v>
      </c>
    </row>
    <row r="983" spans="1:8">
      <c r="A983" t="s">
        <v>982</v>
      </c>
      <c r="D983" s="124">
        <v>5</v>
      </c>
      <c r="E983" s="124" t="s">
        <v>1069</v>
      </c>
      <c r="F983" s="124" t="s">
        <v>1070</v>
      </c>
      <c r="G983" s="124" t="s">
        <v>1071</v>
      </c>
      <c r="H983" s="124" t="s">
        <v>1072</v>
      </c>
    </row>
    <row r="984" spans="1:8">
      <c r="A984" t="s">
        <v>982</v>
      </c>
      <c r="D984" s="124">
        <v>6</v>
      </c>
      <c r="E984" s="124" t="s">
        <v>1073</v>
      </c>
      <c r="F984" s="124" t="s">
        <v>1074</v>
      </c>
      <c r="G984" s="124" t="s">
        <v>1075</v>
      </c>
      <c r="H984" s="124" t="s">
        <v>1076</v>
      </c>
    </row>
    <row r="985" spans="1:8">
      <c r="A985" t="s">
        <v>982</v>
      </c>
      <c r="D985" s="124">
        <v>7</v>
      </c>
      <c r="E985" s="124" t="s">
        <v>1077</v>
      </c>
      <c r="F985" s="124" t="s">
        <v>1078</v>
      </c>
      <c r="G985" s="124" t="s">
        <v>1079</v>
      </c>
      <c r="H985" s="124" t="s">
        <v>1080</v>
      </c>
    </row>
    <row r="986" spans="1:8">
      <c r="A986" t="s">
        <v>982</v>
      </c>
      <c r="D986" s="124">
        <v>8</v>
      </c>
      <c r="E986" s="124" t="s">
        <v>1081</v>
      </c>
      <c r="F986" s="124" t="s">
        <v>1082</v>
      </c>
      <c r="G986" s="124" t="s">
        <v>1083</v>
      </c>
      <c r="H986" s="124" t="s">
        <v>1084</v>
      </c>
    </row>
    <row r="987" spans="1:8">
      <c r="A987" t="s">
        <v>982</v>
      </c>
      <c r="D987" s="124">
        <v>9</v>
      </c>
      <c r="E987" s="124" t="s">
        <v>1085</v>
      </c>
      <c r="F987" s="124" t="s">
        <v>1086</v>
      </c>
      <c r="G987" s="124" t="s">
        <v>1087</v>
      </c>
      <c r="H987" s="124" t="s">
        <v>1088</v>
      </c>
    </row>
    <row r="988" spans="1:8">
      <c r="A988" t="s">
        <v>982</v>
      </c>
      <c r="D988" s="124">
        <v>10</v>
      </c>
      <c r="E988" s="124" t="s">
        <v>1089</v>
      </c>
      <c r="F988" s="124" t="s">
        <v>1090</v>
      </c>
      <c r="G988" s="124" t="s">
        <v>1091</v>
      </c>
      <c r="H988" s="124" t="s">
        <v>1092</v>
      </c>
    </row>
    <row r="989" spans="1:8">
      <c r="A989" t="s">
        <v>982</v>
      </c>
      <c r="D989" s="124">
        <v>11</v>
      </c>
      <c r="E989" s="124" t="s">
        <v>1093</v>
      </c>
      <c r="F989" s="124" t="s">
        <v>1094</v>
      </c>
      <c r="G989" s="124" t="s">
        <v>1095</v>
      </c>
      <c r="H989" s="124" t="s">
        <v>1096</v>
      </c>
    </row>
    <row r="990" spans="1:8">
      <c r="A990" t="s">
        <v>982</v>
      </c>
      <c r="D990" s="124">
        <v>12</v>
      </c>
      <c r="E990" s="124" t="s">
        <v>1097</v>
      </c>
      <c r="F990" s="124" t="s">
        <v>1098</v>
      </c>
      <c r="G990" s="124" t="s">
        <v>1099</v>
      </c>
      <c r="H990" s="124" t="s">
        <v>1096</v>
      </c>
    </row>
    <row r="991" spans="1:8">
      <c r="A991" t="s">
        <v>982</v>
      </c>
      <c r="D991" s="124">
        <v>13</v>
      </c>
      <c r="E991" s="124" t="s">
        <v>1100</v>
      </c>
      <c r="F991" s="124" t="s">
        <v>1101</v>
      </c>
      <c r="G991" s="124" t="s">
        <v>1102</v>
      </c>
      <c r="H991" s="124" t="s">
        <v>1103</v>
      </c>
    </row>
    <row r="992" spans="1:8">
      <c r="A992" t="s">
        <v>982</v>
      </c>
      <c r="D992" s="124">
        <v>14</v>
      </c>
      <c r="E992" s="124" t="s">
        <v>1104</v>
      </c>
      <c r="F992" s="124" t="s">
        <v>1105</v>
      </c>
      <c r="G992" s="124" t="s">
        <v>1106</v>
      </c>
      <c r="H992" s="124" t="s">
        <v>1107</v>
      </c>
    </row>
    <row r="993" spans="1:103">
      <c r="A993" t="s">
        <v>982</v>
      </c>
      <c r="D993" s="124">
        <v>15</v>
      </c>
      <c r="E993" s="124" t="s">
        <v>1108</v>
      </c>
      <c r="F993" s="124" t="s">
        <v>1109</v>
      </c>
      <c r="G993" s="124" t="s">
        <v>1110</v>
      </c>
      <c r="H993" s="124" t="s">
        <v>1111</v>
      </c>
    </row>
    <row r="994" spans="1:103" ht="15" thickBot="1">
      <c r="A994" t="s">
        <v>982</v>
      </c>
      <c r="D994" s="502" t="s">
        <v>1112</v>
      </c>
      <c r="E994" s="503"/>
      <c r="F994" s="503"/>
      <c r="G994" s="503"/>
      <c r="H994" s="503"/>
      <c r="I994" s="503"/>
      <c r="J994" s="503"/>
      <c r="K994" s="503"/>
      <c r="L994" s="503"/>
      <c r="M994" s="503"/>
      <c r="N994" s="503"/>
      <c r="O994" s="503"/>
      <c r="P994" s="503"/>
      <c r="Q994" s="503"/>
      <c r="R994" s="503"/>
      <c r="S994" s="503"/>
      <c r="T994" s="503"/>
      <c r="U994" s="503"/>
      <c r="V994" s="503"/>
      <c r="W994" s="503"/>
      <c r="X994" s="503"/>
      <c r="Y994" s="503"/>
      <c r="Z994" s="503"/>
      <c r="AA994" s="503"/>
      <c r="AB994" s="503"/>
      <c r="AC994" s="503"/>
      <c r="AD994" s="503"/>
      <c r="AE994" s="503"/>
      <c r="AF994" s="503"/>
      <c r="AG994" s="503"/>
      <c r="AH994" s="503"/>
      <c r="AI994" s="503"/>
      <c r="AJ994" s="503"/>
      <c r="AK994" s="503"/>
      <c r="AL994" s="503"/>
      <c r="AM994" s="503"/>
      <c r="AN994" s="503"/>
      <c r="AO994" s="503"/>
      <c r="AP994" s="503"/>
      <c r="AQ994" s="503"/>
      <c r="AR994" s="503"/>
      <c r="AS994" s="503"/>
      <c r="AT994" s="503"/>
      <c r="AU994" s="503"/>
      <c r="AV994" s="503"/>
      <c r="AW994" s="503"/>
      <c r="AX994" s="503"/>
      <c r="AY994" s="503"/>
      <c r="AZ994" s="503"/>
      <c r="BA994" s="503"/>
      <c r="BB994" s="503"/>
      <c r="BC994" s="503"/>
      <c r="BD994" s="503"/>
      <c r="BE994" s="503"/>
      <c r="BF994" s="503"/>
      <c r="BG994" s="503"/>
      <c r="BH994" s="503"/>
      <c r="BI994" s="503"/>
      <c r="BJ994" s="503"/>
      <c r="BK994" s="503"/>
      <c r="BL994" s="503"/>
      <c r="BM994" s="503"/>
      <c r="BN994" s="503"/>
      <c r="BO994" s="503"/>
      <c r="BP994" s="503"/>
      <c r="BQ994" s="503"/>
      <c r="BR994" s="503"/>
      <c r="BS994" s="503"/>
      <c r="BT994" s="503"/>
      <c r="BU994" s="503"/>
      <c r="BV994" s="503"/>
      <c r="BW994" s="503"/>
      <c r="BX994" s="503"/>
      <c r="BY994" s="503"/>
      <c r="BZ994" s="503"/>
      <c r="CA994" s="503"/>
      <c r="CB994" s="503"/>
      <c r="CC994" s="503"/>
      <c r="CD994" s="503"/>
      <c r="CE994" s="503"/>
      <c r="CF994" s="503"/>
      <c r="CG994" s="503"/>
      <c r="CH994" s="503"/>
      <c r="CI994" s="503"/>
      <c r="CJ994" s="503"/>
      <c r="CK994" s="503"/>
      <c r="CL994" s="503"/>
      <c r="CM994" s="503"/>
      <c r="CN994" s="503"/>
      <c r="CO994" s="503"/>
      <c r="CP994" s="503"/>
      <c r="CQ994" s="503"/>
      <c r="CR994" s="503"/>
      <c r="CS994" s="503"/>
      <c r="CT994" s="503"/>
      <c r="CU994" s="503"/>
      <c r="CV994" s="503"/>
      <c r="CW994" s="503"/>
      <c r="CX994" s="503"/>
      <c r="CY994" s="503"/>
    </row>
    <row r="995" spans="1:103" ht="15" thickTop="1">
      <c r="A995" t="s">
        <v>982</v>
      </c>
      <c r="D995" s="225"/>
      <c r="E995" s="225"/>
      <c r="F995" s="225"/>
      <c r="G995" s="225"/>
      <c r="H995" s="225"/>
      <c r="I995" s="225"/>
      <c r="J995" s="225"/>
      <c r="K995" s="225"/>
      <c r="L995" s="225"/>
      <c r="M995" s="225"/>
      <c r="N995" s="225"/>
      <c r="O995" s="225"/>
      <c r="P995" s="225"/>
      <c r="Q995" s="225"/>
      <c r="R995" s="225"/>
      <c r="S995" s="225"/>
      <c r="T995" s="225"/>
      <c r="U995" s="225"/>
      <c r="V995" s="225"/>
      <c r="W995" s="225"/>
      <c r="X995" s="225"/>
      <c r="Y995" s="225"/>
      <c r="Z995" s="225"/>
      <c r="AA995" s="225"/>
      <c r="AB995" s="225"/>
      <c r="AC995" s="225"/>
      <c r="AD995" s="225"/>
      <c r="AE995" s="225"/>
      <c r="AF995" s="225"/>
      <c r="AG995" s="225"/>
      <c r="AH995" s="225"/>
      <c r="AI995" s="225"/>
      <c r="AJ995" s="225"/>
      <c r="AK995" s="225"/>
      <c r="AL995" s="225"/>
      <c r="AM995" s="225"/>
      <c r="AN995" s="225"/>
      <c r="AO995" s="225"/>
      <c r="AP995" s="225"/>
      <c r="AQ995" s="225"/>
      <c r="AR995" s="225"/>
      <c r="AS995" s="225"/>
      <c r="AT995" s="225"/>
      <c r="AU995" s="225"/>
      <c r="AV995" s="225"/>
      <c r="AW995" s="225"/>
      <c r="AX995" s="225"/>
      <c r="AY995" s="225"/>
      <c r="AZ995" s="225"/>
      <c r="BA995" s="225"/>
      <c r="BB995" s="225"/>
      <c r="BC995" s="225"/>
      <c r="BD995" s="225"/>
      <c r="BE995" s="225"/>
      <c r="BF995" s="225"/>
      <c r="BG995" s="225"/>
      <c r="BH995" s="225"/>
      <c r="BI995" s="225"/>
      <c r="BJ995" s="225"/>
      <c r="BK995" s="225"/>
      <c r="BL995" s="225"/>
      <c r="BM995" s="225"/>
      <c r="BN995" s="225"/>
      <c r="BO995" s="225"/>
      <c r="BP995" s="225"/>
      <c r="BQ995" s="225"/>
      <c r="BR995" s="225"/>
      <c r="BS995" s="225"/>
      <c r="BT995" s="225"/>
      <c r="BU995" s="225"/>
      <c r="BV995" s="225"/>
      <c r="BW995" s="225"/>
      <c r="BX995" s="225"/>
      <c r="BY995" s="225"/>
      <c r="BZ995" s="225"/>
      <c r="CA995" s="225"/>
      <c r="CB995" s="225"/>
      <c r="CC995" s="225"/>
      <c r="CD995" s="225"/>
      <c r="CE995" s="225"/>
      <c r="CF995" s="225"/>
      <c r="CG995" s="225"/>
      <c r="CH995" s="225"/>
      <c r="CI995" s="225"/>
      <c r="CJ995" s="225"/>
      <c r="CK995" s="225"/>
      <c r="CL995" s="225"/>
      <c r="CM995" s="225"/>
      <c r="CN995" s="225"/>
      <c r="CO995" s="225"/>
      <c r="CP995" s="225"/>
      <c r="CQ995" s="225"/>
      <c r="CR995" s="225"/>
      <c r="CS995" s="225"/>
      <c r="CT995" s="225"/>
      <c r="CU995" s="225"/>
      <c r="CV995" s="225"/>
      <c r="CW995" s="225"/>
      <c r="CX995" s="225"/>
      <c r="CY995" s="225"/>
    </row>
    <row r="996" spans="1:103" ht="15" thickBot="1">
      <c r="A996" t="s">
        <v>982</v>
      </c>
      <c r="D996" s="224"/>
      <c r="E996" s="225"/>
      <c r="F996" s="225"/>
      <c r="G996" s="225"/>
      <c r="H996" s="225"/>
      <c r="I996" s="225"/>
      <c r="J996" s="225"/>
      <c r="K996" s="225"/>
      <c r="L996" s="225"/>
      <c r="M996" s="225"/>
      <c r="N996" s="225"/>
      <c r="O996" s="225"/>
      <c r="P996" s="225"/>
      <c r="Q996" s="225"/>
      <c r="R996" s="225"/>
      <c r="S996" s="225"/>
      <c r="T996" s="225"/>
      <c r="U996" s="225"/>
      <c r="V996" s="225"/>
      <c r="W996" s="225"/>
      <c r="X996" s="225"/>
      <c r="Y996" s="225"/>
      <c r="Z996" s="225"/>
      <c r="AA996" s="225"/>
      <c r="AB996" s="225"/>
      <c r="AC996" s="225"/>
      <c r="AD996" s="225"/>
      <c r="AE996" s="225"/>
      <c r="AF996" s="225"/>
      <c r="AG996" s="225"/>
      <c r="AH996" s="225"/>
      <c r="AI996" s="225"/>
      <c r="AJ996" s="225"/>
      <c r="AK996" s="225"/>
      <c r="AL996" s="225"/>
      <c r="AM996" s="225"/>
      <c r="AN996" s="225"/>
      <c r="AO996" s="225"/>
      <c r="AP996" s="225"/>
      <c r="AQ996" s="225"/>
      <c r="AR996" s="225"/>
      <c r="AS996" s="225"/>
      <c r="AT996" s="225"/>
      <c r="AU996" s="225"/>
      <c r="AV996" s="225"/>
      <c r="AW996" s="225"/>
      <c r="AX996" s="225"/>
      <c r="AY996" s="225"/>
      <c r="AZ996" s="225"/>
      <c r="BA996" s="225"/>
      <c r="BB996" s="225"/>
      <c r="BC996" s="225"/>
      <c r="BD996" s="225"/>
      <c r="BE996" s="225"/>
      <c r="BF996" s="225"/>
      <c r="BG996" s="225"/>
      <c r="BH996" s="225"/>
      <c r="BI996" s="225"/>
      <c r="BJ996" s="225"/>
      <c r="BK996" s="225"/>
      <c r="BL996" s="225"/>
      <c r="BM996" s="225"/>
      <c r="BN996" s="225"/>
      <c r="BO996" s="225"/>
      <c r="BP996" s="225"/>
      <c r="BQ996" s="225"/>
      <c r="BR996" s="225"/>
      <c r="BS996" s="225"/>
      <c r="BT996" s="225"/>
      <c r="BU996" s="225"/>
      <c r="BV996" s="225"/>
      <c r="BW996" s="225"/>
      <c r="BX996" s="225"/>
      <c r="BY996" s="225"/>
      <c r="BZ996" s="225"/>
      <c r="CA996" s="225"/>
      <c r="CB996" s="225"/>
      <c r="CC996" s="225"/>
      <c r="CD996" s="225"/>
      <c r="CE996" s="225"/>
      <c r="CF996" s="225"/>
      <c r="CG996" s="225"/>
      <c r="CH996" s="225"/>
      <c r="CI996" s="225"/>
      <c r="CJ996" s="225"/>
      <c r="CK996" s="225"/>
      <c r="CL996" s="225"/>
      <c r="CM996" s="225"/>
      <c r="CN996" s="225"/>
      <c r="CO996" s="225"/>
      <c r="CP996" s="225"/>
      <c r="CQ996" s="225"/>
      <c r="CR996" s="225"/>
      <c r="CS996" s="225"/>
      <c r="CT996" s="225"/>
      <c r="CU996" s="225"/>
      <c r="CV996" s="225"/>
      <c r="CW996" s="225"/>
      <c r="CX996" s="225"/>
      <c r="CY996" s="225"/>
    </row>
    <row r="997" spans="1:103" ht="15.6" thickTop="1" thickBot="1">
      <c r="A997" t="s">
        <v>982</v>
      </c>
      <c r="D997" s="222" t="s">
        <v>1048</v>
      </c>
      <c r="E997" t="s">
        <v>1049</v>
      </c>
    </row>
    <row r="998" spans="1:103" ht="15" thickTop="1">
      <c r="A998" t="s">
        <v>982</v>
      </c>
      <c r="D998" s="124">
        <v>1</v>
      </c>
      <c r="E998" s="124">
        <v>97.2</v>
      </c>
    </row>
    <row r="999" spans="1:103">
      <c r="A999" t="s">
        <v>982</v>
      </c>
      <c r="D999" s="124">
        <v>2</v>
      </c>
      <c r="E999" s="124">
        <v>93</v>
      </c>
    </row>
    <row r="1000" spans="1:103">
      <c r="A1000" t="s">
        <v>982</v>
      </c>
      <c r="D1000" s="124">
        <v>3</v>
      </c>
      <c r="E1000" s="124">
        <v>95</v>
      </c>
    </row>
    <row r="1001" spans="1:103">
      <c r="A1001" t="s">
        <v>982</v>
      </c>
      <c r="D1001" s="124">
        <v>4</v>
      </c>
      <c r="E1001" s="124">
        <v>80.209999999999994</v>
      </c>
    </row>
    <row r="1002" spans="1:103">
      <c r="A1002" t="s">
        <v>982</v>
      </c>
      <c r="D1002" s="124">
        <v>5</v>
      </c>
      <c r="E1002" s="124">
        <v>94.36</v>
      </c>
    </row>
    <row r="1003" spans="1:103">
      <c r="A1003" t="s">
        <v>982</v>
      </c>
      <c r="D1003" s="124">
        <v>6</v>
      </c>
      <c r="E1003" s="124">
        <v>87.42</v>
      </c>
    </row>
    <row r="1004" spans="1:103">
      <c r="A1004" t="s">
        <v>982</v>
      </c>
      <c r="D1004" s="124">
        <v>7</v>
      </c>
      <c r="E1004" s="124">
        <v>89</v>
      </c>
    </row>
    <row r="1005" spans="1:103">
      <c r="A1005" t="s">
        <v>982</v>
      </c>
      <c r="D1005" s="124">
        <v>8</v>
      </c>
      <c r="E1005" s="124">
        <v>80.31</v>
      </c>
    </row>
    <row r="1006" spans="1:103">
      <c r="A1006" t="s">
        <v>982</v>
      </c>
      <c r="D1006" s="124">
        <v>9</v>
      </c>
      <c r="E1006" s="124">
        <v>95.2</v>
      </c>
    </row>
    <row r="1007" spans="1:103">
      <c r="A1007" t="s">
        <v>982</v>
      </c>
      <c r="D1007" s="124">
        <v>10</v>
      </c>
      <c r="E1007" s="124">
        <v>95.37</v>
      </c>
    </row>
    <row r="1008" spans="1:103">
      <c r="A1008" t="s">
        <v>982</v>
      </c>
      <c r="D1008" s="124">
        <v>11</v>
      </c>
      <c r="E1008" s="124">
        <v>95.97</v>
      </c>
    </row>
    <row r="1009" spans="1:5">
      <c r="A1009" t="s">
        <v>982</v>
      </c>
      <c r="D1009" s="124">
        <v>12</v>
      </c>
      <c r="E1009" s="124">
        <v>95.6</v>
      </c>
    </row>
    <row r="1010" spans="1:5">
      <c r="A1010" t="s">
        <v>982</v>
      </c>
      <c r="D1010" s="124">
        <v>13</v>
      </c>
      <c r="E1010" s="124">
        <v>96</v>
      </c>
    </row>
    <row r="1011" spans="1:5">
      <c r="A1011" t="s">
        <v>982</v>
      </c>
      <c r="D1011" s="124">
        <v>14</v>
      </c>
      <c r="E1011" s="124">
        <v>85.45</v>
      </c>
    </row>
    <row r="1012" spans="1:5">
      <c r="A1012" t="s">
        <v>982</v>
      </c>
      <c r="D1012" s="124">
        <v>15</v>
      </c>
      <c r="E1012" s="124">
        <v>96.1</v>
      </c>
    </row>
    <row r="1013" spans="1:5">
      <c r="A1013" t="s">
        <v>982</v>
      </c>
      <c r="D1013" t="s">
        <v>510</v>
      </c>
      <c r="E1013">
        <f>AVERAGE(E998:E1012)</f>
        <v>91.746000000000009</v>
      </c>
    </row>
    <row r="1014" spans="1:5">
      <c r="A1014" t="s">
        <v>982</v>
      </c>
    </row>
    <row r="1015" spans="1:5">
      <c r="A1015" t="s">
        <v>982</v>
      </c>
      <c r="D1015" s="48" t="s">
        <v>1113</v>
      </c>
      <c r="E1015" s="48">
        <v>16.592623391812864</v>
      </c>
    </row>
    <row r="1016" spans="1:5">
      <c r="A1016" t="s">
        <v>982</v>
      </c>
      <c r="D1016" s="48" t="s">
        <v>1114</v>
      </c>
      <c r="E1016" s="48">
        <f>E1015%*E1013%</f>
        <v>0.1522306825705263</v>
      </c>
    </row>
    <row r="1017" spans="1:5">
      <c r="A1017" t="s">
        <v>982</v>
      </c>
    </row>
    <row r="1018" spans="1:5">
      <c r="A1018" t="s">
        <v>982</v>
      </c>
    </row>
    <row r="1019" spans="1:5">
      <c r="A1019" t="s">
        <v>982</v>
      </c>
      <c r="C1019" t="s">
        <v>226</v>
      </c>
      <c r="D1019" t="s">
        <v>1115</v>
      </c>
    </row>
    <row r="1020" spans="1:5">
      <c r="A1020" t="s">
        <v>982</v>
      </c>
      <c r="D1020" t="s">
        <v>1116</v>
      </c>
    </row>
    <row r="1021" spans="1:5" ht="15.6">
      <c r="A1021" t="s">
        <v>982</v>
      </c>
      <c r="D1021" s="121" t="s">
        <v>1117</v>
      </c>
    </row>
    <row r="1022" spans="1:5" ht="15.6">
      <c r="A1022" t="s">
        <v>982</v>
      </c>
      <c r="D1022" s="121" t="s">
        <v>1118</v>
      </c>
    </row>
    <row r="1023" spans="1:5">
      <c r="A1023" t="s">
        <v>982</v>
      </c>
      <c r="D1023" t="s">
        <v>1119</v>
      </c>
      <c r="E1023" s="226">
        <v>68</v>
      </c>
    </row>
    <row r="1024" spans="1:5">
      <c r="A1024" t="s">
        <v>982</v>
      </c>
      <c r="D1024" s="48" t="s">
        <v>1113</v>
      </c>
      <c r="E1024" s="48">
        <v>16.592623391812864</v>
      </c>
    </row>
    <row r="1025" spans="1:9">
      <c r="A1025" t="s">
        <v>982</v>
      </c>
      <c r="D1025" s="48" t="s">
        <v>1114</v>
      </c>
      <c r="E1025" s="48">
        <f>E1024%*E1023%</f>
        <v>0.11282983906432748</v>
      </c>
    </row>
    <row r="1026" spans="1:9">
      <c r="A1026" t="s">
        <v>982</v>
      </c>
    </row>
    <row r="1027" spans="1:9">
      <c r="A1027" t="s">
        <v>982</v>
      </c>
    </row>
    <row r="1028" spans="1:9">
      <c r="A1028" t="s">
        <v>982</v>
      </c>
      <c r="C1028" t="s">
        <v>396</v>
      </c>
      <c r="D1028" t="s">
        <v>1120</v>
      </c>
    </row>
    <row r="1029" spans="1:9">
      <c r="A1029" t="s">
        <v>982</v>
      </c>
      <c r="D1029" t="s">
        <v>1121</v>
      </c>
    </row>
    <row r="1030" spans="1:9" ht="15.6">
      <c r="A1030" t="s">
        <v>982</v>
      </c>
      <c r="D1030" s="121" t="s">
        <v>1122</v>
      </c>
    </row>
    <row r="1031" spans="1:9">
      <c r="A1031" t="s">
        <v>982</v>
      </c>
      <c r="D1031" t="s">
        <v>1119</v>
      </c>
      <c r="E1031" s="226">
        <v>85</v>
      </c>
    </row>
    <row r="1032" spans="1:9">
      <c r="A1032" t="s">
        <v>982</v>
      </c>
      <c r="D1032" s="48" t="s">
        <v>1113</v>
      </c>
      <c r="E1032" s="48">
        <v>16.592623391812864</v>
      </c>
    </row>
    <row r="1033" spans="1:9">
      <c r="A1033" t="s">
        <v>982</v>
      </c>
      <c r="D1033" s="48" t="s">
        <v>1114</v>
      </c>
      <c r="E1033" s="48">
        <f>E1032%*E1031%</f>
        <v>0.14103729883040933</v>
      </c>
    </row>
    <row r="1034" spans="1:9">
      <c r="A1034" t="s">
        <v>982</v>
      </c>
    </row>
    <row r="1035" spans="1:9">
      <c r="A1035" t="s">
        <v>982</v>
      </c>
    </row>
    <row r="1036" spans="1:9">
      <c r="A1036" t="s">
        <v>982</v>
      </c>
      <c r="C1036" t="s">
        <v>420</v>
      </c>
      <c r="D1036" t="s">
        <v>1123</v>
      </c>
    </row>
    <row r="1037" spans="1:9">
      <c r="A1037" t="s">
        <v>982</v>
      </c>
      <c r="D1037" t="s">
        <v>1124</v>
      </c>
    </row>
    <row r="1038" spans="1:9" ht="15" thickBot="1">
      <c r="A1038" t="s">
        <v>982</v>
      </c>
      <c r="D1038" s="22" t="s">
        <v>1125</v>
      </c>
    </row>
    <row r="1039" spans="1:9" ht="29.4" thickBot="1">
      <c r="A1039" t="s">
        <v>982</v>
      </c>
      <c r="D1039" s="18" t="s">
        <v>1126</v>
      </c>
      <c r="E1039" s="228" t="s">
        <v>1127</v>
      </c>
      <c r="F1039" s="228" t="s">
        <v>1128</v>
      </c>
      <c r="G1039" s="228" t="s">
        <v>1129</v>
      </c>
      <c r="H1039" s="228" t="s">
        <v>1130</v>
      </c>
      <c r="I1039" s="18" t="s">
        <v>1131</v>
      </c>
    </row>
    <row r="1040" spans="1:9" ht="27.6">
      <c r="A1040" t="s">
        <v>982</v>
      </c>
      <c r="D1040" s="74" t="s">
        <v>699</v>
      </c>
      <c r="E1040" s="74" t="s">
        <v>1132</v>
      </c>
      <c r="F1040" s="74" t="s">
        <v>1133</v>
      </c>
      <c r="G1040" s="74" t="s">
        <v>1133</v>
      </c>
      <c r="H1040" s="74" t="s">
        <v>1134</v>
      </c>
      <c r="I1040" s="74" t="s">
        <v>1134</v>
      </c>
    </row>
    <row r="1041" spans="1:10" ht="82.8">
      <c r="A1041" t="s">
        <v>982</v>
      </c>
      <c r="D1041" s="74" t="s">
        <v>1135</v>
      </c>
      <c r="E1041" s="73" t="s">
        <v>1136</v>
      </c>
      <c r="F1041" s="73" t="s">
        <v>1137</v>
      </c>
      <c r="G1041" s="73" t="s">
        <v>1138</v>
      </c>
      <c r="H1041" s="73" t="s">
        <v>1139</v>
      </c>
      <c r="I1041" s="73" t="s">
        <v>1140</v>
      </c>
    </row>
    <row r="1042" spans="1:10">
      <c r="A1042" t="s">
        <v>982</v>
      </c>
      <c r="D1042" s="74" t="s">
        <v>1141</v>
      </c>
      <c r="E1042" s="74" t="s">
        <v>1142</v>
      </c>
      <c r="F1042" s="74" t="s">
        <v>1143</v>
      </c>
      <c r="G1042" s="74" t="s">
        <v>1143</v>
      </c>
      <c r="H1042" s="74" t="s">
        <v>1144</v>
      </c>
      <c r="I1042" s="74" t="s">
        <v>1143</v>
      </c>
    </row>
    <row r="1043" spans="1:10" ht="41.4">
      <c r="A1043" t="s">
        <v>982</v>
      </c>
      <c r="D1043" s="73" t="s">
        <v>1145</v>
      </c>
      <c r="E1043" s="74" t="s">
        <v>1146</v>
      </c>
      <c r="F1043" s="74" t="s">
        <v>1147</v>
      </c>
      <c r="G1043" s="74" t="s">
        <v>1148</v>
      </c>
      <c r="H1043" s="74" t="s">
        <v>1149</v>
      </c>
      <c r="I1043" s="74" t="s">
        <v>1150</v>
      </c>
    </row>
    <row r="1044" spans="1:10">
      <c r="A1044" t="s">
        <v>982</v>
      </c>
      <c r="D1044" s="74" t="s">
        <v>1151</v>
      </c>
      <c r="E1044" s="74" t="s">
        <v>1152</v>
      </c>
      <c r="F1044" s="74" t="s">
        <v>1153</v>
      </c>
      <c r="G1044" s="74" t="s">
        <v>1153</v>
      </c>
      <c r="H1044" s="74" t="s">
        <v>1152</v>
      </c>
      <c r="I1044" s="74" t="s">
        <v>1153</v>
      </c>
    </row>
    <row r="1045" spans="1:10">
      <c r="A1045" t="s">
        <v>982</v>
      </c>
      <c r="D1045" s="74" t="s">
        <v>1154</v>
      </c>
      <c r="E1045" s="176" t="s">
        <v>1155</v>
      </c>
      <c r="F1045" s="74" t="s">
        <v>1153</v>
      </c>
      <c r="G1045" s="74" t="s">
        <v>1153</v>
      </c>
      <c r="H1045" s="74" t="s">
        <v>1153</v>
      </c>
      <c r="I1045" s="74" t="s">
        <v>1153</v>
      </c>
    </row>
    <row r="1046" spans="1:10">
      <c r="A1046" t="s">
        <v>982</v>
      </c>
      <c r="D1046" s="74" t="s">
        <v>1156</v>
      </c>
      <c r="E1046" s="176" t="s">
        <v>1157</v>
      </c>
      <c r="F1046" s="74" t="s">
        <v>1153</v>
      </c>
      <c r="G1046" s="74" t="s">
        <v>1153</v>
      </c>
      <c r="H1046" s="74" t="s">
        <v>1153</v>
      </c>
      <c r="I1046" s="74" t="s">
        <v>1153</v>
      </c>
    </row>
    <row r="1047" spans="1:10" ht="27.6">
      <c r="A1047" t="s">
        <v>982</v>
      </c>
      <c r="D1047" s="74" t="s">
        <v>1158</v>
      </c>
      <c r="E1047" s="74" t="s">
        <v>1153</v>
      </c>
      <c r="F1047" s="74" t="s">
        <v>1153</v>
      </c>
      <c r="G1047" s="74" t="s">
        <v>1153</v>
      </c>
      <c r="H1047" s="74" t="s">
        <v>1152</v>
      </c>
      <c r="I1047" s="74" t="s">
        <v>1152</v>
      </c>
    </row>
    <row r="1048" spans="1:10">
      <c r="A1048" t="s">
        <v>982</v>
      </c>
      <c r="D1048" s="74" t="s">
        <v>1159</v>
      </c>
      <c r="E1048" s="74" t="s">
        <v>1153</v>
      </c>
      <c r="F1048" s="74" t="s">
        <v>1152</v>
      </c>
      <c r="G1048" s="74" t="s">
        <v>1152</v>
      </c>
      <c r="H1048" s="74" t="s">
        <v>1152</v>
      </c>
      <c r="I1048" s="74" t="s">
        <v>1152</v>
      </c>
    </row>
    <row r="1049" spans="1:10">
      <c r="A1049" t="s">
        <v>982</v>
      </c>
      <c r="D1049" s="74" t="s">
        <v>1160</v>
      </c>
      <c r="E1049" s="74" t="s">
        <v>1153</v>
      </c>
      <c r="F1049" s="74" t="s">
        <v>1153</v>
      </c>
      <c r="G1049" s="74" t="s">
        <v>1153</v>
      </c>
      <c r="H1049" s="74" t="s">
        <v>1152</v>
      </c>
      <c r="I1049" s="74" t="s">
        <v>1152</v>
      </c>
    </row>
    <row r="1050" spans="1:10">
      <c r="A1050" t="s">
        <v>982</v>
      </c>
      <c r="D1050" s="74" t="s">
        <v>1161</v>
      </c>
      <c r="E1050" s="74" t="s">
        <v>1153</v>
      </c>
      <c r="F1050" s="74" t="s">
        <v>1152</v>
      </c>
      <c r="G1050" s="74" t="s">
        <v>1152</v>
      </c>
      <c r="H1050" s="74" t="s">
        <v>1153</v>
      </c>
      <c r="I1050" s="74" t="s">
        <v>1153</v>
      </c>
    </row>
    <row r="1051" spans="1:10">
      <c r="A1051" t="s">
        <v>982</v>
      </c>
      <c r="D1051" s="74" t="s">
        <v>1162</v>
      </c>
      <c r="E1051" s="74" t="s">
        <v>1152</v>
      </c>
      <c r="F1051" s="74" t="s">
        <v>1153</v>
      </c>
      <c r="G1051" s="74" t="s">
        <v>1153</v>
      </c>
      <c r="H1051" s="74" t="s">
        <v>1152</v>
      </c>
      <c r="I1051" s="74" t="s">
        <v>1153</v>
      </c>
    </row>
    <row r="1052" spans="1:10">
      <c r="A1052" t="s">
        <v>982</v>
      </c>
      <c r="D1052" s="229" t="s">
        <v>1163</v>
      </c>
      <c r="E1052" s="230">
        <v>0.98</v>
      </c>
      <c r="F1052" s="230">
        <v>0.78</v>
      </c>
      <c r="G1052" s="229" t="s">
        <v>410</v>
      </c>
      <c r="H1052" s="230">
        <v>0.71</v>
      </c>
      <c r="I1052" s="231">
        <v>0.98750000000000004</v>
      </c>
      <c r="J1052" s="205">
        <f>AVERAGE(E1052,F1052,H1052,I1052)</f>
        <v>0.86437499999999989</v>
      </c>
    </row>
    <row r="1053" spans="1:10" ht="24">
      <c r="A1053" t="s">
        <v>982</v>
      </c>
      <c r="D1053" s="74" t="s">
        <v>1009</v>
      </c>
      <c r="E1053" s="74" t="s">
        <v>1164</v>
      </c>
      <c r="F1053" s="74" t="s">
        <v>1165</v>
      </c>
      <c r="G1053" s="74" t="s">
        <v>1166</v>
      </c>
      <c r="H1053" s="74" t="s">
        <v>1167</v>
      </c>
      <c r="I1053" s="74" t="s">
        <v>1168</v>
      </c>
    </row>
    <row r="1054" spans="1:10">
      <c r="A1054" t="s">
        <v>982</v>
      </c>
      <c r="D1054" s="504" t="s">
        <v>1169</v>
      </c>
      <c r="E1054" s="74" t="s">
        <v>1170</v>
      </c>
      <c r="F1054" s="74" t="s">
        <v>1171</v>
      </c>
      <c r="G1054" s="74" t="s">
        <v>1172</v>
      </c>
      <c r="H1054" s="74" t="s">
        <v>1173</v>
      </c>
      <c r="I1054" s="74" t="s">
        <v>1174</v>
      </c>
    </row>
    <row r="1055" spans="1:10" ht="15" thickBot="1">
      <c r="A1055" t="s">
        <v>982</v>
      </c>
      <c r="D1055" s="505"/>
      <c r="E1055" s="78" t="s">
        <v>1175</v>
      </c>
      <c r="F1055" s="78" t="s">
        <v>1176</v>
      </c>
      <c r="G1055" s="78" t="s">
        <v>1175</v>
      </c>
      <c r="H1055" s="78" t="s">
        <v>1175</v>
      </c>
      <c r="I1055" s="78" t="s">
        <v>1175</v>
      </c>
    </row>
    <row r="1056" spans="1:10">
      <c r="A1056" t="s">
        <v>982</v>
      </c>
      <c r="D1056" s="117" t="s">
        <v>1177</v>
      </c>
    </row>
    <row r="1057" spans="1:5">
      <c r="A1057" t="s">
        <v>982</v>
      </c>
      <c r="D1057" s="118" t="s">
        <v>1178</v>
      </c>
    </row>
    <row r="1058" spans="1:5">
      <c r="A1058" t="s">
        <v>982</v>
      </c>
      <c r="D1058" s="117" t="s">
        <v>1179</v>
      </c>
    </row>
    <row r="1059" spans="1:5">
      <c r="A1059" t="s">
        <v>982</v>
      </c>
      <c r="D1059" s="118" t="s">
        <v>1180</v>
      </c>
    </row>
    <row r="1060" spans="1:5">
      <c r="A1060" t="s">
        <v>982</v>
      </c>
    </row>
    <row r="1061" spans="1:5">
      <c r="A1061" t="s">
        <v>982</v>
      </c>
    </row>
    <row r="1062" spans="1:5">
      <c r="A1062" t="s">
        <v>982</v>
      </c>
      <c r="D1062" t="s">
        <v>1181</v>
      </c>
      <c r="E1062">
        <v>86</v>
      </c>
    </row>
    <row r="1063" spans="1:5">
      <c r="A1063" t="s">
        <v>982</v>
      </c>
      <c r="D1063" s="48" t="s">
        <v>1113</v>
      </c>
      <c r="E1063" s="48">
        <v>16.592623391812864</v>
      </c>
    </row>
    <row r="1064" spans="1:5">
      <c r="A1064" t="s">
        <v>982</v>
      </c>
      <c r="D1064" s="48" t="s">
        <v>1114</v>
      </c>
      <c r="E1064" s="48">
        <f>E1063%*E1062%</f>
        <v>0.14269656116959062</v>
      </c>
    </row>
    <row r="1065" spans="1:5">
      <c r="A1065" t="s">
        <v>982</v>
      </c>
    </row>
    <row r="1066" spans="1:5">
      <c r="A1066" t="s">
        <v>982</v>
      </c>
    </row>
    <row r="1067" spans="1:5">
      <c r="A1067" t="s">
        <v>982</v>
      </c>
      <c r="C1067" t="s">
        <v>425</v>
      </c>
      <c r="D1067" t="s">
        <v>1182</v>
      </c>
    </row>
    <row r="1068" spans="1:5">
      <c r="A1068" t="s">
        <v>982</v>
      </c>
      <c r="D1068" t="s">
        <v>1183</v>
      </c>
    </row>
    <row r="1069" spans="1:5" ht="15.6">
      <c r="A1069" t="s">
        <v>982</v>
      </c>
      <c r="D1069" s="232" t="s">
        <v>1184</v>
      </c>
    </row>
    <row r="1070" spans="1:5">
      <c r="A1070" t="s">
        <v>982</v>
      </c>
    </row>
    <row r="1071" spans="1:5">
      <c r="A1071" t="s">
        <v>982</v>
      </c>
      <c r="D1071" t="s">
        <v>1185</v>
      </c>
      <c r="E1071">
        <v>0.95</v>
      </c>
    </row>
    <row r="1072" spans="1:5">
      <c r="A1072" t="s">
        <v>982</v>
      </c>
      <c r="D1072" s="48" t="s">
        <v>1113</v>
      </c>
      <c r="E1072" s="48">
        <v>16.592623391812864</v>
      </c>
    </row>
    <row r="1073" spans="1:5">
      <c r="A1073" t="s">
        <v>982</v>
      </c>
      <c r="D1073" s="48" t="s">
        <v>1114</v>
      </c>
      <c r="E1073" s="48">
        <f>E1072%*E1071</f>
        <v>0.15762992222222219</v>
      </c>
    </row>
    <row r="1077" spans="1:5">
      <c r="A1077" t="s">
        <v>1186</v>
      </c>
      <c r="B1077" t="s">
        <v>638</v>
      </c>
      <c r="C1077" t="s">
        <v>638</v>
      </c>
      <c r="D1077" t="s">
        <v>1187</v>
      </c>
    </row>
    <row r="1078" spans="1:5">
      <c r="A1078" t="s">
        <v>1186</v>
      </c>
      <c r="D1078" t="s">
        <v>1188</v>
      </c>
    </row>
    <row r="1079" spans="1:5">
      <c r="A1079" t="s">
        <v>1186</v>
      </c>
      <c r="D1079" t="s">
        <v>1189</v>
      </c>
    </row>
    <row r="1080" spans="1:5">
      <c r="A1080" t="s">
        <v>1186</v>
      </c>
    </row>
    <row r="1081" spans="1:5">
      <c r="A1081" t="s">
        <v>1186</v>
      </c>
    </row>
    <row r="1082" spans="1:5">
      <c r="A1082" t="s">
        <v>1186</v>
      </c>
    </row>
    <row r="1083" spans="1:5">
      <c r="A1083" t="s">
        <v>1186</v>
      </c>
    </row>
    <row r="1084" spans="1:5">
      <c r="A1084" t="s">
        <v>1186</v>
      </c>
    </row>
    <row r="1085" spans="1:5">
      <c r="A1085" t="s">
        <v>1186</v>
      </c>
    </row>
    <row r="1086" spans="1:5">
      <c r="A1086" t="s">
        <v>1186</v>
      </c>
    </row>
    <row r="1087" spans="1:5">
      <c r="A1087" t="s">
        <v>1186</v>
      </c>
    </row>
    <row r="1088" spans="1:5">
      <c r="A1088" t="s">
        <v>1186</v>
      </c>
    </row>
    <row r="1089" spans="1:1">
      <c r="A1089" t="s">
        <v>1186</v>
      </c>
    </row>
    <row r="1090" spans="1:1">
      <c r="A1090" t="s">
        <v>1186</v>
      </c>
    </row>
    <row r="1091" spans="1:1">
      <c r="A1091" t="s">
        <v>1186</v>
      </c>
    </row>
    <row r="1092" spans="1:1">
      <c r="A1092" t="s">
        <v>1186</v>
      </c>
    </row>
    <row r="1093" spans="1:1">
      <c r="A1093" t="s">
        <v>1186</v>
      </c>
    </row>
    <row r="1094" spans="1:1">
      <c r="A1094" t="s">
        <v>1186</v>
      </c>
    </row>
    <row r="1095" spans="1:1">
      <c r="A1095" t="s">
        <v>1186</v>
      </c>
    </row>
    <row r="1096" spans="1:1">
      <c r="A1096" t="s">
        <v>1186</v>
      </c>
    </row>
    <row r="1097" spans="1:1">
      <c r="A1097" t="s">
        <v>1186</v>
      </c>
    </row>
    <row r="1098" spans="1:1">
      <c r="A1098" t="s">
        <v>1186</v>
      </c>
    </row>
    <row r="1099" spans="1:1">
      <c r="A1099" t="s">
        <v>1186</v>
      </c>
    </row>
    <row r="1100" spans="1:1">
      <c r="A1100" t="s">
        <v>1186</v>
      </c>
    </row>
    <row r="1101" spans="1:1">
      <c r="A1101" t="s">
        <v>1186</v>
      </c>
    </row>
    <row r="1102" spans="1:1">
      <c r="A1102" t="s">
        <v>1186</v>
      </c>
    </row>
    <row r="1103" spans="1:1">
      <c r="A1103" t="s">
        <v>1186</v>
      </c>
    </row>
    <row r="1104" spans="1:1">
      <c r="A1104" t="s">
        <v>1186</v>
      </c>
    </row>
    <row r="1105" spans="1:5">
      <c r="A1105" t="s">
        <v>1186</v>
      </c>
    </row>
    <row r="1106" spans="1:5">
      <c r="A1106" t="s">
        <v>1186</v>
      </c>
    </row>
    <row r="1107" spans="1:5">
      <c r="A1107" t="s">
        <v>1186</v>
      </c>
    </row>
    <row r="1108" spans="1:5">
      <c r="A1108" t="s">
        <v>1186</v>
      </c>
    </row>
    <row r="1109" spans="1:5">
      <c r="A1109" t="s">
        <v>1186</v>
      </c>
    </row>
    <row r="1110" spans="1:5">
      <c r="A1110" t="s">
        <v>1186</v>
      </c>
    </row>
    <row r="1111" spans="1:5">
      <c r="A1111" t="s">
        <v>1186</v>
      </c>
      <c r="E1111" t="s">
        <v>1190</v>
      </c>
    </row>
    <row r="1112" spans="1:5">
      <c r="A1112" t="s">
        <v>1186</v>
      </c>
      <c r="E1112" t="s">
        <v>1191</v>
      </c>
    </row>
    <row r="1113" spans="1:5">
      <c r="A1113" t="s">
        <v>1186</v>
      </c>
      <c r="E1113">
        <v>94.3</v>
      </c>
    </row>
    <row r="1114" spans="1:5">
      <c r="A1114" t="s">
        <v>1186</v>
      </c>
      <c r="E1114">
        <v>92</v>
      </c>
    </row>
    <row r="1115" spans="1:5">
      <c r="A1115" t="s">
        <v>1186</v>
      </c>
      <c r="E1115">
        <v>100</v>
      </c>
    </row>
    <row r="1116" spans="1:5">
      <c r="A1116" t="s">
        <v>1186</v>
      </c>
      <c r="E1116">
        <v>99</v>
      </c>
    </row>
    <row r="1117" spans="1:5">
      <c r="A1117" t="s">
        <v>1186</v>
      </c>
      <c r="E1117">
        <v>98</v>
      </c>
    </row>
    <row r="1118" spans="1:5">
      <c r="A1118" t="s">
        <v>1186</v>
      </c>
      <c r="E1118">
        <v>92.1</v>
      </c>
    </row>
    <row r="1119" spans="1:5">
      <c r="A1119" t="s">
        <v>1186</v>
      </c>
      <c r="E1119">
        <v>91</v>
      </c>
    </row>
    <row r="1120" spans="1:5">
      <c r="A1120" t="s">
        <v>1186</v>
      </c>
      <c r="D1120" s="48" t="s">
        <v>1192</v>
      </c>
      <c r="E1120" s="48">
        <f>AVERAGE(E1113:E1119)</f>
        <v>95.2</v>
      </c>
    </row>
    <row r="1121" spans="1:5">
      <c r="A1121" t="s">
        <v>1186</v>
      </c>
      <c r="D1121" s="48" t="s">
        <v>1193</v>
      </c>
      <c r="E1121" s="48">
        <f>182/180*E1120%</f>
        <v>0.96257777777777775</v>
      </c>
    </row>
    <row r="1122" spans="1:5">
      <c r="A1122" t="s">
        <v>1186</v>
      </c>
    </row>
    <row r="1123" spans="1:5">
      <c r="A1123" t="s">
        <v>1186</v>
      </c>
    </row>
    <row r="1124" spans="1:5">
      <c r="A1124" t="s">
        <v>1186</v>
      </c>
      <c r="B1124" t="s">
        <v>939</v>
      </c>
      <c r="C1124" t="s">
        <v>638</v>
      </c>
      <c r="D1124" t="s">
        <v>1187</v>
      </c>
    </row>
    <row r="1125" spans="1:5">
      <c r="A1125" t="s">
        <v>1186</v>
      </c>
      <c r="D1125" t="s">
        <v>1188</v>
      </c>
    </row>
    <row r="1126" spans="1:5">
      <c r="A1126" t="s">
        <v>1186</v>
      </c>
      <c r="D1126" t="s">
        <v>1194</v>
      </c>
      <c r="E1126">
        <v>95.2</v>
      </c>
    </row>
    <row r="1127" spans="1:5">
      <c r="A1127" t="s">
        <v>1186</v>
      </c>
      <c r="D1127" t="s">
        <v>1193</v>
      </c>
      <c r="E1127">
        <v>0.96257777777777775</v>
      </c>
    </row>
    <row r="1128" spans="1:5">
      <c r="A1128" t="s">
        <v>1186</v>
      </c>
      <c r="D1128" s="48" t="s">
        <v>1195</v>
      </c>
      <c r="E1128" s="48">
        <v>82.666666666666671</v>
      </c>
    </row>
    <row r="1129" spans="1:5">
      <c r="A1129" t="s">
        <v>1186</v>
      </c>
      <c r="D1129" s="48" t="s">
        <v>1196</v>
      </c>
      <c r="E1129" s="48">
        <f>E1127*E1128%</f>
        <v>0.79573096296296297</v>
      </c>
    </row>
    <row r="1130" spans="1:5">
      <c r="A1130" t="s">
        <v>1186</v>
      </c>
    </row>
    <row r="1131" spans="1:5">
      <c r="A1131" t="s">
        <v>1186</v>
      </c>
    </row>
    <row r="1132" spans="1:5">
      <c r="A1132" t="s">
        <v>1186</v>
      </c>
      <c r="B1132" t="s">
        <v>808</v>
      </c>
      <c r="C1132" t="s">
        <v>638</v>
      </c>
      <c r="D1132" t="s">
        <v>1187</v>
      </c>
    </row>
    <row r="1133" spans="1:5">
      <c r="A1133" t="s">
        <v>1186</v>
      </c>
      <c r="D1133" t="s">
        <v>1188</v>
      </c>
    </row>
    <row r="1134" spans="1:5">
      <c r="A1134" t="s">
        <v>1186</v>
      </c>
      <c r="D1134" t="s">
        <v>1194</v>
      </c>
      <c r="E1134">
        <v>95.2</v>
      </c>
    </row>
    <row r="1135" spans="1:5">
      <c r="A1135" t="s">
        <v>1186</v>
      </c>
      <c r="D1135" t="s">
        <v>1193</v>
      </c>
      <c r="E1135">
        <v>0.96257777777777775</v>
      </c>
    </row>
    <row r="1136" spans="1:5">
      <c r="A1136" t="s">
        <v>1186</v>
      </c>
      <c r="D1136" s="48" t="s">
        <v>1197</v>
      </c>
      <c r="E1136" s="48">
        <v>35.084520404040404</v>
      </c>
    </row>
    <row r="1137" spans="1:5">
      <c r="A1137" t="s">
        <v>1186</v>
      </c>
      <c r="D1137" s="48" t="s">
        <v>1198</v>
      </c>
      <c r="E1137" s="48">
        <f>E1135*E1136%</f>
        <v>0.33771579684920311</v>
      </c>
    </row>
    <row r="1138" spans="1:5">
      <c r="A1138" t="s">
        <v>1186</v>
      </c>
    </row>
    <row r="1139" spans="1:5">
      <c r="A1139" t="s">
        <v>1186</v>
      </c>
      <c r="B1139" t="s">
        <v>443</v>
      </c>
      <c r="C1139" t="s">
        <v>638</v>
      </c>
      <c r="D1139" t="s">
        <v>1187</v>
      </c>
    </row>
    <row r="1140" spans="1:5">
      <c r="A1140" t="s">
        <v>1186</v>
      </c>
      <c r="D1140" t="s">
        <v>1188</v>
      </c>
    </row>
    <row r="1141" spans="1:5">
      <c r="A1141" t="s">
        <v>1186</v>
      </c>
      <c r="D1141" t="s">
        <v>1194</v>
      </c>
      <c r="E1141">
        <v>95.2</v>
      </c>
    </row>
    <row r="1142" spans="1:5">
      <c r="A1142" t="s">
        <v>1186</v>
      </c>
      <c r="D1142" t="s">
        <v>1193</v>
      </c>
      <c r="E1142">
        <v>0.96257777777777775</v>
      </c>
    </row>
    <row r="1143" spans="1:5">
      <c r="A1143" t="s">
        <v>1186</v>
      </c>
      <c r="D1143" s="48" t="s">
        <v>1199</v>
      </c>
      <c r="E1143" s="48">
        <v>19.816202339181288</v>
      </c>
    </row>
    <row r="1144" spans="1:5">
      <c r="A1144" t="s">
        <v>1186</v>
      </c>
      <c r="D1144" s="48" t="s">
        <v>1200</v>
      </c>
      <c r="E1144" s="48">
        <f>E1142*E1143%</f>
        <v>0.19074636011643925</v>
      </c>
    </row>
    <row r="1145" spans="1:5">
      <c r="A1145" t="s">
        <v>1186</v>
      </c>
    </row>
    <row r="1146" spans="1:5">
      <c r="A1146" t="s">
        <v>1201</v>
      </c>
      <c r="B1146" t="s">
        <v>638</v>
      </c>
      <c r="C1146" t="s">
        <v>638</v>
      </c>
      <c r="D1146" t="s">
        <v>1202</v>
      </c>
    </row>
    <row r="1147" spans="1:5">
      <c r="A1147" t="s">
        <v>1201</v>
      </c>
      <c r="D1147" t="s">
        <v>1203</v>
      </c>
    </row>
    <row r="1148" spans="1:5">
      <c r="A1148" t="s">
        <v>1201</v>
      </c>
    </row>
    <row r="1149" spans="1:5">
      <c r="A1149" t="s">
        <v>1201</v>
      </c>
    </row>
    <row r="1150" spans="1:5">
      <c r="A1150" t="s">
        <v>1201</v>
      </c>
    </row>
    <row r="1151" spans="1:5">
      <c r="A1151" t="s">
        <v>1201</v>
      </c>
    </row>
    <row r="1152" spans="1:5">
      <c r="A1152" t="s">
        <v>1201</v>
      </c>
    </row>
    <row r="1153" spans="1:1">
      <c r="A1153" t="s">
        <v>1201</v>
      </c>
    </row>
    <row r="1154" spans="1:1">
      <c r="A1154" t="s">
        <v>1201</v>
      </c>
    </row>
    <row r="1155" spans="1:1">
      <c r="A1155" t="s">
        <v>1201</v>
      </c>
    </row>
    <row r="1156" spans="1:1">
      <c r="A1156" t="s">
        <v>1201</v>
      </c>
    </row>
    <row r="1157" spans="1:1">
      <c r="A1157" t="s">
        <v>1201</v>
      </c>
    </row>
    <row r="1158" spans="1:1">
      <c r="A1158" t="s">
        <v>1201</v>
      </c>
    </row>
    <row r="1159" spans="1:1">
      <c r="A1159" t="s">
        <v>1201</v>
      </c>
    </row>
    <row r="1160" spans="1:1">
      <c r="A1160" t="s">
        <v>1201</v>
      </c>
    </row>
    <row r="1161" spans="1:1">
      <c r="A1161" t="s">
        <v>1201</v>
      </c>
    </row>
    <row r="1162" spans="1:1">
      <c r="A1162" t="s">
        <v>1201</v>
      </c>
    </row>
    <row r="1163" spans="1:1">
      <c r="A1163" t="s">
        <v>1201</v>
      </c>
    </row>
    <row r="1164" spans="1:1">
      <c r="A1164" t="s">
        <v>1201</v>
      </c>
    </row>
    <row r="1165" spans="1:1">
      <c r="A1165" t="s">
        <v>1201</v>
      </c>
    </row>
    <row r="1166" spans="1:1">
      <c r="A1166" t="s">
        <v>1201</v>
      </c>
    </row>
    <row r="1167" spans="1:1">
      <c r="A1167" t="s">
        <v>1201</v>
      </c>
    </row>
    <row r="1168" spans="1:1">
      <c r="A1168" t="s">
        <v>1201</v>
      </c>
    </row>
    <row r="1169" spans="1:8">
      <c r="A1169" t="s">
        <v>1201</v>
      </c>
    </row>
    <row r="1170" spans="1:8">
      <c r="A1170" t="s">
        <v>1201</v>
      </c>
      <c r="D1170" t="s">
        <v>1204</v>
      </c>
      <c r="E1170">
        <v>0.53</v>
      </c>
      <c r="F1170">
        <v>0.44</v>
      </c>
      <c r="G1170">
        <v>0.22</v>
      </c>
    </row>
    <row r="1171" spans="1:8">
      <c r="A1171" t="s">
        <v>1201</v>
      </c>
      <c r="E1171">
        <v>0.12</v>
      </c>
      <c r="F1171">
        <v>0.28999999999999998</v>
      </c>
      <c r="G1171">
        <v>0.47</v>
      </c>
      <c r="H1171">
        <v>0.22</v>
      </c>
    </row>
    <row r="1172" spans="1:8">
      <c r="A1172" t="s">
        <v>1201</v>
      </c>
      <c r="E1172">
        <v>0.62</v>
      </c>
      <c r="F1172">
        <v>0.63</v>
      </c>
      <c r="G1172">
        <v>0.74</v>
      </c>
      <c r="H1172">
        <v>0.74</v>
      </c>
    </row>
    <row r="1173" spans="1:8">
      <c r="A1173" t="s">
        <v>1201</v>
      </c>
      <c r="E1173">
        <v>0.45</v>
      </c>
      <c r="F1173">
        <v>0.49</v>
      </c>
      <c r="G1173">
        <v>0.57999999999999996</v>
      </c>
      <c r="H1173">
        <v>0.69</v>
      </c>
    </row>
    <row r="1174" spans="1:8">
      <c r="A1174" t="s">
        <v>1201</v>
      </c>
      <c r="E1174">
        <v>0.17</v>
      </c>
      <c r="F1174">
        <v>0.5</v>
      </c>
      <c r="G1174">
        <v>0.7</v>
      </c>
      <c r="H1174">
        <v>0.59</v>
      </c>
    </row>
    <row r="1175" spans="1:8">
      <c r="A1175" t="s">
        <v>1201</v>
      </c>
      <c r="E1175">
        <v>0.61</v>
      </c>
      <c r="F1175">
        <v>0.57999999999999996</v>
      </c>
      <c r="G1175">
        <v>0.31</v>
      </c>
    </row>
    <row r="1176" spans="1:8">
      <c r="A1176" t="s">
        <v>1201</v>
      </c>
      <c r="D1176" s="48" t="s">
        <v>1205</v>
      </c>
      <c r="E1176" s="48">
        <f>AVERAGE(E1170:G1175,H1171:H1174)</f>
        <v>0.48590909090909096</v>
      </c>
    </row>
    <row r="1177" spans="1:8">
      <c r="A1177" t="s">
        <v>1201</v>
      </c>
    </row>
    <row r="1178" spans="1:8">
      <c r="A1178" t="s">
        <v>1201</v>
      </c>
    </row>
    <row r="1179" spans="1:8">
      <c r="A1179" t="s">
        <v>1201</v>
      </c>
      <c r="B1179" t="s">
        <v>939</v>
      </c>
      <c r="C1179" t="s">
        <v>638</v>
      </c>
      <c r="D1179" t="s">
        <v>1202</v>
      </c>
    </row>
    <row r="1180" spans="1:8">
      <c r="A1180" t="s">
        <v>1201</v>
      </c>
      <c r="D1180" t="s">
        <v>1203</v>
      </c>
    </row>
    <row r="1181" spans="1:8">
      <c r="A1181" t="s">
        <v>1201</v>
      </c>
      <c r="D1181" t="s">
        <v>1205</v>
      </c>
      <c r="E1181">
        <v>0.48590909090909096</v>
      </c>
    </row>
    <row r="1182" spans="1:8">
      <c r="A1182" t="s">
        <v>1201</v>
      </c>
      <c r="D1182" s="48" t="s">
        <v>1206</v>
      </c>
      <c r="E1182" s="48">
        <v>0</v>
      </c>
    </row>
    <row r="1183" spans="1:8">
      <c r="A1183" t="s">
        <v>1201</v>
      </c>
      <c r="D1183" s="48" t="s">
        <v>1207</v>
      </c>
      <c r="E1183" s="48">
        <f>E1181*E1182%</f>
        <v>0</v>
      </c>
    </row>
    <row r="1184" spans="1:8">
      <c r="A1184" t="s">
        <v>1201</v>
      </c>
    </row>
    <row r="1185" spans="1:8">
      <c r="A1185" t="s">
        <v>1201</v>
      </c>
      <c r="B1185" t="s">
        <v>808</v>
      </c>
      <c r="C1185" t="s">
        <v>197</v>
      </c>
      <c r="D1185" t="s">
        <v>1208</v>
      </c>
    </row>
    <row r="1186" spans="1:8">
      <c r="A1186" t="s">
        <v>1201</v>
      </c>
      <c r="D1186" t="s">
        <v>1209</v>
      </c>
    </row>
    <row r="1187" spans="1:8">
      <c r="A1187" t="s">
        <v>1201</v>
      </c>
    </row>
    <row r="1188" spans="1:8" ht="18">
      <c r="A1188" t="s">
        <v>1201</v>
      </c>
      <c r="D1188" s="99" t="s">
        <v>1210</v>
      </c>
    </row>
    <row r="1189" spans="1:8" ht="15" thickBot="1">
      <c r="A1189" t="s">
        <v>1201</v>
      </c>
      <c r="D1189" s="26" t="s">
        <v>1211</v>
      </c>
    </row>
    <row r="1190" spans="1:8" ht="22.2" thickTop="1" thickBot="1">
      <c r="A1190" t="s">
        <v>1201</v>
      </c>
      <c r="D1190" s="106" t="s">
        <v>1212</v>
      </c>
      <c r="E1190" s="107" t="s">
        <v>400</v>
      </c>
      <c r="F1190" s="107" t="s">
        <v>1213</v>
      </c>
      <c r="G1190" s="107" t="s">
        <v>1214</v>
      </c>
      <c r="H1190" s="98" t="s">
        <v>207</v>
      </c>
    </row>
    <row r="1191" spans="1:8" ht="22.2" thickTop="1" thickBot="1">
      <c r="A1191" t="s">
        <v>1201</v>
      </c>
      <c r="D1191" s="92" t="s">
        <v>676</v>
      </c>
      <c r="E1191" s="258" t="s">
        <v>1215</v>
      </c>
      <c r="F1191" s="88" t="s">
        <v>1216</v>
      </c>
      <c r="G1191" s="261">
        <v>0.4</v>
      </c>
      <c r="H1191" s="259" t="s">
        <v>913</v>
      </c>
    </row>
    <row r="1192" spans="1:8" ht="22.2" thickTop="1" thickBot="1">
      <c r="A1192" t="s">
        <v>1201</v>
      </c>
      <c r="D1192" s="92" t="s">
        <v>676</v>
      </c>
      <c r="E1192" s="258" t="s">
        <v>1217</v>
      </c>
      <c r="F1192" s="88" t="s">
        <v>1216</v>
      </c>
      <c r="G1192" s="261">
        <v>0.08</v>
      </c>
      <c r="H1192" s="259" t="s">
        <v>913</v>
      </c>
    </row>
    <row r="1193" spans="1:8" ht="22.2" thickTop="1" thickBot="1">
      <c r="A1193" t="s">
        <v>1201</v>
      </c>
      <c r="D1193" s="92" t="s">
        <v>676</v>
      </c>
      <c r="E1193" s="258" t="s">
        <v>1215</v>
      </c>
      <c r="F1193" s="88">
        <v>2.6</v>
      </c>
      <c r="G1193" s="261">
        <v>0.13</v>
      </c>
      <c r="H1193" s="259" t="s">
        <v>1218</v>
      </c>
    </row>
    <row r="1194" spans="1:8" ht="22.2" thickTop="1" thickBot="1">
      <c r="A1194" t="s">
        <v>1201</v>
      </c>
      <c r="D1194" s="92" t="s">
        <v>676</v>
      </c>
      <c r="E1194" s="258" t="s">
        <v>1215</v>
      </c>
      <c r="F1194" s="88">
        <v>45.2</v>
      </c>
      <c r="G1194" s="261">
        <v>0.56999999999999995</v>
      </c>
      <c r="H1194" s="259" t="s">
        <v>743</v>
      </c>
    </row>
    <row r="1195" spans="1:8" ht="43.2" thickTop="1" thickBot="1">
      <c r="A1195" t="s">
        <v>1201</v>
      </c>
      <c r="D1195" s="92" t="s">
        <v>1219</v>
      </c>
      <c r="E1195" s="258" t="s">
        <v>1220</v>
      </c>
      <c r="F1195" s="88">
        <v>25.83</v>
      </c>
      <c r="G1195" s="89">
        <v>0.6</v>
      </c>
      <c r="H1195" s="259" t="s">
        <v>1221</v>
      </c>
    </row>
    <row r="1196" spans="1:8" ht="43.2" thickTop="1" thickBot="1">
      <c r="A1196" t="s">
        <v>1201</v>
      </c>
      <c r="D1196" s="92" t="s">
        <v>1219</v>
      </c>
      <c r="E1196" s="258" t="s">
        <v>1222</v>
      </c>
      <c r="F1196" s="88">
        <v>26.5</v>
      </c>
      <c r="G1196" s="89">
        <v>0.57999999999999996</v>
      </c>
      <c r="H1196" s="259" t="s">
        <v>1223</v>
      </c>
    </row>
    <row r="1197" spans="1:8" ht="22.2" thickTop="1" thickBot="1">
      <c r="A1197" t="s">
        <v>1201</v>
      </c>
      <c r="D1197" s="92" t="s">
        <v>1224</v>
      </c>
      <c r="E1197" s="258" t="s">
        <v>1225</v>
      </c>
      <c r="F1197" s="88">
        <v>18.079999999999998</v>
      </c>
      <c r="G1197" s="89">
        <v>0.24</v>
      </c>
      <c r="H1197" s="259" t="s">
        <v>1226</v>
      </c>
    </row>
    <row r="1198" spans="1:8" ht="43.2" thickTop="1" thickBot="1">
      <c r="A1198" t="s">
        <v>1201</v>
      </c>
      <c r="D1198" s="92" t="s">
        <v>1227</v>
      </c>
      <c r="E1198" s="258" t="s">
        <v>1228</v>
      </c>
      <c r="F1198" s="88">
        <v>11.27</v>
      </c>
      <c r="G1198" s="89">
        <v>0.56000000000000005</v>
      </c>
      <c r="H1198" s="259" t="s">
        <v>1229</v>
      </c>
    </row>
    <row r="1199" spans="1:8" ht="64.2" thickTop="1" thickBot="1">
      <c r="A1199" t="s">
        <v>1201</v>
      </c>
      <c r="D1199" s="92" t="s">
        <v>1230</v>
      </c>
      <c r="E1199" s="258" t="s">
        <v>1231</v>
      </c>
      <c r="F1199" s="88" t="s">
        <v>1216</v>
      </c>
      <c r="G1199" s="89">
        <v>0.42</v>
      </c>
      <c r="H1199" s="259" t="s">
        <v>1232</v>
      </c>
    </row>
    <row r="1200" spans="1:8" ht="22.2" thickTop="1" thickBot="1">
      <c r="A1200" t="s">
        <v>1201</v>
      </c>
      <c r="D1200" s="92" t="s">
        <v>1233</v>
      </c>
      <c r="E1200" s="258" t="s">
        <v>1217</v>
      </c>
      <c r="F1200" s="88">
        <v>36.25</v>
      </c>
      <c r="G1200" s="89">
        <v>0.72</v>
      </c>
      <c r="H1200" s="259" t="s">
        <v>1234</v>
      </c>
    </row>
    <row r="1201" spans="1:8" ht="22.2" thickTop="1" thickBot="1">
      <c r="A1201" t="s">
        <v>1201</v>
      </c>
      <c r="D1201" s="92" t="s">
        <v>1235</v>
      </c>
      <c r="E1201" s="258" t="s">
        <v>1217</v>
      </c>
      <c r="F1201" s="88">
        <v>36</v>
      </c>
      <c r="G1201" s="89">
        <v>0.7</v>
      </c>
      <c r="H1201" s="259" t="s">
        <v>1236</v>
      </c>
    </row>
    <row r="1202" spans="1:8" ht="43.2" thickTop="1" thickBot="1">
      <c r="A1202" t="s">
        <v>1201</v>
      </c>
      <c r="D1202" s="94" t="s">
        <v>676</v>
      </c>
      <c r="E1202" s="260" t="s">
        <v>1237</v>
      </c>
      <c r="F1202" s="96">
        <v>36.74</v>
      </c>
      <c r="G1202" s="262">
        <v>0.57999999999999996</v>
      </c>
      <c r="H1202" s="110" t="s">
        <v>677</v>
      </c>
    </row>
    <row r="1203" spans="1:8" ht="15.6" thickTop="1" thickBot="1">
      <c r="A1203" t="s">
        <v>1201</v>
      </c>
      <c r="D1203" s="263" t="s">
        <v>1238</v>
      </c>
    </row>
    <row r="1204" spans="1:8" ht="15.6" thickTop="1" thickBot="1">
      <c r="A1204" t="s">
        <v>1201</v>
      </c>
      <c r="E1204" s="264" t="s">
        <v>1239</v>
      </c>
    </row>
    <row r="1205" spans="1:8" ht="15.6" thickTop="1" thickBot="1">
      <c r="A1205" t="s">
        <v>1201</v>
      </c>
      <c r="D1205" s="265" t="s">
        <v>676</v>
      </c>
      <c r="E1205" s="261">
        <v>0.4</v>
      </c>
    </row>
    <row r="1206" spans="1:8" ht="15.6" thickTop="1" thickBot="1">
      <c r="A1206" t="s">
        <v>1201</v>
      </c>
      <c r="D1206" s="265" t="s">
        <v>676</v>
      </c>
      <c r="E1206" s="261">
        <v>0.08</v>
      </c>
    </row>
    <row r="1207" spans="1:8" ht="15.6" thickTop="1" thickBot="1">
      <c r="A1207" t="s">
        <v>1201</v>
      </c>
      <c r="D1207" s="265" t="s">
        <v>676</v>
      </c>
      <c r="E1207" s="261">
        <v>0.13</v>
      </c>
    </row>
    <row r="1208" spans="1:8" ht="15.6" thickTop="1" thickBot="1">
      <c r="A1208" t="s">
        <v>1201</v>
      </c>
      <c r="D1208" s="265" t="s">
        <v>676</v>
      </c>
      <c r="E1208" s="261">
        <v>0.56999999999999995</v>
      </c>
    </row>
    <row r="1209" spans="1:8" ht="15.6" thickTop="1" thickBot="1">
      <c r="A1209" t="s">
        <v>1201</v>
      </c>
      <c r="D1209" s="265" t="s">
        <v>676</v>
      </c>
      <c r="E1209" s="262">
        <v>0.57999999999999996</v>
      </c>
    </row>
    <row r="1210" spans="1:8" ht="15" thickTop="1">
      <c r="A1210" t="s">
        <v>1201</v>
      </c>
      <c r="D1210" s="266" t="s">
        <v>510</v>
      </c>
      <c r="E1210">
        <f>AVERAGE(E1205:E1209)</f>
        <v>0.35200000000000004</v>
      </c>
    </row>
    <row r="1211" spans="1:8">
      <c r="A1211" t="s">
        <v>1201</v>
      </c>
      <c r="D1211" s="52" t="s">
        <v>1240</v>
      </c>
      <c r="E1211" s="48">
        <v>12.988181818181818</v>
      </c>
    </row>
    <row r="1212" spans="1:8">
      <c r="A1212" t="s">
        <v>1201</v>
      </c>
      <c r="D1212" s="52" t="s">
        <v>1241</v>
      </c>
      <c r="E1212" s="48">
        <f>E1210*E1211%</f>
        <v>4.5718400000000006E-2</v>
      </c>
    </row>
    <row r="1213" spans="1:8">
      <c r="A1213" t="s">
        <v>1201</v>
      </c>
    </row>
    <row r="1214" spans="1:8">
      <c r="A1214" t="s">
        <v>1201</v>
      </c>
    </row>
    <row r="1215" spans="1:8">
      <c r="A1215" t="s">
        <v>1201</v>
      </c>
      <c r="C1215" t="s">
        <v>226</v>
      </c>
      <c r="D1215" t="s">
        <v>1242</v>
      </c>
    </row>
    <row r="1216" spans="1:8">
      <c r="A1216" t="s">
        <v>1201</v>
      </c>
      <c r="D1216" t="s">
        <v>1243</v>
      </c>
    </row>
    <row r="1217" spans="1:13" ht="15" thickBot="1">
      <c r="A1217" t="s">
        <v>1201</v>
      </c>
      <c r="D1217" t="s">
        <v>1244</v>
      </c>
    </row>
    <row r="1218" spans="1:13">
      <c r="A1218" t="s">
        <v>1201</v>
      </c>
      <c r="D1218" s="245" t="s">
        <v>1245</v>
      </c>
      <c r="E1218" s="246" t="s">
        <v>1246</v>
      </c>
      <c r="F1218" s="246" t="s">
        <v>1247</v>
      </c>
      <c r="G1218" s="246" t="s">
        <v>1248</v>
      </c>
      <c r="H1218" s="246" t="s">
        <v>1249</v>
      </c>
      <c r="I1218" s="246" t="s">
        <v>1250</v>
      </c>
      <c r="J1218" s="246" t="s">
        <v>1251</v>
      </c>
      <c r="K1218" s="246" t="s">
        <v>1252</v>
      </c>
      <c r="L1218" s="246" t="s">
        <v>1253</v>
      </c>
      <c r="M1218" s="247" t="s">
        <v>1254</v>
      </c>
    </row>
    <row r="1219" spans="1:13">
      <c r="A1219" t="s">
        <v>1201</v>
      </c>
      <c r="D1219" s="248" t="s">
        <v>1255</v>
      </c>
      <c r="E1219" t="s">
        <v>1256</v>
      </c>
      <c r="F1219">
        <v>98.52</v>
      </c>
      <c r="G1219" t="s">
        <v>410</v>
      </c>
      <c r="H1219" t="s">
        <v>1257</v>
      </c>
      <c r="I1219" t="s">
        <v>1258</v>
      </c>
      <c r="J1219" t="s">
        <v>1259</v>
      </c>
      <c r="K1219">
        <v>36</v>
      </c>
      <c r="L1219">
        <v>0.55400000000000005</v>
      </c>
      <c r="M1219" s="249">
        <v>0.73199999999999998</v>
      </c>
    </row>
    <row r="1220" spans="1:13">
      <c r="A1220" t="s">
        <v>1201</v>
      </c>
      <c r="D1220" s="248"/>
      <c r="E1220" t="s">
        <v>413</v>
      </c>
      <c r="F1220">
        <v>97.08</v>
      </c>
      <c r="G1220">
        <v>100</v>
      </c>
      <c r="H1220" t="s">
        <v>1260</v>
      </c>
      <c r="I1220" t="s">
        <v>1261</v>
      </c>
      <c r="J1220" t="s">
        <v>1262</v>
      </c>
      <c r="K1220">
        <v>96</v>
      </c>
      <c r="L1220" s="254">
        <v>0.129</v>
      </c>
      <c r="M1220" s="249">
        <v>3.1E-2</v>
      </c>
    </row>
    <row r="1221" spans="1:13">
      <c r="A1221" t="s">
        <v>1201</v>
      </c>
      <c r="D1221" s="248" t="s">
        <v>1263</v>
      </c>
      <c r="E1221" t="s">
        <v>1256</v>
      </c>
      <c r="F1221">
        <v>100</v>
      </c>
      <c r="G1221" t="s">
        <v>410</v>
      </c>
      <c r="H1221" t="s">
        <v>1264</v>
      </c>
      <c r="I1221" t="s">
        <v>1265</v>
      </c>
      <c r="J1221" t="s">
        <v>1266</v>
      </c>
      <c r="K1221">
        <v>72</v>
      </c>
      <c r="L1221">
        <v>0.748</v>
      </c>
      <c r="M1221" s="249">
        <v>0.47599999999999998</v>
      </c>
    </row>
    <row r="1222" spans="1:13" ht="15" thickBot="1">
      <c r="A1222" t="s">
        <v>1201</v>
      </c>
      <c r="D1222" s="250"/>
      <c r="E1222" s="251" t="s">
        <v>413</v>
      </c>
      <c r="F1222" s="251">
        <v>39.36</v>
      </c>
      <c r="G1222" s="251">
        <v>100</v>
      </c>
      <c r="H1222" s="251" t="s">
        <v>1267</v>
      </c>
      <c r="I1222" s="251" t="s">
        <v>1268</v>
      </c>
      <c r="J1222" s="251" t="s">
        <v>1269</v>
      </c>
      <c r="K1222" s="251">
        <v>120</v>
      </c>
      <c r="L1222" s="255">
        <v>1.036</v>
      </c>
      <c r="M1222" s="252">
        <v>5.2999999999999999E-2</v>
      </c>
    </row>
    <row r="1223" spans="1:13">
      <c r="A1223" t="s">
        <v>1201</v>
      </c>
      <c r="D1223" s="267" t="s">
        <v>1270</v>
      </c>
    </row>
    <row r="1224" spans="1:13">
      <c r="A1224" t="s">
        <v>1201</v>
      </c>
      <c r="D1224" s="267" t="s">
        <v>1271</v>
      </c>
    </row>
    <row r="1225" spans="1:13">
      <c r="A1225" t="s">
        <v>1201</v>
      </c>
      <c r="D1225" s="267" t="s">
        <v>1272</v>
      </c>
    </row>
    <row r="1226" spans="1:13">
      <c r="A1226" t="s">
        <v>1201</v>
      </c>
      <c r="D1226" s="267" t="s">
        <v>1273</v>
      </c>
    </row>
    <row r="1227" spans="1:13">
      <c r="A1227" t="s">
        <v>1201</v>
      </c>
      <c r="D1227" s="268" t="s">
        <v>1274</v>
      </c>
    </row>
    <row r="1228" spans="1:13">
      <c r="A1228" t="s">
        <v>1201</v>
      </c>
      <c r="D1228" s="267" t="s">
        <v>1275</v>
      </c>
    </row>
    <row r="1229" spans="1:13" ht="15" thickBot="1">
      <c r="A1229" t="s">
        <v>1201</v>
      </c>
    </row>
    <row r="1230" spans="1:13">
      <c r="A1230" t="s">
        <v>1201</v>
      </c>
      <c r="D1230" s="246" t="s">
        <v>1276</v>
      </c>
      <c r="E1230">
        <f>AVERAGE(L1220,L1222)</f>
        <v>0.58250000000000002</v>
      </c>
    </row>
    <row r="1231" spans="1:13">
      <c r="A1231" t="s">
        <v>1201</v>
      </c>
      <c r="D1231" s="52" t="s">
        <v>1240</v>
      </c>
      <c r="E1231" s="48">
        <v>12.988181818181818</v>
      </c>
    </row>
    <row r="1232" spans="1:13">
      <c r="A1232" t="s">
        <v>1201</v>
      </c>
      <c r="D1232" s="52" t="s">
        <v>1241</v>
      </c>
      <c r="E1232" s="48">
        <f>E1230*E1231%</f>
        <v>7.5656159090909086E-2</v>
      </c>
    </row>
    <row r="1233" spans="1:5">
      <c r="A1233" t="s">
        <v>1201</v>
      </c>
    </row>
    <row r="1234" spans="1:5">
      <c r="A1234" t="s">
        <v>1201</v>
      </c>
      <c r="B1234" t="s">
        <v>443</v>
      </c>
      <c r="C1234" t="s">
        <v>638</v>
      </c>
      <c r="D1234" t="s">
        <v>1202</v>
      </c>
    </row>
    <row r="1235" spans="1:5">
      <c r="A1235" t="s">
        <v>1201</v>
      </c>
      <c r="D1235" t="s">
        <v>1203</v>
      </c>
    </row>
    <row r="1236" spans="1:5">
      <c r="A1236" t="s">
        <v>1201</v>
      </c>
      <c r="D1236" t="s">
        <v>1205</v>
      </c>
      <c r="E1236">
        <v>0.48590909090909096</v>
      </c>
    </row>
    <row r="1237" spans="1:5">
      <c r="A1237" t="s">
        <v>1201</v>
      </c>
      <c r="D1237" s="48" t="s">
        <v>1277</v>
      </c>
      <c r="E1237" s="48">
        <v>6.744920454545456</v>
      </c>
    </row>
    <row r="1238" spans="1:5">
      <c r="A1238" t="s">
        <v>1201</v>
      </c>
      <c r="D1238" s="48" t="s">
        <v>1278</v>
      </c>
      <c r="E1238" s="48">
        <f>E1236*E1237%</f>
        <v>3.2774181663223149E-2</v>
      </c>
    </row>
  </sheetData>
  <mergeCells count="75">
    <mergeCell ref="D931:I931"/>
    <mergeCell ref="D932:I932"/>
    <mergeCell ref="D922:D923"/>
    <mergeCell ref="D924:D925"/>
    <mergeCell ref="D926:D927"/>
    <mergeCell ref="D928:D929"/>
    <mergeCell ref="D918:I918"/>
    <mergeCell ref="D919:D920"/>
    <mergeCell ref="E919:E920"/>
    <mergeCell ref="D921:I921"/>
    <mergeCell ref="D237:D238"/>
    <mergeCell ref="E237:F237"/>
    <mergeCell ref="H237:I237"/>
    <mergeCell ref="D128:D129"/>
    <mergeCell ref="E128:L128"/>
    <mergeCell ref="K37:L37"/>
    <mergeCell ref="K5:K6"/>
    <mergeCell ref="L5:L6"/>
    <mergeCell ref="D37:D38"/>
    <mergeCell ref="E37:F37"/>
    <mergeCell ref="G37:H37"/>
    <mergeCell ref="I37:J37"/>
    <mergeCell ref="D111:D112"/>
    <mergeCell ref="E111:L111"/>
    <mergeCell ref="D5:D6"/>
    <mergeCell ref="E5:E6"/>
    <mergeCell ref="G5:G6"/>
    <mergeCell ref="H5:H6"/>
    <mergeCell ref="I5:I6"/>
    <mergeCell ref="M5:M6"/>
    <mergeCell ref="E36:J36"/>
    <mergeCell ref="K36:N36"/>
    <mergeCell ref="J5:J6"/>
    <mergeCell ref="U37:U38"/>
    <mergeCell ref="O37:O38"/>
    <mergeCell ref="M37:N37"/>
    <mergeCell ref="Q37:Q38"/>
    <mergeCell ref="R37:R38"/>
    <mergeCell ref="S37:S38"/>
    <mergeCell ref="T37:T38"/>
    <mergeCell ref="P37:P38"/>
    <mergeCell ref="K172:L172"/>
    <mergeCell ref="E174:F175"/>
    <mergeCell ref="I172:J172"/>
    <mergeCell ref="D145:D146"/>
    <mergeCell ref="E145:E146"/>
    <mergeCell ref="F145:H145"/>
    <mergeCell ref="D147:I147"/>
    <mergeCell ref="D148:D150"/>
    <mergeCell ref="E172:F173"/>
    <mergeCell ref="G172:H172"/>
    <mergeCell ref="D151:I151"/>
    <mergeCell ref="D152:I152"/>
    <mergeCell ref="D153:D155"/>
    <mergeCell ref="L200:L202"/>
    <mergeCell ref="E176:E177"/>
    <mergeCell ref="D186:D187"/>
    <mergeCell ref="E186:F186"/>
    <mergeCell ref="G186:H186"/>
    <mergeCell ref="D994:CY994"/>
    <mergeCell ref="D1054:D1055"/>
    <mergeCell ref="K203:K205"/>
    <mergeCell ref="L203:L205"/>
    <mergeCell ref="K201:K202"/>
    <mergeCell ref="E203:E205"/>
    <mergeCell ref="F203:F205"/>
    <mergeCell ref="G203:G205"/>
    <mergeCell ref="H203:H205"/>
    <mergeCell ref="I203:I205"/>
    <mergeCell ref="J203:J205"/>
    <mergeCell ref="D199:D202"/>
    <mergeCell ref="E199:L199"/>
    <mergeCell ref="H200:H202"/>
    <mergeCell ref="I200:I202"/>
    <mergeCell ref="J200:J202"/>
  </mergeCells>
  <hyperlinks>
    <hyperlink ref="F5" r:id="rId1" location="tblfn1" display="https://www.sciencedirect.com/science/article/pii/S096085241931452X?pes=vor - tblfn1" xr:uid="{926E7AF8-F90E-4BDA-BC51-993D6003ECFD}"/>
    <hyperlink ref="G5" r:id="rId2" location="tblfn2" display="https://www.sciencedirect.com/science/article/pii/S096085241931452X?pes=vor - tblfn2" xr:uid="{897A356A-95D5-4D1E-AD5E-F5D537657495}"/>
    <hyperlink ref="H5" r:id="rId3" location="tblfn3" display="https://www.sciencedirect.com/science/article/pii/S096085241931452X?pes=vor - tblfn3" xr:uid="{F3304967-443A-44B1-9CAA-F7E12151F989}"/>
    <hyperlink ref="D7" r:id="rId4" location="tblfn4" display="https://www.sciencedirect.com/science/article/pii/S096085241931452X?pes=vor - tblfn4" xr:uid="{5AF6BB5A-0C5A-44F5-B7BE-FE078D1E230A}"/>
    <hyperlink ref="D8" r:id="rId5" location="tblfn5" display="https://www.sciencedirect.com/science/article/pii/S096085241931452X?pes=vor - tblfn5" xr:uid="{7F45D333-5A55-4194-915D-8BE6FF290019}"/>
    <hyperlink ref="D10" r:id="rId6" location="tblfn4" display="https://www.sciencedirect.com/science/article/pii/S096085241931452X?pes=vor - tblfn4" xr:uid="{537B723C-9BF5-4EE4-BDC5-9BEE107FB961}"/>
    <hyperlink ref="D11" r:id="rId7" location="tblfn5" display="https://www.sciencedirect.com/science/article/pii/S096085241931452X?pes=vor - tblfn5" xr:uid="{45BE3955-80D7-4E28-B26F-E706EF1BF6CE}"/>
    <hyperlink ref="D13" r:id="rId8" location="tblfn4" display="https://www.sciencedirect.com/science/article/pii/S096085241931452X?pes=vor - tblfn4" xr:uid="{DF342852-8513-4C66-AB73-0FDE29CE604E}"/>
    <hyperlink ref="D14" r:id="rId9" location="tblfn5" display="https://www.sciencedirect.com/science/article/pii/S096085241931452X?pes=vor - tblfn5" xr:uid="{6109E27C-E5B0-4FC1-A749-16C64710A2EB}"/>
    <hyperlink ref="D16" r:id="rId10" location="tblfn4" display="https://www.sciencedirect.com/science/article/pii/S096085241931452X?pes=vor - tblfn4" xr:uid="{84D30151-C5AD-499C-BB58-1B04872703F0}"/>
    <hyperlink ref="D17" r:id="rId11" location="tblfn5" display="https://www.sciencedirect.com/science/article/pii/S096085241931452X?pes=vor - tblfn5" xr:uid="{BD6A462C-AA37-425F-847B-BA5B6D763A81}"/>
    <hyperlink ref="D2" r:id="rId12" location="s0010" xr:uid="{3CD8E69A-B408-4FC6-ABAA-EFE73AA69499}"/>
    <hyperlink ref="D21" r:id="rId13" xr:uid="{2FFF1D40-33F8-4C37-AE94-F8B16BAE97BE}"/>
    <hyperlink ref="D33" r:id="rId14" location="b0250" xr:uid="{492F9FD6-A87E-40DB-B820-7344B457F2C6}"/>
    <hyperlink ref="D198" r:id="rId15" display="https://link.springer.com/article/10.1007/s10163-022-01538-y" xr:uid="{4AE134FC-D64C-4BDB-9707-1F380CA79135}"/>
    <hyperlink ref="D258" r:id="rId16" display="https://link.springer.com/article/10.1007/s13399-022-03252-z" xr:uid="{064877F4-92F8-434B-A393-17B4FC595C1D}"/>
    <hyperlink ref="E332" r:id="rId17" location="b0070" display="https://www.sciencedirect.com/science/article/pii/S0008621512002984?via=ihub - b0070" xr:uid="{1AD8E83F-310C-4644-9CC4-A436F02CF1EE}"/>
    <hyperlink ref="E333" r:id="rId18" location="b0075" display="https://www.sciencedirect.com/science/article/pii/S0008621512002984?via=ihub - b0075" xr:uid="{77F5E6FF-3323-4BD4-9CAC-391EF8D545B3}"/>
    <hyperlink ref="E334" r:id="rId19" location="b0080" display="https://www.sciencedirect.com/science/article/pii/S0008621512002984?via=ihub - b0080" xr:uid="{C8E3BEF1-8C80-460F-834E-EE12AC11685A}"/>
    <hyperlink ref="E343" r:id="rId20" location="b0070" display="https://www.sciencedirect.com/science/article/pii/S0008621512002984?via=ihub - b0070" xr:uid="{79AC8F18-DEA9-4E28-8A51-A45E85EA166B}"/>
    <hyperlink ref="D283" r:id="rId21" xr:uid="{52B6F436-DC63-4663-B12E-FCFB1ADF5FD4}"/>
    <hyperlink ref="D305" r:id="rId22" xr:uid="{2B76CE2E-50A1-4376-85BC-7CA1344A09A7}"/>
    <hyperlink ref="I392" r:id="rId23" location="ente202000597-bib-0046" display="https://onlinelibrary.wiley.com/doi/10.1002/ente.202000597 - ente202000597-bib-0046" xr:uid="{4D222F8C-AF9F-48AB-8E9D-CFA862FA9966}"/>
    <hyperlink ref="I393" r:id="rId24" location="ente202000597-bib-0045" display="https://onlinelibrary.wiley.com/doi/10.1002/ente.202000597 - ente202000597-bib-0045" xr:uid="{BE4ECAB2-2BEF-473D-A370-63396FB4C92F}"/>
    <hyperlink ref="I395" r:id="rId25" location="ente202000597-bib-0047" display="https://onlinelibrary.wiley.com/doi/10.1002/ente.202000597 - ente202000597-bib-0047" xr:uid="{EEBCE07D-CE6A-4940-BD10-A39A1C662FF1}"/>
    <hyperlink ref="I396" r:id="rId26" location="ente202000597-bib-0020" display="https://onlinelibrary.wiley.com/doi/10.1002/ente.202000597 - ente202000597-bib-0020" xr:uid="{C966356F-6C12-4326-984B-5B186D17DD98}"/>
    <hyperlink ref="I397" r:id="rId27" location="ente202000597-bib-0020" display="https://onlinelibrary.wiley.com/doi/10.1002/ente.202000597 - ente202000597-bib-0020" xr:uid="{353202BD-6EEA-4481-B3BC-ACF37D26FAD3}"/>
    <hyperlink ref="I398" r:id="rId28" location="ente202000597-bib-0020" display="https://onlinelibrary.wiley.com/doi/10.1002/ente.202000597 - ente202000597-bib-0020" xr:uid="{B0DD38D9-AD95-4DA5-86C2-ED438912E2B7}"/>
    <hyperlink ref="I400" r:id="rId29" location="ente202000597-bib-0013" display="https://onlinelibrary.wiley.com/doi/10.1002/ente.202000597 - ente202000597-bib-0013" xr:uid="{DDED296D-69F3-4963-B274-8A73164296BD}"/>
    <hyperlink ref="I401" r:id="rId30" location="ente202000597-bib-0012" display="https://onlinelibrary.wiley.com/doi/10.1002/ente.202000597 - ente202000597-bib-0012" xr:uid="{C7220EC2-D7F1-48B7-BCA1-D30C56043CFF}"/>
    <hyperlink ref="D387" r:id="rId31" xr:uid="{4C12ECC8-0F6F-4019-890D-A0633E0C6515}"/>
    <hyperlink ref="I453" r:id="rId32" location="ente202000597-bib-0044" display="https://onlinelibrary.wiley.com/doi/10.1002/ente.202000597 - ente202000597-bib-0044" xr:uid="{65B4FEE2-78BE-4314-A0D1-0E7DD35B36D4}"/>
    <hyperlink ref="D943" r:id="rId33" display="https://link.springer.com/article/10.1007/s00449-021-02591-x" xr:uid="{1DB1EEC7-92DF-4E17-9877-11FE24295476}"/>
    <hyperlink ref="E978" r:id="rId34" location="tab3fna" display="https://pubs.rsc.org/en/content/articlelanding/2014/ra/c3ra46140h - tab3fna" xr:uid="{34F15AA3-4DC2-4CC9-BC32-D831285537F9}"/>
    <hyperlink ref="F978" r:id="rId35" location="tab3fnb" display="https://pubs.rsc.org/en/content/articlelanding/2014/ra/c3ra46140h - tab3fnb" xr:uid="{01705C5E-95D9-4C7F-8152-632E3E71678F}"/>
    <hyperlink ref="E1039" r:id="rId36" location="b0035" display="https://www.sciencedirect.com/science/article/pii/S096085241501278X?via%3Dihub - b0035" xr:uid="{51D2C4C5-4AC5-4C8B-91A4-D69B246CAA22}"/>
    <hyperlink ref="F1039" r:id="rId37" location="b0135" display="https://www.sciencedirect.com/science/article/pii/S096085241501278X?via%3Dihub - b0135" xr:uid="{C9E8FC34-8119-4DCC-97CF-97AC4091C624}"/>
    <hyperlink ref="G1039" r:id="rId38" location="b0140" display="https://www.sciencedirect.com/science/article/pii/S096085241501278X?via%3Dihub - b0140" xr:uid="{FE0034BA-7EDC-479B-8CAB-01EA0BA61A64}"/>
    <hyperlink ref="H1039" r:id="rId39" location="b0070" display="https://www.sciencedirect.com/science/article/pii/S096085241501278X?via%3Dihub - b0070" xr:uid="{1CA557EF-E291-4283-BAA6-AFB3F27D1B3D}"/>
    <hyperlink ref="E1045" r:id="rId40" location="tblfn1" display="https://www.sciencedirect.com/science/article/pii/S096085241501278X?via%3Dihub - tblfn1" xr:uid="{9D0E1248-AF18-496C-9B93-001661F05E5A}"/>
    <hyperlink ref="E1046" r:id="rId41" location="tblfn2" display="https://www.sciencedirect.com/science/article/pii/S096085241501278X?via%3Dihub - tblfn2" xr:uid="{13579E9F-43F6-4D99-8598-A69EB0810FFE}"/>
    <hyperlink ref="D1189" r:id="rId42" display="https://link.springer.com/article/10.1007/s13399-024-05372-0" xr:uid="{F9F8B46B-4391-4B39-A77B-1720EA11884E}"/>
    <hyperlink ref="H1191" r:id="rId43" location="ref-CR49" tooltip="Rambo MKD et al (2013) Xylitol from rice husks by acid hydrolysis and candida yeast fermentation. Quim Nova 36(5):634–639. _x000a_                https://doi.org/10.1590/S0100-40422013000500004_x000a_                _x000a_              " display="https://link.springer.com/article/10.1007/s13399-024-05372-0 - ref-CR49" xr:uid="{03990C1D-2846-4093-8B86-AE5476E13C9F}"/>
    <hyperlink ref="H1192" r:id="rId44" location="ref-CR49" tooltip="Rambo MKD et al (2013) Xylitol from rice husks by acid hydrolysis and candida yeast fermentation. Quim Nova 36(5):634–639. _x000a_                https://doi.org/10.1590/S0100-40422013000500004_x000a_                _x000a_              " display="https://link.springer.com/article/10.1007/s13399-024-05372-0 - ref-CR49" xr:uid="{94BA388B-7299-48F3-8A18-F7A05120CA1F}"/>
    <hyperlink ref="H1193" r:id="rId45" location="ref-CR72" tooltip="Herazo I, Ruiz D, ArrazolaPaternina GS (2009) Bioconversión de Xilosa a Xilitol por Candida Guilliermondii Empleando Cascarilla de Arroz (Oryza sativa). Temas Agrar. 14(2):23–32. _x000a_                https://doi.org/10.21897/rta.v14i2.673_x000a_                _x000a_   " display="https://link.springer.com/article/10.1007/s13399-024-05372-0 - ref-CR72" xr:uid="{54F28F45-8AC7-4E53-80A7-3802BAC92519}"/>
    <hyperlink ref="H1194" r:id="rId46" location="ref-CR44" tooltip="Villalba-Cadavid M, Vélez-Uribe T, Zabala MA, Paternina GA (2009) Producción de xilitol a partir de cascarilla de arroz utilizando Candida guilliermondii. Rev Fac Nac Agron Medellín 62(1):4897–4905. [Online]. Available: _x000a_                http://www.redalyc" display="https://link.springer.com/article/10.1007/s13399-024-05372-0 - ref-CR44" xr:uid="{E6C3C8F6-D4AD-4BD9-BEDA-BA632346CF34}"/>
    <hyperlink ref="H1195" r:id="rId47" location="ref-CR54" tooltip="Singh S, Kaur D, Yadav SK, Krishania M (2021) Process scale-up of an efficient acid-catalyzed steam pretreatment of rice straw for xylitol production by C. Tropicalis MTCC 6192. Bioresour Technol 320(124422):1–9. _x000a_                https://doi.org/10.1016/j" display="https://link.springer.com/article/10.1007/s13399-024-05372-0 - ref-CR54" xr:uid="{226D5652-143F-4FEF-A6EE-9D3FA4107E61}"/>
    <hyperlink ref="H1196" r:id="rId48" location="ref-CR55" tooltip="Zahed O, Jouzani GS, Abbasalizadeh S, Khodaiyan F, Tabatabaei M (2016) Continuous co-production of ethanol and xylitol from rice straw hydrolysate in a membrane bioreactor. Folia Microbiol (Praha) 61(3):179–189. _x000a_                https://doi.org/10.1007/s1" display="https://link.springer.com/article/10.1007/s13399-024-05372-0 - ref-CR55" xr:uid="{3A701408-49E4-4D65-BDD1-0DA2064E0657}"/>
    <hyperlink ref="H1197" r:id="rId49" location="ref-CR68" tooltip="Eryasar-Orer K, Karasu-Yalcin S (2021) Optimization of activated charcoal detoxification and concentration of chestnut shell hydrolysate for xylitol production. Biotechnol Lett 43(6):1195–1209. _x000a_                https://doi.org/10.1007/s10529-021-03087-0_x000a_ " display="https://link.springer.com/article/10.1007/s13399-024-05372-0 - ref-CR68" xr:uid="{66A49FCA-BB34-42A3-A9DF-49D081F19D85}"/>
    <hyperlink ref="H1198" r:id="rId50" location="ref-CR31" tooltip="Oktaviani M, Mangunwardoyo W, Hermiati E (2021) Characteristics of adapted and non-adapted Candida tropicalis InaCC Y799 during fermentation of detoxified and undetoxified hemicellulosic hydrolysate from sugarcane trash for xylitol production. Biomass Con" display="https://link.springer.com/article/10.1007/s13399-024-05372-0 - ref-CR31" xr:uid="{B04DC000-2F68-4172-B792-2DB024D19E6F}"/>
    <hyperlink ref="H1199" r:id="rId51" location="ref-CR57" tooltip="López-Linares JC, Romero I, Cara C, Castro E, Mussatto SI (2018) Xylitol production by Debaryomyces hansenii and Candida guilliermondii from rapeseed straw hemicellulosic hydrolysate. Bioresour Technol 247:736–743. _x000a_                https://doi.org/10.1016" display="https://link.springer.com/article/10.1007/s13399-024-05372-0 - ref-CR57" xr:uid="{6A2E77C7-6006-41DF-B9E6-24F0FCB6795E}"/>
    <hyperlink ref="H1200" r:id="rId52" location="ref-CR83" tooltip="El-Baz AF, Shetaia MY, Elkhouli RR (2011) Xylitol production by candida tropicalis under different statistically optimized growth conditions. Afr J Biotechnol 10(68):15353–15363. _x000a_                https://doi.org/10.5897/AJB10.1575_x000a_                _x000a_       " display="https://link.springer.com/article/10.1007/s13399-024-05372-0 - ref-CR83" xr:uid="{539A13B1-C3A3-4198-90A6-B6E31BB03CE9}"/>
    <hyperlink ref="H1201" r:id="rId53" location="ref-CR84" tooltip="El-Baz AF, Shetaia YM, Elkhouli RR (2011) Kinetic behavior of Candida tropicalis during xylitol production using semi-synthetic and hydrolysate based media. Afr J Biotechnol 10(73):16617–16625. _x000a_                https://doi.org/10.5897/AJB11.1766_x000a_         " display="https://link.springer.com/article/10.1007/s13399-024-05372-0 - ref-CR84" xr:uid="{984E1B0E-893C-45CF-9B89-A99F3BABEE1A}"/>
    <hyperlink ref="D660" r:id="rId54" xr:uid="{3655BDB3-604F-4920-B235-A9BFC0F8770D}"/>
    <hyperlink ref="D501" r:id="rId55" xr:uid="{4C159250-72B2-4EE5-BDF2-58E09FAEF9A1}"/>
    <hyperlink ref="D593" r:id="rId56" xr:uid="{943E0C8B-0346-4CBA-872B-71167C2A6F23}"/>
    <hyperlink ref="D855" r:id="rId57" xr:uid="{8BA27B14-E995-4A40-A431-43261BF40FAE}"/>
  </hyperlinks>
  <pageMargins left="0.7" right="0.7" top="0.75" bottom="0.75" header="0.3" footer="0.3"/>
  <pageSetup paperSize="9" orientation="portrait" r:id="rId58"/>
  <drawing r:id="rId59"/>
  <legacyDrawing r:id="rId6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8950-8FA0-4E77-AC0B-CEAE4C14DABD}">
  <dimension ref="A1:Q1049"/>
  <sheetViews>
    <sheetView topLeftCell="A95" zoomScale="83" zoomScaleNormal="115" workbookViewId="0">
      <selection activeCell="G110" sqref="G110"/>
    </sheetView>
  </sheetViews>
  <sheetFormatPr defaultRowHeight="14.4"/>
  <cols>
    <col min="2" max="2" width="18.33203125" bestFit="1" customWidth="1"/>
    <col min="3" max="3" width="10.5546875" bestFit="1" customWidth="1"/>
    <col min="4" max="4" width="27.6640625" customWidth="1"/>
    <col min="5" max="5" width="24.5546875" customWidth="1"/>
    <col min="6" max="6" width="25.33203125" customWidth="1"/>
    <col min="7" max="7" width="24.6640625" customWidth="1"/>
    <col min="8" max="8" width="27.44140625" bestFit="1" customWidth="1"/>
    <col min="9" max="9" width="23.33203125" bestFit="1" customWidth="1"/>
    <col min="10" max="10" width="27" bestFit="1" customWidth="1"/>
    <col min="11" max="11" width="28.44140625" customWidth="1"/>
    <col min="12" max="12" width="23.6640625" bestFit="1" customWidth="1"/>
    <col min="13" max="13" width="27.5546875" bestFit="1" customWidth="1"/>
    <col min="14" max="14" width="27.5546875" customWidth="1"/>
    <col min="15" max="15" width="20.6640625" bestFit="1" customWidth="1"/>
    <col min="16" max="17" width="13.33203125" bestFit="1" customWidth="1"/>
  </cols>
  <sheetData>
    <row r="1" spans="1:11">
      <c r="A1" t="s">
        <v>0</v>
      </c>
      <c r="B1" t="s">
        <v>1</v>
      </c>
    </row>
    <row r="2" spans="1:11">
      <c r="A2" t="s">
        <v>2</v>
      </c>
      <c r="B2" t="s">
        <v>3721</v>
      </c>
      <c r="C2" t="s">
        <v>4</v>
      </c>
      <c r="D2" s="7" t="s">
        <v>3722</v>
      </c>
      <c r="J2" t="s">
        <v>1003</v>
      </c>
    </row>
    <row r="3" spans="1:11">
      <c r="A3" t="s">
        <v>2</v>
      </c>
      <c r="B3" t="s">
        <v>3721</v>
      </c>
      <c r="D3" s="7" t="s">
        <v>3723</v>
      </c>
    </row>
    <row r="4" spans="1:11" ht="15.6" customHeight="1">
      <c r="A4" t="s">
        <v>2</v>
      </c>
      <c r="B4" t="s">
        <v>3721</v>
      </c>
      <c r="D4" s="309" t="s">
        <v>3724</v>
      </c>
      <c r="E4" s="310" t="s">
        <v>3725</v>
      </c>
      <c r="F4" s="310" t="s">
        <v>3726</v>
      </c>
      <c r="G4" s="311" t="s">
        <v>3149</v>
      </c>
      <c r="H4" s="48" t="s">
        <v>3727</v>
      </c>
      <c r="I4" s="48" t="s">
        <v>3728</v>
      </c>
      <c r="J4" s="48" t="s">
        <v>3729</v>
      </c>
      <c r="K4" s="48" t="s">
        <v>3730</v>
      </c>
    </row>
    <row r="5" spans="1:11">
      <c r="A5" t="s">
        <v>2</v>
      </c>
      <c r="B5" t="s">
        <v>3721</v>
      </c>
      <c r="D5" s="666" t="s">
        <v>3731</v>
      </c>
      <c r="E5" s="669" t="s">
        <v>3732</v>
      </c>
      <c r="F5" s="312" t="s">
        <v>3733</v>
      </c>
      <c r="G5" s="313">
        <v>74.7</v>
      </c>
      <c r="H5" s="48">
        <v>0.51</v>
      </c>
      <c r="I5" s="48">
        <v>21.65</v>
      </c>
      <c r="J5" s="48">
        <f>G5/100*$H$5*$I$5/100</f>
        <v>8.2480004999999995E-2</v>
      </c>
      <c r="K5" s="48">
        <f>AVERAGE(J5:J6,J8:J9,J11:J12,J14:J15)</f>
        <v>7.6841939062500003E-2</v>
      </c>
    </row>
    <row r="6" spans="1:11">
      <c r="A6" t="s">
        <v>2</v>
      </c>
      <c r="B6" t="s">
        <v>3721</v>
      </c>
      <c r="D6" s="667"/>
      <c r="E6" s="670"/>
      <c r="F6" s="312" t="s">
        <v>3734</v>
      </c>
      <c r="G6" s="313">
        <v>65.52</v>
      </c>
      <c r="J6" s="48">
        <f t="shared" ref="J6:J15" si="0">G6/100*$H$5*$I$5/100</f>
        <v>7.2343907999999998E-2</v>
      </c>
    </row>
    <row r="7" spans="1:11">
      <c r="A7" t="s">
        <v>2</v>
      </c>
      <c r="B7" t="s">
        <v>3721</v>
      </c>
      <c r="D7" s="668"/>
      <c r="E7" s="671"/>
      <c r="F7" s="312"/>
      <c r="G7" s="313"/>
      <c r="J7" s="48"/>
    </row>
    <row r="8" spans="1:11">
      <c r="A8" t="s">
        <v>2</v>
      </c>
      <c r="B8" t="s">
        <v>3721</v>
      </c>
      <c r="D8" s="666" t="s">
        <v>3735</v>
      </c>
      <c r="E8" s="669" t="s">
        <v>3736</v>
      </c>
      <c r="F8" s="312" t="s">
        <v>3733</v>
      </c>
      <c r="G8" s="313">
        <v>74.19</v>
      </c>
      <c r="J8" s="48">
        <f t="shared" si="0"/>
        <v>8.1916888500000007E-2</v>
      </c>
    </row>
    <row r="9" spans="1:11">
      <c r="A9" t="s">
        <v>2</v>
      </c>
      <c r="B9" t="s">
        <v>3721</v>
      </c>
      <c r="D9" s="667"/>
      <c r="E9" s="670"/>
      <c r="F9" s="312" t="s">
        <v>3734</v>
      </c>
      <c r="G9" s="313">
        <v>64.47</v>
      </c>
      <c r="J9" s="48">
        <f t="shared" si="0"/>
        <v>7.1184550499999985E-2</v>
      </c>
    </row>
    <row r="10" spans="1:11">
      <c r="A10" t="s">
        <v>2</v>
      </c>
      <c r="B10" t="s">
        <v>3721</v>
      </c>
      <c r="D10" s="668"/>
      <c r="E10" s="671"/>
      <c r="F10" s="312"/>
      <c r="G10" s="313"/>
      <c r="J10" s="48"/>
    </row>
    <row r="11" spans="1:11">
      <c r="A11" t="s">
        <v>2</v>
      </c>
      <c r="B11" t="s">
        <v>3721</v>
      </c>
      <c r="D11" s="666" t="s">
        <v>3737</v>
      </c>
      <c r="E11" s="669" t="s">
        <v>3738</v>
      </c>
      <c r="F11" s="312" t="s">
        <v>3733</v>
      </c>
      <c r="G11" s="313">
        <v>73.900000000000006</v>
      </c>
      <c r="J11" s="48">
        <f t="shared" si="0"/>
        <v>8.1596685000000002E-2</v>
      </c>
    </row>
    <row r="12" spans="1:11">
      <c r="A12" t="s">
        <v>2</v>
      </c>
      <c r="B12" t="s">
        <v>3721</v>
      </c>
      <c r="D12" s="667"/>
      <c r="E12" s="670"/>
      <c r="F12" s="312" t="s">
        <v>3734</v>
      </c>
      <c r="G12" s="313">
        <v>63.85</v>
      </c>
      <c r="J12" s="48">
        <f t="shared" si="0"/>
        <v>7.0499977500000005E-2</v>
      </c>
    </row>
    <row r="13" spans="1:11">
      <c r="A13" t="s">
        <v>2</v>
      </c>
      <c r="B13" t="s">
        <v>3721</v>
      </c>
      <c r="D13" s="668"/>
      <c r="E13" s="671"/>
      <c r="F13" s="312"/>
      <c r="G13" s="313"/>
      <c r="J13" s="48"/>
    </row>
    <row r="14" spans="1:11">
      <c r="A14" t="s">
        <v>2</v>
      </c>
      <c r="B14" t="s">
        <v>3721</v>
      </c>
      <c r="D14" s="666" t="s">
        <v>3739</v>
      </c>
      <c r="E14" s="669" t="s">
        <v>3740</v>
      </c>
      <c r="F14" s="312" t="s">
        <v>3733</v>
      </c>
      <c r="G14" s="313">
        <v>73.739999999999995</v>
      </c>
      <c r="J14" s="48">
        <f t="shared" si="0"/>
        <v>8.1420020999999995E-2</v>
      </c>
    </row>
    <row r="15" spans="1:11">
      <c r="A15" t="s">
        <v>2</v>
      </c>
      <c r="B15" t="s">
        <v>3721</v>
      </c>
      <c r="D15" s="667"/>
      <c r="E15" s="670"/>
      <c r="F15" s="312" t="s">
        <v>3734</v>
      </c>
      <c r="G15" s="313">
        <v>66.38</v>
      </c>
      <c r="J15" s="48">
        <f t="shared" si="0"/>
        <v>7.3293476999999996E-2</v>
      </c>
    </row>
    <row r="16" spans="1:11">
      <c r="A16" t="s">
        <v>2</v>
      </c>
      <c r="B16" t="s">
        <v>3721</v>
      </c>
      <c r="D16" s="672"/>
      <c r="E16" s="673"/>
      <c r="F16" s="314"/>
      <c r="G16" s="315"/>
    </row>
    <row r="17" spans="1:17">
      <c r="A17" t="s">
        <v>2</v>
      </c>
      <c r="B17" t="s">
        <v>3721</v>
      </c>
      <c r="F17" s="48" t="s">
        <v>3033</v>
      </c>
      <c r="G17" s="48">
        <f>MAX(G5:G15)</f>
        <v>74.7</v>
      </c>
    </row>
    <row r="18" spans="1:17">
      <c r="A18" t="s">
        <v>2</v>
      </c>
      <c r="B18" t="s">
        <v>3721</v>
      </c>
      <c r="F18" s="48" t="s">
        <v>3034</v>
      </c>
      <c r="G18" s="48">
        <f>MIN(G5:G15)</f>
        <v>63.85</v>
      </c>
    </row>
    <row r="19" spans="1:17">
      <c r="A19" t="s">
        <v>2</v>
      </c>
      <c r="B19" t="s">
        <v>3721</v>
      </c>
    </row>
    <row r="20" spans="1:17">
      <c r="A20" t="s">
        <v>2</v>
      </c>
      <c r="B20" t="s">
        <v>3721</v>
      </c>
      <c r="C20" t="s">
        <v>473</v>
      </c>
      <c r="D20" s="7" t="s">
        <v>3741</v>
      </c>
    </row>
    <row r="21" spans="1:17">
      <c r="A21" t="s">
        <v>2</v>
      </c>
      <c r="B21" t="s">
        <v>3721</v>
      </c>
      <c r="D21" s="7" t="s">
        <v>3742</v>
      </c>
    </row>
    <row r="22" spans="1:17">
      <c r="A22" t="s">
        <v>2</v>
      </c>
      <c r="B22" t="s">
        <v>3721</v>
      </c>
      <c r="D22" s="634" t="s">
        <v>3743</v>
      </c>
      <c r="E22" s="634" t="s">
        <v>3744</v>
      </c>
      <c r="F22" s="634"/>
      <c r="G22" s="634"/>
      <c r="H22" s="634" t="s">
        <v>3745</v>
      </c>
      <c r="I22" s="634"/>
      <c r="J22" s="634"/>
    </row>
    <row r="23" spans="1:17" ht="28.8">
      <c r="A23" t="s">
        <v>2</v>
      </c>
      <c r="B23" t="s">
        <v>3721</v>
      </c>
      <c r="D23" s="674"/>
      <c r="E23" s="291" t="s">
        <v>3746</v>
      </c>
      <c r="F23" s="291" t="s">
        <v>3747</v>
      </c>
      <c r="G23" s="291" t="s">
        <v>3748</v>
      </c>
      <c r="H23" s="291" t="s">
        <v>3746</v>
      </c>
      <c r="I23" s="291" t="s">
        <v>3747</v>
      </c>
      <c r="J23" s="291" t="s">
        <v>3748</v>
      </c>
      <c r="K23" s="48" t="s">
        <v>3727</v>
      </c>
      <c r="L23" s="48" t="s">
        <v>3728</v>
      </c>
      <c r="M23" s="81" t="s">
        <v>3749</v>
      </c>
      <c r="N23" s="81" t="s">
        <v>3750</v>
      </c>
      <c r="O23" s="48" t="s">
        <v>3177</v>
      </c>
    </row>
    <row r="24" spans="1:17">
      <c r="A24" t="s">
        <v>2</v>
      </c>
      <c r="B24" t="s">
        <v>3721</v>
      </c>
      <c r="D24" s="665" t="s">
        <v>3751</v>
      </c>
      <c r="E24" s="665"/>
      <c r="F24" s="665"/>
      <c r="G24" s="665"/>
      <c r="H24" s="665"/>
      <c r="I24" s="665"/>
      <c r="J24" s="665"/>
      <c r="K24" s="48">
        <v>0.51</v>
      </c>
      <c r="L24" s="48">
        <v>21.65</v>
      </c>
      <c r="O24" s="48">
        <f>AVERAGE(M25:N29,M32:N35,M38:N41,M44:N49,M52:N55)</f>
        <v>6.9086665499999991E-2</v>
      </c>
    </row>
    <row r="25" spans="1:17">
      <c r="A25" t="s">
        <v>2</v>
      </c>
      <c r="B25" t="s">
        <v>3721</v>
      </c>
      <c r="D25" s="292">
        <v>16</v>
      </c>
      <c r="E25" s="292" t="s">
        <v>3752</v>
      </c>
      <c r="F25" s="292">
        <v>1.49</v>
      </c>
      <c r="G25" s="292">
        <v>76.7</v>
      </c>
      <c r="H25" s="292" t="s">
        <v>3753</v>
      </c>
      <c r="I25" s="292">
        <v>1.42</v>
      </c>
      <c r="J25" s="292">
        <v>72.599999999999994</v>
      </c>
      <c r="M25" s="48">
        <f>G25/100*$K$24*$L$24/100</f>
        <v>8.4688304999999992E-2</v>
      </c>
      <c r="N25" s="48">
        <f>J25/100*$K$24*$L$24/100</f>
        <v>8.0161289999999996E-2</v>
      </c>
      <c r="Q25">
        <v>6.9086665500000005E-2</v>
      </c>
    </row>
    <row r="26" spans="1:17">
      <c r="A26" t="s">
        <v>2</v>
      </c>
      <c r="B26" t="s">
        <v>3721</v>
      </c>
      <c r="D26" s="292">
        <v>18</v>
      </c>
      <c r="E26" s="292" t="s">
        <v>3754</v>
      </c>
      <c r="F26" s="292">
        <v>1.28</v>
      </c>
      <c r="G26" s="292">
        <v>75.400000000000006</v>
      </c>
      <c r="H26" s="292" t="s">
        <v>3755</v>
      </c>
      <c r="I26" s="292">
        <v>1.26</v>
      </c>
      <c r="J26" s="292">
        <v>65.7</v>
      </c>
      <c r="M26" s="48">
        <f t="shared" ref="M26:M55" si="1">G26/100*$K$24*$L$24/100</f>
        <v>8.3252909999999999E-2</v>
      </c>
      <c r="N26" s="48">
        <f t="shared" ref="N26:N55" si="2">J26/100*$K$24*$L$24/100</f>
        <v>7.2542655000000011E-2</v>
      </c>
    </row>
    <row r="27" spans="1:17">
      <c r="A27" t="s">
        <v>2</v>
      </c>
      <c r="B27" t="s">
        <v>3721</v>
      </c>
      <c r="D27" s="292">
        <v>20</v>
      </c>
      <c r="E27" s="292" t="s">
        <v>3756</v>
      </c>
      <c r="F27" s="292">
        <v>1.44</v>
      </c>
      <c r="G27" s="292">
        <v>76.2</v>
      </c>
      <c r="H27" s="292" t="s">
        <v>3757</v>
      </c>
      <c r="I27" s="292">
        <v>1.42</v>
      </c>
      <c r="J27" s="292">
        <v>66.5</v>
      </c>
      <c r="M27" s="48">
        <f t="shared" si="1"/>
        <v>8.4136229999999992E-2</v>
      </c>
      <c r="N27" s="48">
        <f t="shared" si="2"/>
        <v>7.3425975000000004E-2</v>
      </c>
    </row>
    <row r="28" spans="1:17">
      <c r="A28" t="s">
        <v>2</v>
      </c>
      <c r="B28" t="s">
        <v>3721</v>
      </c>
      <c r="D28" s="292">
        <v>22</v>
      </c>
      <c r="E28" s="292" t="s">
        <v>3758</v>
      </c>
      <c r="F28" s="292">
        <v>1.54</v>
      </c>
      <c r="G28" s="292">
        <v>73.900000000000006</v>
      </c>
      <c r="H28" s="292" t="s">
        <v>3759</v>
      </c>
      <c r="I28" s="292">
        <v>1.27</v>
      </c>
      <c r="J28" s="292">
        <v>61.3</v>
      </c>
      <c r="M28" s="48">
        <f t="shared" si="1"/>
        <v>8.1596685000000002E-2</v>
      </c>
      <c r="N28" s="48">
        <f t="shared" si="2"/>
        <v>6.7684395000000008E-2</v>
      </c>
    </row>
    <row r="29" spans="1:17">
      <c r="A29" t="s">
        <v>2</v>
      </c>
      <c r="B29" t="s">
        <v>3721</v>
      </c>
      <c r="D29" s="292">
        <v>24</v>
      </c>
      <c r="E29" s="292" t="s">
        <v>3760</v>
      </c>
      <c r="F29" s="292">
        <v>1.25</v>
      </c>
      <c r="G29" s="292">
        <v>61.4</v>
      </c>
      <c r="H29" s="292" t="s">
        <v>3761</v>
      </c>
      <c r="I29" s="292">
        <v>1.36</v>
      </c>
      <c r="J29" s="292">
        <v>53.4</v>
      </c>
      <c r="M29" s="48">
        <f t="shared" si="1"/>
        <v>6.7794809999999983E-2</v>
      </c>
      <c r="N29" s="48">
        <f t="shared" si="2"/>
        <v>5.8961610000000005E-2</v>
      </c>
    </row>
    <row r="30" spans="1:17">
      <c r="A30" t="s">
        <v>2</v>
      </c>
      <c r="B30" t="s">
        <v>3721</v>
      </c>
      <c r="D30" s="292"/>
      <c r="E30" s="292"/>
      <c r="F30" s="292"/>
      <c r="G30" s="292"/>
      <c r="H30" s="292"/>
      <c r="I30" s="292"/>
      <c r="J30" s="292"/>
    </row>
    <row r="31" spans="1:17">
      <c r="A31" t="s">
        <v>2</v>
      </c>
      <c r="B31" t="s">
        <v>3721</v>
      </c>
      <c r="D31" s="665" t="s">
        <v>3762</v>
      </c>
      <c r="E31" s="665"/>
      <c r="F31" s="665"/>
      <c r="G31" s="665"/>
      <c r="H31" s="665"/>
      <c r="I31" s="665"/>
      <c r="J31" s="665"/>
    </row>
    <row r="32" spans="1:17">
      <c r="A32" t="s">
        <v>2</v>
      </c>
      <c r="B32" t="s">
        <v>3721</v>
      </c>
      <c r="D32" s="292">
        <v>0</v>
      </c>
      <c r="E32" s="292" t="s">
        <v>3763</v>
      </c>
      <c r="F32" s="292">
        <v>0.95</v>
      </c>
      <c r="G32" s="292">
        <v>61</v>
      </c>
      <c r="H32" s="292" t="s">
        <v>3764</v>
      </c>
      <c r="I32" s="292">
        <v>1.1499999999999999</v>
      </c>
      <c r="J32" s="292">
        <v>55.4</v>
      </c>
      <c r="M32" s="48">
        <f t="shared" si="1"/>
        <v>6.7353149999999987E-2</v>
      </c>
      <c r="N32" s="48">
        <f t="shared" si="2"/>
        <v>6.1169909999999987E-2</v>
      </c>
    </row>
    <row r="33" spans="1:14">
      <c r="A33" t="s">
        <v>2</v>
      </c>
      <c r="B33" t="s">
        <v>3721</v>
      </c>
      <c r="D33" s="292">
        <v>0.05</v>
      </c>
      <c r="E33" s="292" t="s">
        <v>3765</v>
      </c>
      <c r="F33" s="292">
        <v>1.36</v>
      </c>
      <c r="G33" s="292">
        <v>65.5</v>
      </c>
      <c r="H33" s="292" t="s">
        <v>3766</v>
      </c>
      <c r="I33" s="292">
        <v>1.37</v>
      </c>
      <c r="J33" s="292">
        <v>58.8</v>
      </c>
      <c r="M33" s="48">
        <f t="shared" si="1"/>
        <v>7.2321824999999992E-2</v>
      </c>
      <c r="N33" s="48">
        <f t="shared" si="2"/>
        <v>6.4924019999999999E-2</v>
      </c>
    </row>
    <row r="34" spans="1:14">
      <c r="A34" t="s">
        <v>2</v>
      </c>
      <c r="B34" t="s">
        <v>3721</v>
      </c>
      <c r="D34" s="292">
        <v>7.0000000000000007E-2</v>
      </c>
      <c r="E34" s="292" t="s">
        <v>3767</v>
      </c>
      <c r="F34" s="292">
        <v>1.08</v>
      </c>
      <c r="G34" s="292">
        <v>69.5</v>
      </c>
      <c r="H34" s="292" t="s">
        <v>3768</v>
      </c>
      <c r="I34" s="292">
        <v>1.05</v>
      </c>
      <c r="J34" s="292">
        <v>55.9</v>
      </c>
      <c r="M34" s="48">
        <f t="shared" si="1"/>
        <v>7.6738424999999999E-2</v>
      </c>
      <c r="N34" s="48">
        <f t="shared" si="2"/>
        <v>6.1721984999999986E-2</v>
      </c>
    </row>
    <row r="35" spans="1:14">
      <c r="A35" t="s">
        <v>2</v>
      </c>
      <c r="B35" t="s">
        <v>3721</v>
      </c>
      <c r="D35" s="292">
        <v>0.1</v>
      </c>
      <c r="E35" s="292" t="s">
        <v>3769</v>
      </c>
      <c r="F35" s="292">
        <v>1.04</v>
      </c>
      <c r="G35" s="292">
        <v>66.5</v>
      </c>
      <c r="H35" s="292" t="s">
        <v>3770</v>
      </c>
      <c r="I35" s="292">
        <v>1.07</v>
      </c>
      <c r="J35" s="292">
        <v>57.2</v>
      </c>
      <c r="M35" s="48">
        <f t="shared" si="1"/>
        <v>7.3425975000000004E-2</v>
      </c>
      <c r="N35" s="48">
        <f t="shared" si="2"/>
        <v>6.3157379999999999E-2</v>
      </c>
    </row>
    <row r="36" spans="1:14">
      <c r="A36" t="s">
        <v>2</v>
      </c>
      <c r="B36" t="s">
        <v>3721</v>
      </c>
      <c r="D36" s="292"/>
      <c r="E36" s="292"/>
      <c r="F36" s="292"/>
      <c r="G36" s="292"/>
      <c r="H36" s="292"/>
      <c r="I36" s="292"/>
      <c r="J36" s="292"/>
    </row>
    <row r="37" spans="1:14">
      <c r="A37" t="s">
        <v>2</v>
      </c>
      <c r="B37" t="s">
        <v>3721</v>
      </c>
      <c r="D37" s="665" t="s">
        <v>3771</v>
      </c>
      <c r="E37" s="665"/>
      <c r="F37" s="665"/>
      <c r="G37" s="665"/>
      <c r="H37" s="665"/>
      <c r="I37" s="665"/>
      <c r="J37" s="665"/>
    </row>
    <row r="38" spans="1:14">
      <c r="A38" t="s">
        <v>2</v>
      </c>
      <c r="B38" t="s">
        <v>3721</v>
      </c>
      <c r="D38" s="292">
        <v>0</v>
      </c>
      <c r="E38" s="292" t="s">
        <v>3772</v>
      </c>
      <c r="F38" s="292">
        <v>0.96</v>
      </c>
      <c r="G38" s="292">
        <v>61.7</v>
      </c>
      <c r="H38" s="292" t="s">
        <v>3773</v>
      </c>
      <c r="I38" s="292">
        <v>1.07</v>
      </c>
      <c r="J38" s="292">
        <v>57.5</v>
      </c>
      <c r="M38" s="48">
        <f t="shared" si="1"/>
        <v>6.8126055000000005E-2</v>
      </c>
      <c r="N38" s="48">
        <f t="shared" si="2"/>
        <v>6.3488624999999979E-2</v>
      </c>
    </row>
    <row r="39" spans="1:14">
      <c r="A39" t="s">
        <v>2</v>
      </c>
      <c r="B39" t="s">
        <v>3721</v>
      </c>
      <c r="D39" s="292">
        <v>2.5000000000000001E-2</v>
      </c>
      <c r="E39" s="292" t="s">
        <v>3774</v>
      </c>
      <c r="F39" s="292">
        <v>0.99</v>
      </c>
      <c r="G39" s="292">
        <v>63.5</v>
      </c>
      <c r="H39" s="292" t="s">
        <v>3775</v>
      </c>
      <c r="I39" s="292">
        <v>1</v>
      </c>
      <c r="J39" s="292">
        <v>53.7</v>
      </c>
      <c r="M39" s="48">
        <f t="shared" si="1"/>
        <v>7.0113524999999996E-2</v>
      </c>
      <c r="N39" s="48">
        <f t="shared" si="2"/>
        <v>5.9292854999999998E-2</v>
      </c>
    </row>
    <row r="40" spans="1:14">
      <c r="A40" t="s">
        <v>2</v>
      </c>
      <c r="B40" t="s">
        <v>3721</v>
      </c>
      <c r="D40" s="292">
        <v>0.05</v>
      </c>
      <c r="E40" s="292" t="s">
        <v>3776</v>
      </c>
      <c r="F40" s="292">
        <v>1.06</v>
      </c>
      <c r="G40" s="292">
        <v>68.099999999999994</v>
      </c>
      <c r="H40" s="292" t="s">
        <v>3777</v>
      </c>
      <c r="I40" s="292">
        <v>0.88</v>
      </c>
      <c r="J40" s="292">
        <v>56.4</v>
      </c>
      <c r="M40" s="48">
        <f t="shared" si="1"/>
        <v>7.5192614999999977E-2</v>
      </c>
      <c r="N40" s="48">
        <f t="shared" si="2"/>
        <v>6.2274059999999985E-2</v>
      </c>
    </row>
    <row r="41" spans="1:14">
      <c r="A41" t="s">
        <v>2</v>
      </c>
      <c r="B41" t="s">
        <v>3721</v>
      </c>
      <c r="D41" s="292">
        <v>0.1</v>
      </c>
      <c r="E41" s="292" t="s">
        <v>3778</v>
      </c>
      <c r="F41" s="292">
        <v>1.05</v>
      </c>
      <c r="G41" s="292">
        <v>67.3</v>
      </c>
      <c r="H41" s="292" t="s">
        <v>3779</v>
      </c>
      <c r="I41" s="292">
        <v>1.1299999999999999</v>
      </c>
      <c r="J41" s="292">
        <v>54.6</v>
      </c>
      <c r="M41" s="48">
        <f t="shared" si="1"/>
        <v>7.4309294999999984E-2</v>
      </c>
      <c r="N41" s="48">
        <f t="shared" si="2"/>
        <v>6.0286590000000001E-2</v>
      </c>
    </row>
    <row r="42" spans="1:14">
      <c r="A42" t="s">
        <v>2</v>
      </c>
      <c r="B42" t="s">
        <v>3721</v>
      </c>
      <c r="D42" s="292"/>
      <c r="E42" s="292"/>
      <c r="F42" s="292"/>
      <c r="G42" s="292"/>
      <c r="H42" s="292"/>
      <c r="I42" s="292"/>
      <c r="J42" s="292"/>
    </row>
    <row r="43" spans="1:14">
      <c r="A43" t="s">
        <v>2</v>
      </c>
      <c r="B43" t="s">
        <v>3721</v>
      </c>
      <c r="D43" s="665" t="s">
        <v>3780</v>
      </c>
      <c r="E43" s="665"/>
      <c r="F43" s="665"/>
      <c r="G43" s="665"/>
      <c r="H43" s="665"/>
      <c r="I43" s="665"/>
      <c r="J43" s="665"/>
    </row>
    <row r="44" spans="1:14">
      <c r="A44" t="s">
        <v>2</v>
      </c>
      <c r="B44" t="s">
        <v>3721</v>
      </c>
      <c r="D44" s="292">
        <v>0</v>
      </c>
      <c r="E44" s="292" t="s">
        <v>3781</v>
      </c>
      <c r="F44" s="292">
        <v>1.02</v>
      </c>
      <c r="G44" s="292">
        <v>65.2</v>
      </c>
      <c r="H44" s="292" t="s">
        <v>3782</v>
      </c>
      <c r="I44" s="292">
        <v>0.84</v>
      </c>
      <c r="J44" s="292">
        <v>54.22</v>
      </c>
      <c r="M44" s="48">
        <f t="shared" si="1"/>
        <v>7.1990579999999998E-2</v>
      </c>
      <c r="N44" s="48">
        <f t="shared" si="2"/>
        <v>5.986701299999999E-2</v>
      </c>
    </row>
    <row r="45" spans="1:14">
      <c r="A45" t="s">
        <v>2</v>
      </c>
      <c r="B45" t="s">
        <v>3721</v>
      </c>
      <c r="D45" s="292">
        <v>0.05</v>
      </c>
      <c r="E45" s="292" t="s">
        <v>3783</v>
      </c>
      <c r="F45" s="292">
        <v>1.01</v>
      </c>
      <c r="G45" s="292">
        <v>64.599999999999994</v>
      </c>
      <c r="H45" s="292" t="s">
        <v>3784</v>
      </c>
      <c r="I45" s="292">
        <v>1.1299999999999999</v>
      </c>
      <c r="J45" s="292">
        <v>54.5</v>
      </c>
      <c r="M45" s="48">
        <f t="shared" si="1"/>
        <v>7.1328089999999997E-2</v>
      </c>
      <c r="N45" s="48">
        <f t="shared" si="2"/>
        <v>6.0176174999999998E-2</v>
      </c>
    </row>
    <row r="46" spans="1:14">
      <c r="A46" t="s">
        <v>2</v>
      </c>
      <c r="B46" t="s">
        <v>3721</v>
      </c>
      <c r="D46" s="292">
        <v>0.1</v>
      </c>
      <c r="E46" s="292" t="s">
        <v>3785</v>
      </c>
      <c r="F46" s="292">
        <v>1</v>
      </c>
      <c r="G46" s="292">
        <v>64.5</v>
      </c>
      <c r="H46" s="292" t="s">
        <v>3786</v>
      </c>
      <c r="I46" s="292">
        <v>1.02</v>
      </c>
      <c r="J46" s="292">
        <v>54.43</v>
      </c>
      <c r="M46" s="48">
        <f t="shared" si="1"/>
        <v>7.1217674999999994E-2</v>
      </c>
      <c r="N46" s="48">
        <f t="shared" si="2"/>
        <v>6.0098884499999998E-2</v>
      </c>
    </row>
    <row r="47" spans="1:14">
      <c r="A47" t="s">
        <v>2</v>
      </c>
      <c r="B47" t="s">
        <v>3721</v>
      </c>
      <c r="D47" s="292">
        <v>0.15</v>
      </c>
      <c r="E47" s="292" t="s">
        <v>3787</v>
      </c>
      <c r="F47" s="292">
        <v>1.03</v>
      </c>
      <c r="G47" s="292">
        <v>65.900000000000006</v>
      </c>
      <c r="H47" s="292" t="s">
        <v>3788</v>
      </c>
      <c r="I47" s="292">
        <v>1.05</v>
      </c>
      <c r="J47" s="292">
        <v>55.98</v>
      </c>
      <c r="M47" s="48">
        <f t="shared" si="1"/>
        <v>7.2763484999999989E-2</v>
      </c>
      <c r="N47" s="48">
        <f t="shared" si="2"/>
        <v>6.181031699999999E-2</v>
      </c>
    </row>
    <row r="48" spans="1:14">
      <c r="A48" t="s">
        <v>2</v>
      </c>
      <c r="B48" t="s">
        <v>3721</v>
      </c>
      <c r="D48" s="292">
        <v>0.2</v>
      </c>
      <c r="E48" s="292" t="s">
        <v>3774</v>
      </c>
      <c r="F48" s="292">
        <v>0.99</v>
      </c>
      <c r="G48" s="292">
        <v>63.4</v>
      </c>
      <c r="H48" s="292" t="s">
        <v>3789</v>
      </c>
      <c r="I48" s="292">
        <v>1.01</v>
      </c>
      <c r="J48" s="292">
        <v>54.22</v>
      </c>
      <c r="M48" s="48">
        <f t="shared" si="1"/>
        <v>7.0003109999999993E-2</v>
      </c>
      <c r="N48" s="48">
        <f t="shared" si="2"/>
        <v>5.986701299999999E-2</v>
      </c>
    </row>
    <row r="49" spans="1:14">
      <c r="A49" t="s">
        <v>2</v>
      </c>
      <c r="B49" t="s">
        <v>3721</v>
      </c>
      <c r="D49" s="292">
        <v>0.3</v>
      </c>
      <c r="E49" s="292" t="s">
        <v>3790</v>
      </c>
      <c r="F49" s="292">
        <v>0.96</v>
      </c>
      <c r="G49" s="292">
        <v>61.9</v>
      </c>
      <c r="H49" s="292" t="s">
        <v>3791</v>
      </c>
      <c r="I49" s="292">
        <v>0.84</v>
      </c>
      <c r="J49" s="292">
        <v>53.87</v>
      </c>
      <c r="M49" s="48">
        <f t="shared" si="1"/>
        <v>6.834688500000001E-2</v>
      </c>
      <c r="N49" s="48">
        <f t="shared" si="2"/>
        <v>5.9480560500000002E-2</v>
      </c>
    </row>
    <row r="50" spans="1:14">
      <c r="A50" t="s">
        <v>2</v>
      </c>
      <c r="B50" t="s">
        <v>3721</v>
      </c>
      <c r="D50" s="292"/>
      <c r="E50" s="292"/>
      <c r="F50" s="292"/>
      <c r="G50" s="292"/>
      <c r="H50" s="292"/>
      <c r="I50" s="292"/>
      <c r="J50" s="292"/>
    </row>
    <row r="51" spans="1:14">
      <c r="A51" t="s">
        <v>2</v>
      </c>
      <c r="B51" t="s">
        <v>3721</v>
      </c>
      <c r="D51" s="665" t="s">
        <v>2203</v>
      </c>
      <c r="E51" s="665"/>
      <c r="F51" s="665"/>
      <c r="G51" s="665"/>
      <c r="H51" s="665"/>
      <c r="I51" s="665"/>
      <c r="J51" s="665"/>
    </row>
    <row r="52" spans="1:14">
      <c r="A52" t="s">
        <v>2</v>
      </c>
      <c r="B52" t="s">
        <v>3721</v>
      </c>
      <c r="D52" s="292" t="s">
        <v>3792</v>
      </c>
      <c r="E52" s="292" t="s">
        <v>3793</v>
      </c>
      <c r="F52" s="292">
        <v>0.76</v>
      </c>
      <c r="G52" s="292">
        <v>64.7</v>
      </c>
      <c r="H52" s="292" t="s">
        <v>3794</v>
      </c>
      <c r="I52" s="292">
        <v>0.71</v>
      </c>
      <c r="J52" s="292">
        <v>52.9</v>
      </c>
      <c r="M52" s="48">
        <f t="shared" si="1"/>
        <v>7.1438504999999999E-2</v>
      </c>
      <c r="N52" s="48">
        <f t="shared" si="2"/>
        <v>5.8409535000000005E-2</v>
      </c>
    </row>
    <row r="53" spans="1:14">
      <c r="A53" t="s">
        <v>2</v>
      </c>
      <c r="B53" t="s">
        <v>3721</v>
      </c>
      <c r="D53" s="292" t="s">
        <v>3795</v>
      </c>
      <c r="E53" s="292" t="s">
        <v>3796</v>
      </c>
      <c r="F53" s="292">
        <v>0.8</v>
      </c>
      <c r="G53" s="292">
        <v>68.5</v>
      </c>
      <c r="H53" s="292" t="s">
        <v>3797</v>
      </c>
      <c r="I53" s="292">
        <v>0.6</v>
      </c>
      <c r="J53" s="292">
        <v>51.5</v>
      </c>
      <c r="M53" s="48">
        <f t="shared" si="1"/>
        <v>7.5634275000000001E-2</v>
      </c>
      <c r="N53" s="48">
        <f t="shared" si="2"/>
        <v>5.686372499999999E-2</v>
      </c>
    </row>
    <row r="54" spans="1:14">
      <c r="A54" t="s">
        <v>2</v>
      </c>
      <c r="B54" t="s">
        <v>3721</v>
      </c>
      <c r="D54" s="292" t="s">
        <v>3798</v>
      </c>
      <c r="E54" s="292" t="s">
        <v>3799</v>
      </c>
      <c r="F54" s="292">
        <v>1.45</v>
      </c>
      <c r="G54" s="292">
        <v>77.5</v>
      </c>
      <c r="H54" s="292" t="s">
        <v>3800</v>
      </c>
      <c r="I54" s="292">
        <v>1.0900000000000001</v>
      </c>
      <c r="J54" s="292">
        <v>58.5</v>
      </c>
      <c r="M54" s="48">
        <f t="shared" si="1"/>
        <v>8.5571624999999998E-2</v>
      </c>
      <c r="N54" s="48">
        <f t="shared" si="2"/>
        <v>6.4592774999999991E-2</v>
      </c>
    </row>
    <row r="55" spans="1:14">
      <c r="A55" t="s">
        <v>2</v>
      </c>
      <c r="B55" t="s">
        <v>3721</v>
      </c>
      <c r="D55" s="290" t="s">
        <v>3801</v>
      </c>
      <c r="E55" s="290" t="s">
        <v>3802</v>
      </c>
      <c r="F55" s="290">
        <v>1.42</v>
      </c>
      <c r="G55" s="290">
        <v>75.8</v>
      </c>
      <c r="H55" s="290" t="s">
        <v>3803</v>
      </c>
      <c r="I55" s="290">
        <v>1.1299999999999999</v>
      </c>
      <c r="J55" s="290">
        <v>60.4</v>
      </c>
      <c r="M55" s="48">
        <f t="shared" si="1"/>
        <v>8.369457000000001E-2</v>
      </c>
      <c r="N55" s="48">
        <f t="shared" si="2"/>
        <v>6.6690659999999985E-2</v>
      </c>
    </row>
    <row r="56" spans="1:14">
      <c r="A56" t="s">
        <v>2</v>
      </c>
      <c r="B56" t="s">
        <v>3721</v>
      </c>
      <c r="I56" s="48" t="s">
        <v>3033</v>
      </c>
      <c r="J56" s="48">
        <f>MAX(G25:G29,G32:G35,G38:G41,G44:G49,G52:G55,J52:J55,J44:J49,J38:J41,J32:J35,J25:J29)</f>
        <v>77.5</v>
      </c>
    </row>
    <row r="57" spans="1:14">
      <c r="A57" t="s">
        <v>2</v>
      </c>
      <c r="B57" t="s">
        <v>3721</v>
      </c>
      <c r="I57" s="48" t="s">
        <v>3034</v>
      </c>
      <c r="J57" s="48">
        <f>MIN(G25:G29,G32:G35,G38:G41,G44:G49,G52:G55,J52:J55,J44:J49,J38:J41,J32:J35,J25:J29)</f>
        <v>51.5</v>
      </c>
    </row>
    <row r="58" spans="1:14">
      <c r="A58" t="s">
        <v>2</v>
      </c>
      <c r="B58" t="s">
        <v>3721</v>
      </c>
      <c r="C58" t="s">
        <v>69</v>
      </c>
      <c r="D58" t="s">
        <v>5434</v>
      </c>
    </row>
    <row r="59" spans="1:14">
      <c r="A59" t="s">
        <v>2</v>
      </c>
      <c r="B59" t="s">
        <v>3721</v>
      </c>
      <c r="D59" t="s">
        <v>5433</v>
      </c>
    </row>
    <row r="60" spans="1:14" ht="15.6">
      <c r="A60" t="s">
        <v>2</v>
      </c>
      <c r="B60" t="s">
        <v>3721</v>
      </c>
      <c r="D60" s="306" t="s">
        <v>3804</v>
      </c>
    </row>
    <row r="61" spans="1:14">
      <c r="A61" t="s">
        <v>2</v>
      </c>
      <c r="B61" t="s">
        <v>3721</v>
      </c>
      <c r="D61" s="48" t="s">
        <v>3805</v>
      </c>
      <c r="E61" s="48">
        <v>85</v>
      </c>
    </row>
    <row r="62" spans="1:14">
      <c r="A62" t="s">
        <v>2</v>
      </c>
      <c r="B62" t="s">
        <v>3721</v>
      </c>
      <c r="D62" s="48" t="s">
        <v>3727</v>
      </c>
      <c r="E62" s="48">
        <v>0.51</v>
      </c>
    </row>
    <row r="63" spans="1:14">
      <c r="A63" t="s">
        <v>2</v>
      </c>
      <c r="B63" t="s">
        <v>3721</v>
      </c>
      <c r="D63" s="48" t="s">
        <v>3728</v>
      </c>
      <c r="E63" s="48">
        <v>21.65</v>
      </c>
      <c r="G63">
        <v>9.3852749999999999E-2</v>
      </c>
    </row>
    <row r="64" spans="1:14">
      <c r="A64" t="s">
        <v>2</v>
      </c>
      <c r="B64" t="s">
        <v>3721</v>
      </c>
      <c r="D64" s="48" t="s">
        <v>3806</v>
      </c>
      <c r="E64" s="48">
        <f>E61/100*E62*E63/100</f>
        <v>9.3852749999999999E-2</v>
      </c>
    </row>
    <row r="65" spans="1:9">
      <c r="A65" t="s">
        <v>2</v>
      </c>
      <c r="B65" t="s">
        <v>3721</v>
      </c>
    </row>
    <row r="66" spans="1:9">
      <c r="A66" t="s">
        <v>2</v>
      </c>
      <c r="B66" t="s">
        <v>3721</v>
      </c>
      <c r="C66" t="s">
        <v>132</v>
      </c>
      <c r="D66" t="s">
        <v>5477</v>
      </c>
    </row>
    <row r="67" spans="1:9">
      <c r="A67" t="s">
        <v>2</v>
      </c>
      <c r="B67" t="s">
        <v>3721</v>
      </c>
      <c r="D67" t="s">
        <v>5476</v>
      </c>
    </row>
    <row r="68" spans="1:9">
      <c r="A68" t="s">
        <v>2</v>
      </c>
      <c r="B68" t="s">
        <v>3721</v>
      </c>
      <c r="D68" t="s">
        <v>5435</v>
      </c>
    </row>
    <row r="69" spans="1:9">
      <c r="A69" t="s">
        <v>2</v>
      </c>
      <c r="B69" t="s">
        <v>3721</v>
      </c>
      <c r="D69" t="s">
        <v>5436</v>
      </c>
      <c r="E69" t="s">
        <v>5437</v>
      </c>
      <c r="F69" s="204" t="s">
        <v>4900</v>
      </c>
      <c r="G69" t="s">
        <v>5438</v>
      </c>
      <c r="H69" t="s">
        <v>5439</v>
      </c>
      <c r="I69" t="s">
        <v>5440</v>
      </c>
    </row>
    <row r="70" spans="1:9">
      <c r="A70" t="s">
        <v>2</v>
      </c>
      <c r="B70" t="s">
        <v>3721</v>
      </c>
      <c r="D70" t="s">
        <v>5441</v>
      </c>
      <c r="E70" t="s">
        <v>5442</v>
      </c>
      <c r="F70" t="s">
        <v>5443</v>
      </c>
      <c r="G70" t="s">
        <v>5444</v>
      </c>
      <c r="H70" t="s">
        <v>5445</v>
      </c>
      <c r="I70" t="s">
        <v>5446</v>
      </c>
    </row>
    <row r="71" spans="1:9">
      <c r="A71" t="s">
        <v>2</v>
      </c>
      <c r="B71" t="s">
        <v>3721</v>
      </c>
      <c r="D71" t="s">
        <v>5447</v>
      </c>
      <c r="E71" t="s">
        <v>5448</v>
      </c>
      <c r="F71" t="s">
        <v>5449</v>
      </c>
      <c r="G71" t="s">
        <v>5450</v>
      </c>
      <c r="H71" t="s">
        <v>5451</v>
      </c>
      <c r="I71" t="s">
        <v>5452</v>
      </c>
    </row>
    <row r="72" spans="1:9">
      <c r="A72" t="s">
        <v>2</v>
      </c>
      <c r="B72" t="s">
        <v>3721</v>
      </c>
      <c r="D72" t="s">
        <v>5453</v>
      </c>
      <c r="E72" t="s">
        <v>5454</v>
      </c>
      <c r="F72" t="s">
        <v>5455</v>
      </c>
      <c r="G72" t="s">
        <v>5456</v>
      </c>
      <c r="H72" t="s">
        <v>5457</v>
      </c>
      <c r="I72" t="s">
        <v>5458</v>
      </c>
    </row>
    <row r="73" spans="1:9">
      <c r="A73" t="s">
        <v>2</v>
      </c>
      <c r="B73" t="s">
        <v>3721</v>
      </c>
      <c r="D73" t="s">
        <v>5459</v>
      </c>
      <c r="E73" t="s">
        <v>3370</v>
      </c>
      <c r="F73" t="s">
        <v>5460</v>
      </c>
      <c r="G73" t="s">
        <v>5461</v>
      </c>
      <c r="H73" t="s">
        <v>5462</v>
      </c>
      <c r="I73" t="s">
        <v>5463</v>
      </c>
    </row>
    <row r="74" spans="1:9">
      <c r="A74" t="s">
        <v>2</v>
      </c>
      <c r="B74" t="s">
        <v>3721</v>
      </c>
      <c r="D74" t="s">
        <v>5464</v>
      </c>
      <c r="E74" t="s">
        <v>5465</v>
      </c>
      <c r="F74" t="s">
        <v>5466</v>
      </c>
      <c r="G74" t="s">
        <v>5467</v>
      </c>
      <c r="H74" t="s">
        <v>5468</v>
      </c>
      <c r="I74" t="s">
        <v>5469</v>
      </c>
    </row>
    <row r="75" spans="1:9">
      <c r="A75" t="s">
        <v>2</v>
      </c>
      <c r="B75" t="s">
        <v>3721</v>
      </c>
      <c r="D75" t="s">
        <v>5470</v>
      </c>
      <c r="E75" t="s">
        <v>3369</v>
      </c>
      <c r="F75" t="s">
        <v>5471</v>
      </c>
      <c r="G75" t="s">
        <v>5472</v>
      </c>
      <c r="H75" t="s">
        <v>5473</v>
      </c>
      <c r="I75" t="s">
        <v>5474</v>
      </c>
    </row>
    <row r="76" spans="1:9">
      <c r="A76" t="s">
        <v>2</v>
      </c>
      <c r="B76" t="s">
        <v>3721</v>
      </c>
      <c r="D76" t="s">
        <v>5475</v>
      </c>
    </row>
    <row r="77" spans="1:9">
      <c r="A77" t="s">
        <v>2</v>
      </c>
      <c r="B77" t="s">
        <v>3721</v>
      </c>
    </row>
    <row r="78" spans="1:9">
      <c r="A78" t="s">
        <v>2</v>
      </c>
      <c r="B78" t="s">
        <v>3721</v>
      </c>
      <c r="D78" t="s">
        <v>5070</v>
      </c>
      <c r="E78">
        <v>0.36699999999999999</v>
      </c>
    </row>
    <row r="79" spans="1:9">
      <c r="A79" t="s">
        <v>2</v>
      </c>
      <c r="B79" t="s">
        <v>3721</v>
      </c>
      <c r="E79">
        <v>0.28899999999999998</v>
      </c>
    </row>
    <row r="80" spans="1:9">
      <c r="A80" t="s">
        <v>2</v>
      </c>
      <c r="B80" t="s">
        <v>3721</v>
      </c>
      <c r="E80">
        <v>0.23200000000000001</v>
      </c>
    </row>
    <row r="81" spans="1:15">
      <c r="A81" t="s">
        <v>2</v>
      </c>
      <c r="B81" t="s">
        <v>3721</v>
      </c>
      <c r="E81">
        <v>0.39200000000000002</v>
      </c>
    </row>
    <row r="82" spans="1:15">
      <c r="A82" t="s">
        <v>2</v>
      </c>
      <c r="B82" t="s">
        <v>3721</v>
      </c>
      <c r="E82">
        <v>0.35699999999999998</v>
      </c>
    </row>
    <row r="83" spans="1:15">
      <c r="A83" t="s">
        <v>2</v>
      </c>
      <c r="B83" t="s">
        <v>3721</v>
      </c>
      <c r="E83">
        <v>0.36799999999999999</v>
      </c>
    </row>
    <row r="84" spans="1:15">
      <c r="A84" t="s">
        <v>2</v>
      </c>
      <c r="B84" t="s">
        <v>3721</v>
      </c>
      <c r="D84" t="s">
        <v>510</v>
      </c>
      <c r="E84">
        <f>AVERAGE(E78:E83)</f>
        <v>0.33416666666666667</v>
      </c>
    </row>
    <row r="85" spans="1:15">
      <c r="A85" t="s">
        <v>2</v>
      </c>
      <c r="B85" t="s">
        <v>3721</v>
      </c>
      <c r="D85" t="s">
        <v>5478</v>
      </c>
      <c r="E85" s="142">
        <f>[1]MonoSugar!$H$11</f>
        <v>19.848321871345028</v>
      </c>
    </row>
    <row r="86" spans="1:15">
      <c r="A86" t="s">
        <v>2</v>
      </c>
      <c r="B86" t="s">
        <v>3721</v>
      </c>
      <c r="D86" s="48" t="s">
        <v>3729</v>
      </c>
      <c r="E86" s="48">
        <f>E84*E85%</f>
        <v>6.6326475586744635E-2</v>
      </c>
    </row>
    <row r="87" spans="1:15">
      <c r="A87" t="s">
        <v>2</v>
      </c>
      <c r="B87" t="s">
        <v>3721</v>
      </c>
    </row>
    <row r="88" spans="1:15">
      <c r="A88" t="s">
        <v>2</v>
      </c>
      <c r="B88" t="s">
        <v>3721</v>
      </c>
    </row>
    <row r="89" spans="1:15">
      <c r="A89" t="s">
        <v>2</v>
      </c>
      <c r="B89" t="s">
        <v>3721</v>
      </c>
    </row>
    <row r="90" spans="1:15">
      <c r="A90" t="s">
        <v>2</v>
      </c>
      <c r="B90" t="s">
        <v>3721</v>
      </c>
    </row>
    <row r="91" spans="1:15">
      <c r="A91" t="s">
        <v>2</v>
      </c>
      <c r="B91" t="s">
        <v>3721</v>
      </c>
    </row>
    <row r="92" spans="1:15">
      <c r="A92" t="s">
        <v>2</v>
      </c>
      <c r="B92" t="s">
        <v>3721</v>
      </c>
      <c r="C92" t="s">
        <v>3145</v>
      </c>
      <c r="D92" t="s">
        <v>5531</v>
      </c>
    </row>
    <row r="93" spans="1:15">
      <c r="A93" t="s">
        <v>2</v>
      </c>
      <c r="B93" t="s">
        <v>3721</v>
      </c>
      <c r="D93" t="s">
        <v>5532</v>
      </c>
    </row>
    <row r="94" spans="1:15">
      <c r="A94" t="s">
        <v>2</v>
      </c>
      <c r="B94" t="s">
        <v>3721</v>
      </c>
      <c r="D94" t="s">
        <v>5479</v>
      </c>
    </row>
    <row r="95" spans="1:15">
      <c r="A95" t="s">
        <v>2</v>
      </c>
      <c r="B95" t="s">
        <v>3721</v>
      </c>
      <c r="D95" t="s">
        <v>1135</v>
      </c>
      <c r="E95" t="s">
        <v>5480</v>
      </c>
      <c r="F95" t="s">
        <v>5481</v>
      </c>
      <c r="G95" t="s">
        <v>5482</v>
      </c>
      <c r="L95" t="s">
        <v>5483</v>
      </c>
    </row>
    <row r="96" spans="1:15">
      <c r="A96" t="s">
        <v>2</v>
      </c>
      <c r="B96" t="s">
        <v>3721</v>
      </c>
      <c r="G96" t="s">
        <v>5484</v>
      </c>
      <c r="H96" t="s">
        <v>5485</v>
      </c>
      <c r="I96" t="s">
        <v>5486</v>
      </c>
      <c r="J96" t="s">
        <v>5487</v>
      </c>
      <c r="K96" t="s">
        <v>3819</v>
      </c>
      <c r="L96" t="s">
        <v>5488</v>
      </c>
      <c r="M96" t="s">
        <v>5489</v>
      </c>
      <c r="N96" t="s">
        <v>5490</v>
      </c>
      <c r="O96" t="s">
        <v>5491</v>
      </c>
    </row>
    <row r="97" spans="1:15">
      <c r="A97" t="s">
        <v>2</v>
      </c>
      <c r="B97" t="s">
        <v>3721</v>
      </c>
      <c r="D97" t="s">
        <v>5492</v>
      </c>
      <c r="E97" t="s">
        <v>5493</v>
      </c>
      <c r="F97" t="s">
        <v>5494</v>
      </c>
      <c r="G97" t="s">
        <v>5495</v>
      </c>
      <c r="H97" t="s">
        <v>5496</v>
      </c>
      <c r="I97" t="s">
        <v>5497</v>
      </c>
      <c r="J97">
        <v>0.36</v>
      </c>
      <c r="K97">
        <v>69.81</v>
      </c>
      <c r="L97" t="s">
        <v>5498</v>
      </c>
      <c r="M97" t="s">
        <v>5499</v>
      </c>
      <c r="N97" t="s">
        <v>5500</v>
      </c>
      <c r="O97" t="s">
        <v>5501</v>
      </c>
    </row>
    <row r="98" spans="1:15">
      <c r="A98" t="s">
        <v>2</v>
      </c>
      <c r="B98" t="s">
        <v>3721</v>
      </c>
      <c r="E98" t="s">
        <v>5502</v>
      </c>
      <c r="F98" t="s">
        <v>5503</v>
      </c>
      <c r="G98" t="s">
        <v>5504</v>
      </c>
      <c r="H98" t="s">
        <v>5505</v>
      </c>
      <c r="I98" t="s">
        <v>5506</v>
      </c>
      <c r="J98">
        <v>0.34</v>
      </c>
      <c r="K98">
        <v>66.430000000000007</v>
      </c>
      <c r="L98" t="s">
        <v>5507</v>
      </c>
      <c r="M98" t="s">
        <v>5508</v>
      </c>
      <c r="N98" t="s">
        <v>5509</v>
      </c>
      <c r="O98" t="s">
        <v>5510</v>
      </c>
    </row>
    <row r="99" spans="1:15">
      <c r="A99" t="s">
        <v>2</v>
      </c>
      <c r="B99" t="s">
        <v>3721</v>
      </c>
      <c r="E99" t="s">
        <v>5511</v>
      </c>
      <c r="F99" t="s">
        <v>5512</v>
      </c>
      <c r="G99" t="s">
        <v>5513</v>
      </c>
      <c r="H99" t="s">
        <v>5514</v>
      </c>
      <c r="I99" t="s">
        <v>5515</v>
      </c>
      <c r="J99">
        <v>0.35</v>
      </c>
      <c r="K99">
        <v>66.900000000000006</v>
      </c>
      <c r="L99" t="s">
        <v>5516</v>
      </c>
      <c r="M99" t="s">
        <v>5517</v>
      </c>
      <c r="N99" t="s">
        <v>5518</v>
      </c>
      <c r="O99" t="s">
        <v>5519</v>
      </c>
    </row>
    <row r="100" spans="1:15">
      <c r="A100" t="s">
        <v>2</v>
      </c>
      <c r="B100" t="s">
        <v>3721</v>
      </c>
      <c r="E100" t="s">
        <v>5520</v>
      </c>
      <c r="F100" t="s">
        <v>5521</v>
      </c>
      <c r="G100" t="s">
        <v>5522</v>
      </c>
      <c r="H100" t="s">
        <v>5523</v>
      </c>
      <c r="I100" t="s">
        <v>5524</v>
      </c>
      <c r="J100">
        <v>0.42</v>
      </c>
      <c r="K100">
        <v>80.66</v>
      </c>
      <c r="L100" t="s">
        <v>5525</v>
      </c>
      <c r="M100" t="s">
        <v>5526</v>
      </c>
      <c r="N100" t="s">
        <v>5527</v>
      </c>
      <c r="O100" t="s">
        <v>5528</v>
      </c>
    </row>
    <row r="101" spans="1:15">
      <c r="A101" t="s">
        <v>2</v>
      </c>
      <c r="B101" t="s">
        <v>3721</v>
      </c>
      <c r="D101" t="s">
        <v>5529</v>
      </c>
    </row>
    <row r="102" spans="1:15">
      <c r="A102" t="s">
        <v>2</v>
      </c>
      <c r="B102" t="s">
        <v>3721</v>
      </c>
      <c r="D102" t="s">
        <v>5530</v>
      </c>
    </row>
    <row r="103" spans="1:15">
      <c r="A103" t="s">
        <v>2</v>
      </c>
      <c r="B103" t="s">
        <v>3721</v>
      </c>
    </row>
    <row r="104" spans="1:15">
      <c r="A104" t="s">
        <v>2</v>
      </c>
      <c r="B104" t="s">
        <v>3721</v>
      </c>
      <c r="D104" t="s">
        <v>5070</v>
      </c>
      <c r="E104">
        <f>AVERAGE(J97:J100)</f>
        <v>0.36749999999999994</v>
      </c>
    </row>
    <row r="105" spans="1:15">
      <c r="A105" t="s">
        <v>2</v>
      </c>
      <c r="B105" t="s">
        <v>3721</v>
      </c>
      <c r="D105" t="s">
        <v>5478</v>
      </c>
      <c r="E105" s="142">
        <f>[1]MonoSugar!$H$11</f>
        <v>19.848321871345028</v>
      </c>
    </row>
    <row r="106" spans="1:15">
      <c r="A106" t="s">
        <v>2</v>
      </c>
      <c r="B106" t="s">
        <v>3721</v>
      </c>
      <c r="D106" s="48" t="s">
        <v>3729</v>
      </c>
      <c r="E106" s="48">
        <f>E104*E105%</f>
        <v>7.2942582877192963E-2</v>
      </c>
    </row>
    <row r="107" spans="1:15">
      <c r="A107" t="s">
        <v>2</v>
      </c>
      <c r="B107" t="s">
        <v>3721</v>
      </c>
    </row>
    <row r="108" spans="1:15">
      <c r="A108" t="s">
        <v>2</v>
      </c>
      <c r="B108" t="s">
        <v>3807</v>
      </c>
      <c r="C108" t="s">
        <v>4</v>
      </c>
      <c r="D108" s="7" t="s">
        <v>3722</v>
      </c>
      <c r="J108" t="s">
        <v>1003</v>
      </c>
    </row>
    <row r="109" spans="1:15">
      <c r="A109" t="s">
        <v>2</v>
      </c>
      <c r="B109" t="s">
        <v>3807</v>
      </c>
      <c r="D109" s="7" t="s">
        <v>3723</v>
      </c>
    </row>
    <row r="110" spans="1:15" ht="28.2">
      <c r="A110" t="s">
        <v>2</v>
      </c>
      <c r="B110" t="s">
        <v>3807</v>
      </c>
      <c r="D110" s="309" t="s">
        <v>3724</v>
      </c>
      <c r="E110" s="310" t="s">
        <v>3725</v>
      </c>
      <c r="F110" s="310" t="s">
        <v>3726</v>
      </c>
      <c r="G110" s="311" t="s">
        <v>3149</v>
      </c>
      <c r="H110" s="48" t="s">
        <v>3727</v>
      </c>
      <c r="I110" s="48" t="s">
        <v>3808</v>
      </c>
      <c r="J110" s="48" t="s">
        <v>3729</v>
      </c>
      <c r="K110" s="48" t="s">
        <v>3177</v>
      </c>
    </row>
    <row r="111" spans="1:15">
      <c r="A111" t="s">
        <v>2</v>
      </c>
      <c r="B111" t="s">
        <v>3807</v>
      </c>
      <c r="D111" s="666" t="s">
        <v>3731</v>
      </c>
      <c r="E111" s="669" t="s">
        <v>3732</v>
      </c>
      <c r="F111" s="312"/>
      <c r="G111" s="313"/>
      <c r="H111" s="48">
        <v>0.51</v>
      </c>
      <c r="I111" s="48">
        <v>70.84</v>
      </c>
      <c r="K111" s="48">
        <f>AVERAGE(J113,J116,J119)</f>
        <v>0.20323429280000002</v>
      </c>
    </row>
    <row r="112" spans="1:15">
      <c r="A112" t="s">
        <v>2</v>
      </c>
      <c r="B112" t="s">
        <v>3807</v>
      </c>
      <c r="D112" s="667"/>
      <c r="E112" s="670"/>
      <c r="F112" s="312"/>
      <c r="G112" s="313"/>
      <c r="L112">
        <v>0.20323429279999999</v>
      </c>
    </row>
    <row r="113" spans="1:17">
      <c r="A113" t="s">
        <v>2</v>
      </c>
      <c r="B113" t="s">
        <v>3807</v>
      </c>
      <c r="D113" s="668"/>
      <c r="E113" s="671"/>
      <c r="F113" s="316" t="s">
        <v>1016</v>
      </c>
      <c r="G113" s="317">
        <v>54.69</v>
      </c>
      <c r="J113" s="48">
        <f>G113/100*$H$111*$I$111/100</f>
        <v>0.1975862196</v>
      </c>
    </row>
    <row r="114" spans="1:17">
      <c r="A114" t="s">
        <v>2</v>
      </c>
      <c r="B114" t="s">
        <v>3807</v>
      </c>
      <c r="D114" s="666" t="s">
        <v>3735</v>
      </c>
      <c r="E114" s="669" t="s">
        <v>3736</v>
      </c>
      <c r="F114" s="312"/>
      <c r="G114" s="313"/>
    </row>
    <row r="115" spans="1:17">
      <c r="A115" t="s">
        <v>2</v>
      </c>
      <c r="B115" t="s">
        <v>3807</v>
      </c>
      <c r="D115" s="667"/>
      <c r="E115" s="670"/>
      <c r="F115" s="312"/>
      <c r="G115" s="313"/>
    </row>
    <row r="116" spans="1:17">
      <c r="A116" t="s">
        <v>2</v>
      </c>
      <c r="B116" t="s">
        <v>3807</v>
      </c>
      <c r="D116" s="668"/>
      <c r="E116" s="671"/>
      <c r="F116" s="316" t="s">
        <v>1016</v>
      </c>
      <c r="G116" s="317">
        <v>55.91</v>
      </c>
      <c r="J116" s="48">
        <f>G116/100*$H$111*$I$111/100</f>
        <v>0.20199388439999999</v>
      </c>
    </row>
    <row r="117" spans="1:17">
      <c r="A117" t="s">
        <v>2</v>
      </c>
      <c r="B117" t="s">
        <v>3807</v>
      </c>
      <c r="D117" s="666" t="s">
        <v>3737</v>
      </c>
      <c r="E117" s="669" t="s">
        <v>3738</v>
      </c>
      <c r="F117" s="312"/>
      <c r="G117" s="313"/>
    </row>
    <row r="118" spans="1:17">
      <c r="A118" t="s">
        <v>2</v>
      </c>
      <c r="B118" t="s">
        <v>3807</v>
      </c>
      <c r="D118" s="667"/>
      <c r="E118" s="670"/>
      <c r="F118" s="312"/>
      <c r="G118" s="313"/>
    </row>
    <row r="119" spans="1:17">
      <c r="A119" t="s">
        <v>2</v>
      </c>
      <c r="B119" t="s">
        <v>3807</v>
      </c>
      <c r="D119" s="668"/>
      <c r="E119" s="671"/>
      <c r="F119" s="316" t="s">
        <v>1016</v>
      </c>
      <c r="G119" s="317">
        <v>58.16</v>
      </c>
      <c r="J119" s="48">
        <f>G119/100*$H$111*$I$111/100</f>
        <v>0.21012277440000002</v>
      </c>
    </row>
    <row r="120" spans="1:17">
      <c r="A120" t="s">
        <v>2</v>
      </c>
      <c r="B120" t="s">
        <v>3807</v>
      </c>
      <c r="D120" s="666" t="s">
        <v>3739</v>
      </c>
      <c r="E120" s="669" t="s">
        <v>3740</v>
      </c>
      <c r="F120" s="312"/>
      <c r="G120" s="313"/>
    </row>
    <row r="121" spans="1:17">
      <c r="A121" t="s">
        <v>2</v>
      </c>
      <c r="B121" t="s">
        <v>3807</v>
      </c>
      <c r="D121" s="667"/>
      <c r="E121" s="670"/>
      <c r="F121" s="312"/>
      <c r="G121" s="313"/>
    </row>
    <row r="122" spans="1:17">
      <c r="A122" t="s">
        <v>2</v>
      </c>
      <c r="B122" t="s">
        <v>3807</v>
      </c>
      <c r="D122" s="672"/>
      <c r="E122" s="673"/>
      <c r="F122" s="316" t="s">
        <v>1016</v>
      </c>
      <c r="G122" s="317">
        <v>56.3</v>
      </c>
    </row>
    <row r="123" spans="1:17">
      <c r="A123" t="s">
        <v>2</v>
      </c>
      <c r="B123" t="s">
        <v>3807</v>
      </c>
      <c r="F123" s="48" t="s">
        <v>3033</v>
      </c>
      <c r="G123" s="48">
        <f>MAX(G111:G121)</f>
        <v>58.16</v>
      </c>
    </row>
    <row r="124" spans="1:17">
      <c r="A124" t="s">
        <v>2</v>
      </c>
      <c r="B124" t="s">
        <v>3807</v>
      </c>
      <c r="F124" s="48" t="s">
        <v>3034</v>
      </c>
      <c r="G124" s="48">
        <f>MIN(G111:G121)</f>
        <v>54.69</v>
      </c>
    </row>
    <row r="125" spans="1:17">
      <c r="A125" t="s">
        <v>2</v>
      </c>
      <c r="B125" t="s">
        <v>3807</v>
      </c>
    </row>
    <row r="126" spans="1:17">
      <c r="A126" t="s">
        <v>2</v>
      </c>
      <c r="B126" t="s">
        <v>3807</v>
      </c>
      <c r="C126" t="s">
        <v>473</v>
      </c>
      <c r="D126" s="7" t="s">
        <v>3809</v>
      </c>
      <c r="I126" t="s">
        <v>6</v>
      </c>
    </row>
    <row r="127" spans="1:17">
      <c r="A127" t="s">
        <v>2</v>
      </c>
      <c r="B127" t="s">
        <v>3807</v>
      </c>
      <c r="D127" s="7" t="s">
        <v>3810</v>
      </c>
    </row>
    <row r="128" spans="1:17" ht="15" customHeight="1">
      <c r="A128" t="s">
        <v>2</v>
      </c>
      <c r="B128" t="s">
        <v>3807</v>
      </c>
      <c r="D128" s="289" t="s">
        <v>3811</v>
      </c>
      <c r="E128" s="634" t="s">
        <v>3812</v>
      </c>
      <c r="F128" s="303" t="s">
        <v>3813</v>
      </c>
      <c r="G128" s="303" t="s">
        <v>3814</v>
      </c>
      <c r="H128" s="303" t="s">
        <v>3815</v>
      </c>
      <c r="I128" s="303" t="s">
        <v>3816</v>
      </c>
      <c r="J128" s="303" t="s">
        <v>3817</v>
      </c>
      <c r="K128" s="303" t="s">
        <v>3818</v>
      </c>
      <c r="L128" s="675" t="s">
        <v>3819</v>
      </c>
      <c r="M128" s="303" t="s">
        <v>3820</v>
      </c>
      <c r="N128" s="303" t="s">
        <v>3821</v>
      </c>
      <c r="O128" s="48" t="s">
        <v>3822</v>
      </c>
      <c r="P128" s="48" t="s">
        <v>3414</v>
      </c>
      <c r="Q128" s="48" t="s">
        <v>3415</v>
      </c>
    </row>
    <row r="129" spans="1:17">
      <c r="A129" t="s">
        <v>2</v>
      </c>
      <c r="B129" t="s">
        <v>3807</v>
      </c>
      <c r="D129" s="291" t="s">
        <v>1848</v>
      </c>
      <c r="E129" s="674"/>
      <c r="F129" s="291" t="s">
        <v>3823</v>
      </c>
      <c r="G129" s="291" t="s">
        <v>3824</v>
      </c>
      <c r="H129" s="291" t="s">
        <v>3823</v>
      </c>
      <c r="I129" s="291" t="s">
        <v>3825</v>
      </c>
      <c r="J129" s="291" t="s">
        <v>3825</v>
      </c>
      <c r="K129" s="291" t="s">
        <v>3826</v>
      </c>
      <c r="L129" s="676"/>
      <c r="M129" s="291" t="s">
        <v>3823</v>
      </c>
      <c r="N129" s="291" t="s">
        <v>3823</v>
      </c>
      <c r="O129" s="48" t="s">
        <v>3417</v>
      </c>
      <c r="P129" s="48" t="s">
        <v>3827</v>
      </c>
      <c r="Q129" s="48" t="s">
        <v>3827</v>
      </c>
    </row>
    <row r="130" spans="1:17">
      <c r="A130" t="s">
        <v>2</v>
      </c>
      <c r="B130" t="s">
        <v>3807</v>
      </c>
      <c r="D130" s="292" t="s">
        <v>3828</v>
      </c>
      <c r="E130" s="292" t="s">
        <v>3829</v>
      </c>
      <c r="F130" s="292" t="s">
        <v>3830</v>
      </c>
      <c r="G130" s="292">
        <v>12</v>
      </c>
      <c r="H130" s="292" t="s">
        <v>3831</v>
      </c>
      <c r="I130" s="292">
        <v>0.38</v>
      </c>
      <c r="J130" s="292">
        <v>0.87</v>
      </c>
      <c r="K130" s="292">
        <v>0.46</v>
      </c>
      <c r="L130" s="292">
        <v>89.28</v>
      </c>
      <c r="M130" s="292" t="s">
        <v>3832</v>
      </c>
      <c r="N130" s="292" t="s">
        <v>3833</v>
      </c>
      <c r="O130" s="48">
        <v>80.23</v>
      </c>
      <c r="P130" s="48">
        <f>K130*$O$130/100</f>
        <v>0.36905800000000005</v>
      </c>
      <c r="Q130" s="48">
        <f>AVERAGE(P130:P136)</f>
        <v>0.32550457142857148</v>
      </c>
    </row>
    <row r="131" spans="1:17">
      <c r="A131" t="s">
        <v>2</v>
      </c>
      <c r="B131" t="s">
        <v>3807</v>
      </c>
      <c r="D131" s="292"/>
      <c r="E131" s="292" t="s">
        <v>3834</v>
      </c>
      <c r="F131" s="292" t="s">
        <v>3835</v>
      </c>
      <c r="G131" s="292">
        <v>24</v>
      </c>
      <c r="H131" s="292" t="s">
        <v>3836</v>
      </c>
      <c r="I131" s="292">
        <v>0.32</v>
      </c>
      <c r="J131" s="292">
        <v>0.67</v>
      </c>
      <c r="K131" s="292">
        <v>0.47</v>
      </c>
      <c r="L131" s="292">
        <v>92.52</v>
      </c>
      <c r="M131" s="292" t="s">
        <v>3837</v>
      </c>
      <c r="N131" s="292" t="s">
        <v>3838</v>
      </c>
      <c r="P131" s="48">
        <f t="shared" ref="P131:P136" si="3">K131*$O$130/100</f>
        <v>0.377081</v>
      </c>
    </row>
    <row r="132" spans="1:17">
      <c r="A132" t="s">
        <v>2</v>
      </c>
      <c r="B132" t="s">
        <v>3807</v>
      </c>
      <c r="D132" s="292"/>
      <c r="E132" s="292" t="s">
        <v>3839</v>
      </c>
      <c r="F132" s="292" t="s">
        <v>3840</v>
      </c>
      <c r="G132" s="292">
        <v>36</v>
      </c>
      <c r="H132" s="292" t="s">
        <v>3841</v>
      </c>
      <c r="I132" s="292">
        <v>0.34</v>
      </c>
      <c r="J132" s="292">
        <v>0.73</v>
      </c>
      <c r="K132" s="292">
        <v>0.47</v>
      </c>
      <c r="L132" s="292">
        <v>91.3</v>
      </c>
      <c r="M132" s="292" t="s">
        <v>3842</v>
      </c>
      <c r="N132" s="292" t="s">
        <v>3843</v>
      </c>
      <c r="P132" s="48">
        <f t="shared" si="3"/>
        <v>0.377081</v>
      </c>
    </row>
    <row r="133" spans="1:17">
      <c r="A133" t="s">
        <v>2</v>
      </c>
      <c r="B133" t="s">
        <v>3807</v>
      </c>
      <c r="D133" s="660"/>
      <c r="E133" s="660"/>
      <c r="F133" s="660"/>
      <c r="G133" s="660"/>
      <c r="H133" s="660"/>
      <c r="I133" s="660"/>
      <c r="J133" s="660"/>
      <c r="K133" s="660"/>
      <c r="L133" s="660"/>
      <c r="M133" s="660"/>
      <c r="N133" s="660"/>
      <c r="P133" s="48">
        <f t="shared" si="3"/>
        <v>0</v>
      </c>
    </row>
    <row r="134" spans="1:17" ht="28.2">
      <c r="A134" t="s">
        <v>2</v>
      </c>
      <c r="B134" t="s">
        <v>3807</v>
      </c>
      <c r="D134" s="292" t="s">
        <v>3844</v>
      </c>
      <c r="E134" s="292" t="s">
        <v>3829</v>
      </c>
      <c r="F134" s="292" t="s">
        <v>3845</v>
      </c>
      <c r="G134" s="292">
        <v>24</v>
      </c>
      <c r="H134" s="292" t="s">
        <v>3846</v>
      </c>
      <c r="I134" s="292">
        <v>2</v>
      </c>
      <c r="J134" s="292">
        <v>4.07</v>
      </c>
      <c r="K134" s="292">
        <v>0.49</v>
      </c>
      <c r="L134" s="292">
        <v>96.17</v>
      </c>
      <c r="M134" s="292" t="s">
        <v>3847</v>
      </c>
      <c r="N134" s="292" t="s">
        <v>3848</v>
      </c>
      <c r="P134" s="48">
        <f t="shared" si="3"/>
        <v>0.393127</v>
      </c>
    </row>
    <row r="135" spans="1:17" ht="28.2">
      <c r="A135" t="s">
        <v>2</v>
      </c>
      <c r="B135" t="s">
        <v>3807</v>
      </c>
      <c r="D135" s="292"/>
      <c r="E135" s="292" t="s">
        <v>3834</v>
      </c>
      <c r="F135" s="292" t="s">
        <v>3849</v>
      </c>
      <c r="G135" s="292">
        <v>30</v>
      </c>
      <c r="H135" s="292" t="s">
        <v>3850</v>
      </c>
      <c r="I135" s="292">
        <v>0.88</v>
      </c>
      <c r="J135" s="292">
        <v>1.89</v>
      </c>
      <c r="K135" s="292">
        <v>0.47</v>
      </c>
      <c r="L135" s="292">
        <v>91.23</v>
      </c>
      <c r="M135" s="292" t="s">
        <v>3851</v>
      </c>
      <c r="N135" s="292" t="s">
        <v>3852</v>
      </c>
      <c r="P135" s="48">
        <f t="shared" si="3"/>
        <v>0.377081</v>
      </c>
    </row>
    <row r="136" spans="1:17">
      <c r="A136" t="s">
        <v>2</v>
      </c>
      <c r="B136" t="s">
        <v>3807</v>
      </c>
      <c r="D136" s="290"/>
      <c r="E136" s="290" t="s">
        <v>3839</v>
      </c>
      <c r="F136" s="290" t="s">
        <v>3853</v>
      </c>
      <c r="G136" s="290">
        <v>54</v>
      </c>
      <c r="H136" s="290" t="s">
        <v>3854</v>
      </c>
      <c r="I136" s="290">
        <v>1.38</v>
      </c>
      <c r="J136" s="290">
        <v>2.86</v>
      </c>
      <c r="K136" s="290">
        <v>0.48</v>
      </c>
      <c r="L136" s="290">
        <v>94.36</v>
      </c>
      <c r="M136" s="290" t="s">
        <v>3855</v>
      </c>
      <c r="N136" s="318" t="s">
        <v>3856</v>
      </c>
      <c r="P136" s="48">
        <f t="shared" si="3"/>
        <v>0.38510399999999995</v>
      </c>
    </row>
    <row r="137" spans="1:17">
      <c r="A137" t="s">
        <v>2</v>
      </c>
      <c r="B137" t="s">
        <v>3807</v>
      </c>
      <c r="J137" s="48" t="s">
        <v>3033</v>
      </c>
      <c r="K137" s="48">
        <f>MAX(K130:K136)</f>
        <v>0.49</v>
      </c>
    </row>
    <row r="138" spans="1:17">
      <c r="A138" t="s">
        <v>2</v>
      </c>
      <c r="B138" t="s">
        <v>3807</v>
      </c>
      <c r="J138" s="48" t="s">
        <v>3034</v>
      </c>
      <c r="K138" s="48">
        <f>MIN(K130:K136)</f>
        <v>0.46</v>
      </c>
      <c r="Q138">
        <v>0.32550457142857098</v>
      </c>
    </row>
    <row r="139" spans="1:17">
      <c r="A139" t="s">
        <v>2</v>
      </c>
      <c r="B139" t="s">
        <v>3807</v>
      </c>
    </row>
    <row r="140" spans="1:17">
      <c r="A140" t="s">
        <v>2</v>
      </c>
      <c r="B140" t="s">
        <v>3807</v>
      </c>
      <c r="C140" t="s">
        <v>69</v>
      </c>
      <c r="D140" s="7" t="s">
        <v>3857</v>
      </c>
    </row>
    <row r="141" spans="1:17">
      <c r="A141" t="s">
        <v>2</v>
      </c>
      <c r="B141" t="s">
        <v>3807</v>
      </c>
      <c r="D141" s="7" t="s">
        <v>3858</v>
      </c>
    </row>
    <row r="142" spans="1:17" ht="15.6">
      <c r="A142" t="s">
        <v>2</v>
      </c>
      <c r="B142" t="s">
        <v>3807</v>
      </c>
      <c r="D142" s="306" t="s">
        <v>3859</v>
      </c>
    </row>
    <row r="143" spans="1:17">
      <c r="A143" t="s">
        <v>2</v>
      </c>
      <c r="B143" t="s">
        <v>3807</v>
      </c>
      <c r="D143" s="48" t="s">
        <v>3860</v>
      </c>
      <c r="E143" s="48">
        <v>210</v>
      </c>
    </row>
    <row r="144" spans="1:17">
      <c r="A144" t="s">
        <v>2</v>
      </c>
      <c r="B144" t="s">
        <v>3807</v>
      </c>
      <c r="D144" s="48" t="s">
        <v>3861</v>
      </c>
      <c r="E144" s="48">
        <f>E143/1000</f>
        <v>0.21</v>
      </c>
    </row>
    <row r="145" spans="1:10">
      <c r="A145" t="s">
        <v>2</v>
      </c>
      <c r="B145" t="s">
        <v>3807</v>
      </c>
    </row>
    <row r="146" spans="1:10">
      <c r="A146" t="s">
        <v>2</v>
      </c>
      <c r="B146" t="s">
        <v>3807</v>
      </c>
      <c r="C146" t="s">
        <v>132</v>
      </c>
      <c r="D146" s="7" t="s">
        <v>3862</v>
      </c>
      <c r="G146" t="s">
        <v>3863</v>
      </c>
    </row>
    <row r="147" spans="1:10">
      <c r="A147" t="s">
        <v>2</v>
      </c>
      <c r="B147" t="s">
        <v>3807</v>
      </c>
      <c r="D147" s="7" t="s">
        <v>3864</v>
      </c>
    </row>
    <row r="148" spans="1:10">
      <c r="A148" t="s">
        <v>2</v>
      </c>
      <c r="B148" t="s">
        <v>3807</v>
      </c>
      <c r="D148" s="284" t="s">
        <v>1142</v>
      </c>
      <c r="E148" s="284" t="s">
        <v>3865</v>
      </c>
      <c r="F148" s="284" t="s">
        <v>3866</v>
      </c>
      <c r="G148" s="285" t="s">
        <v>3822</v>
      </c>
      <c r="H148" s="48" t="s">
        <v>3414</v>
      </c>
      <c r="I148" s="48" t="s">
        <v>3415</v>
      </c>
    </row>
    <row r="149" spans="1:10">
      <c r="A149" t="s">
        <v>2</v>
      </c>
      <c r="B149" t="s">
        <v>3807</v>
      </c>
      <c r="D149" s="284">
        <v>1</v>
      </c>
      <c r="E149" s="284">
        <v>15.4</v>
      </c>
      <c r="F149" s="284">
        <v>0.44</v>
      </c>
      <c r="G149" s="285" t="s">
        <v>3417</v>
      </c>
      <c r="H149" s="48" t="s">
        <v>3827</v>
      </c>
      <c r="I149" s="48" t="s">
        <v>3827</v>
      </c>
    </row>
    <row r="150" spans="1:10">
      <c r="A150" t="s">
        <v>2</v>
      </c>
      <c r="B150" t="s">
        <v>3807</v>
      </c>
      <c r="D150" s="284">
        <v>2</v>
      </c>
      <c r="E150" s="284">
        <v>14.3</v>
      </c>
      <c r="F150" s="284">
        <v>0.42</v>
      </c>
      <c r="G150" s="285">
        <v>80.23</v>
      </c>
      <c r="H150" s="48">
        <f>F149*$G$150/100</f>
        <v>0.35301199999999999</v>
      </c>
      <c r="I150" s="48">
        <f>AVERAGE(H150:H159)</f>
        <v>0.31450159999999994</v>
      </c>
      <c r="J150">
        <f>I150</f>
        <v>0.31450159999999994</v>
      </c>
    </row>
    <row r="151" spans="1:10">
      <c r="A151" t="s">
        <v>2</v>
      </c>
      <c r="B151" t="s">
        <v>3807</v>
      </c>
      <c r="D151" s="284">
        <v>3</v>
      </c>
      <c r="E151" s="284">
        <v>15.5</v>
      </c>
      <c r="F151" s="284">
        <v>0.43</v>
      </c>
      <c r="H151" s="48">
        <f t="shared" ref="H151:H159" si="4">F150*$G$150/100</f>
        <v>0.33696600000000004</v>
      </c>
    </row>
    <row r="152" spans="1:10">
      <c r="A152" t="s">
        <v>2</v>
      </c>
      <c r="B152" t="s">
        <v>3807</v>
      </c>
      <c r="D152" s="284">
        <v>4</v>
      </c>
      <c r="E152" s="284">
        <v>15.3</v>
      </c>
      <c r="F152" s="284">
        <v>0.44</v>
      </c>
      <c r="H152" s="48">
        <f t="shared" si="4"/>
        <v>0.34498899999999999</v>
      </c>
    </row>
    <row r="153" spans="1:10">
      <c r="A153" t="s">
        <v>2</v>
      </c>
      <c r="B153" t="s">
        <v>3807</v>
      </c>
      <c r="D153" s="284">
        <v>5</v>
      </c>
      <c r="E153" s="284">
        <v>15.2</v>
      </c>
      <c r="F153" s="284">
        <v>0.45</v>
      </c>
      <c r="H153" s="48">
        <f t="shared" si="4"/>
        <v>0.35301199999999999</v>
      </c>
    </row>
    <row r="154" spans="1:10">
      <c r="A154" t="s">
        <v>2</v>
      </c>
      <c r="B154" t="s">
        <v>3807</v>
      </c>
      <c r="D154" s="284">
        <v>6</v>
      </c>
      <c r="E154" s="284">
        <v>15.2</v>
      </c>
      <c r="F154" s="284">
        <v>0.43</v>
      </c>
      <c r="H154" s="48">
        <f t="shared" si="4"/>
        <v>0.36103500000000005</v>
      </c>
    </row>
    <row r="155" spans="1:10">
      <c r="A155" t="s">
        <v>2</v>
      </c>
      <c r="B155" t="s">
        <v>3807</v>
      </c>
      <c r="D155" s="284">
        <v>7</v>
      </c>
      <c r="E155" s="284">
        <v>15.1</v>
      </c>
      <c r="F155" s="284">
        <v>0.42</v>
      </c>
      <c r="H155" s="48">
        <f t="shared" si="4"/>
        <v>0.34498899999999999</v>
      </c>
    </row>
    <row r="156" spans="1:10">
      <c r="A156" t="s">
        <v>2</v>
      </c>
      <c r="B156" t="s">
        <v>3807</v>
      </c>
      <c r="D156" s="284">
        <v>8</v>
      </c>
      <c r="E156" s="284">
        <v>11.3</v>
      </c>
      <c r="F156" s="284">
        <v>0.38</v>
      </c>
      <c r="H156" s="48">
        <f t="shared" si="4"/>
        <v>0.33696600000000004</v>
      </c>
    </row>
    <row r="157" spans="1:10">
      <c r="A157" t="s">
        <v>2</v>
      </c>
      <c r="B157" t="s">
        <v>3807</v>
      </c>
      <c r="D157" s="284">
        <v>9</v>
      </c>
      <c r="E157" s="284">
        <v>7.5</v>
      </c>
      <c r="F157" s="284">
        <v>0.3</v>
      </c>
      <c r="H157" s="48">
        <f t="shared" si="4"/>
        <v>0.30487400000000003</v>
      </c>
    </row>
    <row r="158" spans="1:10">
      <c r="A158" t="s">
        <v>2</v>
      </c>
      <c r="B158" t="s">
        <v>3807</v>
      </c>
      <c r="D158" s="284">
        <v>10</v>
      </c>
      <c r="E158" s="284">
        <v>4.2</v>
      </c>
      <c r="F158" s="284">
        <v>0.21</v>
      </c>
      <c r="H158" s="48">
        <f t="shared" si="4"/>
        <v>0.24068999999999999</v>
      </c>
    </row>
    <row r="159" spans="1:10">
      <c r="A159" t="s">
        <v>2</v>
      </c>
      <c r="B159" t="s">
        <v>3807</v>
      </c>
      <c r="E159" s="297" t="s">
        <v>3033</v>
      </c>
      <c r="F159" s="297">
        <f>MAX(F150:F158)</f>
        <v>0.45</v>
      </c>
      <c r="H159" s="48">
        <f t="shared" si="4"/>
        <v>0.16848300000000002</v>
      </c>
    </row>
    <row r="160" spans="1:10">
      <c r="A160" t="s">
        <v>2</v>
      </c>
      <c r="B160" t="s">
        <v>3807</v>
      </c>
      <c r="E160" s="48" t="s">
        <v>3034</v>
      </c>
      <c r="F160" s="48">
        <f>MIN(F150:F158)</f>
        <v>0.21</v>
      </c>
    </row>
    <row r="161" spans="1:13">
      <c r="A161" t="s">
        <v>2</v>
      </c>
      <c r="B161" t="s">
        <v>3807</v>
      </c>
    </row>
    <row r="162" spans="1:13">
      <c r="A162" t="s">
        <v>2</v>
      </c>
      <c r="B162" t="s">
        <v>3807</v>
      </c>
      <c r="C162" t="s">
        <v>3145</v>
      </c>
      <c r="D162" s="7" t="s">
        <v>3867</v>
      </c>
      <c r="H162" t="s">
        <v>3868</v>
      </c>
    </row>
    <row r="163" spans="1:13">
      <c r="A163" t="s">
        <v>2</v>
      </c>
      <c r="B163" t="s">
        <v>3807</v>
      </c>
      <c r="D163" s="7" t="s">
        <v>3869</v>
      </c>
    </row>
    <row r="164" spans="1:13" ht="28.2">
      <c r="A164" t="s">
        <v>2</v>
      </c>
      <c r="B164" t="s">
        <v>3807</v>
      </c>
      <c r="D164" s="289" t="s">
        <v>3870</v>
      </c>
      <c r="E164" s="303" t="s">
        <v>3871</v>
      </c>
      <c r="F164" s="303" t="s">
        <v>3872</v>
      </c>
      <c r="G164" s="289" t="s">
        <v>3873</v>
      </c>
      <c r="H164" s="289" t="s">
        <v>3874</v>
      </c>
      <c r="K164" s="81" t="s">
        <v>3874</v>
      </c>
      <c r="L164" s="48" t="s">
        <v>3861</v>
      </c>
      <c r="M164" s="48" t="s">
        <v>3177</v>
      </c>
    </row>
    <row r="165" spans="1:13">
      <c r="A165" t="s">
        <v>2</v>
      </c>
      <c r="B165" t="s">
        <v>3807</v>
      </c>
      <c r="D165" s="292">
        <v>1</v>
      </c>
      <c r="E165" s="321" t="s">
        <v>3875</v>
      </c>
      <c r="F165" s="321" t="s">
        <v>3875</v>
      </c>
      <c r="G165" s="292" t="s">
        <v>3876</v>
      </c>
      <c r="H165" s="292" t="s">
        <v>3877</v>
      </c>
      <c r="K165" s="48">
        <v>5.79</v>
      </c>
      <c r="L165" s="48">
        <f>K165^-1*0.783</f>
        <v>0.13523316062176166</v>
      </c>
      <c r="M165" s="48">
        <f>AVERAGE(L165:L168,L172:L179)</f>
        <v>0.12296263817808083</v>
      </c>
    </row>
    <row r="166" spans="1:13">
      <c r="A166" t="s">
        <v>2</v>
      </c>
      <c r="B166" t="s">
        <v>3807</v>
      </c>
      <c r="D166" s="292">
        <v>2</v>
      </c>
      <c r="E166" s="321" t="s">
        <v>3875</v>
      </c>
      <c r="F166" s="292" t="s">
        <v>3878</v>
      </c>
      <c r="G166" s="292" t="s">
        <v>3879</v>
      </c>
      <c r="H166" s="292" t="s">
        <v>3880</v>
      </c>
      <c r="K166" s="48">
        <v>6.14</v>
      </c>
      <c r="L166" s="48">
        <f t="shared" ref="L166:L179" si="5">K166^-1*0.783</f>
        <v>0.12752442996742672</v>
      </c>
    </row>
    <row r="167" spans="1:13">
      <c r="A167" t="s">
        <v>2</v>
      </c>
      <c r="B167" t="s">
        <v>3807</v>
      </c>
      <c r="D167" s="292">
        <v>3</v>
      </c>
      <c r="E167" s="292" t="s">
        <v>3878</v>
      </c>
      <c r="F167" s="321" t="s">
        <v>3875</v>
      </c>
      <c r="G167" s="292" t="s">
        <v>3881</v>
      </c>
      <c r="H167" s="292" t="s">
        <v>3882</v>
      </c>
      <c r="K167" s="48">
        <v>8.5399999999999991</v>
      </c>
      <c r="L167" s="48">
        <f t="shared" si="5"/>
        <v>9.1686182669789229E-2</v>
      </c>
    </row>
    <row r="168" spans="1:13">
      <c r="A168" t="s">
        <v>2</v>
      </c>
      <c r="B168" t="s">
        <v>3807</v>
      </c>
      <c r="D168" s="290">
        <v>4</v>
      </c>
      <c r="E168" s="290" t="s">
        <v>3878</v>
      </c>
      <c r="F168" s="290" t="s">
        <v>3878</v>
      </c>
      <c r="G168" s="290" t="s">
        <v>3883</v>
      </c>
      <c r="H168" s="290" t="s">
        <v>3884</v>
      </c>
      <c r="K168" s="48">
        <v>8.65</v>
      </c>
      <c r="L168" s="48">
        <f t="shared" si="5"/>
        <v>9.0520231213872829E-2</v>
      </c>
    </row>
    <row r="169" spans="1:13">
      <c r="A169" t="s">
        <v>2</v>
      </c>
      <c r="B169" t="s">
        <v>3807</v>
      </c>
      <c r="D169" t="s">
        <v>3885</v>
      </c>
    </row>
    <row r="170" spans="1:13" ht="15" customHeight="1">
      <c r="A170" t="s">
        <v>2</v>
      </c>
      <c r="B170" t="s">
        <v>3807</v>
      </c>
      <c r="D170" s="289" t="s">
        <v>3886</v>
      </c>
      <c r="E170" s="634" t="s">
        <v>3887</v>
      </c>
      <c r="F170" s="634"/>
      <c r="G170" s="634"/>
      <c r="H170" s="634"/>
      <c r="I170" s="289" t="s">
        <v>3888</v>
      </c>
      <c r="J170" s="302" t="s">
        <v>14</v>
      </c>
    </row>
    <row r="171" spans="1:13" ht="28.2">
      <c r="A171" t="s">
        <v>2</v>
      </c>
      <c r="B171" t="s">
        <v>3807</v>
      </c>
      <c r="D171" s="290" t="s">
        <v>14</v>
      </c>
      <c r="E171" s="320" t="s">
        <v>3871</v>
      </c>
      <c r="F171" s="320" t="s">
        <v>3872</v>
      </c>
      <c r="G171" s="320" t="s">
        <v>3889</v>
      </c>
      <c r="H171" s="320" t="s">
        <v>3890</v>
      </c>
      <c r="I171" s="319" t="s">
        <v>3891</v>
      </c>
      <c r="J171" s="319" t="s">
        <v>3874</v>
      </c>
    </row>
    <row r="172" spans="1:13">
      <c r="A172" t="s">
        <v>2</v>
      </c>
      <c r="B172" t="s">
        <v>3807</v>
      </c>
      <c r="D172" s="292">
        <v>1</v>
      </c>
      <c r="E172" s="321" t="s">
        <v>3875</v>
      </c>
      <c r="F172" s="321" t="s">
        <v>3875</v>
      </c>
      <c r="G172" s="321" t="s">
        <v>3875</v>
      </c>
      <c r="H172" s="321" t="s">
        <v>3875</v>
      </c>
      <c r="I172" s="292" t="s">
        <v>3892</v>
      </c>
      <c r="J172" s="292" t="s">
        <v>3893</v>
      </c>
      <c r="K172" s="48">
        <v>5.35</v>
      </c>
      <c r="L172" s="48">
        <f t="shared" si="5"/>
        <v>0.14635514018691592</v>
      </c>
    </row>
    <row r="173" spans="1:13">
      <c r="A173" t="s">
        <v>2</v>
      </c>
      <c r="B173" t="s">
        <v>3807</v>
      </c>
      <c r="D173" s="292">
        <v>2</v>
      </c>
      <c r="E173" s="321" t="s">
        <v>3875</v>
      </c>
      <c r="F173" s="292" t="s">
        <v>3878</v>
      </c>
      <c r="G173" s="321" t="s">
        <v>3875</v>
      </c>
      <c r="H173" s="292" t="s">
        <v>3878</v>
      </c>
      <c r="I173" s="292" t="s">
        <v>3894</v>
      </c>
      <c r="J173" s="292" t="s">
        <v>3895</v>
      </c>
      <c r="K173" s="48">
        <v>5.37</v>
      </c>
      <c r="L173" s="48">
        <f t="shared" si="5"/>
        <v>0.1458100558659218</v>
      </c>
    </row>
    <row r="174" spans="1:13">
      <c r="A174" t="s">
        <v>2</v>
      </c>
      <c r="B174" t="s">
        <v>3807</v>
      </c>
      <c r="D174" s="292">
        <v>3</v>
      </c>
      <c r="E174" s="321" t="s">
        <v>3875</v>
      </c>
      <c r="F174" s="292" t="s">
        <v>3878</v>
      </c>
      <c r="G174" s="292" t="s">
        <v>3878</v>
      </c>
      <c r="H174" s="321" t="s">
        <v>3875</v>
      </c>
      <c r="I174" s="292" t="s">
        <v>3896</v>
      </c>
      <c r="J174" s="292" t="s">
        <v>3897</v>
      </c>
      <c r="K174" s="48">
        <v>6.89</v>
      </c>
      <c r="L174" s="48">
        <f t="shared" si="5"/>
        <v>0.11364296081277213</v>
      </c>
    </row>
    <row r="175" spans="1:13">
      <c r="A175" t="s">
        <v>2</v>
      </c>
      <c r="B175" t="s">
        <v>3807</v>
      </c>
      <c r="D175" s="292">
        <v>4</v>
      </c>
      <c r="E175" s="321" t="s">
        <v>3875</v>
      </c>
      <c r="F175" s="321" t="s">
        <v>3875</v>
      </c>
      <c r="G175" s="292" t="s">
        <v>3878</v>
      </c>
      <c r="H175" s="292" t="s">
        <v>3878</v>
      </c>
      <c r="I175" s="292" t="s">
        <v>3898</v>
      </c>
      <c r="J175" s="292" t="s">
        <v>3899</v>
      </c>
      <c r="K175" s="48">
        <v>6.22</v>
      </c>
      <c r="L175" s="48">
        <f t="shared" si="5"/>
        <v>0.12588424437299037</v>
      </c>
    </row>
    <row r="176" spans="1:13">
      <c r="A176" t="s">
        <v>2</v>
      </c>
      <c r="B176" t="s">
        <v>3807</v>
      </c>
      <c r="D176" s="292">
        <v>5</v>
      </c>
      <c r="E176" s="292" t="s">
        <v>3878</v>
      </c>
      <c r="F176" s="292" t="s">
        <v>3878</v>
      </c>
      <c r="G176" s="321" t="s">
        <v>3875</v>
      </c>
      <c r="H176" s="321" t="s">
        <v>3875</v>
      </c>
      <c r="I176" s="292" t="s">
        <v>3900</v>
      </c>
      <c r="J176" s="292" t="s">
        <v>3901</v>
      </c>
      <c r="K176" s="48">
        <v>5.76</v>
      </c>
      <c r="L176" s="48">
        <f t="shared" si="5"/>
        <v>0.13593749999999999</v>
      </c>
    </row>
    <row r="177" spans="1:12">
      <c r="A177" t="s">
        <v>2</v>
      </c>
      <c r="B177" t="s">
        <v>3807</v>
      </c>
      <c r="D177" s="292">
        <v>6</v>
      </c>
      <c r="E177" s="292" t="s">
        <v>3878</v>
      </c>
      <c r="F177" s="321" t="s">
        <v>3875</v>
      </c>
      <c r="G177" s="321" t="s">
        <v>3875</v>
      </c>
      <c r="H177" s="292" t="s">
        <v>3878</v>
      </c>
      <c r="I177" s="292" t="s">
        <v>3902</v>
      </c>
      <c r="J177" s="292" t="s">
        <v>3903</v>
      </c>
      <c r="K177" s="48">
        <v>5.96</v>
      </c>
      <c r="L177" s="48">
        <f t="shared" si="5"/>
        <v>0.13137583892617452</v>
      </c>
    </row>
    <row r="178" spans="1:12">
      <c r="A178" t="s">
        <v>2</v>
      </c>
      <c r="B178" t="s">
        <v>3807</v>
      </c>
      <c r="D178" s="292">
        <v>7</v>
      </c>
      <c r="E178" s="292" t="s">
        <v>3878</v>
      </c>
      <c r="F178" s="321" t="s">
        <v>3875</v>
      </c>
      <c r="G178" s="292" t="s">
        <v>3878</v>
      </c>
      <c r="H178" s="321" t="s">
        <v>3875</v>
      </c>
      <c r="I178" s="292" t="s">
        <v>3904</v>
      </c>
      <c r="J178" s="292" t="s">
        <v>3905</v>
      </c>
      <c r="K178" s="48">
        <v>6.54</v>
      </c>
      <c r="L178" s="48">
        <f t="shared" si="5"/>
        <v>0.11972477064220183</v>
      </c>
    </row>
    <row r="179" spans="1:12">
      <c r="A179" t="s">
        <v>2</v>
      </c>
      <c r="B179" t="s">
        <v>3807</v>
      </c>
      <c r="D179" s="290">
        <v>8</v>
      </c>
      <c r="E179" s="290" t="s">
        <v>3878</v>
      </c>
      <c r="F179" s="290" t="s">
        <v>3878</v>
      </c>
      <c r="G179" s="290" t="s">
        <v>3878</v>
      </c>
      <c r="H179" s="290" t="s">
        <v>3878</v>
      </c>
      <c r="I179" s="290" t="s">
        <v>3906</v>
      </c>
      <c r="J179" s="290" t="s">
        <v>3907</v>
      </c>
      <c r="K179" s="48">
        <v>7</v>
      </c>
      <c r="L179" s="48">
        <f t="shared" si="5"/>
        <v>0.11185714285714285</v>
      </c>
    </row>
    <row r="180" spans="1:12">
      <c r="A180" t="s">
        <v>2</v>
      </c>
      <c r="B180" t="s">
        <v>3807</v>
      </c>
      <c r="J180" s="48" t="s">
        <v>3033</v>
      </c>
      <c r="K180" s="48">
        <f>MAX(K165:K179)</f>
        <v>8.65</v>
      </c>
    </row>
    <row r="181" spans="1:12">
      <c r="A181" t="s">
        <v>2</v>
      </c>
      <c r="B181" t="s">
        <v>3807</v>
      </c>
      <c r="J181" s="48" t="s">
        <v>3034</v>
      </c>
      <c r="K181" s="48">
        <f>MIN(K165:K179)</f>
        <v>5.35</v>
      </c>
    </row>
    <row r="182" spans="1:12">
      <c r="A182" t="s">
        <v>2</v>
      </c>
      <c r="B182" t="s">
        <v>3807</v>
      </c>
    </row>
    <row r="183" spans="1:12">
      <c r="A183" t="s">
        <v>2</v>
      </c>
      <c r="B183" t="s">
        <v>3908</v>
      </c>
      <c r="C183" t="s">
        <v>4</v>
      </c>
      <c r="D183" s="7" t="s">
        <v>3909</v>
      </c>
      <c r="H183" t="s">
        <v>3189</v>
      </c>
    </row>
    <row r="184" spans="1:12">
      <c r="A184" t="s">
        <v>2</v>
      </c>
      <c r="B184" t="s">
        <v>3908</v>
      </c>
      <c r="D184" s="7" t="s">
        <v>3910</v>
      </c>
    </row>
    <row r="185" spans="1:12">
      <c r="A185" t="s">
        <v>2</v>
      </c>
      <c r="B185" t="s">
        <v>3908</v>
      </c>
      <c r="D185" s="284"/>
      <c r="E185" s="284" t="s">
        <v>3151</v>
      </c>
      <c r="F185" s="48" t="s">
        <v>3911</v>
      </c>
      <c r="G185" s="48" t="s">
        <v>3912</v>
      </c>
      <c r="H185" s="48" t="s">
        <v>3177</v>
      </c>
    </row>
    <row r="186" spans="1:12">
      <c r="A186" t="s">
        <v>2</v>
      </c>
      <c r="B186" t="s">
        <v>3908</v>
      </c>
      <c r="D186" s="284" t="s">
        <v>3913</v>
      </c>
      <c r="E186" s="284">
        <v>0.41599999999999998</v>
      </c>
      <c r="F186" s="48">
        <v>27.37</v>
      </c>
      <c r="G186" s="48">
        <f>E186*F186/100</f>
        <v>0.11385920000000001</v>
      </c>
      <c r="H186" s="48">
        <f>AVERAGE(G186:G187)</f>
        <v>0.11454344999999999</v>
      </c>
    </row>
    <row r="187" spans="1:12">
      <c r="A187" t="s">
        <v>2</v>
      </c>
      <c r="B187" t="s">
        <v>3908</v>
      </c>
      <c r="D187" s="284" t="s">
        <v>3914</v>
      </c>
      <c r="E187" s="284">
        <v>0.42099999999999999</v>
      </c>
      <c r="G187" s="48">
        <f>E187*F186/100</f>
        <v>0.11522769999999999</v>
      </c>
    </row>
    <row r="188" spans="1:12">
      <c r="A188" t="s">
        <v>2</v>
      </c>
      <c r="B188" t="s">
        <v>3908</v>
      </c>
    </row>
    <row r="189" spans="1:12">
      <c r="A189" t="s">
        <v>2</v>
      </c>
      <c r="B189" t="s">
        <v>3908</v>
      </c>
      <c r="C189" t="s">
        <v>473</v>
      </c>
      <c r="D189" s="7" t="s">
        <v>3915</v>
      </c>
    </row>
    <row r="190" spans="1:12">
      <c r="A190" t="s">
        <v>2</v>
      </c>
      <c r="B190" t="s">
        <v>3908</v>
      </c>
      <c r="D190" s="7" t="s">
        <v>3916</v>
      </c>
    </row>
    <row r="191" spans="1:12" ht="17.25" customHeight="1">
      <c r="A191" t="s">
        <v>2</v>
      </c>
      <c r="B191" t="s">
        <v>3908</v>
      </c>
      <c r="D191" t="s">
        <v>3917</v>
      </c>
    </row>
    <row r="192" spans="1:12">
      <c r="A192" t="s">
        <v>2</v>
      </c>
      <c r="B192" t="s">
        <v>3908</v>
      </c>
      <c r="D192" t="s">
        <v>3149</v>
      </c>
      <c r="E192" s="48" t="s">
        <v>3918</v>
      </c>
      <c r="F192" s="48" t="s">
        <v>3919</v>
      </c>
      <c r="G192" s="48" t="s">
        <v>3912</v>
      </c>
      <c r="H192" s="48" t="s">
        <v>3177</v>
      </c>
    </row>
    <row r="193" spans="1:13">
      <c r="A193" t="s">
        <v>2</v>
      </c>
      <c r="B193" t="s">
        <v>3908</v>
      </c>
      <c r="D193">
        <v>85.12</v>
      </c>
      <c r="E193" s="48">
        <v>0.51</v>
      </c>
      <c r="F193" s="48">
        <f>12+22*180/342</f>
        <v>23.578947368421055</v>
      </c>
      <c r="G193" s="48">
        <f>$E$193*D193/100*$F$193/100</f>
        <v>0.10235904000000001</v>
      </c>
      <c r="H193" s="48">
        <f>AVERAGE(G193:G197)</f>
        <v>9.0550231578947385E-2</v>
      </c>
    </row>
    <row r="194" spans="1:13">
      <c r="A194" t="s">
        <v>2</v>
      </c>
      <c r="B194" t="s">
        <v>3908</v>
      </c>
      <c r="D194">
        <v>78.069999999999993</v>
      </c>
      <c r="G194" s="48">
        <f t="shared" ref="G194:G197" si="6">$E$193*D194/100*$F$193/100</f>
        <v>9.3881229473684213E-2</v>
      </c>
      <c r="I194" s="48"/>
    </row>
    <row r="195" spans="1:13">
      <c r="A195" t="s">
        <v>2</v>
      </c>
      <c r="B195" t="s">
        <v>3908</v>
      </c>
      <c r="D195">
        <v>65.569999999999993</v>
      </c>
      <c r="G195" s="48">
        <f t="shared" si="6"/>
        <v>7.8849650526315804E-2</v>
      </c>
    </row>
    <row r="196" spans="1:13">
      <c r="A196" t="s">
        <v>2</v>
      </c>
      <c r="B196" t="s">
        <v>3908</v>
      </c>
      <c r="D196">
        <v>79.25</v>
      </c>
      <c r="G196" s="48">
        <f t="shared" si="6"/>
        <v>9.5300210526315807E-2</v>
      </c>
    </row>
    <row r="197" spans="1:13">
      <c r="A197" t="s">
        <v>2</v>
      </c>
      <c r="B197" t="s">
        <v>3908</v>
      </c>
      <c r="D197">
        <v>68.489999999999995</v>
      </c>
      <c r="G197" s="48">
        <f t="shared" si="6"/>
        <v>8.2361027368421047E-2</v>
      </c>
    </row>
    <row r="198" spans="1:13">
      <c r="A198" t="s">
        <v>2</v>
      </c>
      <c r="B198" t="s">
        <v>3908</v>
      </c>
      <c r="D198" s="48">
        <f>MAX(D193:D197)</f>
        <v>85.12</v>
      </c>
      <c r="E198" s="48" t="s">
        <v>3033</v>
      </c>
      <c r="F198" t="s">
        <v>3920</v>
      </c>
    </row>
    <row r="199" spans="1:13">
      <c r="A199" t="s">
        <v>2</v>
      </c>
      <c r="B199" t="s">
        <v>3908</v>
      </c>
      <c r="D199" s="48">
        <f>MIN(D193:D197)</f>
        <v>65.569999999999993</v>
      </c>
      <c r="E199" s="48" t="s">
        <v>3034</v>
      </c>
    </row>
    <row r="200" spans="1:13">
      <c r="A200" t="s">
        <v>2</v>
      </c>
      <c r="B200" t="s">
        <v>3908</v>
      </c>
    </row>
    <row r="201" spans="1:13">
      <c r="A201" t="s">
        <v>2</v>
      </c>
      <c r="B201" t="s">
        <v>3908</v>
      </c>
      <c r="C201" t="s">
        <v>69</v>
      </c>
      <c r="D201" s="7" t="s">
        <v>3921</v>
      </c>
    </row>
    <row r="202" spans="1:13">
      <c r="A202" t="s">
        <v>2</v>
      </c>
      <c r="B202" t="s">
        <v>3908</v>
      </c>
      <c r="D202" s="7" t="s">
        <v>3922</v>
      </c>
    </row>
    <row r="203" spans="1:13">
      <c r="A203" t="s">
        <v>2</v>
      </c>
      <c r="B203" t="s">
        <v>3908</v>
      </c>
      <c r="D203" s="634" t="s">
        <v>3923</v>
      </c>
      <c r="E203" s="634" t="s">
        <v>3924</v>
      </c>
      <c r="F203" s="634"/>
      <c r="G203" s="634"/>
      <c r="H203" s="634" t="s">
        <v>3925</v>
      </c>
      <c r="I203" s="634"/>
      <c r="J203" s="634"/>
      <c r="K203" s="634" t="s">
        <v>3926</v>
      </c>
      <c r="L203" s="634"/>
      <c r="M203" s="303" t="s">
        <v>3927</v>
      </c>
    </row>
    <row r="204" spans="1:13">
      <c r="A204" t="s">
        <v>2</v>
      </c>
      <c r="B204" t="s">
        <v>3908</v>
      </c>
      <c r="D204" s="674"/>
      <c r="E204" s="291" t="s">
        <v>3928</v>
      </c>
      <c r="F204" s="291" t="s">
        <v>3929</v>
      </c>
      <c r="G204" s="291" t="s">
        <v>3930</v>
      </c>
      <c r="H204" s="291" t="s">
        <v>3928</v>
      </c>
      <c r="I204" s="291" t="s">
        <v>3929</v>
      </c>
      <c r="J204" s="291" t="s">
        <v>3930</v>
      </c>
      <c r="K204" s="291" t="s">
        <v>3928</v>
      </c>
      <c r="L204" s="291" t="s">
        <v>3931</v>
      </c>
      <c r="M204" s="290" t="s">
        <v>14</v>
      </c>
    </row>
    <row r="205" spans="1:13">
      <c r="A205" t="s">
        <v>2</v>
      </c>
      <c r="B205" t="s">
        <v>3908</v>
      </c>
      <c r="D205" s="292" t="s">
        <v>3932</v>
      </c>
      <c r="E205" s="292">
        <v>0.12</v>
      </c>
      <c r="F205" s="292">
        <v>0.25</v>
      </c>
      <c r="G205" s="292">
        <v>0.5</v>
      </c>
      <c r="H205" s="292">
        <v>0.12</v>
      </c>
      <c r="I205" s="292">
        <v>0.25</v>
      </c>
      <c r="J205" s="292">
        <v>0.5</v>
      </c>
      <c r="K205" s="292" t="s">
        <v>3933</v>
      </c>
      <c r="L205" s="292">
        <v>0.31</v>
      </c>
      <c r="M205" s="292" t="s">
        <v>410</v>
      </c>
    </row>
    <row r="206" spans="1:13">
      <c r="A206" t="s">
        <v>2</v>
      </c>
      <c r="B206" t="s">
        <v>3908</v>
      </c>
      <c r="D206" s="292" t="s">
        <v>3934</v>
      </c>
      <c r="E206" s="292" t="s">
        <v>3935</v>
      </c>
      <c r="F206" s="292" t="s">
        <v>3936</v>
      </c>
      <c r="G206" s="292" t="s">
        <v>3937</v>
      </c>
      <c r="H206" s="292" t="s">
        <v>3938</v>
      </c>
      <c r="I206" s="292" t="s">
        <v>3939</v>
      </c>
      <c r="J206" s="292" t="s">
        <v>3940</v>
      </c>
      <c r="K206" s="292" t="s">
        <v>3941</v>
      </c>
      <c r="L206" s="292" t="s">
        <v>3942</v>
      </c>
      <c r="M206" s="292">
        <v>3.2000000000000002E-3</v>
      </c>
    </row>
    <row r="207" spans="1:13">
      <c r="A207" t="s">
        <v>2</v>
      </c>
      <c r="B207" t="s">
        <v>3908</v>
      </c>
      <c r="D207" s="292" t="s">
        <v>3943</v>
      </c>
      <c r="E207" s="292" t="s">
        <v>3944</v>
      </c>
      <c r="F207" s="292" t="s">
        <v>3945</v>
      </c>
      <c r="G207" s="292" t="s">
        <v>3946</v>
      </c>
      <c r="H207" s="292" t="s">
        <v>3947</v>
      </c>
      <c r="I207" s="292" t="s">
        <v>3948</v>
      </c>
      <c r="J207" s="292" t="s">
        <v>1667</v>
      </c>
      <c r="K207" s="292" t="s">
        <v>3949</v>
      </c>
      <c r="L207" s="292" t="s">
        <v>3950</v>
      </c>
      <c r="M207" s="292">
        <v>6.1000000000000004E-3</v>
      </c>
    </row>
    <row r="208" spans="1:13">
      <c r="A208" t="s">
        <v>2</v>
      </c>
      <c r="B208" t="s">
        <v>3908</v>
      </c>
      <c r="D208" s="292" t="s">
        <v>3951</v>
      </c>
      <c r="E208" s="292">
        <v>100</v>
      </c>
      <c r="F208" s="292">
        <v>100</v>
      </c>
      <c r="G208" s="292">
        <v>100</v>
      </c>
      <c r="H208" s="292">
        <v>100</v>
      </c>
      <c r="I208" s="292">
        <v>100</v>
      </c>
      <c r="J208" s="292">
        <v>100</v>
      </c>
      <c r="K208" s="292">
        <v>100</v>
      </c>
      <c r="L208" s="292">
        <v>100</v>
      </c>
      <c r="M208" s="292"/>
    </row>
    <row r="209" spans="1:15">
      <c r="A209" t="s">
        <v>2</v>
      </c>
      <c r="B209" t="s">
        <v>3908</v>
      </c>
      <c r="D209" s="292" t="s">
        <v>3952</v>
      </c>
      <c r="E209" s="292" t="s">
        <v>3953</v>
      </c>
      <c r="F209" s="292" t="s">
        <v>3954</v>
      </c>
      <c r="G209" s="292" t="s">
        <v>3955</v>
      </c>
      <c r="H209" s="292" t="s">
        <v>3956</v>
      </c>
      <c r="I209" s="292" t="s">
        <v>3957</v>
      </c>
      <c r="J209" s="292" t="s">
        <v>3958</v>
      </c>
      <c r="K209" s="292" t="s">
        <v>3959</v>
      </c>
      <c r="L209" s="292" t="s">
        <v>3960</v>
      </c>
      <c r="M209" s="292">
        <v>4.0000000000000001E-3</v>
      </c>
    </row>
    <row r="210" spans="1:15">
      <c r="A210" t="s">
        <v>2</v>
      </c>
      <c r="B210" t="s">
        <v>3908</v>
      </c>
      <c r="D210" s="292" t="s">
        <v>3961</v>
      </c>
      <c r="E210" s="292" t="s">
        <v>3962</v>
      </c>
      <c r="F210" s="292" t="s">
        <v>3963</v>
      </c>
      <c r="G210" s="292" t="s">
        <v>3964</v>
      </c>
      <c r="H210" s="292" t="s">
        <v>3965</v>
      </c>
      <c r="I210" s="292" t="s">
        <v>3966</v>
      </c>
      <c r="J210" s="292" t="s">
        <v>3967</v>
      </c>
      <c r="K210" s="292" t="s">
        <v>3968</v>
      </c>
      <c r="L210" s="292" t="s">
        <v>3969</v>
      </c>
      <c r="M210" s="292">
        <v>1.1999999999999999E-3</v>
      </c>
    </row>
    <row r="211" spans="1:15">
      <c r="A211" t="s">
        <v>2</v>
      </c>
      <c r="B211" t="s">
        <v>3908</v>
      </c>
      <c r="D211" s="292" t="s">
        <v>3970</v>
      </c>
      <c r="E211" s="292" t="s">
        <v>3971</v>
      </c>
      <c r="F211" s="292" t="s">
        <v>3972</v>
      </c>
      <c r="G211" s="292" t="s">
        <v>3973</v>
      </c>
      <c r="H211" s="292" t="s">
        <v>410</v>
      </c>
      <c r="I211" s="292" t="s">
        <v>410</v>
      </c>
      <c r="J211" s="292" t="s">
        <v>410</v>
      </c>
      <c r="K211" s="292" t="s">
        <v>3974</v>
      </c>
      <c r="L211" s="292" t="s">
        <v>3975</v>
      </c>
      <c r="M211" s="292" t="s">
        <v>410</v>
      </c>
    </row>
    <row r="212" spans="1:15" ht="28.2">
      <c r="A212" t="s">
        <v>2</v>
      </c>
      <c r="B212" t="s">
        <v>3908</v>
      </c>
      <c r="D212" s="290" t="s">
        <v>3976</v>
      </c>
      <c r="E212" s="290" t="s">
        <v>3977</v>
      </c>
      <c r="F212" s="290" t="s">
        <v>3978</v>
      </c>
      <c r="G212" s="290" t="s">
        <v>3979</v>
      </c>
      <c r="H212" s="290" t="s">
        <v>3980</v>
      </c>
      <c r="I212" s="290" t="s">
        <v>3981</v>
      </c>
      <c r="J212" s="290" t="s">
        <v>3982</v>
      </c>
      <c r="K212" s="290" t="s">
        <v>3983</v>
      </c>
      <c r="L212" s="302" t="s">
        <v>3984</v>
      </c>
      <c r="M212" s="318">
        <v>5.5999999999999999E-3</v>
      </c>
      <c r="N212" s="48" t="s">
        <v>3985</v>
      </c>
      <c r="O212" s="48" t="s">
        <v>3986</v>
      </c>
    </row>
    <row r="213" spans="1:15" ht="28.8">
      <c r="A213" t="s">
        <v>2</v>
      </c>
      <c r="B213" t="s">
        <v>3908</v>
      </c>
      <c r="D213" s="81" t="s">
        <v>3987</v>
      </c>
      <c r="E213" s="48">
        <v>0.34</v>
      </c>
      <c r="F213" s="48">
        <v>0.31</v>
      </c>
      <c r="G213" s="48">
        <v>0.24</v>
      </c>
      <c r="H213" s="48">
        <v>0.45</v>
      </c>
      <c r="I213" s="48">
        <v>0.35</v>
      </c>
      <c r="J213" s="48">
        <v>0.27</v>
      </c>
      <c r="K213" s="48">
        <v>0.42</v>
      </c>
      <c r="L213" s="48">
        <v>0.46</v>
      </c>
      <c r="N213" s="48">
        <f>MAX(E213:L213)</f>
        <v>0.46</v>
      </c>
      <c r="O213" s="48">
        <f>MIN(E213:L213)</f>
        <v>0.24</v>
      </c>
    </row>
    <row r="214" spans="1:15" ht="15.6">
      <c r="A214" t="s">
        <v>2</v>
      </c>
      <c r="B214" t="s">
        <v>3908</v>
      </c>
      <c r="D214" s="306" t="s">
        <v>3988</v>
      </c>
    </row>
    <row r="215" spans="1:15" ht="15.6">
      <c r="A215" t="s">
        <v>2</v>
      </c>
      <c r="B215" t="s">
        <v>3908</v>
      </c>
      <c r="D215" s="306" t="s">
        <v>3989</v>
      </c>
    </row>
    <row r="216" spans="1:15">
      <c r="A216" t="s">
        <v>2</v>
      </c>
      <c r="B216" t="s">
        <v>3908</v>
      </c>
      <c r="D216" s="48" t="s">
        <v>3990</v>
      </c>
      <c r="E216" s="48">
        <f>48.5*81.7%</f>
        <v>39.624500000000005</v>
      </c>
    </row>
    <row r="217" spans="1:15">
      <c r="A217" t="s">
        <v>2</v>
      </c>
      <c r="B217" t="s">
        <v>3908</v>
      </c>
      <c r="D217" s="48" t="s">
        <v>3991</v>
      </c>
      <c r="E217" s="48">
        <f>E213*$E$216/100</f>
        <v>0.13472330000000002</v>
      </c>
      <c r="F217" s="48">
        <f t="shared" ref="F217:L217" si="7">F213*$E$216/100</f>
        <v>0.12283595000000001</v>
      </c>
      <c r="G217" s="48">
        <f t="shared" si="7"/>
        <v>9.5098800000000011E-2</v>
      </c>
      <c r="H217" s="48">
        <f t="shared" si="7"/>
        <v>0.17831025000000003</v>
      </c>
      <c r="I217" s="48">
        <f t="shared" si="7"/>
        <v>0.13868575000000002</v>
      </c>
      <c r="J217" s="48">
        <f t="shared" si="7"/>
        <v>0.10698615000000002</v>
      </c>
      <c r="K217" s="48">
        <f t="shared" si="7"/>
        <v>0.16642290000000004</v>
      </c>
      <c r="L217" s="48">
        <f t="shared" si="7"/>
        <v>0.18227270000000004</v>
      </c>
    </row>
    <row r="218" spans="1:15">
      <c r="A218" t="s">
        <v>2</v>
      </c>
      <c r="B218" t="s">
        <v>3908</v>
      </c>
      <c r="D218" s="48" t="s">
        <v>3177</v>
      </c>
      <c r="E218" s="48">
        <f>AVERAGE(E217:L217)</f>
        <v>0.14066697500000003</v>
      </c>
    </row>
    <row r="219" spans="1:15">
      <c r="A219" t="s">
        <v>2</v>
      </c>
      <c r="B219" t="s">
        <v>3908</v>
      </c>
    </row>
    <row r="220" spans="1:15">
      <c r="A220" t="s">
        <v>2</v>
      </c>
      <c r="B220" t="s">
        <v>3908</v>
      </c>
      <c r="C220" t="s">
        <v>132</v>
      </c>
      <c r="D220" s="7" t="s">
        <v>3992</v>
      </c>
    </row>
    <row r="221" spans="1:15">
      <c r="A221" t="s">
        <v>2</v>
      </c>
      <c r="B221" t="s">
        <v>3908</v>
      </c>
      <c r="D221" s="7" t="s">
        <v>3993</v>
      </c>
    </row>
    <row r="222" spans="1:15" ht="15.6">
      <c r="A222" t="s">
        <v>2</v>
      </c>
      <c r="B222" t="s">
        <v>3908</v>
      </c>
      <c r="D222" s="306" t="s">
        <v>3994</v>
      </c>
    </row>
    <row r="223" spans="1:15">
      <c r="A223" t="s">
        <v>2</v>
      </c>
      <c r="B223" t="s">
        <v>3908</v>
      </c>
      <c r="D223" s="284" t="s">
        <v>3149</v>
      </c>
      <c r="E223" s="285" t="s">
        <v>3918</v>
      </c>
      <c r="F223" s="48" t="s">
        <v>3911</v>
      </c>
      <c r="G223" s="48" t="s">
        <v>3912</v>
      </c>
    </row>
    <row r="224" spans="1:15">
      <c r="A224" t="s">
        <v>2</v>
      </c>
      <c r="B224" t="s">
        <v>3908</v>
      </c>
      <c r="D224" s="284">
        <v>46.23</v>
      </c>
      <c r="E224" s="285">
        <v>0.51</v>
      </c>
      <c r="F224" s="48">
        <v>27.37</v>
      </c>
      <c r="G224" s="48">
        <f>$E$193*D224/100*$F$193/100</f>
        <v>5.5592791578947372E-2</v>
      </c>
    </row>
    <row r="225" spans="1:13">
      <c r="A225" t="s">
        <v>2</v>
      </c>
      <c r="B225" t="s">
        <v>3908</v>
      </c>
    </row>
    <row r="226" spans="1:13">
      <c r="A226" t="s">
        <v>2</v>
      </c>
      <c r="B226" t="s">
        <v>3908</v>
      </c>
      <c r="C226" t="s">
        <v>3145</v>
      </c>
      <c r="D226" t="s">
        <v>5533</v>
      </c>
    </row>
    <row r="227" spans="1:13">
      <c r="A227" t="s">
        <v>2</v>
      </c>
      <c r="B227" t="s">
        <v>3908</v>
      </c>
      <c r="D227" t="s">
        <v>5549</v>
      </c>
    </row>
    <row r="228" spans="1:13">
      <c r="A228" t="s">
        <v>2</v>
      </c>
      <c r="B228" t="s">
        <v>3908</v>
      </c>
      <c r="D228" t="s">
        <v>5534</v>
      </c>
    </row>
    <row r="229" spans="1:13">
      <c r="A229" t="s">
        <v>2</v>
      </c>
      <c r="B229" t="s">
        <v>3908</v>
      </c>
      <c r="D229" t="s">
        <v>4604</v>
      </c>
      <c r="E229" t="s">
        <v>5535</v>
      </c>
      <c r="G229" t="s">
        <v>5536</v>
      </c>
      <c r="J229" t="s">
        <v>5537</v>
      </c>
    </row>
    <row r="230" spans="1:13">
      <c r="A230" t="s">
        <v>2</v>
      </c>
      <c r="B230" t="s">
        <v>3908</v>
      </c>
      <c r="D230" t="s">
        <v>14</v>
      </c>
      <c r="E230" t="s">
        <v>5538</v>
      </c>
      <c r="F230" t="s">
        <v>5539</v>
      </c>
      <c r="G230" t="s">
        <v>5540</v>
      </c>
      <c r="H230" t="s">
        <v>1687</v>
      </c>
      <c r="I230" t="s">
        <v>1250</v>
      </c>
      <c r="J230" t="s">
        <v>5541</v>
      </c>
      <c r="K230" s="204" t="s">
        <v>5542</v>
      </c>
      <c r="L230" t="s">
        <v>5543</v>
      </c>
      <c r="M230" t="s">
        <v>5544</v>
      </c>
    </row>
    <row r="231" spans="1:13">
      <c r="A231" t="s">
        <v>2</v>
      </c>
      <c r="B231" t="s">
        <v>3908</v>
      </c>
      <c r="D231">
        <v>1</v>
      </c>
      <c r="E231" t="s">
        <v>3878</v>
      </c>
      <c r="F231" t="s">
        <v>3878</v>
      </c>
      <c r="G231">
        <v>150</v>
      </c>
      <c r="H231">
        <v>25</v>
      </c>
      <c r="I231">
        <v>46.43</v>
      </c>
      <c r="J231">
        <v>64.260000000000005</v>
      </c>
      <c r="K231">
        <v>0.35</v>
      </c>
      <c r="L231">
        <v>0.97</v>
      </c>
      <c r="M231">
        <v>1.39</v>
      </c>
    </row>
    <row r="232" spans="1:13">
      <c r="A232" t="s">
        <v>2</v>
      </c>
      <c r="B232" t="s">
        <v>3908</v>
      </c>
      <c r="D232">
        <v>2</v>
      </c>
      <c r="E232" t="s">
        <v>3875</v>
      </c>
      <c r="F232" t="s">
        <v>3878</v>
      </c>
      <c r="G232">
        <v>250</v>
      </c>
      <c r="H232">
        <v>35</v>
      </c>
      <c r="I232">
        <v>42.39</v>
      </c>
      <c r="J232">
        <v>73.98</v>
      </c>
      <c r="K232">
        <v>0.4</v>
      </c>
      <c r="L232">
        <v>0.88</v>
      </c>
      <c r="M232">
        <v>1.46</v>
      </c>
    </row>
    <row r="233" spans="1:13">
      <c r="A233" t="s">
        <v>2</v>
      </c>
      <c r="B233" t="s">
        <v>3908</v>
      </c>
      <c r="D233">
        <v>3</v>
      </c>
      <c r="E233" t="s">
        <v>3878</v>
      </c>
      <c r="F233" t="s">
        <v>3875</v>
      </c>
      <c r="G233">
        <v>150</v>
      </c>
      <c r="H233">
        <v>25</v>
      </c>
      <c r="I233">
        <v>47.73</v>
      </c>
      <c r="J233">
        <v>77.010000000000005</v>
      </c>
      <c r="K233">
        <v>0.42</v>
      </c>
      <c r="L233">
        <v>0.99</v>
      </c>
      <c r="M233">
        <v>1.25</v>
      </c>
    </row>
    <row r="234" spans="1:13">
      <c r="A234" t="s">
        <v>2</v>
      </c>
      <c r="B234" t="s">
        <v>3908</v>
      </c>
      <c r="D234">
        <v>4</v>
      </c>
      <c r="E234" t="s">
        <v>3875</v>
      </c>
      <c r="F234" t="s">
        <v>3875</v>
      </c>
      <c r="G234">
        <v>250</v>
      </c>
      <c r="H234">
        <v>35</v>
      </c>
      <c r="I234">
        <v>45.22</v>
      </c>
      <c r="J234">
        <v>74.56</v>
      </c>
      <c r="K234">
        <v>0.4</v>
      </c>
      <c r="L234">
        <v>0.94</v>
      </c>
      <c r="M234">
        <v>1.46</v>
      </c>
    </row>
    <row r="235" spans="1:13">
      <c r="A235" t="s">
        <v>2</v>
      </c>
      <c r="B235" t="s">
        <v>3908</v>
      </c>
      <c r="D235">
        <v>5</v>
      </c>
      <c r="E235">
        <v>0</v>
      </c>
      <c r="F235">
        <v>0</v>
      </c>
      <c r="G235">
        <v>200</v>
      </c>
      <c r="H235">
        <v>30</v>
      </c>
      <c r="I235">
        <v>55.36</v>
      </c>
      <c r="J235">
        <v>62.13</v>
      </c>
      <c r="K235">
        <v>0.34</v>
      </c>
      <c r="L235">
        <v>1.1499999999999999</v>
      </c>
      <c r="M235">
        <v>1.76</v>
      </c>
    </row>
    <row r="236" spans="1:13">
      <c r="A236" t="s">
        <v>2</v>
      </c>
      <c r="B236" t="s">
        <v>3908</v>
      </c>
      <c r="D236">
        <v>6</v>
      </c>
      <c r="E236">
        <v>0</v>
      </c>
      <c r="F236">
        <v>0</v>
      </c>
      <c r="G236">
        <v>200</v>
      </c>
      <c r="H236">
        <v>30</v>
      </c>
      <c r="I236">
        <v>54.31</v>
      </c>
      <c r="J236">
        <v>58.37</v>
      </c>
      <c r="K236">
        <v>0.32</v>
      </c>
      <c r="L236">
        <v>1.1299999999999999</v>
      </c>
      <c r="M236">
        <v>1.67</v>
      </c>
    </row>
    <row r="237" spans="1:13">
      <c r="A237" t="s">
        <v>2</v>
      </c>
      <c r="B237" t="s">
        <v>3908</v>
      </c>
      <c r="D237">
        <v>7</v>
      </c>
      <c r="E237">
        <v>0</v>
      </c>
      <c r="F237">
        <v>0</v>
      </c>
      <c r="G237">
        <v>200</v>
      </c>
      <c r="H237">
        <v>30</v>
      </c>
      <c r="I237">
        <v>55.57</v>
      </c>
      <c r="J237">
        <v>63.03</v>
      </c>
      <c r="K237">
        <v>0.34</v>
      </c>
      <c r="L237">
        <v>1.1599999999999999</v>
      </c>
      <c r="M237">
        <v>1.76</v>
      </c>
    </row>
    <row r="238" spans="1:13">
      <c r="A238" t="s">
        <v>2</v>
      </c>
      <c r="B238" t="s">
        <v>3908</v>
      </c>
      <c r="D238">
        <v>8</v>
      </c>
      <c r="E238" t="s">
        <v>5545</v>
      </c>
      <c r="F238">
        <v>0</v>
      </c>
      <c r="G238">
        <v>80</v>
      </c>
      <c r="H238">
        <v>30</v>
      </c>
      <c r="I238">
        <v>28.55</v>
      </c>
      <c r="J238">
        <v>73.040000000000006</v>
      </c>
      <c r="K238">
        <v>0.4</v>
      </c>
      <c r="L238">
        <v>0.59</v>
      </c>
      <c r="M238">
        <v>1.39</v>
      </c>
    </row>
    <row r="239" spans="1:13">
      <c r="A239" t="s">
        <v>2</v>
      </c>
      <c r="B239" t="s">
        <v>3908</v>
      </c>
      <c r="D239">
        <v>9</v>
      </c>
      <c r="E239">
        <v>0</v>
      </c>
      <c r="F239">
        <v>1414</v>
      </c>
      <c r="G239">
        <v>200</v>
      </c>
      <c r="H239">
        <v>37</v>
      </c>
      <c r="I239">
        <v>22.83</v>
      </c>
      <c r="J239">
        <v>44.66</v>
      </c>
      <c r="K239">
        <v>0.24</v>
      </c>
      <c r="L239">
        <v>0.47</v>
      </c>
      <c r="M239">
        <v>1.65</v>
      </c>
    </row>
    <row r="240" spans="1:13">
      <c r="A240" t="s">
        <v>2</v>
      </c>
      <c r="B240" t="s">
        <v>3908</v>
      </c>
      <c r="D240">
        <v>10</v>
      </c>
      <c r="E240">
        <v>1414</v>
      </c>
      <c r="F240">
        <v>0</v>
      </c>
      <c r="G240">
        <v>270</v>
      </c>
      <c r="H240">
        <v>30</v>
      </c>
      <c r="I240">
        <v>33.43</v>
      </c>
      <c r="J240">
        <v>53.2</v>
      </c>
      <c r="K240">
        <v>0.28999999999999998</v>
      </c>
      <c r="L240">
        <v>0.7</v>
      </c>
      <c r="M240">
        <v>1.6</v>
      </c>
    </row>
    <row r="241" spans="1:13">
      <c r="A241" t="s">
        <v>2</v>
      </c>
      <c r="B241" t="s">
        <v>3908</v>
      </c>
      <c r="D241">
        <v>11</v>
      </c>
      <c r="E241">
        <v>0</v>
      </c>
      <c r="F241" t="s">
        <v>5545</v>
      </c>
      <c r="G241">
        <v>200</v>
      </c>
      <c r="H241">
        <v>18</v>
      </c>
      <c r="I241">
        <v>7.87</v>
      </c>
      <c r="J241">
        <v>46.62</v>
      </c>
      <c r="K241">
        <v>0.24</v>
      </c>
      <c r="L241">
        <v>0.16</v>
      </c>
      <c r="M241">
        <v>0.15</v>
      </c>
    </row>
    <row r="242" spans="1:13">
      <c r="A242" t="s">
        <v>2</v>
      </c>
      <c r="B242" t="s">
        <v>3908</v>
      </c>
      <c r="D242" t="s">
        <v>1177</v>
      </c>
      <c r="E242" t="s">
        <v>5546</v>
      </c>
      <c r="J242" t="s">
        <v>4104</v>
      </c>
      <c r="K242">
        <f>MIN(K231:K241)</f>
        <v>0.24</v>
      </c>
    </row>
    <row r="243" spans="1:13">
      <c r="A243" t="s">
        <v>2</v>
      </c>
      <c r="B243" t="s">
        <v>3908</v>
      </c>
      <c r="D243" t="s">
        <v>1179</v>
      </c>
      <c r="E243" t="s">
        <v>5547</v>
      </c>
      <c r="J243" t="s">
        <v>4103</v>
      </c>
      <c r="K243">
        <f>MAX(K231:K241)</f>
        <v>0.42</v>
      </c>
    </row>
    <row r="244" spans="1:13">
      <c r="A244" t="s">
        <v>2</v>
      </c>
      <c r="B244" t="s">
        <v>3908</v>
      </c>
      <c r="D244" t="s">
        <v>1861</v>
      </c>
      <c r="E244" t="s">
        <v>5548</v>
      </c>
    </row>
    <row r="245" spans="1:13">
      <c r="A245" t="s">
        <v>2</v>
      </c>
      <c r="B245" t="s">
        <v>3908</v>
      </c>
      <c r="D245" t="s">
        <v>5070</v>
      </c>
      <c r="E245">
        <f>AVERAGE(K231:K241)</f>
        <v>0.34</v>
      </c>
    </row>
    <row r="246" spans="1:13">
      <c r="A246" t="s">
        <v>2</v>
      </c>
      <c r="B246" t="s">
        <v>3908</v>
      </c>
      <c r="D246" t="s">
        <v>5550</v>
      </c>
      <c r="E246" s="142">
        <f>[1]MonoSugar!$H$13</f>
        <v>27.373684210526314</v>
      </c>
    </row>
    <row r="247" spans="1:13">
      <c r="A247" t="s">
        <v>2</v>
      </c>
      <c r="B247" t="s">
        <v>3908</v>
      </c>
      <c r="D247" s="48" t="s">
        <v>3912</v>
      </c>
      <c r="E247">
        <f>E245*E246%</f>
        <v>9.3070526315789465E-2</v>
      </c>
    </row>
    <row r="248" spans="1:13">
      <c r="A248" t="s">
        <v>2</v>
      </c>
      <c r="B248" t="s">
        <v>3908</v>
      </c>
    </row>
    <row r="249" spans="1:13">
      <c r="A249" t="s">
        <v>2</v>
      </c>
      <c r="B249" t="s">
        <v>3908</v>
      </c>
    </row>
    <row r="250" spans="1:13">
      <c r="A250" t="s">
        <v>2</v>
      </c>
      <c r="B250" t="s">
        <v>3908</v>
      </c>
    </row>
    <row r="253" spans="1:13">
      <c r="A253" t="s">
        <v>3168</v>
      </c>
      <c r="B253" t="s">
        <v>3721</v>
      </c>
      <c r="C253" t="s">
        <v>4</v>
      </c>
      <c r="D253" s="7" t="s">
        <v>3995</v>
      </c>
      <c r="G253" t="s">
        <v>3189</v>
      </c>
    </row>
    <row r="254" spans="1:13">
      <c r="A254" t="s">
        <v>3168</v>
      </c>
      <c r="B254" t="s">
        <v>3721</v>
      </c>
      <c r="D254" s="7" t="s">
        <v>3996</v>
      </c>
    </row>
    <row r="255" spans="1:13" ht="28.2">
      <c r="A255" t="s">
        <v>3168</v>
      </c>
      <c r="B255" t="s">
        <v>3721</v>
      </c>
      <c r="D255" s="295" t="s">
        <v>1212</v>
      </c>
      <c r="E255" s="295" t="s">
        <v>3997</v>
      </c>
      <c r="F255" s="295" t="s">
        <v>3200</v>
      </c>
      <c r="G255" s="48" t="s">
        <v>3547</v>
      </c>
    </row>
    <row r="256" spans="1:13">
      <c r="A256" t="s">
        <v>3168</v>
      </c>
      <c r="B256" t="s">
        <v>3721</v>
      </c>
      <c r="D256" s="292" t="s">
        <v>676</v>
      </c>
      <c r="E256" s="292" t="s">
        <v>3998</v>
      </c>
      <c r="F256" s="292">
        <v>3.64</v>
      </c>
    </row>
    <row r="257" spans="1:14">
      <c r="A257" t="s">
        <v>3168</v>
      </c>
      <c r="B257" t="s">
        <v>3721</v>
      </c>
      <c r="D257" s="292" t="s">
        <v>3999</v>
      </c>
      <c r="E257" s="292" t="s">
        <v>4000</v>
      </c>
      <c r="F257" s="292">
        <v>4.99</v>
      </c>
      <c r="G257" s="48">
        <f>49.9/1000</f>
        <v>4.99E-2</v>
      </c>
    </row>
    <row r="258" spans="1:14">
      <c r="A258" t="s">
        <v>3168</v>
      </c>
      <c r="B258" t="s">
        <v>3721</v>
      </c>
      <c r="D258" s="292" t="s">
        <v>4001</v>
      </c>
      <c r="E258" s="292" t="s">
        <v>4002</v>
      </c>
      <c r="F258" s="292">
        <v>6.21</v>
      </c>
    </row>
    <row r="259" spans="1:14">
      <c r="A259" t="s">
        <v>3168</v>
      </c>
      <c r="B259" t="s">
        <v>3721</v>
      </c>
      <c r="D259" s="292" t="s">
        <v>4003</v>
      </c>
      <c r="E259" s="292" t="s">
        <v>4004</v>
      </c>
      <c r="F259" s="292">
        <v>7.24</v>
      </c>
    </row>
    <row r="260" spans="1:14">
      <c r="A260" t="s">
        <v>3168</v>
      </c>
      <c r="B260" t="s">
        <v>3721</v>
      </c>
      <c r="D260" s="290" t="s">
        <v>4005</v>
      </c>
      <c r="E260" s="290" t="s">
        <v>4006</v>
      </c>
      <c r="F260" s="290">
        <v>6.08</v>
      </c>
    </row>
    <row r="261" spans="1:14">
      <c r="A261" t="s">
        <v>3168</v>
      </c>
      <c r="B261" t="s">
        <v>3721</v>
      </c>
    </row>
    <row r="262" spans="1:14">
      <c r="A262" t="s">
        <v>3168</v>
      </c>
      <c r="B262" t="s">
        <v>3721</v>
      </c>
    </row>
    <row r="263" spans="1:14">
      <c r="A263" t="s">
        <v>3168</v>
      </c>
      <c r="B263" t="s">
        <v>3721</v>
      </c>
    </row>
    <row r="264" spans="1:14">
      <c r="A264" t="s">
        <v>3168</v>
      </c>
      <c r="B264" t="s">
        <v>3721</v>
      </c>
    </row>
    <row r="265" spans="1:14">
      <c r="A265" t="s">
        <v>3168</v>
      </c>
      <c r="B265" t="s">
        <v>3721</v>
      </c>
    </row>
    <row r="266" spans="1:14">
      <c r="A266" t="s">
        <v>3168</v>
      </c>
      <c r="B266" t="s">
        <v>3807</v>
      </c>
      <c r="C266" t="s">
        <v>4</v>
      </c>
      <c r="D266" s="7" t="s">
        <v>4007</v>
      </c>
      <c r="G266" t="s">
        <v>3320</v>
      </c>
    </row>
    <row r="267" spans="1:14">
      <c r="A267" t="s">
        <v>3168</v>
      </c>
      <c r="B267" t="s">
        <v>3807</v>
      </c>
      <c r="D267" s="7" t="s">
        <v>4008</v>
      </c>
    </row>
    <row r="268" spans="1:14">
      <c r="A268" t="s">
        <v>3168</v>
      </c>
      <c r="B268" t="s">
        <v>3807</v>
      </c>
      <c r="D268" s="322" t="s">
        <v>4009</v>
      </c>
    </row>
    <row r="269" spans="1:14">
      <c r="A269" t="s">
        <v>3168</v>
      </c>
      <c r="B269" t="s">
        <v>3807</v>
      </c>
      <c r="D269" s="339" t="s">
        <v>759</v>
      </c>
      <c r="E269" s="339" t="s">
        <v>1212</v>
      </c>
      <c r="F269" s="339" t="s">
        <v>3171</v>
      </c>
      <c r="G269" s="339" t="s">
        <v>3258</v>
      </c>
      <c r="H269" s="339" t="s">
        <v>1494</v>
      </c>
      <c r="I269" s="664" t="s">
        <v>3203</v>
      </c>
      <c r="J269" s="664"/>
      <c r="K269" s="664" t="s">
        <v>4010</v>
      </c>
      <c r="L269" s="664"/>
      <c r="M269" s="48" t="s">
        <v>3173</v>
      </c>
      <c r="N269" s="48" t="s">
        <v>4011</v>
      </c>
    </row>
    <row r="270" spans="1:14">
      <c r="A270" t="s">
        <v>3168</v>
      </c>
      <c r="B270" t="s">
        <v>3807</v>
      </c>
      <c r="D270" s="325" t="s">
        <v>14</v>
      </c>
      <c r="E270" s="325" t="s">
        <v>14</v>
      </c>
      <c r="F270" s="325" t="s">
        <v>14</v>
      </c>
      <c r="G270" s="325" t="s">
        <v>14</v>
      </c>
      <c r="H270" s="325" t="s">
        <v>14</v>
      </c>
      <c r="I270" s="340" t="s">
        <v>4012</v>
      </c>
      <c r="J270" s="341" t="s">
        <v>4013</v>
      </c>
      <c r="K270" s="340" t="s">
        <v>4012</v>
      </c>
      <c r="L270" s="341" t="s">
        <v>4013</v>
      </c>
      <c r="N270" s="48">
        <f>AVERAGE(M277:M281)/100</f>
        <v>0.1174</v>
      </c>
    </row>
    <row r="271" spans="1:14">
      <c r="A271" t="s">
        <v>3168</v>
      </c>
      <c r="B271" t="s">
        <v>3807</v>
      </c>
      <c r="D271">
        <v>1</v>
      </c>
      <c r="E271" t="s">
        <v>1013</v>
      </c>
      <c r="F271" t="s">
        <v>4014</v>
      </c>
      <c r="G271">
        <v>448</v>
      </c>
      <c r="H271">
        <v>100</v>
      </c>
      <c r="I271" t="s">
        <v>4015</v>
      </c>
      <c r="J271" t="s">
        <v>4016</v>
      </c>
      <c r="K271" t="s">
        <v>4017</v>
      </c>
      <c r="L271" t="s">
        <v>4018</v>
      </c>
    </row>
    <row r="272" spans="1:14">
      <c r="A272" t="s">
        <v>3168</v>
      </c>
      <c r="B272" t="s">
        <v>3807</v>
      </c>
      <c r="D272" s="342" t="s">
        <v>4019</v>
      </c>
      <c r="E272" t="s">
        <v>1013</v>
      </c>
      <c r="F272" t="s">
        <v>4014</v>
      </c>
      <c r="G272">
        <v>448</v>
      </c>
      <c r="H272">
        <v>130</v>
      </c>
      <c r="I272" t="s">
        <v>4020</v>
      </c>
      <c r="J272" t="s">
        <v>4021</v>
      </c>
      <c r="K272" t="s">
        <v>4022</v>
      </c>
      <c r="L272" t="s">
        <v>3268</v>
      </c>
    </row>
    <row r="273" spans="1:13">
      <c r="A273" t="s">
        <v>3168</v>
      </c>
      <c r="B273" t="s">
        <v>3807</v>
      </c>
      <c r="D273">
        <v>3</v>
      </c>
      <c r="E273" t="s">
        <v>1013</v>
      </c>
      <c r="F273" t="s">
        <v>4023</v>
      </c>
      <c r="G273">
        <v>448</v>
      </c>
      <c r="H273">
        <v>100</v>
      </c>
      <c r="I273" t="s">
        <v>4024</v>
      </c>
      <c r="J273" t="s">
        <v>4025</v>
      </c>
      <c r="K273" t="s">
        <v>4026</v>
      </c>
      <c r="L273" t="s">
        <v>4027</v>
      </c>
    </row>
    <row r="274" spans="1:13">
      <c r="A274" t="s">
        <v>3168</v>
      </c>
      <c r="B274" t="s">
        <v>3807</v>
      </c>
      <c r="D274">
        <v>4</v>
      </c>
      <c r="E274" t="s">
        <v>1013</v>
      </c>
      <c r="F274" t="s">
        <v>4028</v>
      </c>
      <c r="G274">
        <v>448</v>
      </c>
      <c r="H274">
        <v>100</v>
      </c>
      <c r="I274" t="s">
        <v>4029</v>
      </c>
      <c r="J274" t="s">
        <v>4030</v>
      </c>
      <c r="K274" t="s">
        <v>4031</v>
      </c>
      <c r="L274" t="s">
        <v>4032</v>
      </c>
    </row>
    <row r="275" spans="1:13">
      <c r="A275" t="s">
        <v>3168</v>
      </c>
      <c r="B275" t="s">
        <v>3807</v>
      </c>
      <c r="D275">
        <v>5</v>
      </c>
      <c r="E275" t="s">
        <v>1013</v>
      </c>
      <c r="F275" t="s">
        <v>4014</v>
      </c>
      <c r="G275">
        <v>458</v>
      </c>
      <c r="H275">
        <v>85</v>
      </c>
      <c r="I275" t="s">
        <v>4033</v>
      </c>
      <c r="J275" t="s">
        <v>4034</v>
      </c>
      <c r="K275" t="s">
        <v>4035</v>
      </c>
      <c r="L275" t="s">
        <v>1504</v>
      </c>
    </row>
    <row r="276" spans="1:13">
      <c r="A276" t="s">
        <v>3168</v>
      </c>
      <c r="B276" t="s">
        <v>3807</v>
      </c>
      <c r="D276">
        <v>6</v>
      </c>
      <c r="E276" t="s">
        <v>1013</v>
      </c>
      <c r="F276" t="s">
        <v>4023</v>
      </c>
      <c r="G276">
        <v>458</v>
      </c>
      <c r="H276">
        <v>85</v>
      </c>
      <c r="I276" t="s">
        <v>4036</v>
      </c>
      <c r="J276" t="s">
        <v>4037</v>
      </c>
      <c r="K276" t="s">
        <v>4038</v>
      </c>
      <c r="L276" t="s">
        <v>4039</v>
      </c>
    </row>
    <row r="277" spans="1:13">
      <c r="A277" t="s">
        <v>3168</v>
      </c>
      <c r="B277" t="s">
        <v>3807</v>
      </c>
      <c r="D277">
        <v>7</v>
      </c>
      <c r="E277" t="s">
        <v>2499</v>
      </c>
      <c r="F277" t="s">
        <v>4014</v>
      </c>
      <c r="G277">
        <v>448</v>
      </c>
      <c r="H277">
        <v>50</v>
      </c>
      <c r="I277" t="s">
        <v>4040</v>
      </c>
      <c r="J277" t="s">
        <v>4041</v>
      </c>
      <c r="K277" t="s">
        <v>4042</v>
      </c>
      <c r="L277" t="s">
        <v>4043</v>
      </c>
      <c r="M277" s="48">
        <v>8.5</v>
      </c>
    </row>
    <row r="278" spans="1:13">
      <c r="A278" t="s">
        <v>3168</v>
      </c>
      <c r="B278" t="s">
        <v>3807</v>
      </c>
      <c r="D278">
        <v>8</v>
      </c>
      <c r="E278" t="s">
        <v>2499</v>
      </c>
      <c r="F278" t="s">
        <v>4014</v>
      </c>
      <c r="G278">
        <v>448</v>
      </c>
      <c r="H278">
        <v>90</v>
      </c>
      <c r="I278" t="s">
        <v>4044</v>
      </c>
      <c r="J278" t="s">
        <v>4045</v>
      </c>
      <c r="K278" t="s">
        <v>4046</v>
      </c>
      <c r="L278" t="s">
        <v>4047</v>
      </c>
      <c r="M278" s="48">
        <v>12.4</v>
      </c>
    </row>
    <row r="279" spans="1:13">
      <c r="A279" t="s">
        <v>3168</v>
      </c>
      <c r="B279" t="s">
        <v>3807</v>
      </c>
      <c r="D279">
        <v>9</v>
      </c>
      <c r="E279" t="s">
        <v>2499</v>
      </c>
      <c r="F279" t="s">
        <v>4014</v>
      </c>
      <c r="G279">
        <v>448</v>
      </c>
      <c r="H279">
        <v>120</v>
      </c>
      <c r="I279" t="s">
        <v>4048</v>
      </c>
      <c r="J279" t="s">
        <v>4049</v>
      </c>
      <c r="K279" t="s">
        <v>4050</v>
      </c>
      <c r="L279" t="s">
        <v>4051</v>
      </c>
      <c r="M279" s="48">
        <v>11</v>
      </c>
    </row>
    <row r="280" spans="1:13">
      <c r="A280" t="s">
        <v>3168</v>
      </c>
      <c r="B280" t="s">
        <v>3807</v>
      </c>
      <c r="D280">
        <v>10</v>
      </c>
      <c r="E280" t="s">
        <v>2499</v>
      </c>
      <c r="F280" t="s">
        <v>4023</v>
      </c>
      <c r="G280">
        <v>448</v>
      </c>
      <c r="H280">
        <v>100</v>
      </c>
      <c r="I280" t="s">
        <v>4052</v>
      </c>
      <c r="J280" t="s">
        <v>4053</v>
      </c>
      <c r="K280" t="s">
        <v>4054</v>
      </c>
      <c r="L280" t="s">
        <v>4055</v>
      </c>
      <c r="M280" s="48">
        <v>11.1</v>
      </c>
    </row>
    <row r="281" spans="1:13">
      <c r="A281" t="s">
        <v>3168</v>
      </c>
      <c r="B281" t="s">
        <v>3807</v>
      </c>
      <c r="D281" s="325">
        <v>11</v>
      </c>
      <c r="E281" s="325" t="s">
        <v>2499</v>
      </c>
      <c r="F281" s="325" t="s">
        <v>4014</v>
      </c>
      <c r="G281" s="325">
        <v>458</v>
      </c>
      <c r="H281" s="325">
        <v>85</v>
      </c>
      <c r="I281" s="325" t="s">
        <v>4056</v>
      </c>
      <c r="J281" s="325" t="s">
        <v>4057</v>
      </c>
      <c r="K281" s="325" t="s">
        <v>4058</v>
      </c>
      <c r="L281" s="325" t="s">
        <v>3268</v>
      </c>
      <c r="M281" s="48">
        <v>15.7</v>
      </c>
    </row>
    <row r="282" spans="1:13">
      <c r="A282" t="s">
        <v>3168</v>
      </c>
      <c r="B282" t="s">
        <v>3807</v>
      </c>
      <c r="L282" s="48" t="s">
        <v>3033</v>
      </c>
      <c r="M282" s="48">
        <f>MAX(M271:M281)</f>
        <v>15.7</v>
      </c>
    </row>
    <row r="283" spans="1:13">
      <c r="A283" t="s">
        <v>3168</v>
      </c>
      <c r="B283" t="s">
        <v>3807</v>
      </c>
      <c r="L283" s="48" t="s">
        <v>3034</v>
      </c>
      <c r="M283" s="48">
        <f>MIN(M271:M281)</f>
        <v>8.5</v>
      </c>
    </row>
    <row r="284" spans="1:13">
      <c r="A284" t="s">
        <v>3168</v>
      </c>
      <c r="B284" t="s">
        <v>3807</v>
      </c>
    </row>
    <row r="285" spans="1:13">
      <c r="A285" t="s">
        <v>3168</v>
      </c>
      <c r="B285" t="s">
        <v>3807</v>
      </c>
      <c r="C285" t="s">
        <v>473</v>
      </c>
      <c r="D285" s="7" t="s">
        <v>4059</v>
      </c>
      <c r="G285" t="s">
        <v>4060</v>
      </c>
    </row>
    <row r="286" spans="1:13">
      <c r="A286" t="s">
        <v>3168</v>
      </c>
      <c r="B286" t="s">
        <v>3807</v>
      </c>
      <c r="D286" s="7" t="s">
        <v>4061</v>
      </c>
    </row>
    <row r="287" spans="1:13">
      <c r="A287" t="s">
        <v>3168</v>
      </c>
      <c r="B287" t="s">
        <v>3807</v>
      </c>
      <c r="D287" s="48" t="s">
        <v>4062</v>
      </c>
      <c r="E287" s="48">
        <v>45.8</v>
      </c>
    </row>
    <row r="288" spans="1:13">
      <c r="A288" t="s">
        <v>3168</v>
      </c>
      <c r="B288" t="s">
        <v>3807</v>
      </c>
      <c r="D288" s="48" t="s">
        <v>4063</v>
      </c>
      <c r="E288" s="48">
        <f>E287/100*20.73/100/1.563</f>
        <v>6.0744337811900195E-2</v>
      </c>
    </row>
    <row r="289" spans="1:13">
      <c r="A289" t="s">
        <v>3168</v>
      </c>
      <c r="B289" t="s">
        <v>3807</v>
      </c>
    </row>
    <row r="290" spans="1:13">
      <c r="A290" t="s">
        <v>3168</v>
      </c>
      <c r="B290" t="s">
        <v>3807</v>
      </c>
    </row>
    <row r="291" spans="1:13" ht="15.6">
      <c r="A291" t="s">
        <v>3168</v>
      </c>
      <c r="B291" t="s">
        <v>3807</v>
      </c>
      <c r="H291" s="306" t="s">
        <v>4064</v>
      </c>
    </row>
    <row r="292" spans="1:13">
      <c r="A292" t="s">
        <v>3168</v>
      </c>
      <c r="B292" t="s">
        <v>3807</v>
      </c>
    </row>
    <row r="293" spans="1:13">
      <c r="A293" t="s">
        <v>3168</v>
      </c>
      <c r="B293" t="s">
        <v>3807</v>
      </c>
      <c r="C293" t="s">
        <v>69</v>
      </c>
      <c r="D293" s="7" t="s">
        <v>4065</v>
      </c>
    </row>
    <row r="294" spans="1:13">
      <c r="A294" t="s">
        <v>3168</v>
      </c>
      <c r="B294" t="s">
        <v>3807</v>
      </c>
      <c r="D294" s="7" t="s">
        <v>4066</v>
      </c>
    </row>
    <row r="295" spans="1:13">
      <c r="A295" t="s">
        <v>3168</v>
      </c>
      <c r="B295" t="s">
        <v>3807</v>
      </c>
      <c r="D295" t="s">
        <v>4067</v>
      </c>
    </row>
    <row r="296" spans="1:13">
      <c r="A296" t="s">
        <v>3168</v>
      </c>
      <c r="B296" t="s">
        <v>3807</v>
      </c>
      <c r="D296" s="48" t="s">
        <v>4068</v>
      </c>
      <c r="E296" s="48">
        <v>92</v>
      </c>
    </row>
    <row r="297" spans="1:13">
      <c r="A297" t="s">
        <v>3168</v>
      </c>
      <c r="B297" t="s">
        <v>3807</v>
      </c>
      <c r="D297" s="48" t="s">
        <v>4069</v>
      </c>
      <c r="E297" s="48">
        <v>54.87</v>
      </c>
    </row>
    <row r="298" spans="1:13">
      <c r="A298" t="s">
        <v>3168</v>
      </c>
      <c r="B298" t="s">
        <v>3807</v>
      </c>
      <c r="D298" s="48" t="s">
        <v>4070</v>
      </c>
      <c r="E298" s="48">
        <f>E296/100*E297/100</f>
        <v>0.50480400000000003</v>
      </c>
    </row>
    <row r="299" spans="1:13">
      <c r="A299" t="s">
        <v>3168</v>
      </c>
      <c r="B299" t="s">
        <v>3807</v>
      </c>
    </row>
    <row r="300" spans="1:13">
      <c r="A300" t="s">
        <v>3168</v>
      </c>
      <c r="B300" t="s">
        <v>3807</v>
      </c>
      <c r="C300" t="s">
        <v>132</v>
      </c>
      <c r="D300" s="7" t="s">
        <v>4071</v>
      </c>
      <c r="H300" t="s">
        <v>6</v>
      </c>
    </row>
    <row r="301" spans="1:13" ht="15.6">
      <c r="A301" t="s">
        <v>3168</v>
      </c>
      <c r="B301" t="s">
        <v>3807</v>
      </c>
      <c r="D301" s="7" t="s">
        <v>4072</v>
      </c>
      <c r="H301" s="306"/>
    </row>
    <row r="302" spans="1:13">
      <c r="A302" t="s">
        <v>3168</v>
      </c>
      <c r="B302" t="s">
        <v>3807</v>
      </c>
      <c r="D302" s="295" t="s">
        <v>230</v>
      </c>
      <c r="E302" s="295" t="s">
        <v>4073</v>
      </c>
      <c r="F302" s="295" t="s">
        <v>4074</v>
      </c>
      <c r="G302" s="295" t="s">
        <v>3171</v>
      </c>
      <c r="H302" s="295" t="s">
        <v>1212</v>
      </c>
      <c r="I302" s="295" t="s">
        <v>3173</v>
      </c>
      <c r="J302" s="295" t="s">
        <v>763</v>
      </c>
      <c r="K302" s="48" t="s">
        <v>4075</v>
      </c>
      <c r="L302" s="48" t="s">
        <v>4063</v>
      </c>
      <c r="M302" s="48" t="s">
        <v>3177</v>
      </c>
    </row>
    <row r="303" spans="1:13">
      <c r="A303" t="s">
        <v>3168</v>
      </c>
      <c r="B303" t="s">
        <v>3807</v>
      </c>
      <c r="D303" s="292" t="s">
        <v>4076</v>
      </c>
      <c r="E303" s="292" t="s">
        <v>4077</v>
      </c>
      <c r="F303" s="292" t="s">
        <v>410</v>
      </c>
      <c r="G303" s="292" t="s">
        <v>4078</v>
      </c>
      <c r="H303" s="292" t="s">
        <v>4079</v>
      </c>
      <c r="I303" s="292" t="s">
        <v>4080</v>
      </c>
      <c r="J303" s="296" t="s">
        <v>4081</v>
      </c>
      <c r="M303" s="48">
        <f>AVERAGE(L306,L308)</f>
        <v>6.2999040307101725E-2</v>
      </c>
    </row>
    <row r="304" spans="1:13">
      <c r="A304" t="s">
        <v>3168</v>
      </c>
      <c r="B304" t="s">
        <v>3807</v>
      </c>
      <c r="D304" s="292" t="s">
        <v>4082</v>
      </c>
      <c r="E304" s="292" t="s">
        <v>4083</v>
      </c>
      <c r="F304" s="292" t="s">
        <v>410</v>
      </c>
      <c r="G304" s="292" t="s">
        <v>4078</v>
      </c>
      <c r="H304" s="292" t="s">
        <v>4084</v>
      </c>
      <c r="I304" s="292" t="s">
        <v>4085</v>
      </c>
      <c r="J304" s="296" t="s">
        <v>4086</v>
      </c>
    </row>
    <row r="305" spans="1:12">
      <c r="A305" t="s">
        <v>3168</v>
      </c>
      <c r="B305" t="s">
        <v>3807</v>
      </c>
      <c r="D305" s="292" t="s">
        <v>4087</v>
      </c>
      <c r="E305" s="292">
        <v>153</v>
      </c>
      <c r="F305" s="292">
        <v>5.15</v>
      </c>
      <c r="G305" s="292" t="s">
        <v>4078</v>
      </c>
      <c r="H305" s="292" t="s">
        <v>4088</v>
      </c>
      <c r="I305" s="292" t="s">
        <v>4089</v>
      </c>
      <c r="J305" s="296" t="s">
        <v>4090</v>
      </c>
    </row>
    <row r="306" spans="1:12" ht="42">
      <c r="A306" t="s">
        <v>3168</v>
      </c>
      <c r="B306" t="s">
        <v>3807</v>
      </c>
      <c r="D306" s="292" t="s">
        <v>4091</v>
      </c>
      <c r="E306" s="292">
        <v>180</v>
      </c>
      <c r="F306" s="292">
        <v>10</v>
      </c>
      <c r="G306" s="292" t="s">
        <v>4092</v>
      </c>
      <c r="H306" s="292" t="s">
        <v>1016</v>
      </c>
      <c r="I306" s="372">
        <v>59.5</v>
      </c>
      <c r="J306" s="296" t="s">
        <v>4090</v>
      </c>
      <c r="K306" s="48">
        <v>59.5</v>
      </c>
      <c r="L306" s="48">
        <f>K306/100*20.73/100/1.563</f>
        <v>7.891458733205374E-2</v>
      </c>
    </row>
    <row r="307" spans="1:12">
      <c r="A307" t="s">
        <v>3168</v>
      </c>
      <c r="B307" t="s">
        <v>3807</v>
      </c>
      <c r="D307" s="292" t="s">
        <v>4093</v>
      </c>
      <c r="E307" s="292" t="s">
        <v>4094</v>
      </c>
      <c r="F307" s="292">
        <v>2.1</v>
      </c>
      <c r="G307" s="292" t="s">
        <v>4078</v>
      </c>
      <c r="H307" s="292" t="s">
        <v>4095</v>
      </c>
      <c r="I307" s="292" t="s">
        <v>4096</v>
      </c>
      <c r="J307" s="296" t="s">
        <v>4097</v>
      </c>
    </row>
    <row r="308" spans="1:12">
      <c r="A308" t="s">
        <v>3168</v>
      </c>
      <c r="B308" t="s">
        <v>3807</v>
      </c>
      <c r="D308" s="290" t="s">
        <v>4098</v>
      </c>
      <c r="E308" s="290" t="s">
        <v>4099</v>
      </c>
      <c r="F308" s="290" t="s">
        <v>4100</v>
      </c>
      <c r="G308" s="290" t="s">
        <v>4101</v>
      </c>
      <c r="H308" s="290" t="s">
        <v>1016</v>
      </c>
      <c r="I308" s="373" t="s">
        <v>4102</v>
      </c>
      <c r="J308" s="301" t="s">
        <v>775</v>
      </c>
      <c r="K308" s="48">
        <f>AVERAGE(18,53)</f>
        <v>35.5</v>
      </c>
      <c r="L308" s="48">
        <f t="shared" ref="L308" si="8">K308/100*20.73/100/1.563</f>
        <v>4.708349328214971E-2</v>
      </c>
    </row>
    <row r="309" spans="1:12">
      <c r="A309" t="s">
        <v>3168</v>
      </c>
      <c r="B309" t="s">
        <v>3807</v>
      </c>
      <c r="J309" s="48" t="s">
        <v>4103</v>
      </c>
      <c r="K309" s="48">
        <f>MAX(K303:K308)</f>
        <v>59.5</v>
      </c>
    </row>
    <row r="310" spans="1:12">
      <c r="A310" t="s">
        <v>3168</v>
      </c>
      <c r="B310" t="s">
        <v>3807</v>
      </c>
    </row>
    <row r="311" spans="1:12">
      <c r="A311" t="s">
        <v>3168</v>
      </c>
      <c r="B311" t="s">
        <v>3807</v>
      </c>
    </row>
    <row r="312" spans="1:12">
      <c r="A312" t="s">
        <v>3168</v>
      </c>
      <c r="B312" t="s">
        <v>3807</v>
      </c>
    </row>
    <row r="313" spans="1:12">
      <c r="A313" t="s">
        <v>3168</v>
      </c>
      <c r="B313" t="s">
        <v>4105</v>
      </c>
      <c r="C313" t="s">
        <v>638</v>
      </c>
      <c r="D313" t="s">
        <v>639</v>
      </c>
    </row>
    <row r="314" spans="1:12">
      <c r="A314" t="s">
        <v>3168</v>
      </c>
      <c r="B314" t="s">
        <v>4105</v>
      </c>
      <c r="D314" t="s">
        <v>640</v>
      </c>
    </row>
    <row r="315" spans="1:12">
      <c r="A315" t="s">
        <v>3168</v>
      </c>
      <c r="B315" t="s">
        <v>4105</v>
      </c>
    </row>
    <row r="316" spans="1:12">
      <c r="A316" t="s">
        <v>3168</v>
      </c>
      <c r="B316" t="s">
        <v>4105</v>
      </c>
      <c r="D316" s="48" t="s">
        <v>641</v>
      </c>
      <c r="E316" s="48">
        <v>0.72719999999999996</v>
      </c>
    </row>
    <row r="317" spans="1:12">
      <c r="A317" t="s">
        <v>3168</v>
      </c>
      <c r="B317" t="s">
        <v>4105</v>
      </c>
      <c r="D317" s="48" t="s">
        <v>642</v>
      </c>
      <c r="E317" s="60">
        <v>5.3E-3</v>
      </c>
    </row>
    <row r="318" spans="1:12">
      <c r="A318" t="s">
        <v>3168</v>
      </c>
      <c r="B318" t="s">
        <v>4105</v>
      </c>
      <c r="D318" s="48" t="s">
        <v>643</v>
      </c>
      <c r="E318" s="48">
        <f>E316*E317</f>
        <v>3.8541599999999997E-3</v>
      </c>
    </row>
    <row r="319" spans="1:12">
      <c r="A319" t="s">
        <v>3168</v>
      </c>
      <c r="B319" t="s">
        <v>4105</v>
      </c>
    </row>
    <row r="320" spans="1:12">
      <c r="A320" t="s">
        <v>679</v>
      </c>
      <c r="B320" t="s">
        <v>3721</v>
      </c>
      <c r="C320" t="s">
        <v>4</v>
      </c>
      <c r="D320" s="7" t="s">
        <v>4106</v>
      </c>
    </row>
    <row r="321" spans="1:13">
      <c r="A321" t="s">
        <v>679</v>
      </c>
      <c r="B321" t="s">
        <v>3721</v>
      </c>
      <c r="D321" s="7" t="s">
        <v>4107</v>
      </c>
    </row>
    <row r="322" spans="1:13">
      <c r="A322" t="s">
        <v>679</v>
      </c>
      <c r="B322" t="s">
        <v>3721</v>
      </c>
      <c r="D322" t="s">
        <v>4108</v>
      </c>
    </row>
    <row r="323" spans="1:13">
      <c r="A323" t="s">
        <v>679</v>
      </c>
      <c r="B323" t="s">
        <v>3721</v>
      </c>
      <c r="D323" s="48" t="s">
        <v>4109</v>
      </c>
      <c r="E323" s="48">
        <v>70.7</v>
      </c>
    </row>
    <row r="324" spans="1:13">
      <c r="A324" t="s">
        <v>679</v>
      </c>
      <c r="B324" t="s">
        <v>3721</v>
      </c>
      <c r="D324" s="48" t="s">
        <v>3318</v>
      </c>
      <c r="E324" s="48">
        <f>E323/100</f>
        <v>0.70700000000000007</v>
      </c>
    </row>
    <row r="325" spans="1:13">
      <c r="A325" t="s">
        <v>679</v>
      </c>
      <c r="B325" t="s">
        <v>3721</v>
      </c>
    </row>
    <row r="326" spans="1:13">
      <c r="A326" t="s">
        <v>679</v>
      </c>
      <c r="B326" t="s">
        <v>3721</v>
      </c>
    </row>
    <row r="327" spans="1:13">
      <c r="A327" t="s">
        <v>679</v>
      </c>
      <c r="B327" t="s">
        <v>3807</v>
      </c>
      <c r="C327" t="s">
        <v>4</v>
      </c>
      <c r="D327" s="7" t="s">
        <v>4110</v>
      </c>
    </row>
    <row r="328" spans="1:13">
      <c r="A328" t="s">
        <v>679</v>
      </c>
      <c r="B328" t="s">
        <v>3807</v>
      </c>
      <c r="D328" s="7" t="s">
        <v>4111</v>
      </c>
    </row>
    <row r="329" spans="1:13" ht="28.2">
      <c r="A329" t="s">
        <v>679</v>
      </c>
      <c r="B329" t="s">
        <v>3807</v>
      </c>
      <c r="D329" s="295" t="s">
        <v>4112</v>
      </c>
      <c r="E329" s="295" t="s">
        <v>4113</v>
      </c>
      <c r="F329" s="295" t="s">
        <v>4114</v>
      </c>
      <c r="G329" s="295" t="s">
        <v>4115</v>
      </c>
      <c r="H329" s="295" t="s">
        <v>4116</v>
      </c>
      <c r="I329" s="295" t="s">
        <v>4117</v>
      </c>
      <c r="J329" s="295" t="s">
        <v>4118</v>
      </c>
      <c r="K329" s="48" t="s">
        <v>4119</v>
      </c>
      <c r="L329" s="48" t="s">
        <v>3318</v>
      </c>
      <c r="M329" s="48" t="s">
        <v>3177</v>
      </c>
    </row>
    <row r="330" spans="1:13">
      <c r="A330" t="s">
        <v>679</v>
      </c>
      <c r="B330" t="s">
        <v>3807</v>
      </c>
      <c r="D330" s="292" t="s">
        <v>1496</v>
      </c>
      <c r="E330" s="292">
        <v>0</v>
      </c>
      <c r="F330" s="292" t="s">
        <v>4120</v>
      </c>
      <c r="G330" s="292">
        <v>0</v>
      </c>
      <c r="H330" s="292">
        <v>0</v>
      </c>
      <c r="I330" s="292">
        <v>0</v>
      </c>
      <c r="J330" s="292" t="s">
        <v>4120</v>
      </c>
    </row>
    <row r="331" spans="1:13">
      <c r="A331" t="s">
        <v>679</v>
      </c>
      <c r="B331" t="s">
        <v>3807</v>
      </c>
      <c r="D331" s="292" t="s">
        <v>4121</v>
      </c>
      <c r="E331" s="292" t="s">
        <v>4122</v>
      </c>
      <c r="F331" s="292" t="s">
        <v>4123</v>
      </c>
      <c r="G331" s="292" t="s">
        <v>4124</v>
      </c>
      <c r="H331" s="292" t="s">
        <v>4125</v>
      </c>
      <c r="I331" s="292" t="s">
        <v>4126</v>
      </c>
      <c r="J331" s="292" t="s">
        <v>4127</v>
      </c>
      <c r="K331" s="48">
        <v>3.79</v>
      </c>
      <c r="L331" s="48">
        <f>K331/100</f>
        <v>3.7900000000000003E-2</v>
      </c>
      <c r="M331" s="48">
        <f>AVERAGE(L331:L338)</f>
        <v>7.3887499999999995E-2</v>
      </c>
    </row>
    <row r="332" spans="1:13">
      <c r="A332" t="s">
        <v>679</v>
      </c>
      <c r="B332" t="s">
        <v>3807</v>
      </c>
      <c r="D332" s="292" t="s">
        <v>4128</v>
      </c>
      <c r="E332" s="292" t="s">
        <v>4129</v>
      </c>
      <c r="F332" s="292" t="s">
        <v>4130</v>
      </c>
      <c r="G332" s="292" t="s">
        <v>4131</v>
      </c>
      <c r="H332" s="292" t="s">
        <v>4132</v>
      </c>
      <c r="I332" s="292" t="s">
        <v>4133</v>
      </c>
      <c r="J332" s="292" t="s">
        <v>4134</v>
      </c>
      <c r="K332" s="48">
        <v>7.72</v>
      </c>
      <c r="L332" s="48">
        <f t="shared" ref="L332:L338" si="9">K332/100</f>
        <v>7.7199999999999991E-2</v>
      </c>
    </row>
    <row r="333" spans="1:13">
      <c r="A333" t="s">
        <v>679</v>
      </c>
      <c r="B333" t="s">
        <v>3807</v>
      </c>
      <c r="D333" s="292" t="s">
        <v>4135</v>
      </c>
      <c r="E333" s="292" t="s">
        <v>4136</v>
      </c>
      <c r="F333" s="292" t="s">
        <v>4137</v>
      </c>
      <c r="G333" s="292" t="s">
        <v>4138</v>
      </c>
      <c r="H333" s="292" t="s">
        <v>4139</v>
      </c>
      <c r="I333" s="292" t="s">
        <v>4140</v>
      </c>
      <c r="J333" s="292" t="s">
        <v>4141</v>
      </c>
      <c r="K333" s="48">
        <v>8.1</v>
      </c>
      <c r="L333" s="48">
        <f t="shared" si="9"/>
        <v>8.1000000000000003E-2</v>
      </c>
    </row>
    <row r="334" spans="1:13">
      <c r="A334" t="s">
        <v>679</v>
      </c>
      <c r="B334" t="s">
        <v>3807</v>
      </c>
      <c r="D334" s="292" t="s">
        <v>4142</v>
      </c>
      <c r="E334" s="292" t="s">
        <v>4143</v>
      </c>
      <c r="F334" s="292" t="s">
        <v>4144</v>
      </c>
      <c r="G334" s="292" t="s">
        <v>4145</v>
      </c>
      <c r="H334" s="292" t="s">
        <v>4146</v>
      </c>
      <c r="I334" s="292" t="s">
        <v>4147</v>
      </c>
      <c r="J334" s="292" t="s">
        <v>4148</v>
      </c>
      <c r="K334" s="48">
        <v>8.67</v>
      </c>
      <c r="L334" s="48">
        <f t="shared" si="9"/>
        <v>8.6699999999999999E-2</v>
      </c>
    </row>
    <row r="335" spans="1:13">
      <c r="A335" t="s">
        <v>679</v>
      </c>
      <c r="B335" t="s">
        <v>3807</v>
      </c>
      <c r="D335" s="292" t="s">
        <v>4149</v>
      </c>
      <c r="E335" s="292" t="s">
        <v>4150</v>
      </c>
      <c r="F335" s="292" t="s">
        <v>4151</v>
      </c>
      <c r="G335" s="292" t="s">
        <v>4152</v>
      </c>
      <c r="H335" s="292" t="s">
        <v>4153</v>
      </c>
      <c r="I335" s="292" t="s">
        <v>4154</v>
      </c>
      <c r="J335" s="292" t="s">
        <v>4155</v>
      </c>
      <c r="K335" s="48">
        <v>10.050000000000001</v>
      </c>
      <c r="L335" s="48">
        <f t="shared" si="9"/>
        <v>0.10050000000000001</v>
      </c>
    </row>
    <row r="336" spans="1:13">
      <c r="A336" t="s">
        <v>679</v>
      </c>
      <c r="B336" t="s">
        <v>3807</v>
      </c>
      <c r="D336" s="292" t="s">
        <v>4156</v>
      </c>
      <c r="E336" s="292" t="s">
        <v>3832</v>
      </c>
      <c r="F336" s="292" t="s">
        <v>4157</v>
      </c>
      <c r="G336" s="292" t="s">
        <v>4158</v>
      </c>
      <c r="H336" s="292" t="s">
        <v>4159</v>
      </c>
      <c r="I336" s="292" t="s">
        <v>4160</v>
      </c>
      <c r="J336" s="292" t="s">
        <v>4161</v>
      </c>
      <c r="K336" s="48">
        <v>6.41</v>
      </c>
      <c r="L336" s="48">
        <f t="shared" si="9"/>
        <v>6.4100000000000004E-2</v>
      </c>
    </row>
    <row r="337" spans="1:12">
      <c r="A337" t="s">
        <v>679</v>
      </c>
      <c r="B337" t="s">
        <v>3807</v>
      </c>
      <c r="D337" s="292" t="s">
        <v>4162</v>
      </c>
      <c r="E337" s="292" t="s">
        <v>4163</v>
      </c>
      <c r="F337" s="292" t="s">
        <v>4164</v>
      </c>
      <c r="G337" s="292" t="s">
        <v>4165</v>
      </c>
      <c r="H337" s="292" t="s">
        <v>4166</v>
      </c>
      <c r="I337" s="292" t="s">
        <v>4167</v>
      </c>
      <c r="J337" s="292" t="s">
        <v>4168</v>
      </c>
      <c r="K337" s="48">
        <v>6.71</v>
      </c>
      <c r="L337" s="48">
        <f t="shared" si="9"/>
        <v>6.7099999999999993E-2</v>
      </c>
    </row>
    <row r="338" spans="1:12">
      <c r="A338" t="s">
        <v>679</v>
      </c>
      <c r="B338" t="s">
        <v>3807</v>
      </c>
      <c r="D338" s="290" t="s">
        <v>4169</v>
      </c>
      <c r="E338" s="290" t="s">
        <v>3979</v>
      </c>
      <c r="F338" s="290" t="s">
        <v>4170</v>
      </c>
      <c r="G338" s="290" t="s">
        <v>4171</v>
      </c>
      <c r="H338" s="290" t="s">
        <v>4172</v>
      </c>
      <c r="I338" s="290" t="s">
        <v>4173</v>
      </c>
      <c r="J338" s="290" t="s">
        <v>4174</v>
      </c>
      <c r="K338" s="48">
        <v>7.66</v>
      </c>
      <c r="L338" s="48">
        <f t="shared" si="9"/>
        <v>7.6600000000000001E-2</v>
      </c>
    </row>
    <row r="339" spans="1:12">
      <c r="A339" t="s">
        <v>679</v>
      </c>
      <c r="B339" t="s">
        <v>3807</v>
      </c>
      <c r="J339" s="48" t="s">
        <v>3033</v>
      </c>
      <c r="K339" s="48">
        <f>MAX(K331:K338)</f>
        <v>10.050000000000001</v>
      </c>
    </row>
    <row r="340" spans="1:12">
      <c r="A340" t="s">
        <v>679</v>
      </c>
      <c r="B340" t="s">
        <v>3807</v>
      </c>
      <c r="J340" s="48" t="s">
        <v>3034</v>
      </c>
      <c r="K340" s="48">
        <f>MIN(K331:K338)</f>
        <v>3.79</v>
      </c>
    </row>
    <row r="341" spans="1:12">
      <c r="A341" t="s">
        <v>679</v>
      </c>
      <c r="B341" t="s">
        <v>3807</v>
      </c>
    </row>
    <row r="342" spans="1:12">
      <c r="A342" t="s">
        <v>679</v>
      </c>
      <c r="B342" t="s">
        <v>3807</v>
      </c>
      <c r="C342" t="s">
        <v>473</v>
      </c>
      <c r="D342" s="7" t="s">
        <v>4175</v>
      </c>
    </row>
    <row r="343" spans="1:12">
      <c r="A343" t="s">
        <v>679</v>
      </c>
      <c r="B343" t="s">
        <v>3807</v>
      </c>
      <c r="D343" s="7" t="s">
        <v>4176</v>
      </c>
    </row>
    <row r="344" spans="1:12">
      <c r="A344" t="s">
        <v>679</v>
      </c>
      <c r="B344" t="s">
        <v>3807</v>
      </c>
      <c r="D344" t="s">
        <v>4177</v>
      </c>
    </row>
    <row r="345" spans="1:12">
      <c r="A345" t="s">
        <v>679</v>
      </c>
      <c r="B345" t="s">
        <v>3807</v>
      </c>
    </row>
    <row r="346" spans="1:12">
      <c r="A346" t="s">
        <v>679</v>
      </c>
      <c r="B346" t="s">
        <v>3807</v>
      </c>
    </row>
    <row r="347" spans="1:12">
      <c r="A347" t="s">
        <v>679</v>
      </c>
      <c r="B347" t="s">
        <v>3807</v>
      </c>
    </row>
    <row r="348" spans="1:12">
      <c r="A348" t="s">
        <v>679</v>
      </c>
      <c r="B348" t="s">
        <v>3807</v>
      </c>
    </row>
    <row r="349" spans="1:12">
      <c r="A349" t="s">
        <v>679</v>
      </c>
      <c r="B349" t="s">
        <v>3807</v>
      </c>
      <c r="D349" s="48" t="s">
        <v>4178</v>
      </c>
      <c r="E349" s="48">
        <v>72</v>
      </c>
    </row>
    <row r="350" spans="1:12">
      <c r="A350" t="s">
        <v>679</v>
      </c>
      <c r="B350" t="s">
        <v>3807</v>
      </c>
      <c r="D350" s="48" t="s">
        <v>4179</v>
      </c>
      <c r="E350" s="48">
        <v>70.84</v>
      </c>
    </row>
    <row r="351" spans="1:12">
      <c r="A351" t="s">
        <v>679</v>
      </c>
      <c r="B351" t="s">
        <v>3807</v>
      </c>
      <c r="D351" s="48" t="s">
        <v>4180</v>
      </c>
      <c r="E351" s="48">
        <v>180.15600000000001</v>
      </c>
    </row>
    <row r="352" spans="1:12">
      <c r="A352" t="s">
        <v>679</v>
      </c>
      <c r="B352" t="s">
        <v>3807</v>
      </c>
      <c r="D352" s="48" t="s">
        <v>4181</v>
      </c>
      <c r="E352" s="48">
        <v>126.111</v>
      </c>
    </row>
    <row r="353" spans="1:14">
      <c r="A353" t="s">
        <v>679</v>
      </c>
      <c r="B353" t="s">
        <v>3807</v>
      </c>
      <c r="D353" s="48" t="s">
        <v>4182</v>
      </c>
      <c r="E353" s="48">
        <f>E349/100*E350/100*E352/E351</f>
        <v>0.35703869606341171</v>
      </c>
    </row>
    <row r="354" spans="1:14">
      <c r="A354" t="s">
        <v>679</v>
      </c>
      <c r="B354" t="s">
        <v>3807</v>
      </c>
    </row>
    <row r="355" spans="1:14">
      <c r="A355" t="s">
        <v>679</v>
      </c>
      <c r="B355" t="s">
        <v>3807</v>
      </c>
      <c r="C355" t="s">
        <v>69</v>
      </c>
      <c r="D355" s="7" t="s">
        <v>4183</v>
      </c>
    </row>
    <row r="356" spans="1:14">
      <c r="A356" t="s">
        <v>679</v>
      </c>
      <c r="B356" t="s">
        <v>3807</v>
      </c>
      <c r="D356" s="7" t="s">
        <v>4184</v>
      </c>
    </row>
    <row r="357" spans="1:14">
      <c r="A357" t="s">
        <v>679</v>
      </c>
      <c r="B357" t="s">
        <v>3807</v>
      </c>
      <c r="D357" t="s">
        <v>4185</v>
      </c>
    </row>
    <row r="358" spans="1:14">
      <c r="A358" t="s">
        <v>679</v>
      </c>
      <c r="B358" t="s">
        <v>3807</v>
      </c>
      <c r="D358" s="48" t="s">
        <v>4186</v>
      </c>
      <c r="E358" s="48">
        <v>10</v>
      </c>
    </row>
    <row r="359" spans="1:14">
      <c r="A359" t="s">
        <v>679</v>
      </c>
      <c r="B359" t="s">
        <v>3807</v>
      </c>
      <c r="D359" s="48" t="s">
        <v>4187</v>
      </c>
      <c r="E359" s="48">
        <f>E358/1000</f>
        <v>0.01</v>
      </c>
    </row>
    <row r="360" spans="1:14">
      <c r="A360" t="s">
        <v>679</v>
      </c>
      <c r="B360" t="s">
        <v>3807</v>
      </c>
    </row>
    <row r="361" spans="1:14">
      <c r="A361" t="s">
        <v>679</v>
      </c>
      <c r="B361" t="s">
        <v>3807</v>
      </c>
      <c r="C361" t="s">
        <v>132</v>
      </c>
      <c r="D361" s="7" t="s">
        <v>3319</v>
      </c>
      <c r="G361" t="s">
        <v>3320</v>
      </c>
    </row>
    <row r="362" spans="1:14">
      <c r="A362" t="s">
        <v>679</v>
      </c>
      <c r="B362" t="s">
        <v>3807</v>
      </c>
      <c r="D362" s="7" t="s">
        <v>3321</v>
      </c>
    </row>
    <row r="363" spans="1:14">
      <c r="A363" t="s">
        <v>679</v>
      </c>
      <c r="B363" t="s">
        <v>3807</v>
      </c>
      <c r="D363" s="288" t="s">
        <v>759</v>
      </c>
      <c r="E363" s="288" t="s">
        <v>3322</v>
      </c>
      <c r="F363" s="288" t="s">
        <v>3322</v>
      </c>
      <c r="G363" s="288"/>
      <c r="H363" s="288" t="s">
        <v>3317</v>
      </c>
      <c r="I363" s="288" t="s">
        <v>3323</v>
      </c>
      <c r="J363" s="288"/>
      <c r="K363" s="288"/>
      <c r="L363" s="288"/>
      <c r="M363" s="48" t="s">
        <v>3324</v>
      </c>
      <c r="N363" s="48" t="s">
        <v>3177</v>
      </c>
    </row>
    <row r="364" spans="1:14">
      <c r="A364" t="s">
        <v>679</v>
      </c>
      <c r="B364" t="s">
        <v>3807</v>
      </c>
      <c r="D364" s="284" t="s">
        <v>4188</v>
      </c>
      <c r="E364" s="284" t="s">
        <v>4189</v>
      </c>
      <c r="F364" s="284" t="s">
        <v>4190</v>
      </c>
      <c r="G364" s="284">
        <v>55</v>
      </c>
      <c r="H364" s="284">
        <v>39</v>
      </c>
      <c r="I364" s="284">
        <v>140</v>
      </c>
      <c r="J364" s="284">
        <v>47</v>
      </c>
      <c r="K364" s="284">
        <v>30</v>
      </c>
      <c r="L364" s="284">
        <v>80</v>
      </c>
      <c r="M364" s="48">
        <f>I364/1000</f>
        <v>0.14000000000000001</v>
      </c>
      <c r="N364" s="48">
        <f>AVERAGE(M364:M365)</f>
        <v>0.115</v>
      </c>
    </row>
    <row r="365" spans="1:14">
      <c r="A365" t="s">
        <v>679</v>
      </c>
      <c r="B365" t="s">
        <v>3807</v>
      </c>
      <c r="D365" s="284" t="s">
        <v>4191</v>
      </c>
      <c r="E365" s="284" t="s">
        <v>4192</v>
      </c>
      <c r="F365" s="284" t="s">
        <v>4190</v>
      </c>
      <c r="G365" s="284">
        <v>35</v>
      </c>
      <c r="H365" s="284">
        <v>25</v>
      </c>
      <c r="I365" s="284">
        <v>90</v>
      </c>
      <c r="J365" s="284">
        <v>49</v>
      </c>
      <c r="K365" s="284">
        <v>31</v>
      </c>
      <c r="L365" s="284">
        <v>80</v>
      </c>
      <c r="M365" s="48">
        <f>I365/1000</f>
        <v>0.09</v>
      </c>
    </row>
    <row r="366" spans="1:14">
      <c r="A366" t="s">
        <v>679</v>
      </c>
      <c r="B366" t="s">
        <v>3807</v>
      </c>
    </row>
    <row r="367" spans="1:14">
      <c r="A367" t="s">
        <v>679</v>
      </c>
      <c r="B367" t="s">
        <v>3807</v>
      </c>
      <c r="C367" t="s">
        <v>3145</v>
      </c>
      <c r="D367" s="7" t="s">
        <v>4193</v>
      </c>
    </row>
    <row r="368" spans="1:14">
      <c r="A368" t="s">
        <v>679</v>
      </c>
      <c r="B368" t="s">
        <v>3807</v>
      </c>
      <c r="D368" s="7" t="s">
        <v>4194</v>
      </c>
    </row>
    <row r="369" spans="1:14">
      <c r="A369" t="s">
        <v>679</v>
      </c>
      <c r="B369" t="s">
        <v>3807</v>
      </c>
    </row>
    <row r="370" spans="1:14">
      <c r="A370" t="s">
        <v>679</v>
      </c>
      <c r="B370" t="s">
        <v>3807</v>
      </c>
    </row>
    <row r="371" spans="1:14">
      <c r="A371" t="s">
        <v>679</v>
      </c>
      <c r="B371" t="s">
        <v>3807</v>
      </c>
      <c r="G371" s="48" t="s">
        <v>4195</v>
      </c>
      <c r="H371" s="48">
        <v>72</v>
      </c>
      <c r="I371" s="48" t="s">
        <v>4196</v>
      </c>
      <c r="N371" s="48" t="s">
        <v>3177</v>
      </c>
    </row>
    <row r="372" spans="1:14">
      <c r="A372" t="s">
        <v>679</v>
      </c>
      <c r="B372" t="s">
        <v>3807</v>
      </c>
      <c r="G372" s="48" t="s">
        <v>4197</v>
      </c>
      <c r="H372" s="48">
        <v>25</v>
      </c>
      <c r="I372" s="48" t="s">
        <v>4196</v>
      </c>
      <c r="J372" s="48">
        <f>10/$H$371*H372</f>
        <v>3.4722222222222223</v>
      </c>
      <c r="K372" s="48" t="s">
        <v>4198</v>
      </c>
      <c r="L372" s="48">
        <f>J372/100</f>
        <v>3.4722222222222224E-2</v>
      </c>
      <c r="M372" s="48" t="s">
        <v>4199</v>
      </c>
      <c r="N372" s="48">
        <f>AVERAGE(L372:L375)</f>
        <v>6.9444444444444448E-2</v>
      </c>
    </row>
    <row r="373" spans="1:14">
      <c r="A373" t="s">
        <v>679</v>
      </c>
      <c r="B373" t="s">
        <v>3807</v>
      </c>
      <c r="G373" s="48" t="s">
        <v>4200</v>
      </c>
      <c r="H373" s="48">
        <v>27</v>
      </c>
      <c r="I373" s="48" t="s">
        <v>4196</v>
      </c>
      <c r="J373" s="48">
        <f t="shared" ref="J373:J375" si="10">10/$H$371*H373</f>
        <v>3.75</v>
      </c>
      <c r="K373" s="48" t="s">
        <v>4198</v>
      </c>
      <c r="L373" s="48">
        <f t="shared" ref="L373:L375" si="11">J373/100</f>
        <v>3.7499999999999999E-2</v>
      </c>
      <c r="M373" s="48" t="s">
        <v>4199</v>
      </c>
    </row>
    <row r="374" spans="1:14">
      <c r="A374" t="s">
        <v>679</v>
      </c>
      <c r="B374" t="s">
        <v>3807</v>
      </c>
      <c r="G374" s="48" t="s">
        <v>4201</v>
      </c>
      <c r="H374" s="48">
        <v>61</v>
      </c>
      <c r="I374" s="48" t="s">
        <v>4196</v>
      </c>
      <c r="J374" s="48">
        <f t="shared" si="10"/>
        <v>8.4722222222222232</v>
      </c>
      <c r="K374" s="48" t="s">
        <v>4198</v>
      </c>
      <c r="L374" s="48">
        <f t="shared" si="11"/>
        <v>8.4722222222222227E-2</v>
      </c>
      <c r="M374" s="48" t="s">
        <v>4199</v>
      </c>
    </row>
    <row r="375" spans="1:14">
      <c r="A375" t="s">
        <v>679</v>
      </c>
      <c r="B375" t="s">
        <v>3807</v>
      </c>
      <c r="G375" s="48" t="s">
        <v>4202</v>
      </c>
      <c r="H375" s="48">
        <v>87</v>
      </c>
      <c r="I375" s="48" t="s">
        <v>4196</v>
      </c>
      <c r="J375" s="48">
        <f t="shared" si="10"/>
        <v>12.083333333333334</v>
      </c>
      <c r="K375" s="48" t="s">
        <v>4198</v>
      </c>
      <c r="L375" s="48">
        <f t="shared" si="11"/>
        <v>0.12083333333333333</v>
      </c>
      <c r="M375" s="48" t="s">
        <v>4199</v>
      </c>
    </row>
    <row r="376" spans="1:14">
      <c r="A376" t="s">
        <v>679</v>
      </c>
      <c r="B376" t="s">
        <v>3807</v>
      </c>
      <c r="I376" s="48" t="s">
        <v>3033</v>
      </c>
      <c r="J376" s="48">
        <f>MAX(J372:J375)</f>
        <v>12.083333333333334</v>
      </c>
    </row>
    <row r="377" spans="1:14">
      <c r="A377" t="s">
        <v>679</v>
      </c>
      <c r="B377" t="s">
        <v>3807</v>
      </c>
      <c r="I377" s="48" t="s">
        <v>3034</v>
      </c>
      <c r="J377" s="48">
        <f>MIN(J372:J375)</f>
        <v>3.4722222222222223</v>
      </c>
    </row>
    <row r="378" spans="1:14">
      <c r="A378" t="s">
        <v>679</v>
      </c>
      <c r="B378" t="s">
        <v>3807</v>
      </c>
    </row>
    <row r="379" spans="1:14">
      <c r="A379" t="s">
        <v>679</v>
      </c>
      <c r="B379" t="s">
        <v>3807</v>
      </c>
    </row>
    <row r="380" spans="1:14">
      <c r="A380" t="s">
        <v>679</v>
      </c>
      <c r="B380" t="s">
        <v>3807</v>
      </c>
    </row>
    <row r="381" spans="1:14">
      <c r="A381" t="s">
        <v>679</v>
      </c>
      <c r="B381" t="s">
        <v>3807</v>
      </c>
    </row>
    <row r="382" spans="1:14">
      <c r="A382" t="s">
        <v>679</v>
      </c>
      <c r="B382" t="s">
        <v>3807</v>
      </c>
    </row>
    <row r="383" spans="1:14">
      <c r="A383" t="s">
        <v>679</v>
      </c>
      <c r="B383" t="s">
        <v>4105</v>
      </c>
      <c r="C383" t="s">
        <v>4</v>
      </c>
      <c r="D383" s="7" t="s">
        <v>4203</v>
      </c>
    </row>
    <row r="384" spans="1:14">
      <c r="A384" t="s">
        <v>679</v>
      </c>
      <c r="B384" t="s">
        <v>4105</v>
      </c>
      <c r="D384" s="7" t="s">
        <v>4204</v>
      </c>
    </row>
    <row r="385" spans="1:9" ht="15.6">
      <c r="A385" t="s">
        <v>679</v>
      </c>
      <c r="B385" t="s">
        <v>4105</v>
      </c>
      <c r="D385" s="306" t="s">
        <v>4205</v>
      </c>
    </row>
    <row r="386" spans="1:9">
      <c r="A386" t="s">
        <v>679</v>
      </c>
      <c r="B386" t="s">
        <v>4105</v>
      </c>
      <c r="D386" s="48" t="s">
        <v>4206</v>
      </c>
      <c r="E386" s="48" t="s">
        <v>4207</v>
      </c>
      <c r="F386" s="48" t="s">
        <v>4208</v>
      </c>
      <c r="G386" s="48" t="s">
        <v>4209</v>
      </c>
      <c r="H386" s="48" t="s">
        <v>3324</v>
      </c>
      <c r="I386" s="48" t="s">
        <v>3177</v>
      </c>
    </row>
    <row r="387" spans="1:9">
      <c r="A387" t="s">
        <v>679</v>
      </c>
      <c r="B387" t="s">
        <v>4105</v>
      </c>
      <c r="D387" s="48">
        <v>49.6</v>
      </c>
      <c r="E387" s="51">
        <v>29.4</v>
      </c>
      <c r="F387" s="51">
        <v>11.9</v>
      </c>
      <c r="G387" s="51">
        <v>12.8</v>
      </c>
      <c r="H387" s="48">
        <f>D387/100*(E387/100*0.74+F387/100*0.7+G387/100*0.7)</f>
        <v>0.19366815999999998</v>
      </c>
      <c r="I387" s="48">
        <f>AVERAGE(H387:H388)</f>
        <v>0.18117343999999999</v>
      </c>
    </row>
    <row r="388" spans="1:9">
      <c r="A388" t="s">
        <v>679</v>
      </c>
      <c r="B388" t="s">
        <v>4105</v>
      </c>
      <c r="D388" s="48">
        <v>43.2</v>
      </c>
      <c r="H388" s="48">
        <f>D388/100*(E387/100*0.74+F387/100*0.7+G387/100*0.7)</f>
        <v>0.16867872</v>
      </c>
    </row>
    <row r="389" spans="1:9">
      <c r="A389" t="s">
        <v>679</v>
      </c>
      <c r="B389" t="s">
        <v>4105</v>
      </c>
    </row>
    <row r="390" spans="1:9">
      <c r="A390" t="s">
        <v>679</v>
      </c>
      <c r="B390" t="s">
        <v>4105</v>
      </c>
    </row>
    <row r="391" spans="1:9">
      <c r="A391" t="s">
        <v>823</v>
      </c>
      <c r="B391" t="s">
        <v>3721</v>
      </c>
      <c r="C391" t="s">
        <v>638</v>
      </c>
      <c r="D391" t="s">
        <v>824</v>
      </c>
    </row>
    <row r="392" spans="1:9">
      <c r="A392" t="s">
        <v>823</v>
      </c>
      <c r="B392" t="s">
        <v>3721</v>
      </c>
      <c r="D392" t="s">
        <v>825</v>
      </c>
    </row>
    <row r="393" spans="1:9">
      <c r="A393" t="s">
        <v>823</v>
      </c>
      <c r="B393" t="s">
        <v>3721</v>
      </c>
      <c r="D393" t="s">
        <v>836</v>
      </c>
      <c r="E393">
        <v>0.86699999999999999</v>
      </c>
    </row>
    <row r="394" spans="1:9">
      <c r="A394" t="s">
        <v>823</v>
      </c>
      <c r="B394" t="s">
        <v>3721</v>
      </c>
      <c r="D394" s="48" t="s">
        <v>3715</v>
      </c>
      <c r="E394" s="51">
        <v>28.91</v>
      </c>
    </row>
    <row r="395" spans="1:9">
      <c r="A395" t="s">
        <v>823</v>
      </c>
      <c r="B395" t="s">
        <v>3721</v>
      </c>
      <c r="D395" s="48" t="s">
        <v>840</v>
      </c>
      <c r="E395" s="48">
        <f>E393*E394%</f>
        <v>0.25064970000000003</v>
      </c>
    </row>
    <row r="396" spans="1:9">
      <c r="A396" t="s">
        <v>823</v>
      </c>
      <c r="B396" t="s">
        <v>3721</v>
      </c>
    </row>
    <row r="397" spans="1:9">
      <c r="A397" t="s">
        <v>823</v>
      </c>
      <c r="B397" t="s">
        <v>3807</v>
      </c>
      <c r="C397" t="s">
        <v>638</v>
      </c>
      <c r="D397" t="s">
        <v>824</v>
      </c>
    </row>
    <row r="398" spans="1:9">
      <c r="A398" t="s">
        <v>823</v>
      </c>
      <c r="B398" t="s">
        <v>3807</v>
      </c>
      <c r="D398" t="s">
        <v>825</v>
      </c>
    </row>
    <row r="399" spans="1:9">
      <c r="A399" t="s">
        <v>823</v>
      </c>
      <c r="B399" t="s">
        <v>3807</v>
      </c>
      <c r="D399" t="s">
        <v>836</v>
      </c>
      <c r="E399">
        <v>0.86699999999999999</v>
      </c>
    </row>
    <row r="400" spans="1:9">
      <c r="A400" t="s">
        <v>823</v>
      </c>
      <c r="B400" t="s">
        <v>3807</v>
      </c>
      <c r="D400" s="48" t="s">
        <v>3715</v>
      </c>
      <c r="E400" s="51">
        <v>70.84</v>
      </c>
    </row>
    <row r="401" spans="1:5">
      <c r="A401" t="s">
        <v>823</v>
      </c>
      <c r="B401" t="s">
        <v>3807</v>
      </c>
      <c r="D401" s="48" t="s">
        <v>840</v>
      </c>
      <c r="E401" s="48">
        <f>E399*E400%</f>
        <v>0.61418280000000003</v>
      </c>
    </row>
    <row r="402" spans="1:5">
      <c r="A402" t="s">
        <v>823</v>
      </c>
      <c r="B402" t="s">
        <v>3807</v>
      </c>
    </row>
    <row r="403" spans="1:5">
      <c r="A403" t="s">
        <v>823</v>
      </c>
      <c r="B403" t="s">
        <v>4105</v>
      </c>
      <c r="C403" t="s">
        <v>638</v>
      </c>
      <c r="D403" t="s">
        <v>824</v>
      </c>
    </row>
    <row r="404" spans="1:5">
      <c r="A404" t="s">
        <v>823</v>
      </c>
      <c r="B404" t="s">
        <v>4105</v>
      </c>
      <c r="D404" t="s">
        <v>825</v>
      </c>
    </row>
    <row r="405" spans="1:5">
      <c r="A405" t="s">
        <v>823</v>
      </c>
      <c r="B405" t="s">
        <v>4105</v>
      </c>
      <c r="D405" t="s">
        <v>836</v>
      </c>
      <c r="E405">
        <v>0.86699999999999999</v>
      </c>
    </row>
    <row r="406" spans="1:5">
      <c r="A406" t="s">
        <v>823</v>
      </c>
      <c r="B406" t="s">
        <v>4105</v>
      </c>
      <c r="D406" s="48" t="s">
        <v>3715</v>
      </c>
      <c r="E406" s="51">
        <v>55.65</v>
      </c>
    </row>
    <row r="407" spans="1:5">
      <c r="A407" t="s">
        <v>823</v>
      </c>
      <c r="B407" t="s">
        <v>4105</v>
      </c>
      <c r="D407" s="48" t="s">
        <v>840</v>
      </c>
      <c r="E407" s="48">
        <f>E405*E406%</f>
        <v>0.48248550000000001</v>
      </c>
    </row>
    <row r="408" spans="1:5">
      <c r="A408" t="s">
        <v>823</v>
      </c>
      <c r="B408" t="s">
        <v>4105</v>
      </c>
    </row>
    <row r="409" spans="1:5">
      <c r="A409" t="s">
        <v>843</v>
      </c>
      <c r="B409" t="s">
        <v>3721</v>
      </c>
      <c r="C409" t="s">
        <v>638</v>
      </c>
      <c r="D409" t="s">
        <v>4210</v>
      </c>
      <c r="E409" s="142">
        <v>21.65</v>
      </c>
    </row>
    <row r="410" spans="1:5">
      <c r="A410" t="s">
        <v>843</v>
      </c>
      <c r="B410" t="s">
        <v>3721</v>
      </c>
      <c r="D410" s="48" t="s">
        <v>4211</v>
      </c>
      <c r="E410" s="48">
        <f>E409%*17%</f>
        <v>3.6805000000000004E-2</v>
      </c>
    </row>
    <row r="411" spans="1:5">
      <c r="A411" t="s">
        <v>843</v>
      </c>
      <c r="B411" t="s">
        <v>3721</v>
      </c>
    </row>
    <row r="412" spans="1:5">
      <c r="A412" t="s">
        <v>843</v>
      </c>
      <c r="B412" t="s">
        <v>3807</v>
      </c>
      <c r="C412" t="s">
        <v>638</v>
      </c>
      <c r="D412" t="s">
        <v>4212</v>
      </c>
      <c r="E412" s="142">
        <v>70.84</v>
      </c>
    </row>
    <row r="413" spans="1:5">
      <c r="A413" t="s">
        <v>843</v>
      </c>
      <c r="B413" t="s">
        <v>3807</v>
      </c>
      <c r="D413" s="48" t="s">
        <v>4213</v>
      </c>
      <c r="E413" s="48">
        <f>E412%*17%</f>
        <v>0.12042800000000001</v>
      </c>
    </row>
    <row r="414" spans="1:5">
      <c r="A414" t="s">
        <v>843</v>
      </c>
      <c r="B414" t="s">
        <v>3807</v>
      </c>
    </row>
    <row r="415" spans="1:5">
      <c r="A415" t="s">
        <v>843</v>
      </c>
      <c r="B415" t="s">
        <v>4105</v>
      </c>
      <c r="C415" t="s">
        <v>638</v>
      </c>
      <c r="D415" t="s">
        <v>4214</v>
      </c>
      <c r="E415" s="142">
        <v>27.37</v>
      </c>
    </row>
    <row r="416" spans="1:5">
      <c r="A416" t="s">
        <v>843</v>
      </c>
      <c r="B416" t="s">
        <v>4105</v>
      </c>
      <c r="D416" s="48" t="s">
        <v>4215</v>
      </c>
      <c r="E416" s="48">
        <f>E415%*17%</f>
        <v>4.6529000000000001E-2</v>
      </c>
    </row>
    <row r="417" spans="1:8">
      <c r="A417" t="s">
        <v>843</v>
      </c>
      <c r="B417" t="s">
        <v>4105</v>
      </c>
    </row>
    <row r="418" spans="1:8">
      <c r="A418" t="s">
        <v>3616</v>
      </c>
      <c r="B418" t="s">
        <v>3721</v>
      </c>
      <c r="C418" t="s">
        <v>197</v>
      </c>
      <c r="D418" t="s">
        <v>5553</v>
      </c>
    </row>
    <row r="419" spans="1:8">
      <c r="A419" t="s">
        <v>3616</v>
      </c>
      <c r="B419" t="s">
        <v>3721</v>
      </c>
      <c r="D419" t="s">
        <v>5552</v>
      </c>
    </row>
    <row r="420" spans="1:8">
      <c r="A420" t="s">
        <v>3616</v>
      </c>
      <c r="B420" t="s">
        <v>3721</v>
      </c>
      <c r="D420" s="142"/>
    </row>
    <row r="421" spans="1:8">
      <c r="A421" t="s">
        <v>3616</v>
      </c>
      <c r="B421" t="s">
        <v>3721</v>
      </c>
      <c r="D421" t="s">
        <v>5554</v>
      </c>
    </row>
    <row r="422" spans="1:8">
      <c r="A422" t="s">
        <v>3616</v>
      </c>
      <c r="B422" t="s">
        <v>3721</v>
      </c>
      <c r="D422" t="s">
        <v>5555</v>
      </c>
    </row>
    <row r="423" spans="1:8">
      <c r="A423" t="s">
        <v>3616</v>
      </c>
      <c r="B423" t="s">
        <v>3721</v>
      </c>
      <c r="D423" t="s">
        <v>5556</v>
      </c>
    </row>
    <row r="424" spans="1:8">
      <c r="A424" t="s">
        <v>3616</v>
      </c>
      <c r="B424" t="s">
        <v>3721</v>
      </c>
      <c r="D424" t="s">
        <v>5557</v>
      </c>
    </row>
    <row r="425" spans="1:8">
      <c r="A425" t="s">
        <v>3616</v>
      </c>
      <c r="B425" t="s">
        <v>3721</v>
      </c>
      <c r="D425" t="s">
        <v>5558</v>
      </c>
      <c r="H425" t="s">
        <v>5564</v>
      </c>
    </row>
    <row r="426" spans="1:8">
      <c r="A426" t="s">
        <v>3616</v>
      </c>
      <c r="B426" t="s">
        <v>3721</v>
      </c>
      <c r="D426" t="s">
        <v>5559</v>
      </c>
      <c r="H426" t="s">
        <v>5565</v>
      </c>
    </row>
    <row r="427" spans="1:8">
      <c r="A427" t="s">
        <v>3616</v>
      </c>
      <c r="B427" t="s">
        <v>3721</v>
      </c>
      <c r="D427" s="140" t="s">
        <v>5560</v>
      </c>
      <c r="H427" t="s">
        <v>5566</v>
      </c>
    </row>
    <row r="428" spans="1:8">
      <c r="A428" t="s">
        <v>3616</v>
      </c>
      <c r="B428" t="s">
        <v>3721</v>
      </c>
      <c r="D428" s="204" t="s">
        <v>5561</v>
      </c>
    </row>
    <row r="429" spans="1:8">
      <c r="A429" t="s">
        <v>3616</v>
      </c>
      <c r="B429" t="s">
        <v>3721</v>
      </c>
      <c r="D429" t="s">
        <v>5562</v>
      </c>
    </row>
    <row r="430" spans="1:8">
      <c r="A430" t="s">
        <v>3616</v>
      </c>
      <c r="B430" t="s">
        <v>3721</v>
      </c>
    </row>
    <row r="431" spans="1:8">
      <c r="A431" t="s">
        <v>3616</v>
      </c>
      <c r="B431" t="s">
        <v>3721</v>
      </c>
      <c r="D431" s="48" t="s">
        <v>5563</v>
      </c>
      <c r="E431" s="48">
        <v>74.16</v>
      </c>
    </row>
    <row r="432" spans="1:8">
      <c r="A432" t="s">
        <v>3616</v>
      </c>
      <c r="B432" t="s">
        <v>3721</v>
      </c>
      <c r="D432" s="48"/>
      <c r="E432" s="48">
        <v>75.95</v>
      </c>
    </row>
    <row r="433" spans="1:5">
      <c r="A433" t="s">
        <v>3616</v>
      </c>
      <c r="B433" t="s">
        <v>3721</v>
      </c>
      <c r="D433" s="48"/>
      <c r="E433" s="48">
        <v>78.03</v>
      </c>
    </row>
    <row r="434" spans="1:5">
      <c r="A434" t="s">
        <v>3616</v>
      </c>
      <c r="B434" t="s">
        <v>3721</v>
      </c>
      <c r="D434" s="48"/>
      <c r="E434" s="48">
        <v>65.41</v>
      </c>
    </row>
    <row r="435" spans="1:5">
      <c r="A435" t="s">
        <v>3616</v>
      </c>
      <c r="B435" t="s">
        <v>3721</v>
      </c>
      <c r="D435" s="48"/>
      <c r="E435" s="48">
        <v>45.77</v>
      </c>
    </row>
    <row r="436" spans="1:5">
      <c r="A436" t="s">
        <v>3616</v>
      </c>
      <c r="B436" t="s">
        <v>3721</v>
      </c>
      <c r="D436" s="48" t="s">
        <v>510</v>
      </c>
      <c r="E436" s="48">
        <f>AVERAGE(E431:E435)</f>
        <v>67.864000000000004</v>
      </c>
    </row>
    <row r="437" spans="1:5">
      <c r="A437" t="s">
        <v>3616</v>
      </c>
      <c r="B437" t="s">
        <v>3721</v>
      </c>
      <c r="D437" s="48" t="s">
        <v>5567</v>
      </c>
      <c r="E437" s="48">
        <v>28.909941520467836</v>
      </c>
    </row>
    <row r="438" spans="1:5">
      <c r="A438" t="s">
        <v>3616</v>
      </c>
      <c r="B438" t="s">
        <v>3721</v>
      </c>
      <c r="D438" s="48" t="s">
        <v>5568</v>
      </c>
      <c r="E438" s="48">
        <f>E436%*E437%</f>
        <v>0.19619442713450291</v>
      </c>
    </row>
    <row r="439" spans="1:5">
      <c r="A439" t="s">
        <v>3616</v>
      </c>
      <c r="B439" t="s">
        <v>3721</v>
      </c>
    </row>
    <row r="440" spans="1:5">
      <c r="A440" t="s">
        <v>3616</v>
      </c>
      <c r="B440" t="s">
        <v>3721</v>
      </c>
    </row>
    <row r="441" spans="1:5">
      <c r="A441" t="s">
        <v>3616</v>
      </c>
      <c r="B441" t="s">
        <v>3721</v>
      </c>
      <c r="C441" t="s">
        <v>226</v>
      </c>
      <c r="D441" t="s">
        <v>5570</v>
      </c>
    </row>
    <row r="442" spans="1:5">
      <c r="A442" t="s">
        <v>3616</v>
      </c>
      <c r="B442" t="s">
        <v>3721</v>
      </c>
      <c r="D442" t="s">
        <v>5575</v>
      </c>
    </row>
    <row r="443" spans="1:5">
      <c r="A443" t="s">
        <v>3616</v>
      </c>
      <c r="B443" t="s">
        <v>3721</v>
      </c>
      <c r="D443" t="s">
        <v>5569</v>
      </c>
    </row>
    <row r="444" spans="1:5">
      <c r="A444" t="s">
        <v>3616</v>
      </c>
      <c r="B444" t="s">
        <v>3721</v>
      </c>
      <c r="D444" t="s">
        <v>5571</v>
      </c>
    </row>
    <row r="445" spans="1:5">
      <c r="A445" t="s">
        <v>3616</v>
      </c>
      <c r="B445" t="s">
        <v>3721</v>
      </c>
    </row>
    <row r="446" spans="1:5">
      <c r="A446" t="s">
        <v>3616</v>
      </c>
      <c r="B446" t="s">
        <v>3721</v>
      </c>
      <c r="D446" t="s">
        <v>5572</v>
      </c>
      <c r="E446">
        <f>50-2.03</f>
        <v>47.97</v>
      </c>
    </row>
    <row r="447" spans="1:5">
      <c r="A447" t="s">
        <v>3616</v>
      </c>
      <c r="B447" t="s">
        <v>3721</v>
      </c>
      <c r="D447" t="s">
        <v>5573</v>
      </c>
      <c r="E447">
        <v>41.39</v>
      </c>
    </row>
    <row r="448" spans="1:5">
      <c r="A448" t="s">
        <v>3616</v>
      </c>
      <c r="B448" t="s">
        <v>3721</v>
      </c>
      <c r="D448" t="s">
        <v>5574</v>
      </c>
      <c r="E448">
        <f>E447/E446</f>
        <v>0.86283093600166771</v>
      </c>
    </row>
    <row r="449" spans="1:12">
      <c r="A449" t="s">
        <v>3616</v>
      </c>
      <c r="B449" t="s">
        <v>3721</v>
      </c>
      <c r="D449" t="s">
        <v>5576</v>
      </c>
      <c r="E449" s="142">
        <f>[1]MonoSugar!$H$11</f>
        <v>19.848321871345028</v>
      </c>
    </row>
    <row r="450" spans="1:12">
      <c r="A450" t="s">
        <v>3616</v>
      </c>
      <c r="B450" t="s">
        <v>3721</v>
      </c>
      <c r="D450" t="s">
        <v>5577</v>
      </c>
      <c r="E450">
        <f>E448*E449%</f>
        <v>0.17125746138315004</v>
      </c>
    </row>
    <row r="451" spans="1:12">
      <c r="A451" t="s">
        <v>3616</v>
      </c>
      <c r="B451" t="s">
        <v>3721</v>
      </c>
    </row>
    <row r="452" spans="1:12">
      <c r="A452" t="s">
        <v>3616</v>
      </c>
      <c r="B452" t="s">
        <v>3721</v>
      </c>
      <c r="C452" t="s">
        <v>396</v>
      </c>
      <c r="D452" t="s">
        <v>5611</v>
      </c>
    </row>
    <row r="453" spans="1:12">
      <c r="A453" t="s">
        <v>3616</v>
      </c>
      <c r="B453" t="s">
        <v>3721</v>
      </c>
      <c r="D453" t="s">
        <v>5612</v>
      </c>
    </row>
    <row r="454" spans="1:12">
      <c r="A454" t="s">
        <v>3616</v>
      </c>
      <c r="B454" t="s">
        <v>3721</v>
      </c>
      <c r="D454" t="s">
        <v>5578</v>
      </c>
    </row>
    <row r="455" spans="1:12">
      <c r="A455" t="s">
        <v>3616</v>
      </c>
      <c r="B455" t="s">
        <v>3721</v>
      </c>
    </row>
    <row r="456" spans="1:12">
      <c r="A456" t="s">
        <v>3616</v>
      </c>
      <c r="B456" t="s">
        <v>3721</v>
      </c>
      <c r="D456" t="s">
        <v>5579</v>
      </c>
    </row>
    <row r="457" spans="1:12">
      <c r="A457" t="s">
        <v>3616</v>
      </c>
      <c r="B457" t="s">
        <v>3721</v>
      </c>
      <c r="D457" t="s">
        <v>400</v>
      </c>
      <c r="E457" t="s">
        <v>4689</v>
      </c>
      <c r="F457" t="s">
        <v>5580</v>
      </c>
      <c r="G457" t="s">
        <v>5581</v>
      </c>
      <c r="H457" t="s">
        <v>202</v>
      </c>
      <c r="I457" t="s">
        <v>5582</v>
      </c>
      <c r="J457" t="s">
        <v>5583</v>
      </c>
      <c r="K457" t="s">
        <v>5584</v>
      </c>
      <c r="L457" t="s">
        <v>207</v>
      </c>
    </row>
    <row r="458" spans="1:12">
      <c r="A458" t="s">
        <v>3616</v>
      </c>
      <c r="B458" t="s">
        <v>3721</v>
      </c>
      <c r="D458" t="s">
        <v>5585</v>
      </c>
      <c r="E458">
        <v>134.25</v>
      </c>
      <c r="F458">
        <v>0.82</v>
      </c>
      <c r="G458">
        <v>21.3</v>
      </c>
      <c r="H458" t="s">
        <v>5586</v>
      </c>
      <c r="I458" t="s">
        <v>5609</v>
      </c>
      <c r="J458" t="s">
        <v>1144</v>
      </c>
      <c r="K458" t="s">
        <v>5587</v>
      </c>
      <c r="L458">
        <v>6</v>
      </c>
    </row>
    <row r="459" spans="1:12">
      <c r="A459" t="s">
        <v>3616</v>
      </c>
      <c r="B459" t="s">
        <v>3721</v>
      </c>
      <c r="D459" t="s">
        <v>5588</v>
      </c>
      <c r="E459">
        <v>113.95</v>
      </c>
      <c r="F459">
        <v>0.91</v>
      </c>
      <c r="G459">
        <v>3.25</v>
      </c>
      <c r="H459" t="s">
        <v>5589</v>
      </c>
      <c r="I459" t="s">
        <v>5610</v>
      </c>
      <c r="J459" t="s">
        <v>1144</v>
      </c>
      <c r="K459" t="s">
        <v>5590</v>
      </c>
      <c r="L459">
        <v>66</v>
      </c>
    </row>
    <row r="460" spans="1:12">
      <c r="A460" t="s">
        <v>3616</v>
      </c>
      <c r="B460" t="s">
        <v>3721</v>
      </c>
      <c r="D460" t="s">
        <v>5591</v>
      </c>
      <c r="E460">
        <v>134</v>
      </c>
      <c r="F460">
        <v>1.1000000000000001</v>
      </c>
      <c r="G460">
        <v>2.5299999999999998</v>
      </c>
      <c r="H460" t="s">
        <v>5592</v>
      </c>
      <c r="I460" t="s">
        <v>5593</v>
      </c>
      <c r="J460" t="s">
        <v>1144</v>
      </c>
      <c r="K460" t="s">
        <v>5594</v>
      </c>
      <c r="L460">
        <v>67</v>
      </c>
    </row>
    <row r="461" spans="1:12">
      <c r="A461" t="s">
        <v>3616</v>
      </c>
      <c r="B461" t="s">
        <v>3721</v>
      </c>
      <c r="D461" t="s">
        <v>5595</v>
      </c>
      <c r="E461">
        <v>101.4</v>
      </c>
      <c r="F461">
        <v>0.37</v>
      </c>
      <c r="G461">
        <v>0.7</v>
      </c>
      <c r="H461" t="s">
        <v>5596</v>
      </c>
      <c r="I461" t="s">
        <v>5597</v>
      </c>
      <c r="J461" t="s">
        <v>1144</v>
      </c>
      <c r="K461" t="s">
        <v>5598</v>
      </c>
      <c r="L461">
        <v>11</v>
      </c>
    </row>
    <row r="462" spans="1:12">
      <c r="A462" t="s">
        <v>3616</v>
      </c>
      <c r="B462" t="s">
        <v>3721</v>
      </c>
      <c r="D462" t="s">
        <v>5595</v>
      </c>
      <c r="E462">
        <v>110.7</v>
      </c>
      <c r="F462">
        <v>0.53</v>
      </c>
      <c r="G462">
        <v>0.8</v>
      </c>
      <c r="H462" t="s">
        <v>5599</v>
      </c>
      <c r="I462" t="s">
        <v>5600</v>
      </c>
      <c r="J462" t="s">
        <v>1144</v>
      </c>
      <c r="K462" t="s">
        <v>5601</v>
      </c>
      <c r="L462">
        <v>10</v>
      </c>
    </row>
    <row r="463" spans="1:12">
      <c r="A463" t="s">
        <v>3616</v>
      </c>
      <c r="B463" t="s">
        <v>3721</v>
      </c>
      <c r="D463" t="s">
        <v>5602</v>
      </c>
      <c r="E463">
        <v>109.5</v>
      </c>
      <c r="F463">
        <v>0.65</v>
      </c>
      <c r="G463">
        <v>0.54</v>
      </c>
      <c r="H463" t="s">
        <v>5603</v>
      </c>
      <c r="I463" t="s">
        <v>5604</v>
      </c>
      <c r="J463" t="s">
        <v>1144</v>
      </c>
      <c r="K463" t="s">
        <v>5605</v>
      </c>
      <c r="L463" t="s">
        <v>677</v>
      </c>
    </row>
    <row r="464" spans="1:12">
      <c r="A464" t="s">
        <v>3616</v>
      </c>
      <c r="B464" t="s">
        <v>3721</v>
      </c>
      <c r="D464" t="s">
        <v>5602</v>
      </c>
      <c r="E464">
        <v>104.6</v>
      </c>
      <c r="F464" s="204">
        <v>0.63</v>
      </c>
      <c r="G464">
        <v>1.25</v>
      </c>
      <c r="H464" t="s">
        <v>5606</v>
      </c>
      <c r="I464" t="s">
        <v>5604</v>
      </c>
      <c r="J464" t="s">
        <v>1144</v>
      </c>
      <c r="K464" t="s">
        <v>5605</v>
      </c>
      <c r="L464" t="s">
        <v>677</v>
      </c>
    </row>
    <row r="465" spans="1:12">
      <c r="A465" t="s">
        <v>3616</v>
      </c>
      <c r="B465" t="s">
        <v>3721</v>
      </c>
      <c r="D465" t="s">
        <v>5602</v>
      </c>
      <c r="E465">
        <v>63.1</v>
      </c>
      <c r="F465" s="204">
        <v>0.5</v>
      </c>
      <c r="G465">
        <v>0.66</v>
      </c>
      <c r="H465" t="s">
        <v>5606</v>
      </c>
      <c r="I465" t="s">
        <v>5607</v>
      </c>
      <c r="J465" t="s">
        <v>1142</v>
      </c>
      <c r="K465" t="s">
        <v>5608</v>
      </c>
      <c r="L465" t="s">
        <v>677</v>
      </c>
    </row>
    <row r="466" spans="1:12">
      <c r="A466" t="s">
        <v>3616</v>
      </c>
      <c r="B466" t="s">
        <v>3721</v>
      </c>
      <c r="E466" t="s">
        <v>510</v>
      </c>
      <c r="F466">
        <f>AVERAGE(F464:F465)</f>
        <v>0.56499999999999995</v>
      </c>
    </row>
    <row r="467" spans="1:12">
      <c r="A467" t="s">
        <v>3616</v>
      </c>
      <c r="B467" t="s">
        <v>3721</v>
      </c>
      <c r="E467" t="s">
        <v>5576</v>
      </c>
      <c r="F467" s="142">
        <f>[1]MonoSugar!$H$11</f>
        <v>19.848321871345028</v>
      </c>
    </row>
    <row r="468" spans="1:12">
      <c r="A468" t="s">
        <v>3616</v>
      </c>
      <c r="B468" t="s">
        <v>3721</v>
      </c>
      <c r="E468" t="s">
        <v>5577</v>
      </c>
      <c r="F468">
        <f>F466*F467%</f>
        <v>0.1121430185730994</v>
      </c>
    </row>
    <row r="469" spans="1:12">
      <c r="A469" t="s">
        <v>3616</v>
      </c>
      <c r="B469" t="s">
        <v>3721</v>
      </c>
    </row>
    <row r="470" spans="1:12">
      <c r="A470" t="s">
        <v>3616</v>
      </c>
      <c r="B470" t="s">
        <v>3807</v>
      </c>
    </row>
    <row r="471" spans="1:12">
      <c r="A471" t="s">
        <v>3616</v>
      </c>
      <c r="B471" t="s">
        <v>3807</v>
      </c>
      <c r="C471" t="s">
        <v>197</v>
      </c>
      <c r="D471" t="s">
        <v>5643</v>
      </c>
    </row>
    <row r="472" spans="1:12">
      <c r="A472" t="s">
        <v>3616</v>
      </c>
      <c r="B472" t="s">
        <v>3807</v>
      </c>
      <c r="D472" t="s">
        <v>5644</v>
      </c>
    </row>
    <row r="473" spans="1:12">
      <c r="A473" t="s">
        <v>3616</v>
      </c>
      <c r="B473" t="s">
        <v>3807</v>
      </c>
    </row>
    <row r="474" spans="1:12">
      <c r="A474" t="s">
        <v>3616</v>
      </c>
      <c r="B474" t="s">
        <v>3807</v>
      </c>
    </row>
    <row r="475" spans="1:12">
      <c r="A475" t="s">
        <v>3616</v>
      </c>
      <c r="B475" t="s">
        <v>3807</v>
      </c>
      <c r="D475" t="s">
        <v>5613</v>
      </c>
    </row>
    <row r="476" spans="1:12">
      <c r="A476" t="s">
        <v>3616</v>
      </c>
      <c r="B476" t="s">
        <v>3807</v>
      </c>
      <c r="D476" t="s">
        <v>5614</v>
      </c>
    </row>
    <row r="477" spans="1:12">
      <c r="A477" t="s">
        <v>3616</v>
      </c>
      <c r="B477" t="s">
        <v>3807</v>
      </c>
      <c r="D477" t="s">
        <v>5615</v>
      </c>
      <c r="E477" t="s">
        <v>5616</v>
      </c>
      <c r="F477" t="s">
        <v>4964</v>
      </c>
      <c r="G477" t="s">
        <v>5617</v>
      </c>
      <c r="H477" t="s">
        <v>5490</v>
      </c>
      <c r="I477" t="s">
        <v>3383</v>
      </c>
    </row>
    <row r="478" spans="1:12">
      <c r="A478" t="s">
        <v>3616</v>
      </c>
      <c r="B478" t="s">
        <v>3807</v>
      </c>
      <c r="D478">
        <v>10</v>
      </c>
      <c r="E478" t="s">
        <v>5618</v>
      </c>
      <c r="F478" t="s">
        <v>5619</v>
      </c>
      <c r="G478" t="s">
        <v>5620</v>
      </c>
      <c r="H478" t="s">
        <v>5621</v>
      </c>
      <c r="I478" t="s">
        <v>5622</v>
      </c>
    </row>
    <row r="479" spans="1:12">
      <c r="A479" t="s">
        <v>3616</v>
      </c>
      <c r="B479" t="s">
        <v>3807</v>
      </c>
      <c r="D479">
        <v>20</v>
      </c>
      <c r="E479" t="s">
        <v>5623</v>
      </c>
      <c r="F479" t="s">
        <v>5624</v>
      </c>
      <c r="G479" t="s">
        <v>4051</v>
      </c>
      <c r="H479" t="s">
        <v>5625</v>
      </c>
      <c r="I479" t="s">
        <v>5626</v>
      </c>
    </row>
    <row r="480" spans="1:12">
      <c r="A480" t="s">
        <v>3616</v>
      </c>
      <c r="B480" t="s">
        <v>3807</v>
      </c>
      <c r="D480">
        <v>30</v>
      </c>
      <c r="E480" t="s">
        <v>5627</v>
      </c>
      <c r="F480" t="s">
        <v>5628</v>
      </c>
      <c r="G480" t="s">
        <v>4055</v>
      </c>
      <c r="H480" t="s">
        <v>5629</v>
      </c>
      <c r="I480" t="s">
        <v>5630</v>
      </c>
    </row>
    <row r="481" spans="1:9">
      <c r="A481" t="s">
        <v>3616</v>
      </c>
      <c r="B481" t="s">
        <v>3807</v>
      </c>
      <c r="D481">
        <v>40</v>
      </c>
      <c r="E481" t="s">
        <v>5631</v>
      </c>
      <c r="F481" t="s">
        <v>5632</v>
      </c>
      <c r="G481" t="s">
        <v>1514</v>
      </c>
      <c r="H481" t="s">
        <v>5633</v>
      </c>
      <c r="I481" t="s">
        <v>5634</v>
      </c>
    </row>
    <row r="482" spans="1:9">
      <c r="A482" t="s">
        <v>3616</v>
      </c>
      <c r="B482" t="s">
        <v>3807</v>
      </c>
      <c r="D482">
        <v>50</v>
      </c>
      <c r="E482" t="s">
        <v>5635</v>
      </c>
      <c r="F482" t="s">
        <v>5636</v>
      </c>
      <c r="G482" t="s">
        <v>3960</v>
      </c>
      <c r="H482" t="s">
        <v>5637</v>
      </c>
      <c r="I482" t="s">
        <v>5638</v>
      </c>
    </row>
    <row r="483" spans="1:9">
      <c r="A483" t="s">
        <v>3616</v>
      </c>
      <c r="B483" t="s">
        <v>3807</v>
      </c>
      <c r="D483" t="s">
        <v>5639</v>
      </c>
    </row>
    <row r="484" spans="1:9">
      <c r="A484" t="s">
        <v>3616</v>
      </c>
      <c r="B484" t="s">
        <v>3807</v>
      </c>
      <c r="D484" t="s">
        <v>5640</v>
      </c>
    </row>
    <row r="485" spans="1:9">
      <c r="A485" t="s">
        <v>3616</v>
      </c>
      <c r="B485" t="s">
        <v>3807</v>
      </c>
    </row>
    <row r="486" spans="1:9">
      <c r="A486" t="s">
        <v>3616</v>
      </c>
      <c r="B486" t="s">
        <v>3807</v>
      </c>
      <c r="D486" t="s">
        <v>5551</v>
      </c>
      <c r="E486">
        <v>78</v>
      </c>
    </row>
    <row r="487" spans="1:9">
      <c r="A487" t="s">
        <v>3616</v>
      </c>
      <c r="B487" t="s">
        <v>3807</v>
      </c>
      <c r="E487">
        <v>84.5</v>
      </c>
    </row>
    <row r="488" spans="1:9">
      <c r="A488" t="s">
        <v>3616</v>
      </c>
      <c r="B488" t="s">
        <v>3807</v>
      </c>
      <c r="E488">
        <v>65.7</v>
      </c>
    </row>
    <row r="489" spans="1:9">
      <c r="A489" t="s">
        <v>3616</v>
      </c>
      <c r="B489" t="s">
        <v>3807</v>
      </c>
      <c r="E489">
        <v>31.3</v>
      </c>
    </row>
    <row r="490" spans="1:9">
      <c r="A490" t="s">
        <v>3616</v>
      </c>
      <c r="B490" t="s">
        <v>3807</v>
      </c>
      <c r="E490">
        <v>9.1999999999999993</v>
      </c>
    </row>
    <row r="491" spans="1:9">
      <c r="A491" t="s">
        <v>3616</v>
      </c>
      <c r="B491" t="s">
        <v>3807</v>
      </c>
      <c r="D491" t="s">
        <v>510</v>
      </c>
      <c r="E491">
        <f>AVERAGE(E486:E490)</f>
        <v>53.739999999999995</v>
      </c>
    </row>
    <row r="492" spans="1:9">
      <c r="A492" t="s">
        <v>3616</v>
      </c>
      <c r="B492" t="s">
        <v>3807</v>
      </c>
      <c r="D492" t="s">
        <v>5641</v>
      </c>
      <c r="E492" s="142">
        <f>[1]MonoSugar!$K$12</f>
        <v>77.31928323232323</v>
      </c>
    </row>
    <row r="493" spans="1:9">
      <c r="A493" t="s">
        <v>3616</v>
      </c>
      <c r="B493" t="s">
        <v>3807</v>
      </c>
      <c r="D493" t="s">
        <v>5642</v>
      </c>
      <c r="E493">
        <f>E491%*E492%</f>
        <v>0.41551382809050502</v>
      </c>
    </row>
    <row r="494" spans="1:9">
      <c r="A494" t="s">
        <v>3616</v>
      </c>
      <c r="B494" t="s">
        <v>3807</v>
      </c>
    </row>
    <row r="495" spans="1:9">
      <c r="A495" t="s">
        <v>3616</v>
      </c>
      <c r="B495" t="s">
        <v>3807</v>
      </c>
      <c r="C495" t="s">
        <v>226</v>
      </c>
      <c r="D495" t="s">
        <v>5660</v>
      </c>
    </row>
    <row r="496" spans="1:9">
      <c r="A496" t="s">
        <v>3616</v>
      </c>
      <c r="B496" t="s">
        <v>3807</v>
      </c>
      <c r="D496" t="s">
        <v>5661</v>
      </c>
    </row>
    <row r="497" spans="1:14">
      <c r="A497" t="s">
        <v>3616</v>
      </c>
      <c r="B497" t="s">
        <v>3807</v>
      </c>
    </row>
    <row r="498" spans="1:14">
      <c r="A498" t="s">
        <v>3616</v>
      </c>
      <c r="B498" t="s">
        <v>3807</v>
      </c>
      <c r="D498" t="s">
        <v>5645</v>
      </c>
    </row>
    <row r="499" spans="1:14">
      <c r="A499" t="s">
        <v>3616</v>
      </c>
      <c r="B499" t="s">
        <v>3807</v>
      </c>
      <c r="D499" t="s">
        <v>5646</v>
      </c>
      <c r="E499" t="s">
        <v>430</v>
      </c>
      <c r="G499" t="s">
        <v>5647</v>
      </c>
    </row>
    <row r="500" spans="1:14">
      <c r="A500" t="s">
        <v>3616</v>
      </c>
      <c r="B500" t="s">
        <v>3807</v>
      </c>
      <c r="E500" t="s">
        <v>5648</v>
      </c>
      <c r="F500" t="s">
        <v>73</v>
      </c>
      <c r="G500" t="s">
        <v>5649</v>
      </c>
      <c r="K500" t="s">
        <v>5650</v>
      </c>
    </row>
    <row r="501" spans="1:14">
      <c r="A501" t="s">
        <v>3616</v>
      </c>
      <c r="B501" t="s">
        <v>3807</v>
      </c>
      <c r="G501" t="s">
        <v>5651</v>
      </c>
      <c r="H501" t="s">
        <v>5652</v>
      </c>
      <c r="I501" t="s">
        <v>5653</v>
      </c>
      <c r="J501" t="s">
        <v>5654</v>
      </c>
      <c r="K501" t="s">
        <v>5655</v>
      </c>
      <c r="L501" t="s">
        <v>5656</v>
      </c>
      <c r="M501" t="s">
        <v>5654</v>
      </c>
      <c r="N501" t="s">
        <v>5657</v>
      </c>
    </row>
    <row r="502" spans="1:14">
      <c r="A502" t="s">
        <v>3616</v>
      </c>
      <c r="B502" t="s">
        <v>3807</v>
      </c>
      <c r="D502" t="s">
        <v>1233</v>
      </c>
      <c r="E502">
        <v>22</v>
      </c>
      <c r="F502">
        <v>24</v>
      </c>
      <c r="G502">
        <v>10.039999999999999</v>
      </c>
      <c r="H502">
        <v>0.47</v>
      </c>
      <c r="I502">
        <v>0.45</v>
      </c>
      <c r="J502">
        <v>58.4</v>
      </c>
      <c r="K502">
        <v>14.2</v>
      </c>
      <c r="L502">
        <v>0.64</v>
      </c>
      <c r="M502">
        <v>82.8</v>
      </c>
      <c r="N502">
        <v>0.67</v>
      </c>
    </row>
    <row r="503" spans="1:14">
      <c r="A503" t="s">
        <v>3616</v>
      </c>
      <c r="B503" t="s">
        <v>3807</v>
      </c>
      <c r="D503" t="s">
        <v>5658</v>
      </c>
      <c r="E503">
        <v>52</v>
      </c>
      <c r="F503">
        <v>24</v>
      </c>
      <c r="G503">
        <v>18.5</v>
      </c>
      <c r="H503">
        <v>0.9</v>
      </c>
      <c r="I503" s="204">
        <v>0.35</v>
      </c>
      <c r="J503">
        <v>45.6</v>
      </c>
      <c r="K503">
        <v>22.5</v>
      </c>
      <c r="L503" s="204">
        <v>0.43</v>
      </c>
      <c r="M503">
        <v>55.4</v>
      </c>
      <c r="N503">
        <v>1.01</v>
      </c>
    </row>
    <row r="504" spans="1:14">
      <c r="A504" t="s">
        <v>3616</v>
      </c>
      <c r="B504" t="s">
        <v>3807</v>
      </c>
      <c r="D504" t="s">
        <v>5659</v>
      </c>
    </row>
    <row r="505" spans="1:14">
      <c r="A505" t="s">
        <v>3616</v>
      </c>
      <c r="B505" t="s">
        <v>3807</v>
      </c>
      <c r="D505" t="s">
        <v>5663</v>
      </c>
    </row>
    <row r="506" spans="1:14">
      <c r="A506" t="s">
        <v>3616</v>
      </c>
      <c r="B506" t="s">
        <v>3807</v>
      </c>
      <c r="D506" t="s">
        <v>4812</v>
      </c>
      <c r="E506">
        <f>AVERAGE(0.35,0.43)</f>
        <v>0.39</v>
      </c>
    </row>
    <row r="507" spans="1:14">
      <c r="A507" t="s">
        <v>3616</v>
      </c>
      <c r="B507" t="s">
        <v>3807</v>
      </c>
      <c r="D507" t="s">
        <v>5662</v>
      </c>
      <c r="E507" s="142">
        <f>[1]MonoSugar!$J$12</f>
        <v>12.510145454545453</v>
      </c>
    </row>
    <row r="508" spans="1:14">
      <c r="A508" t="s">
        <v>3616</v>
      </c>
      <c r="B508" t="s">
        <v>3807</v>
      </c>
      <c r="D508" t="s">
        <v>5642</v>
      </c>
      <c r="E508">
        <f>E506*E507%</f>
        <v>4.878956727272727E-2</v>
      </c>
    </row>
    <row r="509" spans="1:14">
      <c r="A509" t="s">
        <v>3616</v>
      </c>
      <c r="B509" t="s">
        <v>3807</v>
      </c>
    </row>
    <row r="510" spans="1:14">
      <c r="A510" t="s">
        <v>3616</v>
      </c>
      <c r="B510" t="s">
        <v>3807</v>
      </c>
      <c r="C510" t="s">
        <v>396</v>
      </c>
      <c r="D510" t="s">
        <v>5664</v>
      </c>
    </row>
    <row r="511" spans="1:14">
      <c r="A511" t="s">
        <v>3616</v>
      </c>
      <c r="B511" t="s">
        <v>3807</v>
      </c>
      <c r="D511" t="s">
        <v>5665</v>
      </c>
    </row>
    <row r="512" spans="1:14">
      <c r="A512" t="s">
        <v>3616</v>
      </c>
      <c r="B512" t="s">
        <v>3807</v>
      </c>
    </row>
    <row r="513" spans="1:5">
      <c r="A513" t="s">
        <v>3616</v>
      </c>
      <c r="B513" t="s">
        <v>3807</v>
      </c>
      <c r="D513" s="186" t="s">
        <v>5666</v>
      </c>
    </row>
    <row r="514" spans="1:5">
      <c r="A514" t="s">
        <v>3616</v>
      </c>
      <c r="B514" t="s">
        <v>3807</v>
      </c>
    </row>
    <row r="515" spans="1:5">
      <c r="A515" t="s">
        <v>3616</v>
      </c>
      <c r="B515" t="s">
        <v>3807</v>
      </c>
      <c r="D515" t="s">
        <v>5667</v>
      </c>
      <c r="E515">
        <v>0.81</v>
      </c>
    </row>
    <row r="516" spans="1:5">
      <c r="A516" t="s">
        <v>3616</v>
      </c>
      <c r="B516" t="s">
        <v>3807</v>
      </c>
      <c r="D516" t="s">
        <v>5669</v>
      </c>
      <c r="E516" s="142">
        <f>[1]MonoSugar!$K$12</f>
        <v>77.31928323232323</v>
      </c>
    </row>
    <row r="517" spans="1:5">
      <c r="A517" t="s">
        <v>3616</v>
      </c>
      <c r="B517" t="s">
        <v>3807</v>
      </c>
      <c r="D517" t="s">
        <v>5668</v>
      </c>
      <c r="E517">
        <f>E515*E516%</f>
        <v>0.62628619418181819</v>
      </c>
    </row>
    <row r="518" spans="1:5">
      <c r="A518" t="s">
        <v>3616</v>
      </c>
      <c r="B518" t="s">
        <v>3807</v>
      </c>
    </row>
    <row r="519" spans="1:5">
      <c r="A519" t="s">
        <v>3616</v>
      </c>
      <c r="B519" t="s">
        <v>3807</v>
      </c>
      <c r="C519" t="s">
        <v>420</v>
      </c>
      <c r="D519" t="s">
        <v>5671</v>
      </c>
    </row>
    <row r="520" spans="1:5">
      <c r="A520" t="s">
        <v>3616</v>
      </c>
      <c r="B520" t="s">
        <v>3807</v>
      </c>
      <c r="D520" t="s">
        <v>5670</v>
      </c>
    </row>
    <row r="521" spans="1:5">
      <c r="A521" t="s">
        <v>3616</v>
      </c>
      <c r="B521" t="s">
        <v>3807</v>
      </c>
    </row>
    <row r="522" spans="1:5">
      <c r="A522" t="s">
        <v>3616</v>
      </c>
      <c r="B522" t="s">
        <v>3807</v>
      </c>
      <c r="D522" t="s">
        <v>5672</v>
      </c>
    </row>
    <row r="523" spans="1:5">
      <c r="A523" t="s">
        <v>3616</v>
      </c>
      <c r="B523" t="s">
        <v>3807</v>
      </c>
      <c r="D523" t="s">
        <v>5673</v>
      </c>
    </row>
    <row r="524" spans="1:5">
      <c r="A524" t="s">
        <v>3616</v>
      </c>
      <c r="B524" t="s">
        <v>3807</v>
      </c>
    </row>
    <row r="525" spans="1:5">
      <c r="A525" t="s">
        <v>3616</v>
      </c>
      <c r="B525" t="s">
        <v>3807</v>
      </c>
      <c r="D525" t="s">
        <v>5667</v>
      </c>
      <c r="E525">
        <v>0.46</v>
      </c>
    </row>
    <row r="526" spans="1:5">
      <c r="A526" t="s">
        <v>3616</v>
      </c>
      <c r="B526" t="s">
        <v>3807</v>
      </c>
      <c r="E526">
        <v>0.66</v>
      </c>
    </row>
    <row r="527" spans="1:5">
      <c r="A527" t="s">
        <v>3616</v>
      </c>
      <c r="B527" t="s">
        <v>3807</v>
      </c>
      <c r="D527" t="s">
        <v>510</v>
      </c>
      <c r="E527">
        <f>AVERAGE(E525:E526)</f>
        <v>0.56000000000000005</v>
      </c>
    </row>
    <row r="528" spans="1:5">
      <c r="A528" t="s">
        <v>3616</v>
      </c>
      <c r="B528" t="s">
        <v>3807</v>
      </c>
      <c r="D528" t="s">
        <v>5669</v>
      </c>
      <c r="E528" s="142">
        <f>[1]MonoSugar!$K$12</f>
        <v>77.31928323232323</v>
      </c>
    </row>
    <row r="529" spans="1:10">
      <c r="A529" t="s">
        <v>3616</v>
      </c>
      <c r="B529" t="s">
        <v>3807</v>
      </c>
      <c r="D529" t="s">
        <v>5668</v>
      </c>
      <c r="E529">
        <f>E527*E528%</f>
        <v>0.43298798610101014</v>
      </c>
    </row>
    <row r="530" spans="1:10">
      <c r="A530" t="s">
        <v>3616</v>
      </c>
      <c r="B530" t="s">
        <v>3807</v>
      </c>
    </row>
    <row r="531" spans="1:10">
      <c r="A531" t="s">
        <v>3616</v>
      </c>
      <c r="B531" t="s">
        <v>3807</v>
      </c>
      <c r="C531" t="s">
        <v>425</v>
      </c>
      <c r="D531" t="s">
        <v>5674</v>
      </c>
    </row>
    <row r="532" spans="1:10">
      <c r="A532" t="s">
        <v>3616</v>
      </c>
      <c r="B532" t="s">
        <v>3807</v>
      </c>
      <c r="D532" t="s">
        <v>5675</v>
      </c>
    </row>
    <row r="533" spans="1:10">
      <c r="A533" t="s">
        <v>3616</v>
      </c>
      <c r="B533" t="s">
        <v>3807</v>
      </c>
      <c r="D533" t="s">
        <v>5676</v>
      </c>
    </row>
    <row r="534" spans="1:10">
      <c r="A534" t="s">
        <v>3616</v>
      </c>
      <c r="B534" t="s">
        <v>3807</v>
      </c>
    </row>
    <row r="535" spans="1:10">
      <c r="A535" t="s">
        <v>3616</v>
      </c>
      <c r="B535" t="s">
        <v>3807</v>
      </c>
      <c r="D535" t="s">
        <v>5677</v>
      </c>
      <c r="E535">
        <v>0.64700000000000002</v>
      </c>
    </row>
    <row r="536" spans="1:10">
      <c r="A536" t="s">
        <v>3616</v>
      </c>
      <c r="B536" t="s">
        <v>3807</v>
      </c>
      <c r="D536" t="s">
        <v>5669</v>
      </c>
      <c r="E536" s="142">
        <f>[1]MonoSugar!$K$12</f>
        <v>77.31928323232323</v>
      </c>
    </row>
    <row r="537" spans="1:10">
      <c r="A537" t="s">
        <v>3616</v>
      </c>
      <c r="B537" t="s">
        <v>3807</v>
      </c>
      <c r="D537" t="s">
        <v>5668</v>
      </c>
      <c r="E537">
        <f>E535*E536%</f>
        <v>0.50025576251313131</v>
      </c>
    </row>
    <row r="538" spans="1:10">
      <c r="A538" t="s">
        <v>3616</v>
      </c>
      <c r="B538" t="s">
        <v>5678</v>
      </c>
    </row>
    <row r="539" spans="1:10">
      <c r="A539" t="s">
        <v>3616</v>
      </c>
      <c r="B539" t="s">
        <v>5678</v>
      </c>
    </row>
    <row r="540" spans="1:10">
      <c r="A540" t="s">
        <v>3616</v>
      </c>
      <c r="B540" t="s">
        <v>5678</v>
      </c>
      <c r="C540" t="s">
        <v>197</v>
      </c>
      <c r="D540" t="s">
        <v>5679</v>
      </c>
    </row>
    <row r="541" spans="1:10">
      <c r="A541" t="s">
        <v>3616</v>
      </c>
      <c r="B541" t="s">
        <v>5678</v>
      </c>
      <c r="D541" t="s">
        <v>5680</v>
      </c>
    </row>
    <row r="542" spans="1:10">
      <c r="A542" t="s">
        <v>3616</v>
      </c>
      <c r="B542" t="s">
        <v>5678</v>
      </c>
    </row>
    <row r="543" spans="1:10">
      <c r="A543" t="s">
        <v>3616</v>
      </c>
      <c r="B543" t="s">
        <v>5678</v>
      </c>
      <c r="D543" t="s">
        <v>5681</v>
      </c>
    </row>
    <row r="544" spans="1:10">
      <c r="A544" t="s">
        <v>3616</v>
      </c>
      <c r="B544" t="s">
        <v>5678</v>
      </c>
      <c r="D544" t="s">
        <v>5682</v>
      </c>
      <c r="E544" t="s">
        <v>5683</v>
      </c>
      <c r="F544" t="s">
        <v>5684</v>
      </c>
      <c r="J544" t="s">
        <v>207</v>
      </c>
    </row>
    <row r="545" spans="1:10">
      <c r="A545" t="s">
        <v>3616</v>
      </c>
      <c r="B545" t="s">
        <v>5678</v>
      </c>
      <c r="F545" t="s">
        <v>4689</v>
      </c>
      <c r="G545" t="s">
        <v>5685</v>
      </c>
      <c r="H545" t="s">
        <v>5686</v>
      </c>
      <c r="I545" t="s">
        <v>5687</v>
      </c>
    </row>
    <row r="546" spans="1:10">
      <c r="A546" t="s">
        <v>3616</v>
      </c>
      <c r="B546" t="s">
        <v>5678</v>
      </c>
      <c r="D546" t="s">
        <v>5688</v>
      </c>
      <c r="E546" t="s">
        <v>5689</v>
      </c>
      <c r="F546">
        <v>55.8</v>
      </c>
      <c r="G546" s="204">
        <v>0.96</v>
      </c>
      <c r="H546">
        <v>0.77</v>
      </c>
      <c r="I546">
        <v>0.32500000000000001</v>
      </c>
      <c r="J546" t="s">
        <v>677</v>
      </c>
    </row>
    <row r="547" spans="1:10">
      <c r="A547" t="s">
        <v>3616</v>
      </c>
      <c r="B547" t="s">
        <v>5678</v>
      </c>
      <c r="D547" t="s">
        <v>5688</v>
      </c>
      <c r="E547" t="s">
        <v>5690</v>
      </c>
      <c r="F547">
        <v>53.4</v>
      </c>
      <c r="G547">
        <v>0.9</v>
      </c>
      <c r="H547">
        <v>0.74</v>
      </c>
      <c r="I547">
        <v>0.40899999999999997</v>
      </c>
      <c r="J547" t="s">
        <v>677</v>
      </c>
    </row>
    <row r="548" spans="1:10">
      <c r="A548" t="s">
        <v>3616</v>
      </c>
      <c r="B548" t="s">
        <v>5678</v>
      </c>
      <c r="D548" t="s">
        <v>5691</v>
      </c>
      <c r="E548" t="s">
        <v>5692</v>
      </c>
      <c r="F548">
        <v>32.700000000000003</v>
      </c>
      <c r="G548">
        <v>0.77</v>
      </c>
      <c r="H548">
        <v>0.34</v>
      </c>
      <c r="I548">
        <v>0.14099999999999999</v>
      </c>
      <c r="J548" t="s">
        <v>5693</v>
      </c>
    </row>
    <row r="549" spans="1:10">
      <c r="A549" t="s">
        <v>3616</v>
      </c>
      <c r="B549" t="s">
        <v>5678</v>
      </c>
      <c r="D549" t="s">
        <v>5694</v>
      </c>
      <c r="E549" t="s">
        <v>5695</v>
      </c>
      <c r="F549">
        <v>17</v>
      </c>
      <c r="G549" s="204">
        <v>0.34</v>
      </c>
      <c r="H549">
        <v>0.56000000000000005</v>
      </c>
      <c r="I549">
        <v>0.28799999999999998</v>
      </c>
      <c r="J549" t="s">
        <v>5696</v>
      </c>
    </row>
    <row r="550" spans="1:10">
      <c r="A550" t="s">
        <v>3616</v>
      </c>
      <c r="B550" t="s">
        <v>5678</v>
      </c>
      <c r="D550" t="s">
        <v>5697</v>
      </c>
      <c r="E550" t="s">
        <v>5698</v>
      </c>
      <c r="F550">
        <v>55.2</v>
      </c>
      <c r="G550" t="s">
        <v>5699</v>
      </c>
      <c r="H550">
        <v>1.1499999999999999</v>
      </c>
      <c r="I550">
        <v>0.49299999999999999</v>
      </c>
      <c r="J550" t="s">
        <v>5700</v>
      </c>
    </row>
    <row r="551" spans="1:10">
      <c r="A551" t="s">
        <v>3616</v>
      </c>
      <c r="B551" t="s">
        <v>5678</v>
      </c>
      <c r="D551" t="s">
        <v>5697</v>
      </c>
      <c r="E551" t="s">
        <v>5701</v>
      </c>
      <c r="F551">
        <v>45.2</v>
      </c>
      <c r="G551" s="204">
        <v>0.79</v>
      </c>
      <c r="H551">
        <v>0.75</v>
      </c>
      <c r="I551" t="s">
        <v>5702</v>
      </c>
      <c r="J551" t="s">
        <v>5700</v>
      </c>
    </row>
    <row r="552" spans="1:10">
      <c r="A552" t="s">
        <v>3616</v>
      </c>
      <c r="B552" t="s">
        <v>5678</v>
      </c>
      <c r="D552" t="s">
        <v>5697</v>
      </c>
      <c r="E552" t="s">
        <v>5703</v>
      </c>
      <c r="F552">
        <v>40.299999999999997</v>
      </c>
    </row>
    <row r="553" spans="1:10">
      <c r="A553" t="s">
        <v>3616</v>
      </c>
      <c r="B553" t="s">
        <v>5678</v>
      </c>
    </row>
    <row r="554" spans="1:10">
      <c r="A554" t="s">
        <v>3616</v>
      </c>
      <c r="B554" t="s">
        <v>5678</v>
      </c>
      <c r="D554" t="s">
        <v>1177</v>
      </c>
      <c r="E554" s="353" t="s">
        <v>5704</v>
      </c>
    </row>
    <row r="555" spans="1:10">
      <c r="A555" t="s">
        <v>3616</v>
      </c>
      <c r="B555" t="s">
        <v>5678</v>
      </c>
      <c r="D555" t="s">
        <v>1179</v>
      </c>
      <c r="E555" s="353" t="s">
        <v>5705</v>
      </c>
    </row>
    <row r="556" spans="1:10">
      <c r="A556" t="s">
        <v>3616</v>
      </c>
      <c r="B556" t="s">
        <v>5678</v>
      </c>
      <c r="D556" t="s">
        <v>1861</v>
      </c>
      <c r="E556" s="353" t="s">
        <v>5706</v>
      </c>
    </row>
    <row r="557" spans="1:10">
      <c r="A557" t="s">
        <v>3616</v>
      </c>
      <c r="B557" t="s">
        <v>5678</v>
      </c>
      <c r="D557" t="s">
        <v>2990</v>
      </c>
      <c r="E557" s="353" t="s">
        <v>5707</v>
      </c>
    </row>
    <row r="558" spans="1:10">
      <c r="A558" t="s">
        <v>3616</v>
      </c>
      <c r="B558" t="s">
        <v>5678</v>
      </c>
    </row>
    <row r="559" spans="1:10">
      <c r="A559" t="s">
        <v>3616</v>
      </c>
      <c r="B559" t="s">
        <v>5678</v>
      </c>
      <c r="D559" t="s">
        <v>5708</v>
      </c>
      <c r="E559">
        <f>AVERAGE(G546,G549,G551)</f>
        <v>0.69666666666666666</v>
      </c>
    </row>
    <row r="560" spans="1:10">
      <c r="A560" t="s">
        <v>3616</v>
      </c>
      <c r="B560" t="s">
        <v>5678</v>
      </c>
      <c r="D560" t="s">
        <v>5709</v>
      </c>
      <c r="E560" s="142">
        <f>[1]MonoSugar!$K$13</f>
        <v>55.647368421052633</v>
      </c>
    </row>
    <row r="561" spans="1:5">
      <c r="A561" t="s">
        <v>3616</v>
      </c>
      <c r="B561" t="s">
        <v>5678</v>
      </c>
      <c r="D561" t="s">
        <v>5710</v>
      </c>
      <c r="E561">
        <f>E559*E560%</f>
        <v>0.38767666666666667</v>
      </c>
    </row>
    <row r="562" spans="1:5">
      <c r="A562" t="s">
        <v>3616</v>
      </c>
      <c r="B562" t="s">
        <v>5678</v>
      </c>
    </row>
    <row r="563" spans="1:5">
      <c r="A563" t="s">
        <v>3616</v>
      </c>
      <c r="B563" t="s">
        <v>5678</v>
      </c>
      <c r="C563" t="s">
        <v>226</v>
      </c>
      <c r="D563" t="s">
        <v>5712</v>
      </c>
    </row>
    <row r="564" spans="1:5">
      <c r="A564" t="s">
        <v>3616</v>
      </c>
      <c r="B564" t="s">
        <v>5678</v>
      </c>
      <c r="D564" t="s">
        <v>5713</v>
      </c>
    </row>
    <row r="565" spans="1:5">
      <c r="A565" t="s">
        <v>3616</v>
      </c>
      <c r="B565" t="s">
        <v>5678</v>
      </c>
    </row>
    <row r="566" spans="1:5">
      <c r="A566" t="s">
        <v>3616</v>
      </c>
      <c r="B566" t="s">
        <v>5678</v>
      </c>
      <c r="D566" s="186" t="s">
        <v>5711</v>
      </c>
    </row>
    <row r="567" spans="1:5">
      <c r="A567" t="s">
        <v>3616</v>
      </c>
      <c r="B567" t="s">
        <v>5678</v>
      </c>
      <c r="D567" t="s">
        <v>5714</v>
      </c>
      <c r="E567" s="142">
        <f>[1]MonoSugar!$L$13</f>
        <v>55.647368421052633</v>
      </c>
    </row>
    <row r="568" spans="1:5">
      <c r="A568" t="s">
        <v>3616</v>
      </c>
      <c r="B568" t="s">
        <v>5678</v>
      </c>
      <c r="D568" t="s">
        <v>5715</v>
      </c>
      <c r="E568">
        <f>1.2*118/180*E567%</f>
        <v>0.43775929824561405</v>
      </c>
    </row>
    <row r="570" spans="1:5">
      <c r="A570" t="s">
        <v>892</v>
      </c>
      <c r="B570" t="s">
        <v>3721</v>
      </c>
      <c r="C570" t="s">
        <v>638</v>
      </c>
      <c r="D570" t="s">
        <v>883</v>
      </c>
      <c r="E570">
        <v>0.23649999999999999</v>
      </c>
    </row>
    <row r="571" spans="1:5">
      <c r="A571" t="s">
        <v>892</v>
      </c>
      <c r="D571" t="s">
        <v>4210</v>
      </c>
      <c r="E571" s="142">
        <f>[1]MonoSugar!$H$11</f>
        <v>19.848321871345028</v>
      </c>
    </row>
    <row r="572" spans="1:5">
      <c r="A572" t="s">
        <v>892</v>
      </c>
      <c r="D572" s="48" t="s">
        <v>5716</v>
      </c>
      <c r="E572" s="48">
        <f>E571%*E570</f>
        <v>4.6941281225730991E-2</v>
      </c>
    </row>
    <row r="573" spans="1:5">
      <c r="A573" t="s">
        <v>892</v>
      </c>
    </row>
    <row r="574" spans="1:5">
      <c r="A574" t="s">
        <v>892</v>
      </c>
      <c r="B574" t="s">
        <v>3807</v>
      </c>
      <c r="C574" t="s">
        <v>638</v>
      </c>
      <c r="D574" t="s">
        <v>883</v>
      </c>
      <c r="E574">
        <v>0.23649999999999999</v>
      </c>
    </row>
    <row r="575" spans="1:5">
      <c r="A575" t="s">
        <v>892</v>
      </c>
      <c r="D575" t="s">
        <v>4212</v>
      </c>
      <c r="E575" s="142">
        <f>[1]MonoSugar!$H$12</f>
        <v>64.809137777777778</v>
      </c>
    </row>
    <row r="576" spans="1:5">
      <c r="A576" t="s">
        <v>892</v>
      </c>
      <c r="D576" s="48" t="s">
        <v>5717</v>
      </c>
      <c r="E576" s="48">
        <f>E575%*E574</f>
        <v>0.15327361084444444</v>
      </c>
    </row>
    <row r="577" spans="1:5">
      <c r="A577" t="s">
        <v>892</v>
      </c>
    </row>
    <row r="578" spans="1:5">
      <c r="A578" t="s">
        <v>892</v>
      </c>
    </row>
    <row r="579" spans="1:5">
      <c r="A579" t="s">
        <v>892</v>
      </c>
      <c r="B579" t="s">
        <v>5678</v>
      </c>
      <c r="C579" t="s">
        <v>638</v>
      </c>
      <c r="D579" t="s">
        <v>883</v>
      </c>
      <c r="E579">
        <v>0.23649999999999999</v>
      </c>
    </row>
    <row r="580" spans="1:5">
      <c r="A580" t="s">
        <v>892</v>
      </c>
      <c r="D580" t="s">
        <v>5719</v>
      </c>
      <c r="E580" s="142">
        <f>[1]MonoSugar!$H$13</f>
        <v>27.373684210526314</v>
      </c>
    </row>
    <row r="581" spans="1:5">
      <c r="A581" t="s">
        <v>892</v>
      </c>
      <c r="D581" s="48" t="s">
        <v>5718</v>
      </c>
      <c r="E581" s="48">
        <f>E580%*E579</f>
        <v>6.4738763157894716E-2</v>
      </c>
    </row>
    <row r="583" spans="1:5">
      <c r="A583" t="s">
        <v>931</v>
      </c>
      <c r="B583" t="s">
        <v>3721</v>
      </c>
      <c r="C583" t="s">
        <v>638</v>
      </c>
      <c r="D583" t="s">
        <v>940</v>
      </c>
      <c r="E583">
        <v>0.52103333333333335</v>
      </c>
    </row>
    <row r="584" spans="1:5">
      <c r="A584" t="s">
        <v>931</v>
      </c>
      <c r="B584" t="s">
        <v>3721</v>
      </c>
      <c r="D584" t="s">
        <v>5720</v>
      </c>
      <c r="E584" s="142">
        <f>[1]MonoSugar!$L$11</f>
        <v>27.108848187134502</v>
      </c>
    </row>
    <row r="585" spans="1:5">
      <c r="A585" t="s">
        <v>931</v>
      </c>
      <c r="B585" t="s">
        <v>3721</v>
      </c>
      <c r="D585" s="48" t="s">
        <v>5721</v>
      </c>
      <c r="E585" s="48">
        <f>E583*E584%</f>
        <v>0.14124613533769981</v>
      </c>
    </row>
    <row r="586" spans="1:5">
      <c r="A586" t="s">
        <v>931</v>
      </c>
      <c r="B586" t="s">
        <v>3807</v>
      </c>
      <c r="C586" t="s">
        <v>197</v>
      </c>
      <c r="D586" t="s">
        <v>5722</v>
      </c>
    </row>
    <row r="587" spans="1:5">
      <c r="A587" t="s">
        <v>931</v>
      </c>
      <c r="B587" t="s">
        <v>3807</v>
      </c>
      <c r="D587" t="s">
        <v>5723</v>
      </c>
    </row>
    <row r="588" spans="1:5">
      <c r="A588" t="s">
        <v>931</v>
      </c>
      <c r="B588" t="s">
        <v>3807</v>
      </c>
    </row>
    <row r="589" spans="1:5">
      <c r="A589" t="s">
        <v>931</v>
      </c>
      <c r="B589" t="s">
        <v>3807</v>
      </c>
      <c r="D589" t="s">
        <v>5724</v>
      </c>
    </row>
    <row r="590" spans="1:5">
      <c r="A590" t="s">
        <v>931</v>
      </c>
      <c r="B590" t="s">
        <v>3807</v>
      </c>
    </row>
    <row r="591" spans="1:5">
      <c r="A591" t="s">
        <v>931</v>
      </c>
      <c r="B591" t="s">
        <v>3807</v>
      </c>
      <c r="D591" t="s">
        <v>5150</v>
      </c>
      <c r="E591">
        <f>194/1000</f>
        <v>0.19400000000000001</v>
      </c>
    </row>
    <row r="592" spans="1:5">
      <c r="A592" t="s">
        <v>931</v>
      </c>
      <c r="B592" t="s">
        <v>3807</v>
      </c>
    </row>
    <row r="593" spans="1:5">
      <c r="A593" t="s">
        <v>931</v>
      </c>
      <c r="B593" t="s">
        <v>3807</v>
      </c>
      <c r="C593" t="s">
        <v>226</v>
      </c>
      <c r="D593" t="s">
        <v>5725</v>
      </c>
    </row>
    <row r="594" spans="1:5">
      <c r="A594" t="s">
        <v>931</v>
      </c>
      <c r="B594" t="s">
        <v>3807</v>
      </c>
      <c r="D594" t="s">
        <v>5726</v>
      </c>
    </row>
    <row r="595" spans="1:5">
      <c r="A595" t="s">
        <v>931</v>
      </c>
      <c r="B595" t="s">
        <v>3807</v>
      </c>
    </row>
    <row r="596" spans="1:5">
      <c r="A596" t="s">
        <v>931</v>
      </c>
      <c r="B596" t="s">
        <v>3807</v>
      </c>
      <c r="D596" t="s">
        <v>5727</v>
      </c>
    </row>
    <row r="597" spans="1:5">
      <c r="A597" t="s">
        <v>931</v>
      </c>
      <c r="B597" t="s">
        <v>3807</v>
      </c>
    </row>
    <row r="598" spans="1:5">
      <c r="A598" t="s">
        <v>931</v>
      </c>
      <c r="B598" t="s">
        <v>3807</v>
      </c>
      <c r="D598" t="s">
        <v>5150</v>
      </c>
      <c r="E598">
        <f>36.5/100</f>
        <v>0.36499999999999999</v>
      </c>
    </row>
    <row r="599" spans="1:5">
      <c r="A599" t="s">
        <v>931</v>
      </c>
      <c r="B599" t="s">
        <v>3807</v>
      </c>
    </row>
    <row r="600" spans="1:5">
      <c r="A600" t="s">
        <v>931</v>
      </c>
      <c r="B600" t="s">
        <v>3807</v>
      </c>
      <c r="C600" t="s">
        <v>396</v>
      </c>
      <c r="D600" t="s">
        <v>5728</v>
      </c>
    </row>
    <row r="601" spans="1:5">
      <c r="A601" t="s">
        <v>931</v>
      </c>
      <c r="B601" t="s">
        <v>3807</v>
      </c>
      <c r="D601" t="s">
        <v>5729</v>
      </c>
    </row>
    <row r="602" spans="1:5">
      <c r="A602" t="s">
        <v>931</v>
      </c>
      <c r="B602" t="s">
        <v>3807</v>
      </c>
    </row>
    <row r="603" spans="1:5">
      <c r="A603" t="s">
        <v>931</v>
      </c>
      <c r="B603" t="s">
        <v>3807</v>
      </c>
      <c r="D603" t="s">
        <v>5730</v>
      </c>
    </row>
    <row r="604" spans="1:5">
      <c r="A604" t="s">
        <v>931</v>
      </c>
      <c r="B604" t="s">
        <v>3807</v>
      </c>
    </row>
    <row r="605" spans="1:5">
      <c r="A605" t="s">
        <v>931</v>
      </c>
      <c r="B605" t="s">
        <v>3807</v>
      </c>
      <c r="D605" t="s">
        <v>5731</v>
      </c>
      <c r="E605">
        <v>54.6</v>
      </c>
    </row>
    <row r="606" spans="1:5">
      <c r="A606" t="s">
        <v>931</v>
      </c>
      <c r="B606" t="s">
        <v>3807</v>
      </c>
      <c r="D606" t="s">
        <v>5734</v>
      </c>
      <c r="E606" s="142">
        <f>[1]MonoSugar!$E$12</f>
        <v>54.87</v>
      </c>
    </row>
    <row r="607" spans="1:5">
      <c r="A607" t="s">
        <v>931</v>
      </c>
      <c r="B607" t="s">
        <v>3807</v>
      </c>
      <c r="D607" t="s">
        <v>5733</v>
      </c>
      <c r="E607">
        <f>E606*0.71</f>
        <v>38.957699999999996</v>
      </c>
    </row>
    <row r="608" spans="1:5">
      <c r="A608" t="s">
        <v>931</v>
      </c>
      <c r="B608" t="s">
        <v>3807</v>
      </c>
      <c r="D608" t="s">
        <v>5732</v>
      </c>
      <c r="E608">
        <f>E605%*E607%*0.71</f>
        <v>0.15102341981999998</v>
      </c>
    </row>
    <row r="609" spans="1:5">
      <c r="A609" t="s">
        <v>931</v>
      </c>
      <c r="B609" t="s">
        <v>3807</v>
      </c>
    </row>
    <row r="610" spans="1:5">
      <c r="A610" t="s">
        <v>931</v>
      </c>
      <c r="B610" t="s">
        <v>3807</v>
      </c>
    </row>
    <row r="611" spans="1:5">
      <c r="A611" t="s">
        <v>931</v>
      </c>
      <c r="B611" t="s">
        <v>3807</v>
      </c>
      <c r="C611" t="s">
        <v>420</v>
      </c>
      <c r="D611" t="s">
        <v>5735</v>
      </c>
    </row>
    <row r="612" spans="1:5">
      <c r="A612" t="s">
        <v>931</v>
      </c>
      <c r="B612" t="s">
        <v>3807</v>
      </c>
      <c r="D612" t="s">
        <v>5736</v>
      </c>
    </row>
    <row r="613" spans="1:5">
      <c r="A613" t="s">
        <v>931</v>
      </c>
      <c r="B613" t="s">
        <v>3807</v>
      </c>
    </row>
    <row r="614" spans="1:5">
      <c r="A614" t="s">
        <v>931</v>
      </c>
      <c r="B614" t="s">
        <v>3807</v>
      </c>
      <c r="D614" t="s">
        <v>5737</v>
      </c>
    </row>
    <row r="615" spans="1:5">
      <c r="A615" t="s">
        <v>931</v>
      </c>
      <c r="B615" t="s">
        <v>3807</v>
      </c>
    </row>
    <row r="616" spans="1:5">
      <c r="A616" t="s">
        <v>931</v>
      </c>
      <c r="B616" t="s">
        <v>3807</v>
      </c>
      <c r="D616" t="s">
        <v>5738</v>
      </c>
      <c r="E616">
        <v>22.8</v>
      </c>
    </row>
    <row r="617" spans="1:5">
      <c r="A617" t="s">
        <v>931</v>
      </c>
      <c r="B617" t="s">
        <v>3807</v>
      </c>
    </row>
    <row r="618" spans="1:5">
      <c r="A618" t="s">
        <v>931</v>
      </c>
      <c r="B618" t="s">
        <v>3807</v>
      </c>
      <c r="C618" t="s">
        <v>425</v>
      </c>
      <c r="D618" t="s">
        <v>5747</v>
      </c>
    </row>
    <row r="619" spans="1:5">
      <c r="A619" t="s">
        <v>931</v>
      </c>
      <c r="B619" t="s">
        <v>3807</v>
      </c>
      <c r="D619" t="s">
        <v>971</v>
      </c>
    </row>
    <row r="620" spans="1:5">
      <c r="A620" t="s">
        <v>931</v>
      </c>
      <c r="B620" t="s">
        <v>3807</v>
      </c>
    </row>
    <row r="621" spans="1:5">
      <c r="A621" t="s">
        <v>931</v>
      </c>
      <c r="B621" t="s">
        <v>3807</v>
      </c>
      <c r="D621" t="s">
        <v>5739</v>
      </c>
    </row>
    <row r="622" spans="1:5">
      <c r="A622" t="s">
        <v>931</v>
      </c>
      <c r="B622" t="s">
        <v>3807</v>
      </c>
      <c r="D622" t="s">
        <v>5740</v>
      </c>
    </row>
    <row r="623" spans="1:5">
      <c r="A623" t="s">
        <v>931</v>
      </c>
      <c r="B623" t="s">
        <v>3807</v>
      </c>
      <c r="D623" t="s">
        <v>5741</v>
      </c>
    </row>
    <row r="624" spans="1:5">
      <c r="A624" t="s">
        <v>931</v>
      </c>
      <c r="B624" t="s">
        <v>3807</v>
      </c>
      <c r="D624" t="s">
        <v>5742</v>
      </c>
    </row>
    <row r="625" spans="1:7">
      <c r="A625" t="s">
        <v>931</v>
      </c>
      <c r="B625" t="s">
        <v>3807</v>
      </c>
      <c r="D625" t="s">
        <v>5743</v>
      </c>
    </row>
    <row r="626" spans="1:7">
      <c r="A626" t="s">
        <v>931</v>
      </c>
      <c r="B626" t="s">
        <v>3807</v>
      </c>
      <c r="D626" t="s">
        <v>5744</v>
      </c>
    </row>
    <row r="627" spans="1:7">
      <c r="A627" t="s">
        <v>931</v>
      </c>
      <c r="B627" t="s">
        <v>3807</v>
      </c>
      <c r="D627" t="s">
        <v>5745</v>
      </c>
    </row>
    <row r="628" spans="1:7">
      <c r="A628" t="s">
        <v>931</v>
      </c>
      <c r="B628" t="s">
        <v>3807</v>
      </c>
      <c r="D628" t="s">
        <v>5746</v>
      </c>
    </row>
    <row r="629" spans="1:7">
      <c r="A629" t="s">
        <v>931</v>
      </c>
      <c r="B629" t="s">
        <v>3807</v>
      </c>
    </row>
    <row r="630" spans="1:7">
      <c r="A630" t="s">
        <v>931</v>
      </c>
      <c r="B630" t="s">
        <v>3807</v>
      </c>
      <c r="D630" t="s">
        <v>5748</v>
      </c>
      <c r="E630">
        <v>60.5</v>
      </c>
    </row>
    <row r="631" spans="1:7">
      <c r="A631" t="s">
        <v>931</v>
      </c>
      <c r="B631" t="s">
        <v>3807</v>
      </c>
      <c r="D631" t="s">
        <v>4212</v>
      </c>
      <c r="E631" s="142">
        <f>[1]MonoSugar!$H$12</f>
        <v>64.809137777777778</v>
      </c>
    </row>
    <row r="632" spans="1:7">
      <c r="A632" t="s">
        <v>931</v>
      </c>
      <c r="B632" t="s">
        <v>3807</v>
      </c>
      <c r="D632" t="s">
        <v>5150</v>
      </c>
      <c r="E632">
        <f>E630%*E631%*(116.11/180.16)</f>
        <v>0.25269861996911386</v>
      </c>
    </row>
    <row r="634" spans="1:7">
      <c r="A634" t="s">
        <v>931</v>
      </c>
      <c r="B634" t="s">
        <v>5678</v>
      </c>
      <c r="C634" t="s">
        <v>197</v>
      </c>
      <c r="D634" t="s">
        <v>5750</v>
      </c>
    </row>
    <row r="635" spans="1:7">
      <c r="A635" t="s">
        <v>931</v>
      </c>
      <c r="B635" t="s">
        <v>5678</v>
      </c>
      <c r="D635" t="s">
        <v>5749</v>
      </c>
    </row>
    <row r="636" spans="1:7">
      <c r="A636" t="s">
        <v>931</v>
      </c>
      <c r="B636" t="s">
        <v>5678</v>
      </c>
    </row>
    <row r="637" spans="1:7" ht="15" thickBot="1">
      <c r="A637" t="s">
        <v>931</v>
      </c>
      <c r="B637" t="s">
        <v>5678</v>
      </c>
      <c r="D637" s="377" t="s">
        <v>5751</v>
      </c>
    </row>
    <row r="638" spans="1:7" ht="15" thickBot="1">
      <c r="A638" t="s">
        <v>931</v>
      </c>
      <c r="B638" t="s">
        <v>5678</v>
      </c>
      <c r="D638" s="375" t="s">
        <v>5752</v>
      </c>
      <c r="E638" s="375" t="s">
        <v>5753</v>
      </c>
      <c r="F638" s="375" t="s">
        <v>5754</v>
      </c>
      <c r="G638" s="375" t="s">
        <v>5755</v>
      </c>
    </row>
    <row r="639" spans="1:7" ht="15" thickBot="1">
      <c r="A639" t="s">
        <v>931</v>
      </c>
      <c r="B639" t="s">
        <v>5678</v>
      </c>
      <c r="D639" s="376" t="s">
        <v>5756</v>
      </c>
      <c r="E639" s="376">
        <v>184</v>
      </c>
      <c r="F639" s="376" t="s">
        <v>5757</v>
      </c>
      <c r="G639" s="376" t="s">
        <v>5758</v>
      </c>
    </row>
    <row r="640" spans="1:7" ht="15" thickBot="1">
      <c r="A640" t="s">
        <v>931</v>
      </c>
      <c r="B640" t="s">
        <v>5678</v>
      </c>
      <c r="D640" s="376" t="s">
        <v>5759</v>
      </c>
      <c r="E640" s="376" t="s">
        <v>5760</v>
      </c>
      <c r="F640" s="376" t="s">
        <v>5761</v>
      </c>
      <c r="G640" s="376" t="s">
        <v>5762</v>
      </c>
    </row>
    <row r="641" spans="1:7" ht="15" thickBot="1">
      <c r="A641" t="s">
        <v>931</v>
      </c>
      <c r="B641" t="s">
        <v>5678</v>
      </c>
      <c r="D641" s="376" t="s">
        <v>5763</v>
      </c>
      <c r="E641" s="376" t="s">
        <v>5764</v>
      </c>
      <c r="F641" s="376" t="s">
        <v>5765</v>
      </c>
      <c r="G641" s="376" t="s">
        <v>1601</v>
      </c>
    </row>
    <row r="642" spans="1:7" ht="15" thickBot="1">
      <c r="A642" t="s">
        <v>931</v>
      </c>
      <c r="B642" t="s">
        <v>5678</v>
      </c>
      <c r="D642" s="376" t="s">
        <v>5766</v>
      </c>
      <c r="E642" s="376" t="s">
        <v>5767</v>
      </c>
      <c r="F642" s="376" t="s">
        <v>5768</v>
      </c>
      <c r="G642" s="376" t="s">
        <v>5769</v>
      </c>
    </row>
    <row r="643" spans="1:7" ht="15" thickBot="1">
      <c r="A643" t="s">
        <v>931</v>
      </c>
      <c r="B643" t="s">
        <v>5678</v>
      </c>
      <c r="D643" s="376" t="s">
        <v>5770</v>
      </c>
      <c r="E643" s="376" t="s">
        <v>5771</v>
      </c>
      <c r="F643" s="376" t="s">
        <v>5772</v>
      </c>
      <c r="G643" s="376" t="s">
        <v>1532</v>
      </c>
    </row>
    <row r="644" spans="1:7" ht="15" thickBot="1">
      <c r="A644" t="s">
        <v>931</v>
      </c>
      <c r="B644" t="s">
        <v>5678</v>
      </c>
      <c r="D644" s="376" t="s">
        <v>5773</v>
      </c>
      <c r="E644" s="376">
        <v>277</v>
      </c>
      <c r="F644" s="376" t="s">
        <v>5774</v>
      </c>
      <c r="G644" s="376" t="s">
        <v>5775</v>
      </c>
    </row>
    <row r="645" spans="1:7" ht="15" thickBot="1">
      <c r="A645" t="s">
        <v>931</v>
      </c>
      <c r="B645" t="s">
        <v>5678</v>
      </c>
      <c r="D645" s="376" t="s">
        <v>5776</v>
      </c>
      <c r="E645" s="376">
        <v>368</v>
      </c>
      <c r="F645" s="376" t="s">
        <v>5777</v>
      </c>
      <c r="G645" s="376" t="s">
        <v>5778</v>
      </c>
    </row>
    <row r="646" spans="1:7" ht="15" thickBot="1">
      <c r="A646" t="s">
        <v>931</v>
      </c>
      <c r="B646" t="s">
        <v>5678</v>
      </c>
      <c r="D646" s="376" t="s">
        <v>5779</v>
      </c>
      <c r="E646" s="376">
        <v>552</v>
      </c>
      <c r="F646" s="376" t="s">
        <v>5780</v>
      </c>
    </row>
    <row r="647" spans="1:7" ht="15" thickBot="1">
      <c r="A647" t="s">
        <v>931</v>
      </c>
      <c r="B647" t="s">
        <v>5678</v>
      </c>
    </row>
    <row r="648" spans="1:7" ht="15" thickBot="1">
      <c r="A648" t="s">
        <v>931</v>
      </c>
      <c r="B648" t="s">
        <v>5678</v>
      </c>
      <c r="F648" s="376">
        <v>36.5</v>
      </c>
    </row>
    <row r="649" spans="1:7" ht="15" thickBot="1">
      <c r="A649" t="s">
        <v>931</v>
      </c>
      <c r="B649" t="s">
        <v>5678</v>
      </c>
      <c r="F649" s="376">
        <v>33.799999999999997</v>
      </c>
    </row>
    <row r="650" spans="1:7" ht="15" thickBot="1">
      <c r="A650" t="s">
        <v>931</v>
      </c>
      <c r="B650" t="s">
        <v>5678</v>
      </c>
      <c r="F650" s="376">
        <v>30.5</v>
      </c>
    </row>
    <row r="651" spans="1:7" ht="15" thickBot="1">
      <c r="A651" t="s">
        <v>931</v>
      </c>
      <c r="B651" t="s">
        <v>5678</v>
      </c>
      <c r="F651" s="376">
        <v>26.6</v>
      </c>
    </row>
    <row r="652" spans="1:7" ht="15" thickBot="1">
      <c r="A652" t="s">
        <v>931</v>
      </c>
      <c r="B652" t="s">
        <v>5678</v>
      </c>
      <c r="F652" s="376">
        <v>23.9</v>
      </c>
    </row>
    <row r="653" spans="1:7" ht="15" thickBot="1">
      <c r="A653" t="s">
        <v>931</v>
      </c>
      <c r="B653" t="s">
        <v>5678</v>
      </c>
      <c r="F653" s="376">
        <v>29.2</v>
      </c>
    </row>
    <row r="654" spans="1:7" ht="15" thickBot="1">
      <c r="A654" t="s">
        <v>931</v>
      </c>
      <c r="B654" t="s">
        <v>5678</v>
      </c>
      <c r="F654" s="376">
        <v>24.8</v>
      </c>
    </row>
    <row r="655" spans="1:7" ht="15" thickBot="1">
      <c r="A655" t="s">
        <v>931</v>
      </c>
      <c r="B655" t="s">
        <v>5678</v>
      </c>
      <c r="F655" s="376">
        <v>18.100000000000001</v>
      </c>
    </row>
    <row r="656" spans="1:7">
      <c r="A656" t="s">
        <v>931</v>
      </c>
      <c r="B656" t="s">
        <v>5678</v>
      </c>
      <c r="E656" t="s">
        <v>510</v>
      </c>
      <c r="F656">
        <f>AVERAGE(F648:F655)</f>
        <v>27.925000000000001</v>
      </c>
    </row>
    <row r="657" spans="1:9">
      <c r="A657" t="s">
        <v>931</v>
      </c>
      <c r="B657" t="s">
        <v>5678</v>
      </c>
      <c r="E657" t="s">
        <v>5150</v>
      </c>
      <c r="F657">
        <f>F656/100</f>
        <v>0.27925</v>
      </c>
    </row>
    <row r="658" spans="1:9">
      <c r="A658" t="s">
        <v>931</v>
      </c>
      <c r="B658" t="s">
        <v>5678</v>
      </c>
    </row>
    <row r="661" spans="1:9">
      <c r="A661" t="s">
        <v>982</v>
      </c>
      <c r="B661" t="s">
        <v>3721</v>
      </c>
      <c r="C661" t="s">
        <v>197</v>
      </c>
      <c r="D661" t="s">
        <v>5790</v>
      </c>
    </row>
    <row r="662" spans="1:9">
      <c r="A662" t="s">
        <v>982</v>
      </c>
      <c r="B662" t="s">
        <v>3721</v>
      </c>
      <c r="D662" t="s">
        <v>5789</v>
      </c>
    </row>
    <row r="663" spans="1:9">
      <c r="A663" t="s">
        <v>982</v>
      </c>
      <c r="B663" t="s">
        <v>3721</v>
      </c>
    </row>
    <row r="664" spans="1:9">
      <c r="A664" t="s">
        <v>982</v>
      </c>
      <c r="B664" t="s">
        <v>3721</v>
      </c>
      <c r="D664" t="s">
        <v>5781</v>
      </c>
    </row>
    <row r="665" spans="1:9">
      <c r="A665" t="s">
        <v>982</v>
      </c>
      <c r="B665" t="s">
        <v>3721</v>
      </c>
      <c r="D665" t="s">
        <v>5782</v>
      </c>
    </row>
    <row r="666" spans="1:9">
      <c r="A666" t="s">
        <v>982</v>
      </c>
      <c r="B666" t="s">
        <v>3721</v>
      </c>
      <c r="D666" t="s">
        <v>5783</v>
      </c>
      <c r="E666" t="s">
        <v>5784</v>
      </c>
      <c r="F666" t="s">
        <v>5785</v>
      </c>
      <c r="G666" t="s">
        <v>5786</v>
      </c>
      <c r="H666" t="s">
        <v>5787</v>
      </c>
      <c r="I666" t="s">
        <v>5788</v>
      </c>
    </row>
    <row r="667" spans="1:9">
      <c r="A667" t="s">
        <v>982</v>
      </c>
      <c r="B667" t="s">
        <v>3721</v>
      </c>
      <c r="D667">
        <v>146</v>
      </c>
      <c r="E667">
        <v>20.9</v>
      </c>
      <c r="F667">
        <v>2.8000000000000001E-2</v>
      </c>
      <c r="G667">
        <v>116.28</v>
      </c>
      <c r="H667">
        <v>92.98</v>
      </c>
      <c r="I667">
        <v>1.62</v>
      </c>
    </row>
    <row r="668" spans="1:9">
      <c r="A668" t="s">
        <v>982</v>
      </c>
      <c r="B668" t="s">
        <v>3721</v>
      </c>
      <c r="D668">
        <v>131.4</v>
      </c>
      <c r="E668">
        <v>18.02</v>
      </c>
      <c r="F668">
        <v>4.3999999999999997E-2</v>
      </c>
      <c r="G668">
        <v>106.69</v>
      </c>
      <c r="H668">
        <v>94.12</v>
      </c>
      <c r="I668">
        <v>1.49</v>
      </c>
    </row>
    <row r="669" spans="1:9">
      <c r="A669" t="s">
        <v>982</v>
      </c>
      <c r="B669" t="s">
        <v>3721</v>
      </c>
      <c r="D669">
        <v>102.2</v>
      </c>
      <c r="E669">
        <v>16.350000000000001</v>
      </c>
      <c r="F669">
        <v>4.5999999999999999E-2</v>
      </c>
      <c r="G669">
        <v>82.4</v>
      </c>
      <c r="H669">
        <v>96</v>
      </c>
      <c r="I669">
        <v>1.1499999999999999</v>
      </c>
    </row>
    <row r="670" spans="1:9">
      <c r="A670" t="s">
        <v>982</v>
      </c>
      <c r="B670" t="s">
        <v>3721</v>
      </c>
      <c r="D670">
        <v>87.6</v>
      </c>
      <c r="E670">
        <v>11.58</v>
      </c>
      <c r="F670">
        <v>4.4999999999999998E-2</v>
      </c>
      <c r="G670">
        <v>72.739999999999995</v>
      </c>
      <c r="H670">
        <v>95.7</v>
      </c>
      <c r="I670">
        <v>1.01</v>
      </c>
    </row>
    <row r="671" spans="1:9">
      <c r="A671" t="s">
        <v>982</v>
      </c>
      <c r="B671" t="s">
        <v>3721</v>
      </c>
      <c r="D671">
        <v>73</v>
      </c>
      <c r="E671">
        <v>7.72</v>
      </c>
      <c r="F671">
        <v>6.6000000000000003E-2</v>
      </c>
      <c r="G671">
        <v>61.87</v>
      </c>
      <c r="H671">
        <v>94.8</v>
      </c>
      <c r="I671">
        <v>0.86</v>
      </c>
    </row>
    <row r="672" spans="1:9">
      <c r="A672" t="s">
        <v>982</v>
      </c>
      <c r="B672" t="s">
        <v>3721</v>
      </c>
      <c r="G672" t="s">
        <v>510</v>
      </c>
      <c r="H672">
        <f>AVERAGE(H667:H671)</f>
        <v>94.72</v>
      </c>
    </row>
    <row r="673" spans="1:6">
      <c r="A673" t="s">
        <v>982</v>
      </c>
      <c r="B673" t="s">
        <v>3721</v>
      </c>
      <c r="D673" t="s">
        <v>5667</v>
      </c>
      <c r="E673">
        <f>H672/100</f>
        <v>0.94720000000000004</v>
      </c>
    </row>
    <row r="674" spans="1:6">
      <c r="A674" t="s">
        <v>982</v>
      </c>
      <c r="B674" t="s">
        <v>3721</v>
      </c>
      <c r="D674" t="s">
        <v>5791</v>
      </c>
      <c r="E674" s="142">
        <f>[1]MonoSugar!$K$11</f>
        <v>30.842202732589048</v>
      </c>
    </row>
    <row r="675" spans="1:6">
      <c r="A675" t="s">
        <v>982</v>
      </c>
      <c r="B675" t="s">
        <v>3721</v>
      </c>
      <c r="D675" t="s">
        <v>5568</v>
      </c>
      <c r="E675">
        <f>E673*E674%</f>
        <v>0.29213734428308347</v>
      </c>
    </row>
    <row r="676" spans="1:6">
      <c r="A676" t="s">
        <v>982</v>
      </c>
      <c r="B676" t="s">
        <v>3721</v>
      </c>
    </row>
    <row r="677" spans="1:6">
      <c r="A677" t="s">
        <v>982</v>
      </c>
      <c r="B677" t="s">
        <v>3721</v>
      </c>
    </row>
    <row r="678" spans="1:6">
      <c r="A678" t="s">
        <v>982</v>
      </c>
      <c r="B678" t="s">
        <v>3721</v>
      </c>
      <c r="C678" t="s">
        <v>226</v>
      </c>
      <c r="D678" t="s">
        <v>5793</v>
      </c>
    </row>
    <row r="679" spans="1:6">
      <c r="A679" t="s">
        <v>982</v>
      </c>
      <c r="B679" t="s">
        <v>3721</v>
      </c>
      <c r="D679" t="s">
        <v>5792</v>
      </c>
    </row>
    <row r="680" spans="1:6">
      <c r="A680" t="s">
        <v>982</v>
      </c>
      <c r="B680" t="s">
        <v>3721</v>
      </c>
    </row>
    <row r="681" spans="1:6">
      <c r="A681" t="s">
        <v>982</v>
      </c>
      <c r="B681" t="s">
        <v>3721</v>
      </c>
      <c r="D681" t="s">
        <v>5794</v>
      </c>
    </row>
    <row r="682" spans="1:6">
      <c r="A682" t="s">
        <v>982</v>
      </c>
      <c r="B682" t="s">
        <v>3721</v>
      </c>
    </row>
    <row r="683" spans="1:6">
      <c r="A683" t="s">
        <v>982</v>
      </c>
      <c r="B683" t="s">
        <v>3721</v>
      </c>
      <c r="E683" t="s">
        <v>5795</v>
      </c>
      <c r="F683" s="142">
        <v>0.83</v>
      </c>
    </row>
    <row r="684" spans="1:6">
      <c r="A684" t="s">
        <v>982</v>
      </c>
      <c r="B684" t="s">
        <v>3721</v>
      </c>
      <c r="E684" t="s">
        <v>5796</v>
      </c>
      <c r="F684" s="142">
        <f>[1]MonoSugar!$D$11</f>
        <v>12.75</v>
      </c>
    </row>
    <row r="685" spans="1:6">
      <c r="A685" t="s">
        <v>982</v>
      </c>
      <c r="B685" t="s">
        <v>3721</v>
      </c>
      <c r="E685" t="s">
        <v>5797</v>
      </c>
      <c r="F685">
        <f>F683*F684%</f>
        <v>0.105825</v>
      </c>
    </row>
    <row r="686" spans="1:6">
      <c r="A686" t="s">
        <v>982</v>
      </c>
      <c r="B686" t="s">
        <v>3721</v>
      </c>
    </row>
    <row r="687" spans="1:6">
      <c r="A687" t="s">
        <v>982</v>
      </c>
      <c r="B687" t="s">
        <v>3721</v>
      </c>
    </row>
    <row r="688" spans="1:6">
      <c r="A688" t="s">
        <v>982</v>
      </c>
      <c r="B688" t="s">
        <v>3721</v>
      </c>
      <c r="C688" t="s">
        <v>5801</v>
      </c>
      <c r="D688" t="s">
        <v>5798</v>
      </c>
    </row>
    <row r="689" spans="1:6">
      <c r="A689" t="s">
        <v>982</v>
      </c>
      <c r="B689" t="s">
        <v>3721</v>
      </c>
      <c r="D689" t="s">
        <v>5799</v>
      </c>
    </row>
    <row r="690" spans="1:6">
      <c r="A690" t="s">
        <v>982</v>
      </c>
      <c r="B690" t="s">
        <v>3721</v>
      </c>
    </row>
    <row r="691" spans="1:6">
      <c r="A691" t="s">
        <v>982</v>
      </c>
      <c r="B691" t="s">
        <v>3721</v>
      </c>
      <c r="D691" t="s">
        <v>5800</v>
      </c>
      <c r="E691">
        <v>96</v>
      </c>
      <c r="F691">
        <v>90</v>
      </c>
    </row>
    <row r="692" spans="1:6">
      <c r="A692" t="s">
        <v>982</v>
      </c>
      <c r="B692" t="s">
        <v>3721</v>
      </c>
      <c r="D692" t="s">
        <v>5576</v>
      </c>
      <c r="E692" s="142">
        <f>[1]MonoSugar!$K$11</f>
        <v>30.842202732589048</v>
      </c>
      <c r="F692" s="142">
        <f>E692</f>
        <v>30.842202732589048</v>
      </c>
    </row>
    <row r="693" spans="1:6">
      <c r="A693" t="s">
        <v>982</v>
      </c>
      <c r="B693" t="s">
        <v>3721</v>
      </c>
      <c r="D693" t="s">
        <v>5797</v>
      </c>
      <c r="E693">
        <f>E691%*E692%</f>
        <v>0.29608514623285481</v>
      </c>
      <c r="F693">
        <f>F691%*F692%</f>
        <v>0.27757982459330144</v>
      </c>
    </row>
    <row r="694" spans="1:6">
      <c r="A694" t="s">
        <v>982</v>
      </c>
      <c r="B694" t="s">
        <v>3721</v>
      </c>
      <c r="D694" t="s">
        <v>510</v>
      </c>
      <c r="E694">
        <f>AVERAGE(E693:F693)</f>
        <v>0.28683248541307815</v>
      </c>
    </row>
    <row r="695" spans="1:6">
      <c r="A695" t="s">
        <v>982</v>
      </c>
      <c r="B695" t="s">
        <v>3721</v>
      </c>
    </row>
    <row r="696" spans="1:6">
      <c r="A696" t="s">
        <v>982</v>
      </c>
      <c r="B696" t="s">
        <v>3721</v>
      </c>
    </row>
    <row r="697" spans="1:6">
      <c r="A697" t="s">
        <v>982</v>
      </c>
      <c r="B697" t="s">
        <v>3721</v>
      </c>
      <c r="C697" t="s">
        <v>420</v>
      </c>
      <c r="D697" t="s">
        <v>5802</v>
      </c>
    </row>
    <row r="698" spans="1:6">
      <c r="A698" t="s">
        <v>982</v>
      </c>
      <c r="B698" t="s">
        <v>3721</v>
      </c>
      <c r="D698" t="s">
        <v>5803</v>
      </c>
    </row>
    <row r="699" spans="1:6">
      <c r="A699" t="s">
        <v>982</v>
      </c>
      <c r="B699" t="s">
        <v>3721</v>
      </c>
    </row>
    <row r="700" spans="1:6">
      <c r="A700" t="s">
        <v>982</v>
      </c>
      <c r="B700" t="s">
        <v>3721</v>
      </c>
      <c r="D700" s="186" t="s">
        <v>5804</v>
      </c>
    </row>
    <row r="701" spans="1:6">
      <c r="A701" t="s">
        <v>982</v>
      </c>
      <c r="B701" t="s">
        <v>3721</v>
      </c>
    </row>
    <row r="702" spans="1:6">
      <c r="A702" t="s">
        <v>982</v>
      </c>
      <c r="B702" t="s">
        <v>3721</v>
      </c>
      <c r="D702" t="s">
        <v>5805</v>
      </c>
      <c r="E702">
        <v>0.96</v>
      </c>
    </row>
    <row r="703" spans="1:6">
      <c r="A703" t="s">
        <v>982</v>
      </c>
      <c r="B703" t="s">
        <v>3721</v>
      </c>
      <c r="E703">
        <v>0.94</v>
      </c>
    </row>
    <row r="704" spans="1:6">
      <c r="A704" t="s">
        <v>982</v>
      </c>
      <c r="B704" t="s">
        <v>3721</v>
      </c>
      <c r="E704">
        <v>0.92</v>
      </c>
    </row>
    <row r="705" spans="1:5">
      <c r="A705" t="s">
        <v>982</v>
      </c>
      <c r="B705" t="s">
        <v>3721</v>
      </c>
      <c r="D705" t="s">
        <v>5806</v>
      </c>
      <c r="E705">
        <f>AVERAGE(E702:E704)</f>
        <v>0.94</v>
      </c>
    </row>
    <row r="706" spans="1:5">
      <c r="A706" t="s">
        <v>982</v>
      </c>
      <c r="B706" t="s">
        <v>3721</v>
      </c>
      <c r="D706" t="s">
        <v>5576</v>
      </c>
      <c r="E706" s="142">
        <f>[1]MonoSugar!$K$11</f>
        <v>30.842202732589048</v>
      </c>
    </row>
    <row r="707" spans="1:5">
      <c r="A707" t="s">
        <v>982</v>
      </c>
      <c r="B707" t="s">
        <v>3721</v>
      </c>
      <c r="D707" t="s">
        <v>5568</v>
      </c>
      <c r="E707">
        <f>E705*E706%</f>
        <v>0.28991670568633704</v>
      </c>
    </row>
    <row r="708" spans="1:5">
      <c r="A708" t="s">
        <v>982</v>
      </c>
      <c r="B708" t="s">
        <v>3721</v>
      </c>
    </row>
    <row r="709" spans="1:5">
      <c r="A709" t="s">
        <v>982</v>
      </c>
      <c r="B709" t="s">
        <v>3721</v>
      </c>
    </row>
    <row r="710" spans="1:5">
      <c r="A710" t="s">
        <v>982</v>
      </c>
      <c r="B710" t="s">
        <v>3721</v>
      </c>
      <c r="C710" t="s">
        <v>425</v>
      </c>
      <c r="D710" t="s">
        <v>5807</v>
      </c>
    </row>
    <row r="711" spans="1:5">
      <c r="A711" t="s">
        <v>982</v>
      </c>
      <c r="B711" t="s">
        <v>3721</v>
      </c>
      <c r="D711" t="s">
        <v>5808</v>
      </c>
    </row>
    <row r="712" spans="1:5">
      <c r="A712" t="s">
        <v>982</v>
      </c>
      <c r="B712" t="s">
        <v>3721</v>
      </c>
    </row>
    <row r="713" spans="1:5">
      <c r="A713" t="s">
        <v>982</v>
      </c>
      <c r="B713" t="s">
        <v>3721</v>
      </c>
      <c r="D713" t="s">
        <v>5809</v>
      </c>
    </row>
    <row r="714" spans="1:5">
      <c r="A714" t="s">
        <v>982</v>
      </c>
      <c r="B714" t="s">
        <v>3721</v>
      </c>
    </row>
    <row r="715" spans="1:5">
      <c r="A715" t="s">
        <v>982</v>
      </c>
      <c r="B715" t="s">
        <v>3721</v>
      </c>
    </row>
    <row r="716" spans="1:5">
      <c r="A716" t="s">
        <v>982</v>
      </c>
      <c r="B716" t="s">
        <v>3721</v>
      </c>
    </row>
    <row r="717" spans="1:5">
      <c r="A717" t="s">
        <v>982</v>
      </c>
      <c r="B717" t="s">
        <v>3721</v>
      </c>
      <c r="D717" t="s">
        <v>4616</v>
      </c>
      <c r="E717">
        <v>1.1200000000000001</v>
      </c>
    </row>
    <row r="718" spans="1:5">
      <c r="A718" t="s">
        <v>982</v>
      </c>
      <c r="B718" t="s">
        <v>3721</v>
      </c>
      <c r="D718" t="s">
        <v>5576</v>
      </c>
      <c r="E718" s="142">
        <f>[1]MonoSugar!$K$11</f>
        <v>30.842202732589048</v>
      </c>
    </row>
    <row r="719" spans="1:5">
      <c r="A719" t="s">
        <v>982</v>
      </c>
      <c r="B719" t="s">
        <v>3721</v>
      </c>
      <c r="D719" t="s">
        <v>5568</v>
      </c>
      <c r="E719">
        <f>E717*E718%</f>
        <v>0.34543267060499738</v>
      </c>
    </row>
    <row r="720" spans="1:5">
      <c r="A720" t="s">
        <v>982</v>
      </c>
      <c r="B720" t="s">
        <v>3721</v>
      </c>
    </row>
    <row r="721" spans="1:5">
      <c r="A721" t="s">
        <v>982</v>
      </c>
    </row>
    <row r="722" spans="1:5">
      <c r="A722" t="s">
        <v>982</v>
      </c>
      <c r="B722" t="s">
        <v>3807</v>
      </c>
      <c r="C722" t="s">
        <v>197</v>
      </c>
      <c r="D722" t="s">
        <v>5810</v>
      </c>
    </row>
    <row r="723" spans="1:5">
      <c r="A723" t="s">
        <v>982</v>
      </c>
      <c r="B723" t="s">
        <v>3807</v>
      </c>
      <c r="D723" t="s">
        <v>5811</v>
      </c>
    </row>
    <row r="724" spans="1:5">
      <c r="A724" t="s">
        <v>982</v>
      </c>
      <c r="B724" t="s">
        <v>3807</v>
      </c>
    </row>
    <row r="725" spans="1:5">
      <c r="A725" t="s">
        <v>982</v>
      </c>
      <c r="B725" t="s">
        <v>3807</v>
      </c>
      <c r="D725" t="s">
        <v>5812</v>
      </c>
    </row>
    <row r="726" spans="1:5">
      <c r="A726" t="s">
        <v>982</v>
      </c>
      <c r="B726" t="s">
        <v>3807</v>
      </c>
    </row>
    <row r="727" spans="1:5">
      <c r="A727" t="s">
        <v>982</v>
      </c>
      <c r="B727" t="s">
        <v>3807</v>
      </c>
      <c r="D727" t="s">
        <v>5667</v>
      </c>
      <c r="E727">
        <v>0.26</v>
      </c>
    </row>
    <row r="728" spans="1:5">
      <c r="A728" t="s">
        <v>982</v>
      </c>
      <c r="B728" t="s">
        <v>3807</v>
      </c>
      <c r="D728" t="s">
        <v>5813</v>
      </c>
      <c r="E728" s="142">
        <f>[1]MonoSugar!$K$12</f>
        <v>77.31928323232323</v>
      </c>
    </row>
    <row r="729" spans="1:5">
      <c r="A729" t="s">
        <v>982</v>
      </c>
      <c r="B729" t="s">
        <v>3807</v>
      </c>
      <c r="D729" t="s">
        <v>5568</v>
      </c>
      <c r="E729">
        <f>E727*E728%</f>
        <v>0.20103013640404041</v>
      </c>
    </row>
    <row r="730" spans="1:5">
      <c r="A730" t="s">
        <v>982</v>
      </c>
      <c r="B730" t="s">
        <v>3807</v>
      </c>
    </row>
    <row r="731" spans="1:5">
      <c r="A731" t="s">
        <v>982</v>
      </c>
      <c r="B731" t="s">
        <v>3807</v>
      </c>
      <c r="C731" t="s">
        <v>226</v>
      </c>
      <c r="D731" t="s">
        <v>5814</v>
      </c>
    </row>
    <row r="732" spans="1:5">
      <c r="A732" t="s">
        <v>982</v>
      </c>
      <c r="B732" t="s">
        <v>3807</v>
      </c>
      <c r="D732" t="s">
        <v>5815</v>
      </c>
    </row>
    <row r="733" spans="1:5">
      <c r="A733" t="s">
        <v>982</v>
      </c>
      <c r="B733" t="s">
        <v>3807</v>
      </c>
    </row>
    <row r="734" spans="1:5">
      <c r="A734" t="s">
        <v>982</v>
      </c>
      <c r="B734" t="s">
        <v>3807</v>
      </c>
      <c r="D734" s="186" t="s">
        <v>5816</v>
      </c>
    </row>
    <row r="735" spans="1:5">
      <c r="A735" t="s">
        <v>982</v>
      </c>
      <c r="B735" t="s">
        <v>3807</v>
      </c>
    </row>
    <row r="736" spans="1:5">
      <c r="A736" t="s">
        <v>982</v>
      </c>
      <c r="B736" t="s">
        <v>3807</v>
      </c>
      <c r="D736" s="186" t="s">
        <v>5817</v>
      </c>
      <c r="E736">
        <v>0.57999999999999996</v>
      </c>
    </row>
    <row r="737" spans="1:6">
      <c r="A737" t="s">
        <v>982</v>
      </c>
      <c r="B737" t="s">
        <v>3807</v>
      </c>
      <c r="D737" t="s">
        <v>5818</v>
      </c>
      <c r="E737">
        <v>0.91</v>
      </c>
      <c r="F737" t="s">
        <v>5819</v>
      </c>
    </row>
    <row r="738" spans="1:6">
      <c r="A738" t="s">
        <v>982</v>
      </c>
      <c r="B738" t="s">
        <v>3807</v>
      </c>
      <c r="D738" s="186" t="s">
        <v>5568</v>
      </c>
      <c r="E738">
        <f>E736*E737</f>
        <v>0.52779999999999994</v>
      </c>
    </row>
    <row r="739" spans="1:6">
      <c r="A739" t="s">
        <v>982</v>
      </c>
      <c r="B739" t="s">
        <v>3807</v>
      </c>
    </row>
    <row r="740" spans="1:6">
      <c r="A740" t="s">
        <v>982</v>
      </c>
      <c r="B740" t="s">
        <v>3807</v>
      </c>
      <c r="C740" t="s">
        <v>396</v>
      </c>
      <c r="D740" t="s">
        <v>5820</v>
      </c>
    </row>
    <row r="741" spans="1:6">
      <c r="A741" t="s">
        <v>982</v>
      </c>
      <c r="B741" t="s">
        <v>3807</v>
      </c>
      <c r="D741" t="s">
        <v>5821</v>
      </c>
    </row>
    <row r="742" spans="1:6">
      <c r="A742" t="s">
        <v>982</v>
      </c>
      <c r="B742" t="s">
        <v>3807</v>
      </c>
    </row>
    <row r="743" spans="1:6">
      <c r="A743" t="s">
        <v>982</v>
      </c>
      <c r="B743" t="s">
        <v>3807</v>
      </c>
      <c r="D743" t="s">
        <v>5822</v>
      </c>
    </row>
    <row r="744" spans="1:6">
      <c r="A744" t="s">
        <v>982</v>
      </c>
      <c r="B744" t="s">
        <v>3807</v>
      </c>
      <c r="D744" s="353" t="s">
        <v>5823</v>
      </c>
    </row>
    <row r="745" spans="1:6">
      <c r="A745" t="s">
        <v>982</v>
      </c>
      <c r="B745" t="s">
        <v>3807</v>
      </c>
      <c r="D745" t="s">
        <v>5150</v>
      </c>
      <c r="E745">
        <v>0.87</v>
      </c>
    </row>
    <row r="746" spans="1:6">
      <c r="A746" t="s">
        <v>982</v>
      </c>
      <c r="B746" t="s">
        <v>3807</v>
      </c>
      <c r="D746" t="s">
        <v>5813</v>
      </c>
      <c r="E746" s="142">
        <f>[1]MonoSugar!$K$12</f>
        <v>77.31928323232323</v>
      </c>
    </row>
    <row r="747" spans="1:6">
      <c r="A747" t="s">
        <v>982</v>
      </c>
      <c r="B747" t="s">
        <v>3807</v>
      </c>
      <c r="D747" t="s">
        <v>5568</v>
      </c>
      <c r="E747">
        <f>E745*E746%</f>
        <v>0.67267776412121216</v>
      </c>
    </row>
    <row r="748" spans="1:6">
      <c r="A748" t="s">
        <v>982</v>
      </c>
      <c r="B748" t="s">
        <v>3807</v>
      </c>
    </row>
    <row r="749" spans="1:6">
      <c r="A749" t="s">
        <v>982</v>
      </c>
      <c r="B749" t="s">
        <v>3807</v>
      </c>
    </row>
    <row r="750" spans="1:6">
      <c r="A750" t="s">
        <v>982</v>
      </c>
      <c r="B750" t="s">
        <v>3807</v>
      </c>
      <c r="C750" t="s">
        <v>420</v>
      </c>
      <c r="D750" t="s">
        <v>5824</v>
      </c>
    </row>
    <row r="751" spans="1:6">
      <c r="A751" t="s">
        <v>982</v>
      </c>
      <c r="B751" t="s">
        <v>3807</v>
      </c>
      <c r="D751" t="s">
        <v>5825</v>
      </c>
    </row>
    <row r="752" spans="1:6">
      <c r="A752" t="s">
        <v>982</v>
      </c>
      <c r="B752" t="s">
        <v>3807</v>
      </c>
    </row>
    <row r="753" spans="1:5" ht="15.6">
      <c r="A753" t="s">
        <v>982</v>
      </c>
      <c r="B753" t="s">
        <v>3807</v>
      </c>
      <c r="D753" s="199" t="s">
        <v>5826</v>
      </c>
    </row>
    <row r="754" spans="1:5">
      <c r="A754" t="s">
        <v>982</v>
      </c>
      <c r="B754" t="s">
        <v>3807</v>
      </c>
    </row>
    <row r="755" spans="1:5" ht="15.6">
      <c r="A755" t="s">
        <v>982</v>
      </c>
      <c r="B755" t="s">
        <v>3807</v>
      </c>
      <c r="D755" t="s">
        <v>5827</v>
      </c>
      <c r="E755" s="199">
        <v>26.16</v>
      </c>
    </row>
    <row r="756" spans="1:5" ht="15.6">
      <c r="A756" t="s">
        <v>982</v>
      </c>
      <c r="B756" t="s">
        <v>3807</v>
      </c>
      <c r="E756" s="199">
        <v>8.7799999999999994</v>
      </c>
    </row>
    <row r="757" spans="1:5" ht="15.6">
      <c r="A757" t="s">
        <v>982</v>
      </c>
      <c r="B757" t="s">
        <v>3807</v>
      </c>
      <c r="E757" s="199">
        <v>14.15</v>
      </c>
    </row>
    <row r="758" spans="1:5" ht="15.6">
      <c r="A758" t="s">
        <v>982</v>
      </c>
      <c r="B758" t="s">
        <v>3807</v>
      </c>
      <c r="E758" s="199">
        <v>14.33</v>
      </c>
    </row>
    <row r="759" spans="1:5" ht="15.6">
      <c r="A759" t="s">
        <v>982</v>
      </c>
      <c r="B759" t="s">
        <v>3807</v>
      </c>
      <c r="E759" s="199">
        <v>24.61</v>
      </c>
    </row>
    <row r="760" spans="1:5">
      <c r="A760" t="s">
        <v>982</v>
      </c>
      <c r="B760" t="s">
        <v>3807</v>
      </c>
      <c r="D760" t="s">
        <v>510</v>
      </c>
      <c r="E760">
        <f>AVERAGE(E755:E759)</f>
        <v>17.606000000000002</v>
      </c>
    </row>
    <row r="761" spans="1:5">
      <c r="A761" t="s">
        <v>982</v>
      </c>
      <c r="B761" t="s">
        <v>3807</v>
      </c>
      <c r="D761" t="s">
        <v>5828</v>
      </c>
      <c r="E761">
        <f>E760/100</f>
        <v>0.17606000000000002</v>
      </c>
    </row>
    <row r="762" spans="1:5">
      <c r="A762" t="s">
        <v>982</v>
      </c>
      <c r="B762" t="s">
        <v>3807</v>
      </c>
    </row>
    <row r="763" spans="1:5">
      <c r="A763" t="s">
        <v>982</v>
      </c>
      <c r="B763" t="s">
        <v>3807</v>
      </c>
      <c r="C763" t="s">
        <v>425</v>
      </c>
      <c r="D763" t="s">
        <v>5829</v>
      </c>
    </row>
    <row r="764" spans="1:5">
      <c r="A764" t="s">
        <v>982</v>
      </c>
      <c r="B764" t="s">
        <v>3807</v>
      </c>
      <c r="D764" t="s">
        <v>5830</v>
      </c>
    </row>
    <row r="765" spans="1:5">
      <c r="A765" t="s">
        <v>982</v>
      </c>
      <c r="B765" t="s">
        <v>3807</v>
      </c>
    </row>
    <row r="766" spans="1:5" ht="15">
      <c r="A766" t="s">
        <v>982</v>
      </c>
      <c r="B766" t="s">
        <v>3807</v>
      </c>
      <c r="D766" s="369" t="s">
        <v>5831</v>
      </c>
    </row>
    <row r="767" spans="1:5">
      <c r="A767" t="s">
        <v>982</v>
      </c>
      <c r="B767" t="s">
        <v>3807</v>
      </c>
    </row>
    <row r="768" spans="1:5">
      <c r="A768" t="s">
        <v>982</v>
      </c>
      <c r="B768" t="s">
        <v>3807</v>
      </c>
      <c r="D768" t="s">
        <v>5832</v>
      </c>
      <c r="E768">
        <v>0.93</v>
      </c>
    </row>
    <row r="769" spans="1:12">
      <c r="A769" t="s">
        <v>982</v>
      </c>
      <c r="B769" t="s">
        <v>3807</v>
      </c>
      <c r="D769" t="s">
        <v>5833</v>
      </c>
      <c r="E769" s="142">
        <f>[1]MonoSugar!$M$12</f>
        <v>77.31928323232323</v>
      </c>
    </row>
    <row r="770" spans="1:12">
      <c r="A770" t="s">
        <v>982</v>
      </c>
      <c r="B770" t="s">
        <v>3807</v>
      </c>
      <c r="D770" t="s">
        <v>5828</v>
      </c>
      <c r="E770">
        <f>E768*E769%</f>
        <v>0.71906933406060614</v>
      </c>
    </row>
    <row r="771" spans="1:12">
      <c r="A771" t="s">
        <v>982</v>
      </c>
      <c r="B771" t="s">
        <v>3807</v>
      </c>
    </row>
    <row r="772" spans="1:12">
      <c r="A772" t="s">
        <v>982</v>
      </c>
      <c r="B772" t="s">
        <v>3807</v>
      </c>
      <c r="D772" s="455" t="s">
        <v>6809</v>
      </c>
      <c r="E772" s="278" t="s">
        <v>6810</v>
      </c>
      <c r="F772" s="142">
        <v>1.34</v>
      </c>
      <c r="G772" t="s">
        <v>6811</v>
      </c>
      <c r="H772" s="142">
        <f>F772*'[2]STEP1 SETUP'!$AR$53/100</f>
        <v>0.30820000000000003</v>
      </c>
      <c r="I772" s="456"/>
      <c r="J772" t="s">
        <v>6812</v>
      </c>
      <c r="K772" t="s">
        <v>6813</v>
      </c>
    </row>
    <row r="773" spans="1:12">
      <c r="A773" t="s">
        <v>982</v>
      </c>
      <c r="B773" t="s">
        <v>3807</v>
      </c>
      <c r="D773" s="455" t="s">
        <v>6809</v>
      </c>
      <c r="E773" s="278" t="s">
        <v>6810</v>
      </c>
      <c r="F773" s="142">
        <v>0.89</v>
      </c>
      <c r="G773" t="s">
        <v>6814</v>
      </c>
      <c r="H773" s="142">
        <f>F773*'[2]STEP1 SETUP'!$AR$53/100</f>
        <v>0.20469999999999999</v>
      </c>
      <c r="I773" s="456"/>
      <c r="J773" t="s">
        <v>6815</v>
      </c>
    </row>
    <row r="774" spans="1:12">
      <c r="A774" t="s">
        <v>982</v>
      </c>
      <c r="B774" t="s">
        <v>3807</v>
      </c>
      <c r="D774" s="455" t="s">
        <v>6809</v>
      </c>
      <c r="E774" s="278" t="s">
        <v>6810</v>
      </c>
      <c r="F774" s="142">
        <v>0.83</v>
      </c>
      <c r="G774" t="s">
        <v>6816</v>
      </c>
      <c r="H774" s="142">
        <v>0.354576</v>
      </c>
      <c r="I774" s="456"/>
      <c r="J774" t="s">
        <v>6817</v>
      </c>
    </row>
    <row r="775" spans="1:12">
      <c r="A775" t="s">
        <v>982</v>
      </c>
      <c r="B775" t="s">
        <v>3807</v>
      </c>
      <c r="D775" s="455" t="s">
        <v>6809</v>
      </c>
      <c r="E775" s="278" t="s">
        <v>6810</v>
      </c>
      <c r="F775" s="142">
        <v>0.9</v>
      </c>
      <c r="G775" t="s">
        <v>6818</v>
      </c>
      <c r="H775" s="142">
        <f>F775*'[2]STEP1 SETUP'!$AS$53/100</f>
        <v>0.43013700000000005</v>
      </c>
      <c r="I775" s="456"/>
      <c r="J775" t="s">
        <v>6817</v>
      </c>
    </row>
    <row r="776" spans="1:12">
      <c r="A776" t="s">
        <v>982</v>
      </c>
      <c r="B776" t="s">
        <v>3807</v>
      </c>
      <c r="D776" s="455" t="s">
        <v>6809</v>
      </c>
      <c r="E776" s="278" t="s">
        <v>6810</v>
      </c>
      <c r="F776" s="142">
        <v>0.66</v>
      </c>
      <c r="G776" t="s">
        <v>6819</v>
      </c>
      <c r="H776" s="142">
        <f>F776*'[2]STEP1 SETUP'!$AS$53/100</f>
        <v>0.31543380000000004</v>
      </c>
      <c r="I776" s="456"/>
      <c r="J776" t="s">
        <v>6820</v>
      </c>
      <c r="K776" t="s">
        <v>6821</v>
      </c>
    </row>
    <row r="777" spans="1:12">
      <c r="A777" t="s">
        <v>982</v>
      </c>
      <c r="B777" t="s">
        <v>3807</v>
      </c>
      <c r="D777" s="455" t="s">
        <v>6809</v>
      </c>
      <c r="E777" s="278" t="s">
        <v>6810</v>
      </c>
      <c r="F777" s="142">
        <v>0.52</v>
      </c>
      <c r="G777" t="s">
        <v>6822</v>
      </c>
      <c r="H777" s="142">
        <f>F777</f>
        <v>0.52</v>
      </c>
      <c r="I777" s="456"/>
      <c r="J777" t="s">
        <v>6823</v>
      </c>
    </row>
    <row r="778" spans="1:12">
      <c r="A778" t="s">
        <v>982</v>
      </c>
      <c r="B778" t="s">
        <v>3807</v>
      </c>
      <c r="D778" s="455" t="s">
        <v>6809</v>
      </c>
      <c r="E778" s="278" t="s">
        <v>6810</v>
      </c>
      <c r="F778" s="142">
        <v>0.88</v>
      </c>
      <c r="G778" t="s">
        <v>6824</v>
      </c>
      <c r="H778" s="142">
        <f>F778*('[2]STEP1 SETUP'!$AR$53+'[2]STEP1 SETUP'!$AS$53+'[2]STEP1 SETUP'!$AT$53)/100</f>
        <v>0.62297840000000004</v>
      </c>
      <c r="I778" s="456"/>
      <c r="J778" t="s">
        <v>6825</v>
      </c>
    </row>
    <row r="779" spans="1:12">
      <c r="A779" t="s">
        <v>982</v>
      </c>
      <c r="B779" t="s">
        <v>3807</v>
      </c>
      <c r="D779" s="455" t="s">
        <v>6809</v>
      </c>
      <c r="E779" s="278" t="s">
        <v>6810</v>
      </c>
      <c r="F779" s="142">
        <v>0.93</v>
      </c>
      <c r="G779" t="s">
        <v>6826</v>
      </c>
      <c r="H779" s="142">
        <f>F779*'[2]STEP1 SETUP'!$AS$53/100</f>
        <v>0.44447490000000012</v>
      </c>
      <c r="I779" s="456"/>
      <c r="J779" t="s">
        <v>6825</v>
      </c>
      <c r="L779" t="s">
        <v>6827</v>
      </c>
    </row>
    <row r="780" spans="1:12">
      <c r="A780" t="s">
        <v>982</v>
      </c>
      <c r="B780" t="s">
        <v>3807</v>
      </c>
      <c r="D780" s="455" t="s">
        <v>6809</v>
      </c>
      <c r="E780" s="278" t="s">
        <v>6810</v>
      </c>
      <c r="F780" s="142">
        <v>0.98</v>
      </c>
      <c r="G780" t="s">
        <v>6828</v>
      </c>
      <c r="H780" s="142">
        <f>F780*'[2]STEP1 SETUP'!$AS$53/100</f>
        <v>0.46837140000000005</v>
      </c>
      <c r="I780" s="456"/>
      <c r="J780" t="s">
        <v>6829</v>
      </c>
    </row>
    <row r="781" spans="1:12">
      <c r="A781" t="s">
        <v>982</v>
      </c>
      <c r="B781" t="s">
        <v>3807</v>
      </c>
      <c r="D781" s="455" t="s">
        <v>6809</v>
      </c>
      <c r="E781" s="278" t="s">
        <v>6810</v>
      </c>
      <c r="F781" s="142">
        <v>0.83</v>
      </c>
      <c r="G781" t="s">
        <v>6220</v>
      </c>
      <c r="H781" s="142">
        <v>0.39839999999999998</v>
      </c>
      <c r="I781" s="456"/>
      <c r="J781" t="s">
        <v>6830</v>
      </c>
    </row>
    <row r="782" spans="1:12">
      <c r="A782" t="s">
        <v>982</v>
      </c>
      <c r="B782" t="s">
        <v>3807</v>
      </c>
      <c r="D782" s="455" t="s">
        <v>6809</v>
      </c>
      <c r="E782" s="278" t="s">
        <v>6810</v>
      </c>
      <c r="F782" s="142">
        <v>76</v>
      </c>
      <c r="G782" t="s">
        <v>6831</v>
      </c>
      <c r="H782" s="142"/>
      <c r="I782" s="456"/>
      <c r="J782" t="s">
        <v>6832</v>
      </c>
    </row>
    <row r="783" spans="1:12">
      <c r="A783" t="s">
        <v>982</v>
      </c>
      <c r="B783" t="s">
        <v>3807</v>
      </c>
      <c r="D783" s="455" t="s">
        <v>6809</v>
      </c>
      <c r="E783" s="278" t="s">
        <v>6810</v>
      </c>
      <c r="F783" s="142">
        <v>0.33</v>
      </c>
      <c r="G783" t="s">
        <v>6833</v>
      </c>
      <c r="H783" s="142">
        <f>F783*'[2]STEP1 SETUP'!$AR$53/100</f>
        <v>7.5900000000000009E-2</v>
      </c>
      <c r="I783" s="456"/>
      <c r="J783" t="s">
        <v>6834</v>
      </c>
    </row>
    <row r="784" spans="1:12">
      <c r="A784" t="s">
        <v>982</v>
      </c>
      <c r="B784" t="s">
        <v>3807</v>
      </c>
      <c r="D784" s="455" t="s">
        <v>6809</v>
      </c>
      <c r="E784" s="278" t="s">
        <v>6810</v>
      </c>
      <c r="F784" s="142">
        <v>91.79</v>
      </c>
      <c r="G784" t="s">
        <v>6835</v>
      </c>
      <c r="H784" s="142">
        <f>F784/100*'[2]STEP1 SETUP'!$AS$53/100</f>
        <v>0.43869194700000008</v>
      </c>
      <c r="I784" s="456"/>
      <c r="J784" t="s">
        <v>6836</v>
      </c>
      <c r="K784" t="s">
        <v>6837</v>
      </c>
    </row>
    <row r="785" spans="1:10">
      <c r="A785" t="s">
        <v>982</v>
      </c>
      <c r="B785" t="s">
        <v>3807</v>
      </c>
      <c r="D785" s="455" t="s">
        <v>6809</v>
      </c>
      <c r="E785" s="278" t="s">
        <v>6810</v>
      </c>
      <c r="F785" s="142">
        <v>0.99</v>
      </c>
      <c r="G785" t="s">
        <v>6838</v>
      </c>
      <c r="H785" s="142">
        <f>F785*'[2]STEP1 SETUP'!$AS$53/100</f>
        <v>0.47315070000000004</v>
      </c>
      <c r="I785" s="456"/>
      <c r="J785" t="s">
        <v>6839</v>
      </c>
    </row>
    <row r="786" spans="1:10">
      <c r="A786" t="s">
        <v>982</v>
      </c>
      <c r="B786" t="s">
        <v>3807</v>
      </c>
    </row>
    <row r="787" spans="1:10">
      <c r="A787" t="s">
        <v>982</v>
      </c>
      <c r="B787" t="s">
        <v>3807</v>
      </c>
    </row>
    <row r="788" spans="1:10">
      <c r="A788" t="s">
        <v>982</v>
      </c>
      <c r="B788" t="s">
        <v>3807</v>
      </c>
    </row>
    <row r="789" spans="1:10">
      <c r="A789" t="s">
        <v>982</v>
      </c>
      <c r="B789" t="s">
        <v>3807</v>
      </c>
    </row>
    <row r="790" spans="1:10">
      <c r="A790" t="s">
        <v>982</v>
      </c>
      <c r="B790" t="s">
        <v>3807</v>
      </c>
    </row>
    <row r="791" spans="1:10">
      <c r="A791" t="s">
        <v>982</v>
      </c>
      <c r="B791" t="s">
        <v>3807</v>
      </c>
    </row>
    <row r="792" spans="1:10">
      <c r="A792" t="s">
        <v>982</v>
      </c>
      <c r="B792" t="s">
        <v>3807</v>
      </c>
    </row>
    <row r="793" spans="1:10">
      <c r="A793" t="s">
        <v>982</v>
      </c>
      <c r="B793" t="s">
        <v>3807</v>
      </c>
    </row>
    <row r="794" spans="1:10">
      <c r="A794" t="s">
        <v>982</v>
      </c>
      <c r="B794" t="s">
        <v>3807</v>
      </c>
    </row>
    <row r="795" spans="1:10">
      <c r="A795" t="s">
        <v>982</v>
      </c>
      <c r="B795" t="s">
        <v>3807</v>
      </c>
    </row>
    <row r="796" spans="1:10">
      <c r="A796" t="s">
        <v>982</v>
      </c>
      <c r="B796" t="s">
        <v>4105</v>
      </c>
      <c r="C796" t="s">
        <v>197</v>
      </c>
      <c r="D796" t="s">
        <v>5834</v>
      </c>
    </row>
    <row r="797" spans="1:10">
      <c r="A797" t="s">
        <v>982</v>
      </c>
      <c r="B797" t="s">
        <v>4105</v>
      </c>
      <c r="D797" t="s">
        <v>5835</v>
      </c>
    </row>
    <row r="798" spans="1:10">
      <c r="A798" t="s">
        <v>982</v>
      </c>
      <c r="B798" t="s">
        <v>4105</v>
      </c>
    </row>
    <row r="799" spans="1:10">
      <c r="A799" t="s">
        <v>982</v>
      </c>
      <c r="B799" t="s">
        <v>4105</v>
      </c>
      <c r="D799" s="374" t="s">
        <v>5836</v>
      </c>
    </row>
    <row r="800" spans="1:10">
      <c r="A800" t="s">
        <v>982</v>
      </c>
      <c r="B800" t="s">
        <v>4105</v>
      </c>
    </row>
    <row r="801" spans="1:5">
      <c r="A801" t="s">
        <v>982</v>
      </c>
      <c r="B801" t="s">
        <v>4105</v>
      </c>
    </row>
    <row r="802" spans="1:5">
      <c r="A802" t="s">
        <v>982</v>
      </c>
      <c r="B802" t="s">
        <v>4105</v>
      </c>
    </row>
    <row r="803" spans="1:5">
      <c r="A803" t="s">
        <v>982</v>
      </c>
      <c r="B803" t="s">
        <v>4105</v>
      </c>
    </row>
    <row r="804" spans="1:5">
      <c r="A804" t="s">
        <v>982</v>
      </c>
      <c r="B804" t="s">
        <v>4105</v>
      </c>
    </row>
    <row r="805" spans="1:5">
      <c r="A805" t="s">
        <v>982</v>
      </c>
      <c r="B805" t="s">
        <v>4105</v>
      </c>
      <c r="D805" s="202" t="s">
        <v>5837</v>
      </c>
    </row>
    <row r="806" spans="1:5">
      <c r="A806" t="s">
        <v>982</v>
      </c>
      <c r="B806" t="s">
        <v>4105</v>
      </c>
    </row>
    <row r="807" spans="1:5">
      <c r="A807" t="s">
        <v>982</v>
      </c>
      <c r="B807" t="s">
        <v>4105</v>
      </c>
      <c r="D807" t="s">
        <v>5150</v>
      </c>
      <c r="E807">
        <v>0.95</v>
      </c>
    </row>
    <row r="808" spans="1:5">
      <c r="A808" t="s">
        <v>982</v>
      </c>
      <c r="B808" t="s">
        <v>4105</v>
      </c>
      <c r="D808" t="s">
        <v>5838</v>
      </c>
      <c r="E808" s="142">
        <f>[1]MonoSugar!$K$13</f>
        <v>55.647368421052633</v>
      </c>
    </row>
    <row r="809" spans="1:5">
      <c r="A809" t="s">
        <v>982</v>
      </c>
      <c r="B809" t="s">
        <v>4105</v>
      </c>
      <c r="D809" t="s">
        <v>5842</v>
      </c>
      <c r="E809">
        <f>E807*E808%</f>
        <v>0.52864999999999995</v>
      </c>
    </row>
    <row r="810" spans="1:5">
      <c r="A810" t="s">
        <v>982</v>
      </c>
      <c r="B810" t="s">
        <v>4105</v>
      </c>
    </row>
    <row r="811" spans="1:5">
      <c r="A811" t="s">
        <v>982</v>
      </c>
      <c r="B811" t="s">
        <v>4105</v>
      </c>
      <c r="C811" t="s">
        <v>226</v>
      </c>
      <c r="D811" t="s">
        <v>5841</v>
      </c>
    </row>
    <row r="812" spans="1:5">
      <c r="A812" t="s">
        <v>982</v>
      </c>
      <c r="B812" t="s">
        <v>4105</v>
      </c>
      <c r="D812" t="s">
        <v>5840</v>
      </c>
    </row>
    <row r="813" spans="1:5">
      <c r="A813" t="s">
        <v>982</v>
      </c>
      <c r="B813" t="s">
        <v>4105</v>
      </c>
      <c r="D813" t="s">
        <v>5839</v>
      </c>
    </row>
    <row r="814" spans="1:5">
      <c r="A814" t="s">
        <v>982</v>
      </c>
      <c r="B814" t="s">
        <v>4105</v>
      </c>
      <c r="D814" t="s">
        <v>5667</v>
      </c>
      <c r="E814">
        <v>0.78300000000000003</v>
      </c>
    </row>
    <row r="815" spans="1:5">
      <c r="A815" t="s">
        <v>982</v>
      </c>
      <c r="B815" t="s">
        <v>4105</v>
      </c>
      <c r="D815" t="s">
        <v>5838</v>
      </c>
      <c r="E815" s="142">
        <f>[1]MonoSugar!$K$13</f>
        <v>55.647368421052633</v>
      </c>
    </row>
    <row r="816" spans="1:5">
      <c r="A816" t="s">
        <v>982</v>
      </c>
      <c r="B816" t="s">
        <v>4105</v>
      </c>
      <c r="D816" t="s">
        <v>5842</v>
      </c>
      <c r="E816">
        <f>E814*E815%</f>
        <v>0.43571889473684217</v>
      </c>
    </row>
    <row r="817" spans="1:5">
      <c r="A817" t="s">
        <v>982</v>
      </c>
      <c r="B817" t="s">
        <v>4105</v>
      </c>
    </row>
    <row r="818" spans="1:5">
      <c r="A818" t="s">
        <v>982</v>
      </c>
      <c r="B818" t="s">
        <v>4105</v>
      </c>
      <c r="C818" t="s">
        <v>396</v>
      </c>
      <c r="D818" t="s">
        <v>5844</v>
      </c>
    </row>
    <row r="819" spans="1:5">
      <c r="A819" t="s">
        <v>982</v>
      </c>
      <c r="B819" t="s">
        <v>4105</v>
      </c>
      <c r="D819" t="s">
        <v>5843</v>
      </c>
    </row>
    <row r="820" spans="1:5">
      <c r="A820" t="s">
        <v>982</v>
      </c>
      <c r="B820" t="s">
        <v>4105</v>
      </c>
    </row>
    <row r="821" spans="1:5">
      <c r="A821" t="s">
        <v>982</v>
      </c>
      <c r="B821" t="s">
        <v>4105</v>
      </c>
    </row>
    <row r="822" spans="1:5">
      <c r="A822" t="s">
        <v>982</v>
      </c>
      <c r="B822" t="s">
        <v>4105</v>
      </c>
    </row>
    <row r="823" spans="1:5">
      <c r="A823" t="s">
        <v>982</v>
      </c>
      <c r="B823" t="s">
        <v>4105</v>
      </c>
    </row>
    <row r="824" spans="1:5">
      <c r="A824" t="s">
        <v>982</v>
      </c>
      <c r="B824" t="s">
        <v>4105</v>
      </c>
    </row>
    <row r="825" spans="1:5" ht="17.399999999999999">
      <c r="A825" t="s">
        <v>982</v>
      </c>
      <c r="B825" t="s">
        <v>4105</v>
      </c>
      <c r="D825" s="378" t="s">
        <v>5845</v>
      </c>
    </row>
    <row r="826" spans="1:5">
      <c r="A826" t="s">
        <v>982</v>
      </c>
      <c r="B826" t="s">
        <v>4105</v>
      </c>
    </row>
    <row r="827" spans="1:5">
      <c r="A827" t="s">
        <v>982</v>
      </c>
      <c r="B827" t="s">
        <v>4105</v>
      </c>
    </row>
    <row r="828" spans="1:5">
      <c r="A828" t="s">
        <v>982</v>
      </c>
      <c r="B828" t="s">
        <v>4105</v>
      </c>
      <c r="D828" t="s">
        <v>5846</v>
      </c>
      <c r="E828">
        <v>0.89800000000000002</v>
      </c>
    </row>
    <row r="829" spans="1:5">
      <c r="A829" t="s">
        <v>982</v>
      </c>
      <c r="B829" t="s">
        <v>4105</v>
      </c>
      <c r="D829" t="s">
        <v>5838</v>
      </c>
      <c r="E829" s="142">
        <f>[1]MonoSugar!$K$13</f>
        <v>55.647368421052633</v>
      </c>
    </row>
    <row r="830" spans="1:5">
      <c r="A830" t="s">
        <v>982</v>
      </c>
      <c r="B830" t="s">
        <v>4105</v>
      </c>
      <c r="D830" t="s">
        <v>5842</v>
      </c>
      <c r="E830">
        <f>E828*E829%</f>
        <v>0.49971336842105268</v>
      </c>
    </row>
    <row r="831" spans="1:5">
      <c r="A831" t="s">
        <v>982</v>
      </c>
      <c r="B831" t="s">
        <v>4105</v>
      </c>
    </row>
    <row r="832" spans="1:5">
      <c r="A832" t="s">
        <v>982</v>
      </c>
      <c r="B832" t="s">
        <v>4105</v>
      </c>
      <c r="C832" t="s">
        <v>420</v>
      </c>
      <c r="D832" t="s">
        <v>5847</v>
      </c>
    </row>
    <row r="833" spans="1:5">
      <c r="A833" t="s">
        <v>982</v>
      </c>
      <c r="B833" t="s">
        <v>4105</v>
      </c>
      <c r="D833" t="s">
        <v>5848</v>
      </c>
    </row>
    <row r="834" spans="1:5">
      <c r="A834" t="s">
        <v>982</v>
      </c>
      <c r="B834" t="s">
        <v>4105</v>
      </c>
      <c r="D834" t="s">
        <v>5849</v>
      </c>
    </row>
    <row r="835" spans="1:5">
      <c r="A835" t="s">
        <v>982</v>
      </c>
      <c r="B835" t="s">
        <v>4105</v>
      </c>
    </row>
    <row r="836" spans="1:5">
      <c r="A836" t="s">
        <v>982</v>
      </c>
      <c r="B836" t="s">
        <v>4105</v>
      </c>
      <c r="D836" t="s">
        <v>5667</v>
      </c>
      <c r="E836" s="374">
        <v>0.98</v>
      </c>
    </row>
    <row r="837" spans="1:5">
      <c r="A837" t="s">
        <v>982</v>
      </c>
      <c r="B837" t="s">
        <v>4105</v>
      </c>
      <c r="D837" t="s">
        <v>5838</v>
      </c>
      <c r="E837" s="142">
        <f>[1]MonoSugar!$K$13</f>
        <v>55.647368421052633</v>
      </c>
    </row>
    <row r="838" spans="1:5">
      <c r="A838" t="s">
        <v>982</v>
      </c>
      <c r="B838" t="s">
        <v>4105</v>
      </c>
      <c r="D838" t="s">
        <v>5842</v>
      </c>
      <c r="E838">
        <f>E836*E837%</f>
        <v>0.54534421052631576</v>
      </c>
    </row>
    <row r="839" spans="1:5">
      <c r="A839" t="s">
        <v>982</v>
      </c>
      <c r="B839" t="s">
        <v>4105</v>
      </c>
    </row>
    <row r="840" spans="1:5">
      <c r="A840" t="s">
        <v>982</v>
      </c>
      <c r="B840" t="s">
        <v>4105</v>
      </c>
      <c r="C840" t="s">
        <v>425</v>
      </c>
      <c r="D840" t="s">
        <v>5852</v>
      </c>
    </row>
    <row r="841" spans="1:5">
      <c r="A841" t="s">
        <v>982</v>
      </c>
      <c r="B841" t="s">
        <v>4105</v>
      </c>
      <c r="D841" t="s">
        <v>5851</v>
      </c>
    </row>
    <row r="842" spans="1:5">
      <c r="A842" t="s">
        <v>982</v>
      </c>
      <c r="B842" t="s">
        <v>4105</v>
      </c>
    </row>
    <row r="843" spans="1:5">
      <c r="A843" t="s">
        <v>982</v>
      </c>
      <c r="B843" t="s">
        <v>4105</v>
      </c>
      <c r="D843" s="186" t="s">
        <v>5850</v>
      </c>
    </row>
    <row r="844" spans="1:5">
      <c r="A844" t="s">
        <v>982</v>
      </c>
      <c r="B844" t="s">
        <v>4105</v>
      </c>
    </row>
    <row r="845" spans="1:5">
      <c r="A845" t="s">
        <v>982</v>
      </c>
      <c r="B845" t="s">
        <v>4105</v>
      </c>
      <c r="D845" t="s">
        <v>5853</v>
      </c>
      <c r="E845" s="186">
        <v>0.81</v>
      </c>
    </row>
    <row r="846" spans="1:5">
      <c r="A846" t="s">
        <v>982</v>
      </c>
      <c r="B846" t="s">
        <v>4105</v>
      </c>
      <c r="D846" t="s">
        <v>5854</v>
      </c>
      <c r="E846" s="142">
        <f>[1]MonoSugar!$L$13</f>
        <v>55.647368421052633</v>
      </c>
    </row>
    <row r="847" spans="1:5">
      <c r="A847" t="s">
        <v>982</v>
      </c>
      <c r="B847" t="s">
        <v>4105</v>
      </c>
      <c r="D847" t="s">
        <v>5842</v>
      </c>
      <c r="E847">
        <f>E845*E846%</f>
        <v>0.45074368421052635</v>
      </c>
    </row>
    <row r="849" spans="1:5">
      <c r="A849" t="s">
        <v>5855</v>
      </c>
      <c r="B849" t="s">
        <v>4192</v>
      </c>
      <c r="C849" t="s">
        <v>638</v>
      </c>
      <c r="D849" t="s">
        <v>1187</v>
      </c>
    </row>
    <row r="850" spans="1:5">
      <c r="A850" t="s">
        <v>5855</v>
      </c>
      <c r="B850" t="s">
        <v>4192</v>
      </c>
      <c r="D850" t="s">
        <v>1188</v>
      </c>
    </row>
    <row r="851" spans="1:5">
      <c r="A851" t="s">
        <v>5855</v>
      </c>
      <c r="B851" t="s">
        <v>4192</v>
      </c>
      <c r="D851" t="s">
        <v>1194</v>
      </c>
      <c r="E851">
        <v>95.2</v>
      </c>
    </row>
    <row r="852" spans="1:5">
      <c r="A852" t="s">
        <v>5855</v>
      </c>
      <c r="B852" t="s">
        <v>4192</v>
      </c>
      <c r="D852" t="s">
        <v>1193</v>
      </c>
      <c r="E852">
        <v>0.96257777777777775</v>
      </c>
    </row>
    <row r="853" spans="1:5">
      <c r="A853" t="s">
        <v>5855</v>
      </c>
      <c r="B853" t="s">
        <v>4192</v>
      </c>
      <c r="D853" s="48" t="s">
        <v>5856</v>
      </c>
      <c r="E853" s="51">
        <f>[1]MonoSugar!$L$11</f>
        <v>27.108848187134502</v>
      </c>
    </row>
    <row r="854" spans="1:5">
      <c r="A854" t="s">
        <v>5855</v>
      </c>
      <c r="B854" t="s">
        <v>4192</v>
      </c>
      <c r="D854" s="48" t="s">
        <v>5568</v>
      </c>
      <c r="E854" s="48">
        <f>E852*E853%</f>
        <v>0.26094374846087071</v>
      </c>
    </row>
    <row r="856" spans="1:5">
      <c r="A856" t="s">
        <v>5855</v>
      </c>
      <c r="B856" t="s">
        <v>5857</v>
      </c>
      <c r="C856" t="s">
        <v>638</v>
      </c>
      <c r="D856" t="s">
        <v>1187</v>
      </c>
    </row>
    <row r="857" spans="1:5">
      <c r="A857" t="s">
        <v>5855</v>
      </c>
      <c r="B857" t="s">
        <v>5857</v>
      </c>
      <c r="D857" t="s">
        <v>1188</v>
      </c>
    </row>
    <row r="858" spans="1:5">
      <c r="A858" t="s">
        <v>5855</v>
      </c>
      <c r="B858" t="s">
        <v>5857</v>
      </c>
      <c r="D858" t="s">
        <v>1194</v>
      </c>
      <c r="E858">
        <v>95.2</v>
      </c>
    </row>
    <row r="859" spans="1:5">
      <c r="A859" t="s">
        <v>5855</v>
      </c>
      <c r="B859" t="s">
        <v>5857</v>
      </c>
      <c r="D859" t="s">
        <v>1193</v>
      </c>
      <c r="E859">
        <v>0.96257777777777775</v>
      </c>
    </row>
    <row r="860" spans="1:5">
      <c r="A860" t="s">
        <v>5855</v>
      </c>
      <c r="B860" t="s">
        <v>5857</v>
      </c>
      <c r="D860" s="48" t="s">
        <v>5876</v>
      </c>
      <c r="E860" s="51">
        <f>[1]MonoSugar!$L$12</f>
        <v>64.809137777777778</v>
      </c>
    </row>
    <row r="861" spans="1:5">
      <c r="A861" t="s">
        <v>5855</v>
      </c>
      <c r="B861" t="s">
        <v>5857</v>
      </c>
      <c r="D861" s="48" t="s">
        <v>5642</v>
      </c>
      <c r="E861" s="48">
        <f>E859*E860%</f>
        <v>0.6238383582182716</v>
      </c>
    </row>
    <row r="862" spans="1:5">
      <c r="A862" t="s">
        <v>5855</v>
      </c>
      <c r="B862" t="s">
        <v>4105</v>
      </c>
      <c r="C862" t="s">
        <v>197</v>
      </c>
      <c r="D862" t="s">
        <v>5872</v>
      </c>
    </row>
    <row r="863" spans="1:5">
      <c r="A863" t="s">
        <v>5855</v>
      </c>
      <c r="B863" t="s">
        <v>4105</v>
      </c>
      <c r="D863" t="s">
        <v>5873</v>
      </c>
    </row>
    <row r="864" spans="1:5">
      <c r="A864" t="s">
        <v>5855</v>
      </c>
      <c r="B864" t="s">
        <v>4105</v>
      </c>
      <c r="D864" t="s">
        <v>5858</v>
      </c>
    </row>
    <row r="865" spans="1:13">
      <c r="A865" t="s">
        <v>5855</v>
      </c>
      <c r="B865" t="s">
        <v>4105</v>
      </c>
      <c r="D865" t="s">
        <v>4604</v>
      </c>
      <c r="E865" t="s">
        <v>5535</v>
      </c>
      <c r="G865" t="s">
        <v>5536</v>
      </c>
      <c r="J865" t="s">
        <v>5859</v>
      </c>
    </row>
    <row r="866" spans="1:13">
      <c r="A866" t="s">
        <v>5855</v>
      </c>
      <c r="B866" t="s">
        <v>4105</v>
      </c>
      <c r="D866" t="s">
        <v>14</v>
      </c>
      <c r="E866" t="s">
        <v>5538</v>
      </c>
      <c r="F866" t="s">
        <v>5539</v>
      </c>
      <c r="G866" t="s">
        <v>5860</v>
      </c>
      <c r="H866" t="s">
        <v>73</v>
      </c>
      <c r="I866" t="s">
        <v>5861</v>
      </c>
      <c r="J866" t="s">
        <v>5862</v>
      </c>
      <c r="K866" t="s">
        <v>5863</v>
      </c>
      <c r="L866" t="s">
        <v>5864</v>
      </c>
      <c r="M866" t="s">
        <v>5865</v>
      </c>
    </row>
    <row r="867" spans="1:13">
      <c r="A867" t="s">
        <v>5855</v>
      </c>
      <c r="B867" t="s">
        <v>4105</v>
      </c>
      <c r="D867">
        <v>1</v>
      </c>
      <c r="E867" t="s">
        <v>3498</v>
      </c>
      <c r="F867" t="s">
        <v>3498</v>
      </c>
      <c r="G867">
        <v>250</v>
      </c>
      <c r="H867">
        <v>24</v>
      </c>
      <c r="I867">
        <v>5.08</v>
      </c>
      <c r="J867">
        <v>26.43</v>
      </c>
      <c r="K867">
        <v>38.53</v>
      </c>
      <c r="L867">
        <v>0.2</v>
      </c>
      <c r="M867">
        <v>0.21</v>
      </c>
    </row>
    <row r="868" spans="1:13">
      <c r="A868" t="s">
        <v>5855</v>
      </c>
      <c r="B868" t="s">
        <v>4105</v>
      </c>
      <c r="D868">
        <v>2</v>
      </c>
      <c r="E868">
        <v>1</v>
      </c>
      <c r="F868" t="s">
        <v>3498</v>
      </c>
      <c r="G868">
        <v>350</v>
      </c>
      <c r="H868">
        <v>24</v>
      </c>
      <c r="I868">
        <v>4.8499999999999996</v>
      </c>
      <c r="J868">
        <v>29.11</v>
      </c>
      <c r="K868">
        <v>32.619999999999997</v>
      </c>
      <c r="L868">
        <v>0.17</v>
      </c>
      <c r="M868">
        <v>0.2</v>
      </c>
    </row>
    <row r="869" spans="1:13">
      <c r="A869" t="s">
        <v>5855</v>
      </c>
      <c r="B869" t="s">
        <v>4105</v>
      </c>
      <c r="D869">
        <v>3</v>
      </c>
      <c r="E869" t="s">
        <v>3498</v>
      </c>
      <c r="F869">
        <v>1</v>
      </c>
      <c r="G869">
        <v>250</v>
      </c>
      <c r="H869">
        <v>48</v>
      </c>
      <c r="I869">
        <v>3.29</v>
      </c>
      <c r="J869">
        <v>115.25</v>
      </c>
      <c r="K869">
        <v>5.36</v>
      </c>
      <c r="L869">
        <v>0.03</v>
      </c>
      <c r="M869">
        <v>7.0000000000000007E-2</v>
      </c>
    </row>
    <row r="870" spans="1:13">
      <c r="A870" t="s">
        <v>5855</v>
      </c>
      <c r="B870" t="s">
        <v>4105</v>
      </c>
      <c r="D870">
        <v>4</v>
      </c>
      <c r="E870">
        <v>1</v>
      </c>
      <c r="F870">
        <v>1</v>
      </c>
      <c r="G870">
        <v>350</v>
      </c>
      <c r="H870">
        <v>48</v>
      </c>
      <c r="I870">
        <v>8.11</v>
      </c>
      <c r="J870">
        <v>134.36000000000001</v>
      </c>
      <c r="K870">
        <v>11.32</v>
      </c>
      <c r="L870">
        <v>0.06</v>
      </c>
      <c r="M870">
        <v>0.17</v>
      </c>
    </row>
    <row r="871" spans="1:13">
      <c r="A871" t="s">
        <v>5855</v>
      </c>
      <c r="B871" t="s">
        <v>4105</v>
      </c>
      <c r="D871">
        <v>5</v>
      </c>
      <c r="E871">
        <v>0</v>
      </c>
      <c r="F871">
        <v>0</v>
      </c>
      <c r="G871">
        <v>300</v>
      </c>
      <c r="H871">
        <v>36</v>
      </c>
      <c r="I871">
        <v>11.64</v>
      </c>
      <c r="J871">
        <v>160.26</v>
      </c>
      <c r="K871">
        <v>13.64</v>
      </c>
      <c r="L871">
        <v>7.0000000000000007E-2</v>
      </c>
      <c r="M871">
        <v>0.32</v>
      </c>
    </row>
    <row r="872" spans="1:13">
      <c r="A872" t="s">
        <v>5855</v>
      </c>
      <c r="B872" t="s">
        <v>4105</v>
      </c>
      <c r="D872">
        <v>6</v>
      </c>
      <c r="E872">
        <v>0</v>
      </c>
      <c r="F872">
        <v>0</v>
      </c>
      <c r="G872">
        <v>300</v>
      </c>
      <c r="H872">
        <v>36</v>
      </c>
      <c r="I872">
        <v>11.84</v>
      </c>
      <c r="J872">
        <v>117</v>
      </c>
      <c r="K872">
        <v>18.989999999999998</v>
      </c>
      <c r="L872">
        <v>0.1</v>
      </c>
      <c r="M872">
        <v>0.33</v>
      </c>
    </row>
    <row r="873" spans="1:13">
      <c r="A873" t="s">
        <v>5855</v>
      </c>
      <c r="B873" t="s">
        <v>4105</v>
      </c>
      <c r="D873">
        <v>7</v>
      </c>
      <c r="E873">
        <v>0</v>
      </c>
      <c r="F873">
        <v>0</v>
      </c>
      <c r="G873">
        <v>300</v>
      </c>
      <c r="H873">
        <v>36</v>
      </c>
      <c r="I873">
        <v>13.87</v>
      </c>
      <c r="J873">
        <v>113.37</v>
      </c>
      <c r="K873">
        <v>22.96</v>
      </c>
      <c r="L873">
        <v>0.12</v>
      </c>
      <c r="M873">
        <v>0.38</v>
      </c>
    </row>
    <row r="874" spans="1:13">
      <c r="A874" t="s">
        <v>5855</v>
      </c>
      <c r="B874" t="s">
        <v>4105</v>
      </c>
      <c r="G874" t="s">
        <v>5866</v>
      </c>
      <c r="H874" t="s">
        <v>1687</v>
      </c>
    </row>
    <row r="875" spans="1:13">
      <c r="A875" t="s">
        <v>5855</v>
      </c>
      <c r="B875" t="s">
        <v>4105</v>
      </c>
      <c r="D875">
        <v>8</v>
      </c>
      <c r="E875" t="s">
        <v>5867</v>
      </c>
      <c r="F875">
        <v>0</v>
      </c>
      <c r="G875">
        <v>230</v>
      </c>
      <c r="H875">
        <v>36</v>
      </c>
      <c r="I875">
        <v>2.58</v>
      </c>
      <c r="J875" t="s">
        <v>5868</v>
      </c>
      <c r="K875" t="s">
        <v>5869</v>
      </c>
      <c r="L875" t="s">
        <v>5869</v>
      </c>
      <c r="M875" t="s">
        <v>5869</v>
      </c>
    </row>
    <row r="876" spans="1:13">
      <c r="A876" t="s">
        <v>5855</v>
      </c>
      <c r="B876" t="s">
        <v>4105</v>
      </c>
      <c r="D876">
        <v>9</v>
      </c>
      <c r="E876">
        <v>0</v>
      </c>
      <c r="F876">
        <v>1.141</v>
      </c>
      <c r="G876">
        <v>300</v>
      </c>
      <c r="H876">
        <v>53</v>
      </c>
      <c r="I876">
        <v>0</v>
      </c>
      <c r="J876" t="s">
        <v>5869</v>
      </c>
      <c r="K876" t="s">
        <v>5869</v>
      </c>
      <c r="L876" t="s">
        <v>5869</v>
      </c>
      <c r="M876" t="s">
        <v>5869</v>
      </c>
    </row>
    <row r="877" spans="1:13">
      <c r="A877" t="s">
        <v>5855</v>
      </c>
      <c r="B877" t="s">
        <v>4105</v>
      </c>
      <c r="D877">
        <v>10</v>
      </c>
      <c r="E877">
        <v>1.141</v>
      </c>
      <c r="F877">
        <v>0</v>
      </c>
      <c r="G877">
        <v>370</v>
      </c>
      <c r="H877">
        <v>36</v>
      </c>
      <c r="I877">
        <v>4.91</v>
      </c>
      <c r="J877" t="s">
        <v>5869</v>
      </c>
      <c r="K877" t="s">
        <v>5869</v>
      </c>
      <c r="L877" t="s">
        <v>5869</v>
      </c>
      <c r="M877" t="s">
        <v>5869</v>
      </c>
    </row>
    <row r="878" spans="1:13">
      <c r="A878" t="s">
        <v>5855</v>
      </c>
      <c r="B878" t="s">
        <v>4105</v>
      </c>
      <c r="D878">
        <v>11</v>
      </c>
      <c r="E878">
        <v>0</v>
      </c>
      <c r="F878" t="s">
        <v>5867</v>
      </c>
      <c r="G878">
        <v>300</v>
      </c>
      <c r="H878">
        <v>19</v>
      </c>
      <c r="I878">
        <v>1.58</v>
      </c>
      <c r="J878" t="s">
        <v>5869</v>
      </c>
      <c r="K878" t="s">
        <v>5869</v>
      </c>
      <c r="L878" t="s">
        <v>5869</v>
      </c>
      <c r="M878" t="s">
        <v>5869</v>
      </c>
    </row>
    <row r="879" spans="1:13">
      <c r="A879" t="s">
        <v>5855</v>
      </c>
      <c r="B879" t="s">
        <v>4105</v>
      </c>
      <c r="D879" t="s">
        <v>1177</v>
      </c>
    </row>
    <row r="880" spans="1:13">
      <c r="A880" t="s">
        <v>5855</v>
      </c>
      <c r="B880" t="s">
        <v>4105</v>
      </c>
      <c r="D880" t="s">
        <v>5870</v>
      </c>
    </row>
    <row r="881" spans="1:5">
      <c r="A881" t="s">
        <v>5855</v>
      </c>
      <c r="B881" t="s">
        <v>4105</v>
      </c>
      <c r="D881" t="s">
        <v>1179</v>
      </c>
    </row>
    <row r="882" spans="1:5">
      <c r="A882" t="s">
        <v>5855</v>
      </c>
      <c r="B882" t="s">
        <v>4105</v>
      </c>
      <c r="D882" t="s">
        <v>5871</v>
      </c>
    </row>
    <row r="883" spans="1:5">
      <c r="A883" t="s">
        <v>5855</v>
      </c>
      <c r="B883" t="s">
        <v>4105</v>
      </c>
    </row>
    <row r="884" spans="1:5">
      <c r="A884" t="s">
        <v>5855</v>
      </c>
      <c r="B884" t="s">
        <v>4105</v>
      </c>
    </row>
    <row r="885" spans="1:5">
      <c r="A885" t="s">
        <v>5855</v>
      </c>
      <c r="B885" t="s">
        <v>4105</v>
      </c>
      <c r="D885" t="s">
        <v>5874</v>
      </c>
      <c r="E885">
        <f>AVERAGE(L867:L873)</f>
        <v>0.10714285714285714</v>
      </c>
    </row>
    <row r="886" spans="1:5">
      <c r="A886" t="s">
        <v>5855</v>
      </c>
      <c r="B886" t="s">
        <v>4105</v>
      </c>
      <c r="D886" t="s">
        <v>5875</v>
      </c>
      <c r="E886" s="142">
        <f>[1]MonoSugar!$L$13</f>
        <v>55.647368421052633</v>
      </c>
    </row>
    <row r="887" spans="1:5">
      <c r="A887" t="s">
        <v>5855</v>
      </c>
      <c r="B887" t="s">
        <v>4105</v>
      </c>
      <c r="D887" s="48" t="s">
        <v>5715</v>
      </c>
      <c r="E887" s="48">
        <f>E885*E886%</f>
        <v>5.9622180451127819E-2</v>
      </c>
    </row>
    <row r="889" spans="1:5">
      <c r="A889" t="s">
        <v>1201</v>
      </c>
      <c r="B889" t="s">
        <v>4192</v>
      </c>
      <c r="C889" t="s">
        <v>197</v>
      </c>
      <c r="D889" t="s">
        <v>5877</v>
      </c>
    </row>
    <row r="890" spans="1:5">
      <c r="A890" t="s">
        <v>1201</v>
      </c>
      <c r="B890" t="s">
        <v>4192</v>
      </c>
      <c r="D890" t="s">
        <v>5878</v>
      </c>
    </row>
    <row r="891" spans="1:5">
      <c r="A891" t="s">
        <v>1201</v>
      </c>
      <c r="B891" t="s">
        <v>4192</v>
      </c>
    </row>
    <row r="892" spans="1:5">
      <c r="A892" t="s">
        <v>1201</v>
      </c>
      <c r="B892" t="s">
        <v>4192</v>
      </c>
    </row>
    <row r="893" spans="1:5" ht="15.6">
      <c r="A893" t="s">
        <v>1201</v>
      </c>
      <c r="B893" t="s">
        <v>4192</v>
      </c>
      <c r="D893" s="199" t="s">
        <v>5879</v>
      </c>
    </row>
    <row r="894" spans="1:5" ht="15.6">
      <c r="A894" t="s">
        <v>1201</v>
      </c>
      <c r="B894" t="s">
        <v>4192</v>
      </c>
      <c r="D894" s="199" t="s">
        <v>5881</v>
      </c>
    </row>
    <row r="895" spans="1:5">
      <c r="A895" t="s">
        <v>1201</v>
      </c>
      <c r="B895" t="s">
        <v>4192</v>
      </c>
    </row>
    <row r="896" spans="1:5">
      <c r="A896" t="s">
        <v>1201</v>
      </c>
      <c r="B896" t="s">
        <v>4192</v>
      </c>
    </row>
    <row r="897" spans="1:9" ht="15.6">
      <c r="A897" t="s">
        <v>1201</v>
      </c>
      <c r="B897" t="s">
        <v>4192</v>
      </c>
      <c r="D897" s="199" t="s">
        <v>5880</v>
      </c>
      <c r="E897">
        <v>0.54</v>
      </c>
    </row>
    <row r="898" spans="1:9">
      <c r="A898" t="s">
        <v>1201</v>
      </c>
      <c r="B898" t="s">
        <v>4192</v>
      </c>
      <c r="E898">
        <v>0.56000000000000005</v>
      </c>
    </row>
    <row r="899" spans="1:9">
      <c r="A899" t="s">
        <v>1201</v>
      </c>
      <c r="B899" t="s">
        <v>4192</v>
      </c>
      <c r="E899">
        <v>0.51</v>
      </c>
    </row>
    <row r="900" spans="1:9">
      <c r="A900" t="s">
        <v>1201</v>
      </c>
      <c r="B900" t="s">
        <v>4192</v>
      </c>
      <c r="E900">
        <v>0.56999999999999995</v>
      </c>
    </row>
    <row r="901" spans="1:9">
      <c r="A901" t="s">
        <v>1201</v>
      </c>
      <c r="B901" t="s">
        <v>4192</v>
      </c>
      <c r="D901" t="s">
        <v>510</v>
      </c>
      <c r="E901">
        <f>AVERAGE(E897:E900)</f>
        <v>0.54500000000000004</v>
      </c>
    </row>
    <row r="902" spans="1:9">
      <c r="A902" t="s">
        <v>1201</v>
      </c>
      <c r="B902" t="s">
        <v>4192</v>
      </c>
      <c r="D902" t="s">
        <v>5882</v>
      </c>
      <c r="E902" s="142">
        <f>[1]MonoSugar!$J$11</f>
        <v>3.7333545454545449</v>
      </c>
    </row>
    <row r="903" spans="1:9">
      <c r="A903" t="s">
        <v>1201</v>
      </c>
      <c r="B903" t="s">
        <v>4192</v>
      </c>
      <c r="D903" s="48" t="s">
        <v>6011</v>
      </c>
      <c r="E903" s="48">
        <f>E901*E902%</f>
        <v>2.0346782272727272E-2</v>
      </c>
    </row>
    <row r="904" spans="1:9">
      <c r="A904" t="s">
        <v>1201</v>
      </c>
      <c r="B904" t="s">
        <v>4192</v>
      </c>
    </row>
    <row r="905" spans="1:9">
      <c r="A905" t="s">
        <v>1201</v>
      </c>
      <c r="B905" t="s">
        <v>4192</v>
      </c>
    </row>
    <row r="906" spans="1:9">
      <c r="A906" t="s">
        <v>1201</v>
      </c>
      <c r="B906" t="s">
        <v>4192</v>
      </c>
      <c r="C906" t="s">
        <v>226</v>
      </c>
      <c r="D906" s="153" t="s">
        <v>5883</v>
      </c>
    </row>
    <row r="907" spans="1:9">
      <c r="A907" t="s">
        <v>1201</v>
      </c>
      <c r="B907" t="s">
        <v>4192</v>
      </c>
      <c r="D907" t="s">
        <v>5884</v>
      </c>
    </row>
    <row r="908" spans="1:9">
      <c r="A908" t="s">
        <v>1201</v>
      </c>
      <c r="B908" t="s">
        <v>4192</v>
      </c>
    </row>
    <row r="909" spans="1:9">
      <c r="A909" t="s">
        <v>1201</v>
      </c>
      <c r="B909" t="s">
        <v>4192</v>
      </c>
      <c r="D909" t="s">
        <v>5885</v>
      </c>
    </row>
    <row r="910" spans="1:9">
      <c r="A910" t="s">
        <v>1201</v>
      </c>
      <c r="B910" t="s">
        <v>4192</v>
      </c>
    </row>
    <row r="911" spans="1:9">
      <c r="A911" t="s">
        <v>1201</v>
      </c>
      <c r="B911" t="s">
        <v>4192</v>
      </c>
      <c r="D911" t="s">
        <v>5886</v>
      </c>
    </row>
    <row r="912" spans="1:9">
      <c r="A912" t="s">
        <v>1201</v>
      </c>
      <c r="B912" t="s">
        <v>4192</v>
      </c>
      <c r="D912" t="s">
        <v>5887</v>
      </c>
      <c r="F912" t="s">
        <v>5888</v>
      </c>
      <c r="G912" t="s">
        <v>5889</v>
      </c>
      <c r="H912" t="s">
        <v>5890</v>
      </c>
      <c r="I912" t="s">
        <v>5891</v>
      </c>
    </row>
    <row r="913" spans="1:10">
      <c r="A913" t="s">
        <v>1201</v>
      </c>
      <c r="B913" t="s">
        <v>4192</v>
      </c>
      <c r="D913" t="s">
        <v>5892</v>
      </c>
      <c r="E913" t="s">
        <v>410</v>
      </c>
      <c r="F913" t="s">
        <v>5893</v>
      </c>
      <c r="G913" t="s">
        <v>5894</v>
      </c>
      <c r="H913" t="s">
        <v>5895</v>
      </c>
      <c r="I913" t="s">
        <v>5896</v>
      </c>
      <c r="J913">
        <v>70.03</v>
      </c>
    </row>
    <row r="914" spans="1:10">
      <c r="A914" t="s">
        <v>1201</v>
      </c>
      <c r="B914" t="s">
        <v>4192</v>
      </c>
    </row>
    <row r="915" spans="1:10">
      <c r="A915" t="s">
        <v>1201</v>
      </c>
      <c r="B915" t="s">
        <v>4192</v>
      </c>
      <c r="D915" t="s">
        <v>93</v>
      </c>
      <c r="E915">
        <v>5</v>
      </c>
      <c r="F915" t="s">
        <v>5897</v>
      </c>
      <c r="G915" t="s">
        <v>5898</v>
      </c>
      <c r="H915" t="s">
        <v>5899</v>
      </c>
      <c r="I915" t="s">
        <v>5900</v>
      </c>
      <c r="J915">
        <v>68.66</v>
      </c>
    </row>
    <row r="916" spans="1:10">
      <c r="A916" t="s">
        <v>1201</v>
      </c>
      <c r="B916" t="s">
        <v>4192</v>
      </c>
      <c r="E916">
        <v>10</v>
      </c>
      <c r="F916" t="s">
        <v>5901</v>
      </c>
      <c r="G916" t="s">
        <v>5902</v>
      </c>
      <c r="H916" t="s">
        <v>5903</v>
      </c>
      <c r="I916" t="s">
        <v>5904</v>
      </c>
      <c r="J916">
        <v>70.03</v>
      </c>
    </row>
    <row r="917" spans="1:10">
      <c r="A917" t="s">
        <v>1201</v>
      </c>
      <c r="B917" t="s">
        <v>4192</v>
      </c>
      <c r="E917">
        <v>15</v>
      </c>
      <c r="F917" t="s">
        <v>5905</v>
      </c>
      <c r="G917" t="s">
        <v>5906</v>
      </c>
      <c r="H917" t="s">
        <v>5907</v>
      </c>
      <c r="I917" t="s">
        <v>5908</v>
      </c>
      <c r="J917">
        <v>63.51</v>
      </c>
    </row>
    <row r="918" spans="1:10">
      <c r="A918" t="s">
        <v>1201</v>
      </c>
      <c r="B918" t="s">
        <v>4192</v>
      </c>
    </row>
    <row r="919" spans="1:10">
      <c r="A919" t="s">
        <v>1201</v>
      </c>
      <c r="B919" t="s">
        <v>4192</v>
      </c>
      <c r="D919" t="s">
        <v>2031</v>
      </c>
      <c r="E919">
        <v>5</v>
      </c>
      <c r="F919" t="s">
        <v>5909</v>
      </c>
      <c r="G919" t="s">
        <v>5910</v>
      </c>
      <c r="H919" t="s">
        <v>5911</v>
      </c>
      <c r="I919" t="s">
        <v>5912</v>
      </c>
      <c r="J919">
        <v>63.17</v>
      </c>
    </row>
    <row r="920" spans="1:10">
      <c r="A920" t="s">
        <v>1201</v>
      </c>
      <c r="B920" t="s">
        <v>4192</v>
      </c>
      <c r="E920">
        <v>10</v>
      </c>
      <c r="F920" t="s">
        <v>5913</v>
      </c>
      <c r="G920" t="s">
        <v>5914</v>
      </c>
      <c r="H920" t="s">
        <v>5915</v>
      </c>
      <c r="I920" t="s">
        <v>5916</v>
      </c>
      <c r="J920">
        <v>70.37</v>
      </c>
    </row>
    <row r="921" spans="1:10">
      <c r="A921" t="s">
        <v>1201</v>
      </c>
      <c r="B921" t="s">
        <v>4192</v>
      </c>
      <c r="E921">
        <v>15</v>
      </c>
      <c r="F921" t="s">
        <v>5506</v>
      </c>
      <c r="G921" t="s">
        <v>5917</v>
      </c>
      <c r="H921" t="s">
        <v>5918</v>
      </c>
      <c r="I921" t="s">
        <v>5919</v>
      </c>
      <c r="J921">
        <v>66.94</v>
      </c>
    </row>
    <row r="922" spans="1:10">
      <c r="A922" t="s">
        <v>1201</v>
      </c>
      <c r="B922" t="s">
        <v>4192</v>
      </c>
    </row>
    <row r="923" spans="1:10">
      <c r="A923" t="s">
        <v>1201</v>
      </c>
      <c r="B923" t="s">
        <v>4192</v>
      </c>
      <c r="D923" t="s">
        <v>5920</v>
      </c>
      <c r="E923">
        <v>5</v>
      </c>
      <c r="F923" t="s">
        <v>5921</v>
      </c>
      <c r="G923" t="s">
        <v>5922</v>
      </c>
      <c r="H923" t="s">
        <v>5899</v>
      </c>
      <c r="I923" t="s">
        <v>5923</v>
      </c>
      <c r="J923">
        <v>68.66</v>
      </c>
    </row>
    <row r="924" spans="1:10">
      <c r="A924" t="s">
        <v>1201</v>
      </c>
      <c r="B924" t="s">
        <v>4192</v>
      </c>
      <c r="E924">
        <v>10</v>
      </c>
      <c r="F924" t="s">
        <v>5924</v>
      </c>
      <c r="G924" t="s">
        <v>5925</v>
      </c>
      <c r="H924" t="s">
        <v>5926</v>
      </c>
      <c r="I924" t="s">
        <v>5927</v>
      </c>
      <c r="J924">
        <v>67.28</v>
      </c>
    </row>
    <row r="925" spans="1:10">
      <c r="A925" t="s">
        <v>1201</v>
      </c>
      <c r="B925" t="s">
        <v>4192</v>
      </c>
      <c r="E925">
        <v>15</v>
      </c>
      <c r="F925" t="s">
        <v>5921</v>
      </c>
      <c r="G925" t="s">
        <v>5928</v>
      </c>
      <c r="H925" t="s">
        <v>5929</v>
      </c>
      <c r="I925" t="s">
        <v>5930</v>
      </c>
      <c r="J925">
        <v>75.52</v>
      </c>
    </row>
    <row r="926" spans="1:10">
      <c r="A926" t="s">
        <v>1201</v>
      </c>
      <c r="B926" t="s">
        <v>4192</v>
      </c>
    </row>
    <row r="927" spans="1:10">
      <c r="A927" t="s">
        <v>1201</v>
      </c>
      <c r="B927" t="s">
        <v>4192</v>
      </c>
      <c r="D927" t="s">
        <v>103</v>
      </c>
      <c r="E927">
        <v>0.7</v>
      </c>
      <c r="F927" t="s">
        <v>5931</v>
      </c>
      <c r="G927" t="s">
        <v>5932</v>
      </c>
      <c r="H927" t="s">
        <v>5933</v>
      </c>
      <c r="I927" t="s">
        <v>5934</v>
      </c>
      <c r="J927">
        <v>66.25</v>
      </c>
    </row>
    <row r="928" spans="1:10">
      <c r="A928" t="s">
        <v>1201</v>
      </c>
      <c r="B928" t="s">
        <v>4192</v>
      </c>
      <c r="E928">
        <v>1</v>
      </c>
      <c r="F928" t="s">
        <v>5935</v>
      </c>
      <c r="G928" t="s">
        <v>5936</v>
      </c>
      <c r="H928" t="s">
        <v>5933</v>
      </c>
      <c r="I928" t="s">
        <v>5937</v>
      </c>
      <c r="J928">
        <v>72.09</v>
      </c>
    </row>
    <row r="929" spans="1:10">
      <c r="A929" t="s">
        <v>1201</v>
      </c>
      <c r="B929" t="s">
        <v>4192</v>
      </c>
      <c r="E929">
        <v>1.5</v>
      </c>
      <c r="F929" t="s">
        <v>5938</v>
      </c>
      <c r="G929" t="s">
        <v>5939</v>
      </c>
      <c r="H929" t="s">
        <v>5940</v>
      </c>
      <c r="I929" t="s">
        <v>5941</v>
      </c>
      <c r="J929">
        <v>70.72</v>
      </c>
    </row>
    <row r="930" spans="1:10">
      <c r="A930" t="s">
        <v>1201</v>
      </c>
      <c r="B930" t="s">
        <v>4192</v>
      </c>
      <c r="J930">
        <f>AVERAGE(J913:J929)</f>
        <v>68.710000000000008</v>
      </c>
    </row>
    <row r="931" spans="1:10">
      <c r="A931" t="s">
        <v>1201</v>
      </c>
      <c r="B931" t="s">
        <v>4192</v>
      </c>
      <c r="I931" t="s">
        <v>4104</v>
      </c>
      <c r="J931">
        <f>MIN(J913:J929)</f>
        <v>63.17</v>
      </c>
    </row>
    <row r="932" spans="1:10">
      <c r="A932" t="s">
        <v>1201</v>
      </c>
      <c r="B932" t="s">
        <v>4192</v>
      </c>
      <c r="I932" t="s">
        <v>4103</v>
      </c>
      <c r="J932">
        <f>MAX(J913:J929)</f>
        <v>75.52</v>
      </c>
    </row>
    <row r="933" spans="1:10">
      <c r="A933" t="s">
        <v>1201</v>
      </c>
      <c r="B933" t="s">
        <v>4192</v>
      </c>
    </row>
    <row r="934" spans="1:10">
      <c r="A934" t="s">
        <v>1201</v>
      </c>
      <c r="B934" t="s">
        <v>4192</v>
      </c>
      <c r="D934" t="s">
        <v>5942</v>
      </c>
      <c r="E934">
        <v>0.91700000000000004</v>
      </c>
    </row>
    <row r="935" spans="1:10">
      <c r="A935" t="s">
        <v>1201</v>
      </c>
      <c r="B935" t="s">
        <v>4192</v>
      </c>
      <c r="D935" t="s">
        <v>904</v>
      </c>
      <c r="E935">
        <f>E934*J930%</f>
        <v>0.63007070000000009</v>
      </c>
    </row>
    <row r="936" spans="1:10">
      <c r="A936" t="s">
        <v>1201</v>
      </c>
      <c r="B936" t="s">
        <v>4192</v>
      </c>
      <c r="D936" t="s">
        <v>5882</v>
      </c>
      <c r="E936" s="142">
        <f>[1]MonoSugar!$J$11</f>
        <v>3.7333545454545449</v>
      </c>
    </row>
    <row r="937" spans="1:10">
      <c r="A937" t="s">
        <v>1201</v>
      </c>
      <c r="B937" t="s">
        <v>4192</v>
      </c>
      <c r="D937" s="48" t="s">
        <v>6011</v>
      </c>
      <c r="E937" s="48">
        <f>E935*E936%</f>
        <v>2.3522773118027276E-2</v>
      </c>
    </row>
    <row r="938" spans="1:10">
      <c r="A938" t="s">
        <v>1201</v>
      </c>
      <c r="B938" t="s">
        <v>4192</v>
      </c>
    </row>
    <row r="939" spans="1:10">
      <c r="A939" t="s">
        <v>1201</v>
      </c>
      <c r="B939" t="s">
        <v>4192</v>
      </c>
      <c r="C939" t="s">
        <v>396</v>
      </c>
      <c r="D939" t="s">
        <v>5943</v>
      </c>
    </row>
    <row r="940" spans="1:10">
      <c r="A940" t="s">
        <v>1201</v>
      </c>
      <c r="B940" t="s">
        <v>4192</v>
      </c>
      <c r="D940" t="s">
        <v>5944</v>
      </c>
    </row>
    <row r="941" spans="1:10">
      <c r="A941" t="s">
        <v>1201</v>
      </c>
      <c r="B941" t="s">
        <v>4192</v>
      </c>
    </row>
    <row r="942" spans="1:10">
      <c r="A942" t="s">
        <v>1201</v>
      </c>
      <c r="B942" t="s">
        <v>4192</v>
      </c>
    </row>
    <row r="943" spans="1:10">
      <c r="A943" t="s">
        <v>1201</v>
      </c>
      <c r="B943" t="s">
        <v>4192</v>
      </c>
      <c r="D943" t="s">
        <v>5945</v>
      </c>
    </row>
    <row r="944" spans="1:10">
      <c r="A944" t="s">
        <v>1201</v>
      </c>
      <c r="B944" t="s">
        <v>4192</v>
      </c>
      <c r="D944" t="s">
        <v>5946</v>
      </c>
    </row>
    <row r="945" spans="1:10">
      <c r="A945" t="s">
        <v>1201</v>
      </c>
      <c r="B945" t="s">
        <v>4192</v>
      </c>
      <c r="D945" t="s">
        <v>4535</v>
      </c>
      <c r="E945" t="s">
        <v>1135</v>
      </c>
      <c r="F945" t="s">
        <v>5947</v>
      </c>
      <c r="G945" t="s">
        <v>401</v>
      </c>
    </row>
    <row r="946" spans="1:10">
      <c r="A946" t="s">
        <v>1201</v>
      </c>
      <c r="B946" t="s">
        <v>4192</v>
      </c>
      <c r="G946" t="s">
        <v>5948</v>
      </c>
      <c r="H946" t="s">
        <v>3324</v>
      </c>
      <c r="I946" t="s">
        <v>5949</v>
      </c>
      <c r="J946" s="48" t="s">
        <v>3324</v>
      </c>
    </row>
    <row r="947" spans="1:10">
      <c r="A947" t="s">
        <v>1201</v>
      </c>
      <c r="B947" t="s">
        <v>4192</v>
      </c>
      <c r="D947" t="s">
        <v>5950</v>
      </c>
      <c r="E947" t="s">
        <v>5952</v>
      </c>
      <c r="F947" t="s">
        <v>5953</v>
      </c>
      <c r="G947" t="s">
        <v>5954</v>
      </c>
      <c r="H947" t="s">
        <v>5955</v>
      </c>
      <c r="I947" t="s">
        <v>5956</v>
      </c>
      <c r="J947" s="48">
        <v>0.78</v>
      </c>
    </row>
    <row r="948" spans="1:10">
      <c r="A948" t="s">
        <v>1201</v>
      </c>
      <c r="B948" t="s">
        <v>4192</v>
      </c>
      <c r="F948" t="s">
        <v>5957</v>
      </c>
      <c r="G948" t="s">
        <v>5958</v>
      </c>
      <c r="H948" t="s">
        <v>5959</v>
      </c>
      <c r="I948" t="s">
        <v>5960</v>
      </c>
      <c r="J948" s="48">
        <v>0.8</v>
      </c>
    </row>
    <row r="949" spans="1:10">
      <c r="A949" t="s">
        <v>1201</v>
      </c>
      <c r="B949" t="s">
        <v>4192</v>
      </c>
      <c r="D949" t="s">
        <v>5951</v>
      </c>
      <c r="F949" t="s">
        <v>5961</v>
      </c>
      <c r="G949" t="s">
        <v>5962</v>
      </c>
      <c r="H949" t="s">
        <v>5963</v>
      </c>
      <c r="I949" t="s">
        <v>5964</v>
      </c>
      <c r="J949" s="48">
        <v>0.91</v>
      </c>
    </row>
    <row r="950" spans="1:10">
      <c r="A950" t="s">
        <v>1201</v>
      </c>
      <c r="B950" t="s">
        <v>4192</v>
      </c>
      <c r="E950" t="s">
        <v>5965</v>
      </c>
      <c r="F950" t="s">
        <v>5953</v>
      </c>
      <c r="G950" t="s">
        <v>5966</v>
      </c>
      <c r="H950" t="s">
        <v>5967</v>
      </c>
      <c r="I950" t="s">
        <v>5968</v>
      </c>
      <c r="J950" s="48">
        <v>0.83</v>
      </c>
    </row>
    <row r="951" spans="1:10">
      <c r="A951" t="s">
        <v>1201</v>
      </c>
      <c r="B951" t="s">
        <v>4192</v>
      </c>
      <c r="F951" t="s">
        <v>5957</v>
      </c>
      <c r="G951" t="s">
        <v>5969</v>
      </c>
      <c r="H951" t="s">
        <v>5970</v>
      </c>
      <c r="I951" t="s">
        <v>5971</v>
      </c>
      <c r="J951" s="48">
        <v>0.74</v>
      </c>
    </row>
    <row r="952" spans="1:10">
      <c r="A952" t="s">
        <v>1201</v>
      </c>
      <c r="B952" t="s">
        <v>4192</v>
      </c>
      <c r="F952" t="s">
        <v>5961</v>
      </c>
      <c r="G952" t="s">
        <v>5972</v>
      </c>
      <c r="H952" t="s">
        <v>5973</v>
      </c>
      <c r="I952" t="s">
        <v>5974</v>
      </c>
      <c r="J952" s="48">
        <v>0.69</v>
      </c>
    </row>
    <row r="953" spans="1:10">
      <c r="A953" t="s">
        <v>1201</v>
      </c>
      <c r="B953" t="s">
        <v>4192</v>
      </c>
      <c r="D953" t="s">
        <v>5975</v>
      </c>
      <c r="E953" t="s">
        <v>5952</v>
      </c>
      <c r="F953" t="s">
        <v>1495</v>
      </c>
      <c r="G953" t="s">
        <v>5962</v>
      </c>
      <c r="H953" t="s">
        <v>5963</v>
      </c>
      <c r="I953" t="s">
        <v>5964</v>
      </c>
      <c r="J953" s="48">
        <v>0.91</v>
      </c>
    </row>
    <row r="954" spans="1:10">
      <c r="A954" t="s">
        <v>1201</v>
      </c>
      <c r="B954" t="s">
        <v>4192</v>
      </c>
      <c r="F954" t="s">
        <v>5977</v>
      </c>
      <c r="G954" t="s">
        <v>5978</v>
      </c>
      <c r="H954" t="s">
        <v>5979</v>
      </c>
      <c r="I954" t="s">
        <v>5980</v>
      </c>
      <c r="J954" s="48">
        <v>0.71</v>
      </c>
    </row>
    <row r="955" spans="1:10">
      <c r="A955" t="s">
        <v>1201</v>
      </c>
      <c r="B955" t="s">
        <v>4192</v>
      </c>
      <c r="D955" t="s">
        <v>5976</v>
      </c>
      <c r="E955" t="s">
        <v>5965</v>
      </c>
      <c r="F955" t="s">
        <v>1495</v>
      </c>
      <c r="G955" t="s">
        <v>5981</v>
      </c>
      <c r="H955" t="s">
        <v>5982</v>
      </c>
      <c r="I955" t="s">
        <v>5983</v>
      </c>
      <c r="J955" s="48">
        <v>0.69</v>
      </c>
    </row>
    <row r="956" spans="1:10">
      <c r="A956" t="s">
        <v>1201</v>
      </c>
      <c r="B956" t="s">
        <v>4192</v>
      </c>
      <c r="F956" t="s">
        <v>5977</v>
      </c>
      <c r="G956" t="s">
        <v>5984</v>
      </c>
      <c r="H956" t="s">
        <v>5985</v>
      </c>
      <c r="I956" t="s">
        <v>5986</v>
      </c>
      <c r="J956" s="48">
        <v>0.78</v>
      </c>
    </row>
    <row r="957" spans="1:10">
      <c r="A957" t="s">
        <v>1201</v>
      </c>
      <c r="B957" t="s">
        <v>4192</v>
      </c>
      <c r="D957" t="s">
        <v>5987</v>
      </c>
      <c r="E957" t="s">
        <v>5952</v>
      </c>
      <c r="F957" t="s">
        <v>5989</v>
      </c>
      <c r="G957" t="s">
        <v>5990</v>
      </c>
      <c r="H957" t="s">
        <v>5963</v>
      </c>
      <c r="I957" t="s">
        <v>5991</v>
      </c>
      <c r="J957" s="48">
        <v>0.91</v>
      </c>
    </row>
    <row r="958" spans="1:10">
      <c r="A958" t="s">
        <v>1201</v>
      </c>
      <c r="B958" t="s">
        <v>4192</v>
      </c>
      <c r="F958" t="s">
        <v>5992</v>
      </c>
      <c r="G958" t="s">
        <v>5993</v>
      </c>
      <c r="H958" t="s">
        <v>5994</v>
      </c>
      <c r="I958" t="s">
        <v>5995</v>
      </c>
      <c r="J958" s="48">
        <v>0.93</v>
      </c>
    </row>
    <row r="959" spans="1:10">
      <c r="A959" t="s">
        <v>1201</v>
      </c>
      <c r="B959" t="s">
        <v>4192</v>
      </c>
      <c r="D959" t="s">
        <v>5988</v>
      </c>
      <c r="E959" t="s">
        <v>5965</v>
      </c>
      <c r="F959" t="s">
        <v>5989</v>
      </c>
      <c r="G959" t="s">
        <v>5972</v>
      </c>
      <c r="H959" t="s">
        <v>5973</v>
      </c>
      <c r="I959" t="s">
        <v>5974</v>
      </c>
      <c r="J959" s="48">
        <v>0.69</v>
      </c>
    </row>
    <row r="960" spans="1:10">
      <c r="A960" t="s">
        <v>1201</v>
      </c>
      <c r="B960" t="s">
        <v>4192</v>
      </c>
      <c r="F960" t="s">
        <v>5992</v>
      </c>
      <c r="G960" t="s">
        <v>5996</v>
      </c>
      <c r="H960" t="s">
        <v>5997</v>
      </c>
      <c r="I960" t="s">
        <v>5998</v>
      </c>
      <c r="J960" s="48">
        <v>0.83</v>
      </c>
    </row>
    <row r="961" spans="1:10">
      <c r="A961" t="s">
        <v>1201</v>
      </c>
      <c r="B961" t="s">
        <v>4192</v>
      </c>
      <c r="D961" t="s">
        <v>5999</v>
      </c>
    </row>
    <row r="962" spans="1:10">
      <c r="A962" t="s">
        <v>1201</v>
      </c>
      <c r="B962" t="s">
        <v>4192</v>
      </c>
      <c r="I962" t="s">
        <v>510</v>
      </c>
      <c r="J962">
        <f>AVERAGE(J947:J960)</f>
        <v>0.79999999999999993</v>
      </c>
    </row>
    <row r="963" spans="1:10">
      <c r="A963" t="s">
        <v>1201</v>
      </c>
      <c r="B963" t="s">
        <v>4192</v>
      </c>
      <c r="I963" t="s">
        <v>4104</v>
      </c>
      <c r="J963">
        <f>MIN(J947:J960)</f>
        <v>0.69</v>
      </c>
    </row>
    <row r="964" spans="1:10">
      <c r="A964" t="s">
        <v>1201</v>
      </c>
      <c r="B964" t="s">
        <v>4192</v>
      </c>
      <c r="D964" t="s">
        <v>3330</v>
      </c>
      <c r="E964">
        <f>J962</f>
        <v>0.79999999999999993</v>
      </c>
      <c r="I964" t="s">
        <v>4103</v>
      </c>
      <c r="J964">
        <f>MAX(N(J947:J960))</f>
        <v>0.78</v>
      </c>
    </row>
    <row r="965" spans="1:10">
      <c r="A965" t="s">
        <v>1201</v>
      </c>
      <c r="B965" t="s">
        <v>4192</v>
      </c>
      <c r="D965" t="s">
        <v>5882</v>
      </c>
      <c r="E965" s="142">
        <f>[1]MonoSugar!$J$11</f>
        <v>3.7333545454545449</v>
      </c>
    </row>
    <row r="966" spans="1:10">
      <c r="A966" t="s">
        <v>1201</v>
      </c>
      <c r="B966" t="s">
        <v>4192</v>
      </c>
      <c r="D966" s="48" t="s">
        <v>6011</v>
      </c>
      <c r="E966" s="48">
        <f>E964*E965%</f>
        <v>2.9866836363636358E-2</v>
      </c>
    </row>
    <row r="967" spans="1:10">
      <c r="A967" t="s">
        <v>1201</v>
      </c>
      <c r="B967" t="s">
        <v>4192</v>
      </c>
    </row>
    <row r="968" spans="1:10">
      <c r="A968" t="s">
        <v>1201</v>
      </c>
      <c r="B968" t="s">
        <v>4192</v>
      </c>
      <c r="C968" t="s">
        <v>420</v>
      </c>
      <c r="D968" t="s">
        <v>6000</v>
      </c>
    </row>
    <row r="969" spans="1:10">
      <c r="A969" t="s">
        <v>1201</v>
      </c>
      <c r="B969" t="s">
        <v>4192</v>
      </c>
      <c r="D969" t="s">
        <v>6001</v>
      </c>
    </row>
    <row r="970" spans="1:10">
      <c r="A970" t="s">
        <v>1201</v>
      </c>
      <c r="B970" t="s">
        <v>4192</v>
      </c>
      <c r="D970" s="379" t="s">
        <v>6002</v>
      </c>
    </row>
    <row r="971" spans="1:10">
      <c r="A971" t="s">
        <v>1201</v>
      </c>
      <c r="B971" t="s">
        <v>4192</v>
      </c>
    </row>
    <row r="972" spans="1:10">
      <c r="A972" t="s">
        <v>1201</v>
      </c>
      <c r="B972" t="s">
        <v>4192</v>
      </c>
      <c r="D972" t="s">
        <v>3330</v>
      </c>
      <c r="E972">
        <f>0.67</f>
        <v>0.67</v>
      </c>
    </row>
    <row r="973" spans="1:10">
      <c r="A973" t="s">
        <v>1201</v>
      </c>
      <c r="B973" t="s">
        <v>4192</v>
      </c>
      <c r="D973" t="s">
        <v>5882</v>
      </c>
      <c r="E973" s="142">
        <f>[1]MonoSugar!$J$11</f>
        <v>3.7333545454545449</v>
      </c>
    </row>
    <row r="974" spans="1:10">
      <c r="A974" t="s">
        <v>1201</v>
      </c>
      <c r="B974" t="s">
        <v>4192</v>
      </c>
      <c r="D974" s="48" t="s">
        <v>6011</v>
      </c>
      <c r="E974" s="48">
        <f>E972*E973%</f>
        <v>2.5013475454545454E-2</v>
      </c>
    </row>
    <row r="975" spans="1:10">
      <c r="A975" t="s">
        <v>1201</v>
      </c>
      <c r="B975" t="s">
        <v>4192</v>
      </c>
    </row>
    <row r="976" spans="1:10">
      <c r="A976" t="s">
        <v>1201</v>
      </c>
      <c r="B976" t="s">
        <v>4192</v>
      </c>
      <c r="C976" t="s">
        <v>425</v>
      </c>
      <c r="D976" t="s">
        <v>6003</v>
      </c>
    </row>
    <row r="977" spans="1:5">
      <c r="A977" t="s">
        <v>1201</v>
      </c>
      <c r="B977" t="s">
        <v>4192</v>
      </c>
      <c r="D977" t="s">
        <v>6004</v>
      </c>
    </row>
    <row r="978" spans="1:5">
      <c r="A978" t="s">
        <v>1201</v>
      </c>
      <c r="B978" t="s">
        <v>4192</v>
      </c>
    </row>
    <row r="979" spans="1:5" ht="15.6">
      <c r="A979" t="s">
        <v>1201</v>
      </c>
      <c r="B979" t="s">
        <v>4192</v>
      </c>
      <c r="D979" s="199" t="s">
        <v>6005</v>
      </c>
    </row>
    <row r="980" spans="1:5">
      <c r="A980" t="s">
        <v>1201</v>
      </c>
      <c r="B980" t="s">
        <v>4192</v>
      </c>
    </row>
    <row r="981" spans="1:5" ht="15.6">
      <c r="A981" t="s">
        <v>1201</v>
      </c>
      <c r="B981" t="s">
        <v>4192</v>
      </c>
      <c r="D981" s="199" t="s">
        <v>6006</v>
      </c>
    </row>
    <row r="982" spans="1:5" ht="15.6">
      <c r="A982" t="s">
        <v>1201</v>
      </c>
      <c r="B982" t="s">
        <v>4192</v>
      </c>
      <c r="D982" s="220" t="s">
        <v>6007</v>
      </c>
    </row>
    <row r="983" spans="1:5">
      <c r="A983" t="s">
        <v>1201</v>
      </c>
      <c r="B983" t="s">
        <v>4192</v>
      </c>
    </row>
    <row r="984" spans="1:5">
      <c r="A984" t="s">
        <v>1201</v>
      </c>
      <c r="B984" t="s">
        <v>4192</v>
      </c>
      <c r="D984" t="s">
        <v>904</v>
      </c>
      <c r="E984">
        <v>0.06</v>
      </c>
    </row>
    <row r="985" spans="1:5">
      <c r="A985" t="s">
        <v>1201</v>
      </c>
      <c r="B985" t="s">
        <v>4192</v>
      </c>
      <c r="E985">
        <v>0.15</v>
      </c>
    </row>
    <row r="986" spans="1:5">
      <c r="A986" t="s">
        <v>1201</v>
      </c>
      <c r="B986" t="s">
        <v>4192</v>
      </c>
      <c r="E986">
        <v>9.6000000000000002E-2</v>
      </c>
    </row>
    <row r="987" spans="1:5">
      <c r="A987" t="s">
        <v>1201</v>
      </c>
      <c r="B987" t="s">
        <v>4192</v>
      </c>
      <c r="E987">
        <v>0.15</v>
      </c>
    </row>
    <row r="988" spans="1:5">
      <c r="A988" t="s">
        <v>1201</v>
      </c>
      <c r="B988" t="s">
        <v>4192</v>
      </c>
      <c r="D988" t="s">
        <v>510</v>
      </c>
      <c r="E988">
        <f>AVERAGE(E984:E987)</f>
        <v>0.11399999999999999</v>
      </c>
    </row>
    <row r="989" spans="1:5">
      <c r="A989" t="s">
        <v>1201</v>
      </c>
      <c r="B989" t="s">
        <v>4192</v>
      </c>
      <c r="D989" t="s">
        <v>5882</v>
      </c>
      <c r="E989" s="142">
        <f>[1]MonoSugar!$J$11</f>
        <v>3.7333545454545449</v>
      </c>
    </row>
    <row r="990" spans="1:5">
      <c r="A990" t="s">
        <v>1201</v>
      </c>
      <c r="B990" t="s">
        <v>4192</v>
      </c>
      <c r="D990" s="48" t="s">
        <v>6011</v>
      </c>
      <c r="E990" s="48">
        <f>E988*E989%</f>
        <v>4.2560241818181809E-3</v>
      </c>
    </row>
    <row r="991" spans="1:5">
      <c r="A991" t="s">
        <v>1201</v>
      </c>
      <c r="B991" t="s">
        <v>5857</v>
      </c>
    </row>
    <row r="992" spans="1:5">
      <c r="A992" t="s">
        <v>1201</v>
      </c>
      <c r="B992" t="s">
        <v>5857</v>
      </c>
      <c r="C992" t="s">
        <v>197</v>
      </c>
      <c r="D992" t="s">
        <v>6009</v>
      </c>
    </row>
    <row r="993" spans="1:5">
      <c r="A993" t="s">
        <v>1201</v>
      </c>
      <c r="B993" t="s">
        <v>5857</v>
      </c>
      <c r="D993" t="s">
        <v>6008</v>
      </c>
    </row>
    <row r="994" spans="1:5">
      <c r="A994" t="s">
        <v>1201</v>
      </c>
      <c r="B994" t="s">
        <v>5857</v>
      </c>
    </row>
    <row r="995" spans="1:5">
      <c r="A995" t="s">
        <v>1201</v>
      </c>
      <c r="B995" t="s">
        <v>5857</v>
      </c>
      <c r="D995" s="186" t="s">
        <v>6010</v>
      </c>
    </row>
    <row r="996" spans="1:5">
      <c r="A996" t="s">
        <v>1201</v>
      </c>
      <c r="B996" t="s">
        <v>5857</v>
      </c>
    </row>
    <row r="997" spans="1:5">
      <c r="A997" t="s">
        <v>1201</v>
      </c>
      <c r="B997" t="s">
        <v>5857</v>
      </c>
      <c r="D997" t="s">
        <v>5150</v>
      </c>
      <c r="E997">
        <v>0.54</v>
      </c>
    </row>
    <row r="998" spans="1:5">
      <c r="A998" t="s">
        <v>1201</v>
      </c>
      <c r="B998" t="s">
        <v>5857</v>
      </c>
      <c r="D998" t="s">
        <v>5662</v>
      </c>
      <c r="E998" s="142">
        <f>[1]MonoSugar!$J$12</f>
        <v>12.510145454545453</v>
      </c>
    </row>
    <row r="999" spans="1:5">
      <c r="A999" t="s">
        <v>1201</v>
      </c>
      <c r="B999" t="s">
        <v>5857</v>
      </c>
      <c r="D999" s="48" t="s">
        <v>5642</v>
      </c>
      <c r="E999" s="48">
        <f>E997*E998%</f>
        <v>6.7554785454545463E-2</v>
      </c>
    </row>
    <row r="1000" spans="1:5">
      <c r="A1000" t="s">
        <v>1201</v>
      </c>
      <c r="B1000" t="s">
        <v>5857</v>
      </c>
    </row>
    <row r="1001" spans="1:5">
      <c r="A1001" t="s">
        <v>1201</v>
      </c>
      <c r="B1001" t="s">
        <v>5857</v>
      </c>
      <c r="C1001" t="s">
        <v>226</v>
      </c>
      <c r="D1001" t="s">
        <v>6013</v>
      </c>
    </row>
    <row r="1002" spans="1:5">
      <c r="A1002" t="s">
        <v>1201</v>
      </c>
      <c r="B1002" t="s">
        <v>5857</v>
      </c>
      <c r="D1002" t="s">
        <v>6012</v>
      </c>
    </row>
    <row r="1003" spans="1:5">
      <c r="A1003" t="s">
        <v>1201</v>
      </c>
      <c r="B1003" t="s">
        <v>5857</v>
      </c>
    </row>
    <row r="1004" spans="1:5">
      <c r="A1004" t="s">
        <v>1201</v>
      </c>
      <c r="B1004" t="s">
        <v>5857</v>
      </c>
      <c r="D1004" t="s">
        <v>6014</v>
      </c>
    </row>
    <row r="1005" spans="1:5">
      <c r="A1005" t="s">
        <v>1201</v>
      </c>
      <c r="B1005" t="s">
        <v>5857</v>
      </c>
    </row>
    <row r="1006" spans="1:5">
      <c r="A1006" t="s">
        <v>1201</v>
      </c>
      <c r="B1006" t="s">
        <v>5857</v>
      </c>
      <c r="D1006" t="s">
        <v>5150</v>
      </c>
      <c r="E1006">
        <v>0.5</v>
      </c>
    </row>
    <row r="1007" spans="1:5">
      <c r="A1007" t="s">
        <v>1201</v>
      </c>
      <c r="B1007" t="s">
        <v>5857</v>
      </c>
      <c r="D1007" t="s">
        <v>5662</v>
      </c>
      <c r="E1007" s="142">
        <f>[1]MonoSugar!$J$12</f>
        <v>12.510145454545453</v>
      </c>
    </row>
    <row r="1008" spans="1:5">
      <c r="A1008" t="s">
        <v>1201</v>
      </c>
      <c r="B1008" t="s">
        <v>5857</v>
      </c>
      <c r="D1008" s="48" t="s">
        <v>5642</v>
      </c>
      <c r="E1008" s="48">
        <f>E1006*E1007%</f>
        <v>6.2550727272727272E-2</v>
      </c>
    </row>
    <row r="1009" spans="1:10">
      <c r="A1009" t="s">
        <v>1201</v>
      </c>
      <c r="B1009" t="s">
        <v>5857</v>
      </c>
    </row>
    <row r="1010" spans="1:10">
      <c r="A1010" t="s">
        <v>1201</v>
      </c>
      <c r="B1010" t="s">
        <v>5857</v>
      </c>
      <c r="C1010" t="s">
        <v>396</v>
      </c>
      <c r="D1010" t="s">
        <v>6015</v>
      </c>
    </row>
    <row r="1011" spans="1:10">
      <c r="A1011" t="s">
        <v>1201</v>
      </c>
      <c r="B1011" t="s">
        <v>5857</v>
      </c>
      <c r="D1011" t="s">
        <v>6016</v>
      </c>
    </row>
    <row r="1012" spans="1:10">
      <c r="A1012" t="s">
        <v>1201</v>
      </c>
      <c r="B1012" t="s">
        <v>5857</v>
      </c>
    </row>
    <row r="1013" spans="1:10">
      <c r="A1013" t="s">
        <v>1201</v>
      </c>
      <c r="B1013" t="s">
        <v>5857</v>
      </c>
      <c r="D1013" t="s">
        <v>6017</v>
      </c>
    </row>
    <row r="1014" spans="1:10">
      <c r="A1014" t="s">
        <v>1201</v>
      </c>
      <c r="B1014" t="s">
        <v>5857</v>
      </c>
      <c r="D1014" t="s">
        <v>6018</v>
      </c>
      <c r="H1014" t="s">
        <v>6019</v>
      </c>
    </row>
    <row r="1015" spans="1:10">
      <c r="A1015" t="s">
        <v>1201</v>
      </c>
      <c r="B1015" t="s">
        <v>5857</v>
      </c>
      <c r="D1015" t="s">
        <v>2203</v>
      </c>
      <c r="E1015" t="s">
        <v>6020</v>
      </c>
      <c r="F1015" t="s">
        <v>6021</v>
      </c>
      <c r="G1015" t="s">
        <v>5864</v>
      </c>
      <c r="H1015" t="s">
        <v>6022</v>
      </c>
      <c r="I1015" t="s">
        <v>6023</v>
      </c>
      <c r="J1015" t="s">
        <v>6024</v>
      </c>
    </row>
    <row r="1016" spans="1:10">
      <c r="A1016" t="s">
        <v>1201</v>
      </c>
      <c r="B1016" t="s">
        <v>5857</v>
      </c>
      <c r="D1016">
        <v>4</v>
      </c>
      <c r="E1016">
        <v>10</v>
      </c>
      <c r="F1016">
        <v>0.01</v>
      </c>
      <c r="G1016">
        <v>0.24</v>
      </c>
      <c r="H1016">
        <v>0.11</v>
      </c>
      <c r="I1016">
        <v>0.1</v>
      </c>
      <c r="J1016">
        <v>26.5</v>
      </c>
    </row>
    <row r="1017" spans="1:10">
      <c r="A1017" t="s">
        <v>1201</v>
      </c>
      <c r="B1017" t="s">
        <v>5857</v>
      </c>
      <c r="F1017">
        <v>0.05</v>
      </c>
      <c r="G1017">
        <v>0.46</v>
      </c>
      <c r="H1017">
        <v>0.28000000000000003</v>
      </c>
      <c r="I1017">
        <v>0.2</v>
      </c>
      <c r="J1017">
        <v>50</v>
      </c>
    </row>
    <row r="1018" spans="1:10">
      <c r="A1018" t="s">
        <v>1201</v>
      </c>
      <c r="B1018" t="s">
        <v>5857</v>
      </c>
    </row>
    <row r="1019" spans="1:10">
      <c r="A1019" t="s">
        <v>1201</v>
      </c>
      <c r="B1019" t="s">
        <v>5857</v>
      </c>
      <c r="E1019">
        <v>30</v>
      </c>
      <c r="F1019">
        <v>0.01</v>
      </c>
      <c r="G1019">
        <v>0.63</v>
      </c>
      <c r="H1019">
        <v>0.39</v>
      </c>
      <c r="I1019">
        <v>0.28999999999999998</v>
      </c>
      <c r="J1019">
        <v>68.7</v>
      </c>
    </row>
    <row r="1020" spans="1:10">
      <c r="A1020" t="s">
        <v>1201</v>
      </c>
      <c r="B1020" t="s">
        <v>5857</v>
      </c>
      <c r="F1020">
        <v>0.05</v>
      </c>
      <c r="G1020">
        <v>0.4</v>
      </c>
      <c r="H1020">
        <v>0.14000000000000001</v>
      </c>
      <c r="I1020">
        <v>0.27</v>
      </c>
      <c r="J1020">
        <v>43.1</v>
      </c>
    </row>
    <row r="1021" spans="1:10">
      <c r="A1021" t="s">
        <v>1201</v>
      </c>
      <c r="B1021" t="s">
        <v>5857</v>
      </c>
    </row>
    <row r="1022" spans="1:10">
      <c r="A1022" t="s">
        <v>1201</v>
      </c>
      <c r="B1022" t="s">
        <v>5857</v>
      </c>
      <c r="D1022">
        <v>7</v>
      </c>
      <c r="E1022">
        <v>10</v>
      </c>
      <c r="F1022">
        <v>0.01</v>
      </c>
      <c r="G1022">
        <v>0.32</v>
      </c>
      <c r="H1022">
        <v>0.15</v>
      </c>
      <c r="I1022">
        <v>0.17</v>
      </c>
      <c r="J1022">
        <v>34.700000000000003</v>
      </c>
    </row>
    <row r="1023" spans="1:10">
      <c r="A1023" t="s">
        <v>1201</v>
      </c>
      <c r="B1023" t="s">
        <v>5857</v>
      </c>
      <c r="F1023">
        <v>0.05</v>
      </c>
      <c r="G1023">
        <v>0.57999999999999996</v>
      </c>
      <c r="H1023">
        <v>0.19</v>
      </c>
      <c r="I1023">
        <v>0.56999999999999995</v>
      </c>
      <c r="J1023">
        <v>63.7</v>
      </c>
    </row>
    <row r="1024" spans="1:10">
      <c r="A1024" t="s">
        <v>1201</v>
      </c>
      <c r="B1024" t="s">
        <v>5857</v>
      </c>
    </row>
    <row r="1025" spans="1:10">
      <c r="A1025" t="s">
        <v>1201</v>
      </c>
      <c r="B1025" t="s">
        <v>5857</v>
      </c>
      <c r="E1025">
        <v>30</v>
      </c>
      <c r="F1025">
        <v>0.01</v>
      </c>
      <c r="G1025">
        <v>0.1</v>
      </c>
      <c r="H1025">
        <v>0.54</v>
      </c>
      <c r="I1025">
        <v>0.05</v>
      </c>
      <c r="J1025">
        <v>11.1</v>
      </c>
    </row>
    <row r="1026" spans="1:10">
      <c r="A1026" t="s">
        <v>1201</v>
      </c>
      <c r="B1026" t="s">
        <v>5857</v>
      </c>
      <c r="F1026">
        <v>0.05</v>
      </c>
      <c r="G1026">
        <v>0.48</v>
      </c>
      <c r="H1026">
        <v>0.34</v>
      </c>
      <c r="I1026">
        <v>0.56000000000000005</v>
      </c>
      <c r="J1026">
        <v>54</v>
      </c>
    </row>
    <row r="1027" spans="1:10">
      <c r="A1027" t="s">
        <v>1201</v>
      </c>
      <c r="B1027" t="s">
        <v>5857</v>
      </c>
      <c r="D1027" t="s">
        <v>6025</v>
      </c>
    </row>
    <row r="1028" spans="1:10">
      <c r="A1028" t="s">
        <v>1201</v>
      </c>
      <c r="B1028" t="s">
        <v>5857</v>
      </c>
    </row>
    <row r="1029" spans="1:10">
      <c r="A1029" t="s">
        <v>1201</v>
      </c>
      <c r="B1029" t="s">
        <v>5857</v>
      </c>
      <c r="D1029" t="s">
        <v>995</v>
      </c>
      <c r="E1029">
        <f>AVERAGE(G1016:G1026)</f>
        <v>0.40125</v>
      </c>
    </row>
    <row r="1030" spans="1:10">
      <c r="A1030" t="s">
        <v>1201</v>
      </c>
      <c r="B1030" t="s">
        <v>5857</v>
      </c>
      <c r="D1030" t="s">
        <v>5662</v>
      </c>
      <c r="E1030" s="142">
        <f>[1]MonoSugar!$J$12</f>
        <v>12.510145454545453</v>
      </c>
    </row>
    <row r="1031" spans="1:10">
      <c r="A1031" t="s">
        <v>1201</v>
      </c>
      <c r="B1031" t="s">
        <v>5857</v>
      </c>
      <c r="D1031" s="48" t="s">
        <v>5642</v>
      </c>
      <c r="E1031" s="48">
        <f>E1029*E1030%</f>
        <v>5.0196958636363635E-2</v>
      </c>
    </row>
    <row r="1032" spans="1:10">
      <c r="A1032" t="s">
        <v>1201</v>
      </c>
      <c r="B1032" t="s">
        <v>5857</v>
      </c>
    </row>
    <row r="1033" spans="1:10">
      <c r="A1033" t="s">
        <v>1201</v>
      </c>
      <c r="B1033" t="s">
        <v>5857</v>
      </c>
      <c r="C1033" t="s">
        <v>420</v>
      </c>
      <c r="D1033" t="s">
        <v>6027</v>
      </c>
    </row>
    <row r="1034" spans="1:10">
      <c r="A1034" t="s">
        <v>1201</v>
      </c>
      <c r="B1034" t="s">
        <v>5857</v>
      </c>
      <c r="D1034" t="s">
        <v>6028</v>
      </c>
    </row>
    <row r="1035" spans="1:10">
      <c r="A1035" t="s">
        <v>1201</v>
      </c>
      <c r="B1035" t="s">
        <v>5857</v>
      </c>
      <c r="C1035">
        <v>1</v>
      </c>
      <c r="D1035" t="s">
        <v>6026</v>
      </c>
    </row>
    <row r="1036" spans="1:10">
      <c r="A1036" t="s">
        <v>1201</v>
      </c>
      <c r="B1036" t="s">
        <v>5857</v>
      </c>
      <c r="D1036" t="s">
        <v>6029</v>
      </c>
      <c r="E1036">
        <v>0.57999999999999996</v>
      </c>
    </row>
    <row r="1037" spans="1:10">
      <c r="A1037" t="s">
        <v>1201</v>
      </c>
      <c r="B1037" t="s">
        <v>5857</v>
      </c>
      <c r="D1037" t="s">
        <v>5662</v>
      </c>
      <c r="E1037" s="142">
        <f>[1]MonoSugar!$J$12</f>
        <v>12.510145454545453</v>
      </c>
    </row>
    <row r="1038" spans="1:10">
      <c r="A1038" t="s">
        <v>1201</v>
      </c>
      <c r="B1038" t="s">
        <v>5857</v>
      </c>
      <c r="D1038" s="48" t="s">
        <v>5642</v>
      </c>
      <c r="E1038" s="48">
        <f>E1036*E1037%</f>
        <v>7.2558843636363626E-2</v>
      </c>
    </row>
    <row r="1039" spans="1:10">
      <c r="A1039" t="s">
        <v>1201</v>
      </c>
      <c r="B1039" t="s">
        <v>5857</v>
      </c>
    </row>
    <row r="1040" spans="1:10" ht="17.399999999999999">
      <c r="A1040" t="s">
        <v>1201</v>
      </c>
      <c r="B1040" t="s">
        <v>5857</v>
      </c>
      <c r="C1040">
        <v>2</v>
      </c>
      <c r="D1040" s="199" t="s">
        <v>6030</v>
      </c>
    </row>
    <row r="1041" spans="1:5">
      <c r="A1041" t="s">
        <v>1201</v>
      </c>
      <c r="B1041" t="s">
        <v>5857</v>
      </c>
      <c r="D1041" t="s">
        <v>6029</v>
      </c>
      <c r="E1041">
        <v>0.66</v>
      </c>
    </row>
    <row r="1042" spans="1:5">
      <c r="A1042" t="s">
        <v>1201</v>
      </c>
      <c r="B1042" t="s">
        <v>5857</v>
      </c>
      <c r="D1042" t="s">
        <v>5662</v>
      </c>
      <c r="E1042" s="142">
        <f>[1]MonoSugar!$J$12</f>
        <v>12.510145454545453</v>
      </c>
    </row>
    <row r="1043" spans="1:5">
      <c r="A1043" t="s">
        <v>1201</v>
      </c>
      <c r="B1043" t="s">
        <v>5857</v>
      </c>
      <c r="D1043" s="48" t="s">
        <v>5642</v>
      </c>
      <c r="E1043" s="48">
        <f>E1041*E1042%</f>
        <v>8.2566960000000009E-2</v>
      </c>
    </row>
    <row r="1045" spans="1:5">
      <c r="A1045" t="s">
        <v>6031</v>
      </c>
      <c r="B1045" t="s">
        <v>6032</v>
      </c>
      <c r="C1045" t="s">
        <v>638</v>
      </c>
      <c r="D1045" t="s">
        <v>1202</v>
      </c>
    </row>
    <row r="1046" spans="1:5">
      <c r="A1046" t="s">
        <v>6031</v>
      </c>
      <c r="B1046" t="s">
        <v>6032</v>
      </c>
      <c r="D1046" t="s">
        <v>1203</v>
      </c>
    </row>
    <row r="1047" spans="1:5">
      <c r="A1047" t="s">
        <v>6031</v>
      </c>
      <c r="B1047" t="s">
        <v>6032</v>
      </c>
      <c r="D1047" t="s">
        <v>1205</v>
      </c>
      <c r="E1047">
        <v>0.48590909090909096</v>
      </c>
    </row>
    <row r="1048" spans="1:5">
      <c r="A1048" t="s">
        <v>6031</v>
      </c>
      <c r="B1048" t="s">
        <v>6032</v>
      </c>
      <c r="D1048" t="s">
        <v>6033</v>
      </c>
      <c r="E1048" s="142">
        <f>[1]MonoSugar!$J$13</f>
        <v>0</v>
      </c>
    </row>
    <row r="1049" spans="1:5">
      <c r="A1049" t="s">
        <v>6031</v>
      </c>
      <c r="B1049" t="s">
        <v>6032</v>
      </c>
      <c r="D1049" s="48" t="s">
        <v>5715</v>
      </c>
      <c r="E1049" s="48">
        <f>E1047*E1048%</f>
        <v>0</v>
      </c>
    </row>
  </sheetData>
  <mergeCells count="34">
    <mergeCell ref="D133:N133"/>
    <mergeCell ref="K203:L203"/>
    <mergeCell ref="E170:H170"/>
    <mergeCell ref="D203:D204"/>
    <mergeCell ref="E203:G203"/>
    <mergeCell ref="H203:J203"/>
    <mergeCell ref="D24:J24"/>
    <mergeCell ref="D5:D7"/>
    <mergeCell ref="E5:E7"/>
    <mergeCell ref="D8:D10"/>
    <mergeCell ref="E8:E10"/>
    <mergeCell ref="D11:D13"/>
    <mergeCell ref="E11:E13"/>
    <mergeCell ref="D14:D16"/>
    <mergeCell ref="E14:E16"/>
    <mergeCell ref="D22:D23"/>
    <mergeCell ref="E22:G22"/>
    <mergeCell ref="H22:J22"/>
    <mergeCell ref="I269:J269"/>
    <mergeCell ref="K269:L269"/>
    <mergeCell ref="D31:J31"/>
    <mergeCell ref="D37:J37"/>
    <mergeCell ref="D43:J43"/>
    <mergeCell ref="D51:J51"/>
    <mergeCell ref="D111:D113"/>
    <mergeCell ref="E111:E113"/>
    <mergeCell ref="D114:D116"/>
    <mergeCell ref="E114:E116"/>
    <mergeCell ref="D117:D119"/>
    <mergeCell ref="E117:E119"/>
    <mergeCell ref="D120:D122"/>
    <mergeCell ref="E120:E122"/>
    <mergeCell ref="E128:E129"/>
    <mergeCell ref="L128:L129"/>
  </mergeCells>
  <hyperlinks>
    <hyperlink ref="D2" r:id="rId1" xr:uid="{B7B77864-A71C-4550-B8D9-675D30009768}"/>
    <hyperlink ref="D3" r:id="rId2" xr:uid="{4DB0C4FD-FEA3-442B-AAA4-5CB8E32ADF7A}"/>
    <hyperlink ref="D20" r:id="rId3" xr:uid="{E80721DC-E47C-4DBE-AC01-CDDFA9F603A8}"/>
    <hyperlink ref="D21" r:id="rId4" xr:uid="{D370EFC5-A0D4-477E-8B2C-FE44A360BD6F}"/>
    <hyperlink ref="D108" r:id="rId5" xr:uid="{48797E70-A79C-433D-BB59-09B8D559497A}"/>
    <hyperlink ref="D109" r:id="rId6" xr:uid="{7D0A4141-DB51-4645-9A74-F33C58D466C5}"/>
    <hyperlink ref="D126" r:id="rId7" xr:uid="{7E9E15C5-FC4C-4E1D-B1C7-6C35B59045E1}"/>
    <hyperlink ref="D127" r:id="rId8" xr:uid="{4B8E6B1D-EC5D-4339-AF7B-E76C7D2EC06F}"/>
    <hyperlink ref="D140" r:id="rId9" xr:uid="{9CF6C1AE-629F-42B5-90A0-AE2B01F5178A}"/>
    <hyperlink ref="D141" r:id="rId10" xr:uid="{64BCAACB-14B3-4D56-A96D-F51E13526FE8}"/>
    <hyperlink ref="D146" r:id="rId11" xr:uid="{F6FE574E-9139-4940-9BA3-67F11F6E71ED}"/>
    <hyperlink ref="D147" r:id="rId12" xr:uid="{A5121760-7388-4329-ABBD-C2DECA9CAA48}"/>
    <hyperlink ref="D162" r:id="rId13" xr:uid="{4F9FADB5-C95D-4246-9CDE-8B9240774239}"/>
    <hyperlink ref="D163" r:id="rId14" xr:uid="{A1DEA904-0DC6-4B65-9343-D91AC7C8EDE8}"/>
    <hyperlink ref="D183" r:id="rId15" location="ModalTablet01" xr:uid="{737ACC08-6FC2-4C9B-A4B9-A60CAB0F6DA4}"/>
    <hyperlink ref="D184" r:id="rId16" location="ModalTablet01" display="SciELO - Brazil - Ethanol fermentation of sugarcane molasses by Zymomonas mobilis MTCC 92 immobilized in Luffa cylindrica L. sponge discs and Ca-alginate matrices Ethanol fermentation of sugarcane molasses by Zymomonas mobilis MTCC 92 immobilized in Luffa cylindrica L. sponge discs and Ca-alginate matrices" xr:uid="{0C381F9A-90C6-45CE-ACC9-D588253230DD}"/>
    <hyperlink ref="D189" r:id="rId17" xr:uid="{9F093352-52FF-47A1-9A8F-814EA4C571D5}"/>
    <hyperlink ref="D190" r:id="rId18" xr:uid="{89317B07-0818-482F-9A24-93C84991AAFB}"/>
    <hyperlink ref="D201" r:id="rId19" xr:uid="{AFE1CEA8-32F6-4362-93C0-2E1D6BB60C7D}"/>
    <hyperlink ref="D202" r:id="rId20" xr:uid="{3180B91E-B950-4A44-902E-22498DC531FA}"/>
    <hyperlink ref="D220" r:id="rId21" xr:uid="{44E27FFF-CC17-4E25-AED1-02DF48AD51EB}"/>
    <hyperlink ref="D221" r:id="rId22" xr:uid="{1A1BDF23-0827-434D-A78E-EFB607B9AE72}"/>
    <hyperlink ref="D253" r:id="rId23" xr:uid="{FDBC8313-E394-43A4-BE70-E1BAE53825ED}"/>
    <hyperlink ref="D254" r:id="rId24" xr:uid="{CBDA9FF8-C56F-46EE-8127-8552A721D910}"/>
    <hyperlink ref="D266" r:id="rId25" xr:uid="{54A7C903-A763-4B66-BCED-AB9BC6A695E6}"/>
    <hyperlink ref="D267" r:id="rId26" xr:uid="{61A14558-BF0E-4896-9CD4-8D714258A3A0}"/>
    <hyperlink ref="D268" r:id="rId27" location="tblfn0005" xr:uid="{5FADD1B2-709D-4D5E-AEAB-2B18A82AB6BD}"/>
    <hyperlink ref="J270" r:id="rId28" location="tblfn0015" xr:uid="{238441E5-40A7-427C-8F56-06CB08D08113}"/>
    <hyperlink ref="L270" r:id="rId29" location="tblfn0015" xr:uid="{11149972-D846-48F1-9D05-6DD8DA8C94BD}"/>
    <hyperlink ref="D272" r:id="rId30" location="tblfn0010" xr:uid="{B2DB6365-C914-4802-B887-8C899BBB6B36}"/>
    <hyperlink ref="D285" r:id="rId31" xr:uid="{D9664DC3-93C8-40D4-BBE6-B0249ED00456}"/>
    <hyperlink ref="D286" r:id="rId32" xr:uid="{C074F662-3B1A-4EC4-9DF7-A4B5478E709F}"/>
    <hyperlink ref="D294" r:id="rId33" xr:uid="{0D07DE8A-3AAD-4270-8708-E7430FEDDE7B}"/>
    <hyperlink ref="D293" r:id="rId34" xr:uid="{5C4C5F2E-D6E6-48AE-A733-73534C0C00BA}"/>
    <hyperlink ref="D301" r:id="rId35" location="bib61" xr:uid="{3B009FB4-9BFF-4336-8927-730DC9365798}"/>
    <hyperlink ref="D300" r:id="rId36" location="bib61" xr:uid="{8FA0581B-8C0C-4533-BCF8-06452AC7F3FD}"/>
    <hyperlink ref="J303" r:id="rId37" location="bib11" xr:uid="{D682A2F2-34BF-4385-AB0D-B75455623E80}"/>
    <hyperlink ref="J304" r:id="rId38" location="bib23" xr:uid="{5CD76C1D-2F7F-42CB-8CB7-E178F9B7AE1D}"/>
    <hyperlink ref="J305" r:id="rId39" location="bib24" xr:uid="{9CDB4212-1400-43B8-8884-AAED585892D6}"/>
    <hyperlink ref="J306" r:id="rId40" location="bib24" xr:uid="{9A00B9BA-C581-41FA-BFBB-5CDF45D0A2AA}"/>
    <hyperlink ref="J307" r:id="rId41" location="bib25" xr:uid="{F2F23CDD-1760-4C02-B836-D6030F106C03}"/>
    <hyperlink ref="J308" r:id="rId42" location="bib26" xr:uid="{D7AEEFA5-A9BB-4309-834D-421BD8D254AD}"/>
    <hyperlink ref="D320" r:id="rId43" xr:uid="{BD32EF1F-9202-4ED8-A27B-65ABF7E67C98}"/>
    <hyperlink ref="D321" r:id="rId44" xr:uid="{69F3CABB-F20C-458C-BA47-8E569FB6F174}"/>
    <hyperlink ref="D327" r:id="rId45" xr:uid="{C9D16118-B1E8-4010-9175-C28ED2F39B38}"/>
    <hyperlink ref="D328" r:id="rId46" xr:uid="{2F851A0E-53A5-432A-A910-292F7332ADC8}"/>
    <hyperlink ref="D342" r:id="rId47" xr:uid="{7044DE7C-7829-4831-AD8C-46C8C2168598}"/>
    <hyperlink ref="D343" r:id="rId48" location="!" xr:uid="{64A0FCDB-7C59-4951-9CF4-66AE40D7248A}"/>
    <hyperlink ref="D356" r:id="rId49" xr:uid="{2D600088-F1D4-4150-9D20-DBF1BF9E9EA3}"/>
    <hyperlink ref="D355" r:id="rId50" xr:uid="{5F8040F8-6F76-48B6-8890-E2117BE44D59}"/>
    <hyperlink ref="D361" r:id="rId51" xr:uid="{46B3171C-D300-429D-9ADE-2D41828DF0DE}"/>
    <hyperlink ref="D362" r:id="rId52" xr:uid="{D855F96C-C0EA-42AD-93A6-07CFA38C42CA}"/>
    <hyperlink ref="D368" r:id="rId53" location="ModalFigf4" display="SciELO - Brazil - Production of Furan Compounds from Sugarcane Bagasse Using a Catalytic System Containing ZnCl&lt;sub&gt;2&lt;/sub&gt;/HCl or AlCl&lt;sub&gt;3&lt;/sub&gt;/HCl in a Biphasic System Production of Furan Compounds from Sugarcane Bagasse Using a Catalytic System Containing ZnCl&lt;sub&gt;2&lt;/sub&gt;/HCl or AlCl&lt;sub&gt;3&lt;/sub&gt;/HCl in a Biphasic System" xr:uid="{EB15D6DA-5C63-45AF-B877-D1B5C3306689}"/>
    <hyperlink ref="D367" r:id="rId54" location="ModalFigf4" xr:uid="{D3DAB154-92E7-4DF7-B4FB-004065A4C50E}"/>
    <hyperlink ref="D383" r:id="rId55" xr:uid="{02037433-9CDC-4DD2-B84E-3E8C1A25CAF6}"/>
    <hyperlink ref="D384" r:id="rId56" xr:uid="{6496C832-FF8C-42B7-B363-16DC460FA434}"/>
  </hyperlinks>
  <pageMargins left="0.7" right="0.7" top="0.75" bottom="0.75" header="0.3" footer="0.3"/>
  <pageSetup paperSize="9" orientation="portrait" r:id="rId57"/>
  <drawing r:id="rId5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486DF-E58E-4836-9797-96D0C3D18D4B}">
  <dimension ref="A1:O699"/>
  <sheetViews>
    <sheetView topLeftCell="C149" workbookViewId="0">
      <selection activeCell="D161" sqref="D161"/>
    </sheetView>
  </sheetViews>
  <sheetFormatPr defaultRowHeight="14.4"/>
  <cols>
    <col min="1" max="1" width="14.77734375" customWidth="1"/>
    <col min="2" max="2" width="19.44140625" bestFit="1" customWidth="1"/>
    <col min="3" max="3" width="10.5546875" bestFit="1" customWidth="1"/>
    <col min="4" max="4" width="32.33203125" customWidth="1"/>
    <col min="5" max="5" width="23.88671875" customWidth="1"/>
    <col min="6" max="6" width="18.5546875" customWidth="1"/>
    <col min="7" max="7" width="21.6640625" bestFit="1" customWidth="1"/>
    <col min="8" max="8" width="15.88671875" customWidth="1"/>
    <col min="9" max="9" width="20.6640625" customWidth="1"/>
    <col min="10" max="10" width="23.77734375" customWidth="1"/>
    <col min="11" max="11" width="20.5546875" customWidth="1"/>
    <col min="12" max="12" width="28.88671875" bestFit="1" customWidth="1"/>
    <col min="13" max="13" width="19.5546875" bestFit="1" customWidth="1"/>
    <col min="14" max="14" width="16.33203125" bestFit="1" customWidth="1"/>
    <col min="15" max="15" width="14.6640625" bestFit="1" customWidth="1"/>
    <col min="16" max="16" width="9.33203125" bestFit="1" customWidth="1"/>
  </cols>
  <sheetData>
    <row r="1" spans="1:13">
      <c r="A1" t="s">
        <v>0</v>
      </c>
      <c r="B1" t="s">
        <v>1</v>
      </c>
    </row>
    <row r="2" spans="1:13">
      <c r="A2" t="s">
        <v>2</v>
      </c>
      <c r="B2" t="s">
        <v>4216</v>
      </c>
      <c r="C2" t="s">
        <v>4</v>
      </c>
      <c r="D2" s="7" t="s">
        <v>4217</v>
      </c>
    </row>
    <row r="3" spans="1:13">
      <c r="A3" t="s">
        <v>2</v>
      </c>
      <c r="B3" t="s">
        <v>4216</v>
      </c>
      <c r="D3" s="7" t="s">
        <v>4218</v>
      </c>
    </row>
    <row r="4" spans="1:13">
      <c r="A4" t="s">
        <v>2</v>
      </c>
      <c r="B4" t="s">
        <v>4216</v>
      </c>
      <c r="D4" t="s">
        <v>4219</v>
      </c>
      <c r="E4">
        <v>490.4</v>
      </c>
    </row>
    <row r="5" spans="1:13">
      <c r="A5" t="s">
        <v>2</v>
      </c>
      <c r="B5" t="s">
        <v>4216</v>
      </c>
      <c r="D5" s="48" t="s">
        <v>4220</v>
      </c>
      <c r="E5" s="48">
        <f>E4*0.783/1000</f>
        <v>0.38398320000000002</v>
      </c>
    </row>
    <row r="6" spans="1:13">
      <c r="A6" t="s">
        <v>2</v>
      </c>
      <c r="B6" t="s">
        <v>4216</v>
      </c>
      <c r="D6" t="s">
        <v>4221</v>
      </c>
      <c r="E6">
        <v>78</v>
      </c>
    </row>
    <row r="7" spans="1:13">
      <c r="A7" t="s">
        <v>2</v>
      </c>
      <c r="B7" t="s">
        <v>4216</v>
      </c>
      <c r="D7" s="48" t="s">
        <v>3128</v>
      </c>
      <c r="E7" s="48">
        <f>E5*(1-E6%)</f>
        <v>8.4476304000000002E-2</v>
      </c>
    </row>
    <row r="8" spans="1:13">
      <c r="A8" t="s">
        <v>2</v>
      </c>
      <c r="B8" t="s">
        <v>4216</v>
      </c>
    </row>
    <row r="9" spans="1:13">
      <c r="A9" t="s">
        <v>2</v>
      </c>
      <c r="B9" t="s">
        <v>4216</v>
      </c>
      <c r="C9" t="s">
        <v>473</v>
      </c>
      <c r="D9" s="7" t="s">
        <v>4222</v>
      </c>
    </row>
    <row r="10" spans="1:13">
      <c r="A10" t="s">
        <v>2</v>
      </c>
      <c r="B10" t="s">
        <v>4216</v>
      </c>
      <c r="D10" s="322" t="s">
        <v>4223</v>
      </c>
    </row>
    <row r="11" spans="1:13">
      <c r="A11" t="s">
        <v>2</v>
      </c>
      <c r="B11" t="s">
        <v>4216</v>
      </c>
      <c r="D11" t="s">
        <v>4224</v>
      </c>
      <c r="E11" t="s">
        <v>4225</v>
      </c>
      <c r="F11" t="s">
        <v>4226</v>
      </c>
      <c r="G11" t="s">
        <v>4227</v>
      </c>
      <c r="H11" t="s">
        <v>4228</v>
      </c>
      <c r="I11" t="s">
        <v>4229</v>
      </c>
      <c r="J11" t="s">
        <v>4230</v>
      </c>
      <c r="K11" s="48" t="s">
        <v>4231</v>
      </c>
      <c r="L11" s="48" t="s">
        <v>4232</v>
      </c>
      <c r="M11" s="48" t="s">
        <v>510</v>
      </c>
    </row>
    <row r="12" spans="1:13">
      <c r="A12" t="s">
        <v>2</v>
      </c>
      <c r="B12" t="s">
        <v>4216</v>
      </c>
      <c r="D12" t="s">
        <v>4233</v>
      </c>
      <c r="E12">
        <v>98.5</v>
      </c>
      <c r="F12">
        <v>706.5</v>
      </c>
      <c r="G12">
        <v>299.45</v>
      </c>
      <c r="H12">
        <v>0.42399999999999999</v>
      </c>
      <c r="I12">
        <v>78.8</v>
      </c>
      <c r="J12">
        <v>0.60799999999999998</v>
      </c>
      <c r="K12" s="48">
        <v>21.5</v>
      </c>
      <c r="L12" s="48">
        <f>H12*$K$12/100</f>
        <v>9.1159999999999991E-2</v>
      </c>
      <c r="M12" s="48">
        <f>AVERAGE(L12:L18)</f>
        <v>8.2867142857142875E-2</v>
      </c>
    </row>
    <row r="13" spans="1:13">
      <c r="A13" t="s">
        <v>2</v>
      </c>
      <c r="B13" t="s">
        <v>4216</v>
      </c>
      <c r="D13" t="s">
        <v>4234</v>
      </c>
      <c r="E13">
        <v>234</v>
      </c>
      <c r="F13">
        <v>1170</v>
      </c>
      <c r="G13">
        <v>587.96</v>
      </c>
      <c r="H13">
        <v>0.502</v>
      </c>
      <c r="I13">
        <v>93.4</v>
      </c>
      <c r="J13">
        <v>0.503</v>
      </c>
      <c r="L13" s="48">
        <f t="shared" ref="L13:L18" si="0">H13*$K$12/100</f>
        <v>0.10793</v>
      </c>
    </row>
    <row r="14" spans="1:13">
      <c r="A14" t="s">
        <v>2</v>
      </c>
      <c r="B14" t="s">
        <v>4216</v>
      </c>
      <c r="D14" t="s">
        <v>4235</v>
      </c>
      <c r="E14">
        <v>93</v>
      </c>
      <c r="F14">
        <v>599.54</v>
      </c>
      <c r="G14">
        <v>231.25</v>
      </c>
      <c r="H14">
        <v>0.38600000000000001</v>
      </c>
      <c r="I14">
        <v>71.7</v>
      </c>
      <c r="J14">
        <v>0.497</v>
      </c>
      <c r="L14" s="48">
        <f t="shared" si="0"/>
        <v>8.2989999999999994E-2</v>
      </c>
    </row>
    <row r="15" spans="1:13">
      <c r="A15" t="s">
        <v>2</v>
      </c>
      <c r="B15" t="s">
        <v>4216</v>
      </c>
      <c r="D15" t="s">
        <v>4236</v>
      </c>
      <c r="E15">
        <v>99</v>
      </c>
      <c r="F15">
        <v>622</v>
      </c>
      <c r="G15">
        <v>229.6</v>
      </c>
      <c r="H15">
        <v>0.36899999999999999</v>
      </c>
      <c r="I15">
        <v>68.599999999999994</v>
      </c>
      <c r="J15">
        <v>0.46400000000000002</v>
      </c>
      <c r="L15" s="48">
        <f t="shared" si="0"/>
        <v>7.9334999999999989E-2</v>
      </c>
    </row>
    <row r="16" spans="1:13">
      <c r="A16" t="s">
        <v>2</v>
      </c>
      <c r="B16" t="s">
        <v>4216</v>
      </c>
      <c r="D16" t="s">
        <v>4237</v>
      </c>
      <c r="E16">
        <v>102</v>
      </c>
      <c r="F16">
        <v>566.9</v>
      </c>
      <c r="G16">
        <v>242.9</v>
      </c>
      <c r="H16">
        <v>0.42799999999999999</v>
      </c>
      <c r="I16">
        <v>79.5</v>
      </c>
      <c r="J16">
        <v>0.47599999999999998</v>
      </c>
      <c r="L16" s="48">
        <f t="shared" si="0"/>
        <v>9.2020000000000005E-2</v>
      </c>
    </row>
    <row r="17" spans="1:12">
      <c r="A17" t="s">
        <v>2</v>
      </c>
      <c r="B17" t="s">
        <v>4216</v>
      </c>
      <c r="D17" t="s">
        <v>4238</v>
      </c>
      <c r="E17">
        <v>90</v>
      </c>
      <c r="F17">
        <v>571.20000000000005</v>
      </c>
      <c r="G17">
        <v>160.63</v>
      </c>
      <c r="H17">
        <v>0.28100000000000003</v>
      </c>
      <c r="I17">
        <v>52.3</v>
      </c>
      <c r="J17">
        <v>0.35699999999999998</v>
      </c>
      <c r="L17" s="48">
        <f t="shared" si="0"/>
        <v>6.041500000000001E-2</v>
      </c>
    </row>
    <row r="18" spans="1:12">
      <c r="A18" t="s">
        <v>2</v>
      </c>
      <c r="B18" t="s">
        <v>4216</v>
      </c>
      <c r="D18" t="s">
        <v>4239</v>
      </c>
      <c r="E18">
        <v>68</v>
      </c>
      <c r="F18">
        <v>516.20000000000005</v>
      </c>
      <c r="G18">
        <v>158.87</v>
      </c>
      <c r="H18">
        <v>0.308</v>
      </c>
      <c r="I18">
        <v>57.3</v>
      </c>
      <c r="J18">
        <v>0.46700000000000003</v>
      </c>
      <c r="L18" s="48">
        <f t="shared" si="0"/>
        <v>6.6220000000000001E-2</v>
      </c>
    </row>
    <row r="19" spans="1:12">
      <c r="A19" t="s">
        <v>2</v>
      </c>
      <c r="B19" t="s">
        <v>4216</v>
      </c>
      <c r="G19" s="48" t="s">
        <v>3033</v>
      </c>
      <c r="H19" s="48">
        <f>MAX(H12:H18)</f>
        <v>0.502</v>
      </c>
    </row>
    <row r="20" spans="1:12">
      <c r="A20" t="s">
        <v>2</v>
      </c>
      <c r="B20" t="s">
        <v>4216</v>
      </c>
      <c r="G20" s="48" t="s">
        <v>3034</v>
      </c>
      <c r="H20" s="48">
        <f>MIN(H12:H18)</f>
        <v>0.28100000000000003</v>
      </c>
    </row>
    <row r="21" spans="1:12">
      <c r="A21" t="s">
        <v>2</v>
      </c>
      <c r="B21" t="s">
        <v>4216</v>
      </c>
    </row>
    <row r="22" spans="1:12">
      <c r="A22" t="s">
        <v>2</v>
      </c>
      <c r="B22" t="s">
        <v>4216</v>
      </c>
      <c r="C22" t="s">
        <v>69</v>
      </c>
      <c r="D22" s="323" t="s">
        <v>4240</v>
      </c>
      <c r="E22" t="s">
        <v>6333</v>
      </c>
    </row>
    <row r="23" spans="1:12">
      <c r="A23" t="s">
        <v>2</v>
      </c>
      <c r="B23" t="s">
        <v>4216</v>
      </c>
      <c r="D23" s="51">
        <f>3.55*1000/43000</f>
        <v>8.2558139534883723E-2</v>
      </c>
      <c r="E23" s="48" t="s">
        <v>4241</v>
      </c>
      <c r="F23" t="s">
        <v>6327</v>
      </c>
      <c r="G23" t="s">
        <v>6329</v>
      </c>
      <c r="H23" t="s">
        <v>6328</v>
      </c>
    </row>
    <row r="24" spans="1:12">
      <c r="A24" t="s">
        <v>2</v>
      </c>
      <c r="B24" t="s">
        <v>4216</v>
      </c>
      <c r="D24" s="48">
        <f>D23*0.783</f>
        <v>6.4643023255813961E-2</v>
      </c>
      <c r="E24" s="48" t="s">
        <v>4199</v>
      </c>
      <c r="F24" t="s">
        <v>6330</v>
      </c>
      <c r="G24" t="s">
        <v>6332</v>
      </c>
      <c r="H24" t="s">
        <v>6331</v>
      </c>
    </row>
    <row r="25" spans="1:12">
      <c r="A25" t="s">
        <v>2</v>
      </c>
      <c r="B25" t="s">
        <v>4216</v>
      </c>
    </row>
    <row r="26" spans="1:12" s="383" customFormat="1">
      <c r="A26" s="383" t="s">
        <v>2</v>
      </c>
      <c r="B26" s="383" t="s">
        <v>4216</v>
      </c>
      <c r="C26" s="383" t="s">
        <v>132</v>
      </c>
      <c r="D26" s="384" t="s">
        <v>4242</v>
      </c>
      <c r="G26" s="383" t="s">
        <v>815</v>
      </c>
    </row>
    <row r="27" spans="1:12" s="383" customFormat="1">
      <c r="A27" s="383" t="s">
        <v>2</v>
      </c>
      <c r="B27" s="383" t="s">
        <v>4216</v>
      </c>
      <c r="D27" s="384" t="s">
        <v>4243</v>
      </c>
    </row>
    <row r="28" spans="1:12" s="383" customFormat="1">
      <c r="A28" s="383" t="s">
        <v>2</v>
      </c>
      <c r="B28" s="383" t="s">
        <v>4216</v>
      </c>
    </row>
    <row r="29" spans="1:12" s="383" customFormat="1">
      <c r="A29" s="383" t="s">
        <v>2</v>
      </c>
      <c r="B29" s="383" t="s">
        <v>4216</v>
      </c>
      <c r="I29" s="416">
        <v>6147</v>
      </c>
      <c r="J29" s="383" t="s">
        <v>4244</v>
      </c>
    </row>
    <row r="30" spans="1:12" s="383" customFormat="1">
      <c r="A30" s="383" t="s">
        <v>2</v>
      </c>
      <c r="B30" s="383" t="s">
        <v>4216</v>
      </c>
      <c r="I30" s="388">
        <f>I29/1000000</f>
        <v>6.1469999999999997E-3</v>
      </c>
      <c r="J30" s="388" t="s">
        <v>4245</v>
      </c>
    </row>
    <row r="31" spans="1:12" s="383" customFormat="1">
      <c r="A31" s="383" t="s">
        <v>2</v>
      </c>
      <c r="B31" s="383" t="s">
        <v>4216</v>
      </c>
    </row>
    <row r="32" spans="1:12" s="383" customFormat="1">
      <c r="A32" s="383" t="s">
        <v>2</v>
      </c>
      <c r="B32" s="383" t="s">
        <v>4216</v>
      </c>
    </row>
    <row r="33" spans="1:15" s="383" customFormat="1">
      <c r="A33" s="383" t="s">
        <v>2</v>
      </c>
      <c r="B33" s="383" t="s">
        <v>4216</v>
      </c>
    </row>
    <row r="34" spans="1:15" s="383" customFormat="1">
      <c r="A34" s="383" t="s">
        <v>2</v>
      </c>
      <c r="B34" s="383" t="s">
        <v>4216</v>
      </c>
    </row>
    <row r="35" spans="1:15" s="383" customFormat="1">
      <c r="A35" s="383" t="s">
        <v>2</v>
      </c>
      <c r="B35" s="383" t="s">
        <v>4216</v>
      </c>
    </row>
    <row r="36" spans="1:15" s="383" customFormat="1">
      <c r="A36" s="383" t="s">
        <v>2</v>
      </c>
      <c r="B36" s="383" t="s">
        <v>4216</v>
      </c>
    </row>
    <row r="37" spans="1:15" s="383" customFormat="1">
      <c r="A37" s="383" t="s">
        <v>2</v>
      </c>
      <c r="B37" s="383" t="s">
        <v>4216</v>
      </c>
    </row>
    <row r="38" spans="1:15">
      <c r="A38" t="s">
        <v>2</v>
      </c>
      <c r="B38" t="s">
        <v>4216</v>
      </c>
    </row>
    <row r="39" spans="1:15">
      <c r="A39" t="s">
        <v>2</v>
      </c>
      <c r="B39" t="s">
        <v>4216</v>
      </c>
      <c r="C39" t="s">
        <v>3145</v>
      </c>
      <c r="D39" t="s">
        <v>6324</v>
      </c>
    </row>
    <row r="40" spans="1:15">
      <c r="A40" t="s">
        <v>2</v>
      </c>
      <c r="B40" t="s">
        <v>4216</v>
      </c>
      <c r="D40" t="s">
        <v>6325</v>
      </c>
    </row>
    <row r="41" spans="1:15">
      <c r="A41" t="s">
        <v>2</v>
      </c>
      <c r="B41" t="s">
        <v>4216</v>
      </c>
      <c r="D41" t="s">
        <v>6270</v>
      </c>
    </row>
    <row r="42" spans="1:15">
      <c r="A42" t="s">
        <v>2</v>
      </c>
      <c r="B42" t="s">
        <v>4216</v>
      </c>
      <c r="D42" t="s">
        <v>14</v>
      </c>
      <c r="H42" t="s">
        <v>6271</v>
      </c>
      <c r="L42" t="s">
        <v>6272</v>
      </c>
    </row>
    <row r="43" spans="1:15">
      <c r="A43" t="s">
        <v>2</v>
      </c>
      <c r="B43" t="s">
        <v>4216</v>
      </c>
      <c r="D43" t="s">
        <v>6273</v>
      </c>
      <c r="E43" t="s">
        <v>3037</v>
      </c>
      <c r="F43" t="s">
        <v>6274</v>
      </c>
      <c r="G43" s="48" t="s">
        <v>6274</v>
      </c>
      <c r="H43" t="s">
        <v>6275</v>
      </c>
      <c r="I43" t="s">
        <v>6276</v>
      </c>
      <c r="J43" t="s">
        <v>6277</v>
      </c>
      <c r="K43" t="s">
        <v>6278</v>
      </c>
      <c r="L43" t="s">
        <v>6275</v>
      </c>
      <c r="M43" t="s">
        <v>6276</v>
      </c>
      <c r="N43" t="s">
        <v>6277</v>
      </c>
      <c r="O43" t="s">
        <v>6278</v>
      </c>
    </row>
    <row r="44" spans="1:15">
      <c r="A44" t="s">
        <v>2</v>
      </c>
      <c r="B44" t="s">
        <v>4216</v>
      </c>
      <c r="D44" t="s">
        <v>6279</v>
      </c>
      <c r="E44" t="s">
        <v>6280</v>
      </c>
      <c r="F44" t="s">
        <v>6281</v>
      </c>
      <c r="G44" s="48">
        <v>14.48</v>
      </c>
      <c r="H44" t="s">
        <v>410</v>
      </c>
      <c r="I44" t="s">
        <v>6282</v>
      </c>
      <c r="J44" t="s">
        <v>410</v>
      </c>
      <c r="K44" t="s">
        <v>6283</v>
      </c>
      <c r="L44" t="s">
        <v>410</v>
      </c>
      <c r="M44">
        <v>26.73</v>
      </c>
      <c r="N44" t="s">
        <v>410</v>
      </c>
      <c r="O44">
        <v>28.15</v>
      </c>
    </row>
    <row r="45" spans="1:15" ht="14.4" customHeight="1">
      <c r="A45" t="s">
        <v>2</v>
      </c>
      <c r="B45" t="s">
        <v>4216</v>
      </c>
      <c r="E45" t="s">
        <v>6284</v>
      </c>
      <c r="F45" t="s">
        <v>6285</v>
      </c>
      <c r="G45" s="48">
        <v>9.5399999999999991</v>
      </c>
      <c r="H45" t="s">
        <v>6286</v>
      </c>
      <c r="I45" t="s">
        <v>6287</v>
      </c>
      <c r="J45" t="s">
        <v>6288</v>
      </c>
      <c r="K45" t="s">
        <v>6289</v>
      </c>
      <c r="L45">
        <v>32.15</v>
      </c>
      <c r="M45">
        <v>33.93</v>
      </c>
      <c r="N45">
        <v>29.33</v>
      </c>
      <c r="O45">
        <v>34.64</v>
      </c>
    </row>
    <row r="46" spans="1:15" ht="14.4" customHeight="1">
      <c r="A46" t="s">
        <v>2</v>
      </c>
      <c r="B46" t="s">
        <v>4216</v>
      </c>
      <c r="G46" s="48"/>
    </row>
    <row r="47" spans="1:15" ht="14.4" customHeight="1">
      <c r="A47" t="s">
        <v>2</v>
      </c>
      <c r="B47" t="s">
        <v>4216</v>
      </c>
      <c r="D47" t="s">
        <v>6290</v>
      </c>
      <c r="E47" t="s">
        <v>6280</v>
      </c>
      <c r="F47" t="s">
        <v>6291</v>
      </c>
      <c r="G47" s="48">
        <v>21.23</v>
      </c>
      <c r="H47" t="s">
        <v>6292</v>
      </c>
      <c r="I47" t="s">
        <v>6293</v>
      </c>
      <c r="J47" t="s">
        <v>6292</v>
      </c>
      <c r="K47" t="s">
        <v>6294</v>
      </c>
      <c r="L47" t="s">
        <v>6292</v>
      </c>
      <c r="M47">
        <v>36.799999999999997</v>
      </c>
      <c r="N47" t="s">
        <v>6292</v>
      </c>
      <c r="O47">
        <v>39.630000000000003</v>
      </c>
    </row>
    <row r="48" spans="1:15" ht="14.4" customHeight="1">
      <c r="A48" t="s">
        <v>2</v>
      </c>
      <c r="B48" t="s">
        <v>4216</v>
      </c>
      <c r="E48" t="s">
        <v>6295</v>
      </c>
      <c r="F48" t="s">
        <v>6296</v>
      </c>
      <c r="G48" s="48">
        <v>11.58</v>
      </c>
      <c r="H48" t="s">
        <v>6297</v>
      </c>
      <c r="I48" t="s">
        <v>6298</v>
      </c>
      <c r="J48" t="s">
        <v>6299</v>
      </c>
      <c r="K48" t="s">
        <v>6300</v>
      </c>
      <c r="L48">
        <v>34</v>
      </c>
      <c r="M48">
        <v>38.47</v>
      </c>
      <c r="N48">
        <v>33.47</v>
      </c>
      <c r="O48">
        <v>37.17</v>
      </c>
    </row>
    <row r="49" spans="1:15" ht="14.4" customHeight="1">
      <c r="A49" t="s">
        <v>2</v>
      </c>
      <c r="B49" t="s">
        <v>4216</v>
      </c>
      <c r="G49" s="48"/>
    </row>
    <row r="50" spans="1:15" ht="14.4" customHeight="1">
      <c r="A50" t="s">
        <v>2</v>
      </c>
      <c r="B50" t="s">
        <v>4216</v>
      </c>
      <c r="D50" t="s">
        <v>6279</v>
      </c>
      <c r="E50" t="s">
        <v>6280</v>
      </c>
      <c r="F50" t="s">
        <v>6301</v>
      </c>
      <c r="G50" s="48">
        <v>17.38</v>
      </c>
      <c r="H50" t="s">
        <v>410</v>
      </c>
      <c r="I50" t="s">
        <v>6302</v>
      </c>
      <c r="J50" t="s">
        <v>410</v>
      </c>
      <c r="K50" t="s">
        <v>6303</v>
      </c>
      <c r="L50" t="s">
        <v>410</v>
      </c>
      <c r="M50">
        <v>45.04</v>
      </c>
      <c r="N50" t="s">
        <v>410</v>
      </c>
      <c r="O50">
        <v>49.1</v>
      </c>
    </row>
    <row r="51" spans="1:15" ht="14.4" customHeight="1">
      <c r="A51" t="s">
        <v>2</v>
      </c>
      <c r="B51" t="s">
        <v>4216</v>
      </c>
      <c r="E51" t="s">
        <v>6304</v>
      </c>
      <c r="F51" t="s">
        <v>6305</v>
      </c>
      <c r="G51" s="48">
        <v>16.8</v>
      </c>
      <c r="H51" t="s">
        <v>6306</v>
      </c>
      <c r="I51" t="s">
        <v>6307</v>
      </c>
      <c r="J51" t="s">
        <v>6308</v>
      </c>
      <c r="K51" t="s">
        <v>6309</v>
      </c>
      <c r="L51">
        <v>33.19</v>
      </c>
      <c r="M51">
        <v>35.229999999999997</v>
      </c>
      <c r="N51">
        <v>32.64</v>
      </c>
      <c r="O51">
        <v>34.700000000000003</v>
      </c>
    </row>
    <row r="52" spans="1:15" ht="14.4" customHeight="1">
      <c r="A52" t="s">
        <v>2</v>
      </c>
      <c r="B52" t="s">
        <v>4216</v>
      </c>
      <c r="G52" s="48"/>
    </row>
    <row r="53" spans="1:15">
      <c r="A53" t="s">
        <v>2</v>
      </c>
      <c r="B53" t="s">
        <v>4216</v>
      </c>
      <c r="D53" t="s">
        <v>6310</v>
      </c>
      <c r="E53" t="s">
        <v>6280</v>
      </c>
      <c r="F53" t="s">
        <v>6311</v>
      </c>
      <c r="G53" s="48">
        <v>18.260000000000002</v>
      </c>
      <c r="H53" t="s">
        <v>6292</v>
      </c>
      <c r="I53" t="s">
        <v>6312</v>
      </c>
      <c r="J53" t="s">
        <v>6292</v>
      </c>
      <c r="K53" t="s">
        <v>6313</v>
      </c>
      <c r="L53" t="s">
        <v>6292</v>
      </c>
      <c r="M53">
        <v>38.049999999999997</v>
      </c>
      <c r="N53" t="s">
        <v>6292</v>
      </c>
      <c r="O53">
        <v>41.34</v>
      </c>
    </row>
    <row r="54" spans="1:15">
      <c r="A54" t="s">
        <v>2</v>
      </c>
      <c r="B54" t="s">
        <v>4216</v>
      </c>
      <c r="E54" t="s">
        <v>6314</v>
      </c>
      <c r="F54" t="s">
        <v>6315</v>
      </c>
      <c r="G54" s="48">
        <v>16.03</v>
      </c>
      <c r="H54" t="s">
        <v>6292</v>
      </c>
      <c r="I54" t="s">
        <v>6316</v>
      </c>
      <c r="J54" t="s">
        <v>6292</v>
      </c>
      <c r="K54" t="s">
        <v>6317</v>
      </c>
      <c r="L54" t="s">
        <v>6292</v>
      </c>
      <c r="M54">
        <v>35.75</v>
      </c>
      <c r="N54" t="s">
        <v>6292</v>
      </c>
      <c r="O54">
        <v>36.89</v>
      </c>
    </row>
    <row r="55" spans="1:15">
      <c r="A55" t="s">
        <v>2</v>
      </c>
      <c r="B55" t="s">
        <v>4216</v>
      </c>
      <c r="G55" s="48"/>
    </row>
    <row r="56" spans="1:15">
      <c r="A56" t="s">
        <v>2</v>
      </c>
      <c r="B56" t="s">
        <v>4216</v>
      </c>
      <c r="D56" t="s">
        <v>6290</v>
      </c>
      <c r="E56" t="s">
        <v>6280</v>
      </c>
      <c r="F56" t="s">
        <v>6291</v>
      </c>
      <c r="G56" s="48">
        <v>21.23</v>
      </c>
      <c r="H56" t="s">
        <v>6292</v>
      </c>
      <c r="I56" t="s">
        <v>6293</v>
      </c>
      <c r="J56" t="s">
        <v>6292</v>
      </c>
      <c r="K56" t="s">
        <v>6294</v>
      </c>
      <c r="L56" t="s">
        <v>6292</v>
      </c>
      <c r="M56">
        <v>36.799999999999997</v>
      </c>
      <c r="N56" t="s">
        <v>6292</v>
      </c>
      <c r="O56">
        <v>39.630000000000003</v>
      </c>
    </row>
    <row r="57" spans="1:15">
      <c r="A57" t="s">
        <v>2</v>
      </c>
      <c r="B57" t="s">
        <v>4216</v>
      </c>
      <c r="E57" t="s">
        <v>6318</v>
      </c>
      <c r="F57" t="s">
        <v>6319</v>
      </c>
      <c r="G57" s="48">
        <v>17.64</v>
      </c>
      <c r="H57" t="s">
        <v>6320</v>
      </c>
      <c r="I57" t="s">
        <v>6321</v>
      </c>
      <c r="J57" t="s">
        <v>6322</v>
      </c>
      <c r="K57" t="s">
        <v>6323</v>
      </c>
      <c r="L57">
        <v>35.44</v>
      </c>
      <c r="M57">
        <v>38.28</v>
      </c>
      <c r="N57">
        <v>35.229999999999997</v>
      </c>
      <c r="O57">
        <v>38.08</v>
      </c>
    </row>
    <row r="58" spans="1:15">
      <c r="A58" t="s">
        <v>2</v>
      </c>
      <c r="B58" t="s">
        <v>4216</v>
      </c>
      <c r="K58" s="48" t="s">
        <v>510</v>
      </c>
      <c r="L58" s="48">
        <f>AVERAGE(L45,L48,L51,L57,M45,M47,M48,M50,M51,M53,M54,M56,,,M57,N45,N48,N51,N57,O44:O57)</f>
        <v>33.901034482758618</v>
      </c>
    </row>
    <row r="59" spans="1:15">
      <c r="A59" t="s">
        <v>2</v>
      </c>
      <c r="B59" t="s">
        <v>4216</v>
      </c>
      <c r="D59" s="48" t="s">
        <v>6274</v>
      </c>
      <c r="E59" s="48">
        <f>AVERAGE(G44:G57)</f>
        <v>16.417000000000002</v>
      </c>
      <c r="K59" t="s">
        <v>4103</v>
      </c>
      <c r="L59">
        <f>MAX(L44:O57)</f>
        <v>49.1</v>
      </c>
    </row>
    <row r="60" spans="1:15">
      <c r="A60" t="s">
        <v>2</v>
      </c>
      <c r="B60" t="s">
        <v>4216</v>
      </c>
      <c r="D60" s="48" t="s">
        <v>6326</v>
      </c>
      <c r="E60" s="48">
        <f>L58%*E59%</f>
        <v>5.565532831034483E-2</v>
      </c>
      <c r="K60" t="s">
        <v>4104</v>
      </c>
      <c r="L60">
        <f>MIN(L44:O57)</f>
        <v>26.73</v>
      </c>
    </row>
    <row r="61" spans="1:15">
      <c r="A61" t="s">
        <v>2</v>
      </c>
      <c r="B61" t="s">
        <v>4216</v>
      </c>
    </row>
    <row r="62" spans="1:15">
      <c r="A62" t="s">
        <v>2</v>
      </c>
      <c r="B62" t="s">
        <v>4216</v>
      </c>
      <c r="C62" t="s">
        <v>5084</v>
      </c>
      <c r="D62" t="s">
        <v>6339</v>
      </c>
    </row>
    <row r="63" spans="1:15">
      <c r="A63" t="s">
        <v>2</v>
      </c>
      <c r="B63" t="s">
        <v>4216</v>
      </c>
      <c r="D63" t="s">
        <v>6340</v>
      </c>
    </row>
    <row r="64" spans="1:15">
      <c r="A64" t="s">
        <v>2</v>
      </c>
      <c r="B64" t="s">
        <v>4216</v>
      </c>
      <c r="D64" t="s">
        <v>6337</v>
      </c>
    </row>
    <row r="65" spans="1:9">
      <c r="A65" t="s">
        <v>2</v>
      </c>
      <c r="B65" t="s">
        <v>4216</v>
      </c>
      <c r="D65" t="s">
        <v>6334</v>
      </c>
      <c r="E65" t="s">
        <v>1283</v>
      </c>
      <c r="F65" t="s">
        <v>1848</v>
      </c>
    </row>
    <row r="66" spans="1:9">
      <c r="A66" t="s">
        <v>2</v>
      </c>
      <c r="B66" t="s">
        <v>4216</v>
      </c>
      <c r="D66" t="s">
        <v>6335</v>
      </c>
      <c r="E66" t="s">
        <v>6336</v>
      </c>
      <c r="F66" t="s">
        <v>6338</v>
      </c>
      <c r="I66" s="186" t="s">
        <v>6341</v>
      </c>
    </row>
    <row r="67" spans="1:9">
      <c r="A67" t="s">
        <v>2</v>
      </c>
      <c r="B67" t="s">
        <v>4216</v>
      </c>
    </row>
    <row r="68" spans="1:9">
      <c r="A68" t="s">
        <v>2</v>
      </c>
      <c r="B68" t="s">
        <v>4216</v>
      </c>
      <c r="D68" s="48" t="s">
        <v>6342</v>
      </c>
      <c r="E68" s="48">
        <v>490.4</v>
      </c>
    </row>
    <row r="69" spans="1:9">
      <c r="A69" t="s">
        <v>2</v>
      </c>
      <c r="B69" t="s">
        <v>4216</v>
      </c>
      <c r="D69" s="48" t="s">
        <v>6343</v>
      </c>
      <c r="E69" s="60">
        <f>1-78%</f>
        <v>0.21999999999999997</v>
      </c>
    </row>
    <row r="70" spans="1:9">
      <c r="A70" t="s">
        <v>2</v>
      </c>
      <c r="B70" t="s">
        <v>4216</v>
      </c>
      <c r="D70" s="48" t="s">
        <v>6344</v>
      </c>
      <c r="E70" s="48">
        <f>E68*786/1000000*E69</f>
        <v>8.4799967999999989E-2</v>
      </c>
    </row>
    <row r="71" spans="1:9">
      <c r="A71" t="s">
        <v>2</v>
      </c>
      <c r="B71" t="s">
        <v>4216</v>
      </c>
    </row>
    <row r="72" spans="1:9">
      <c r="A72" t="s">
        <v>2</v>
      </c>
      <c r="B72" t="s">
        <v>4216</v>
      </c>
    </row>
    <row r="73" spans="1:9">
      <c r="A73" t="s">
        <v>2</v>
      </c>
      <c r="B73" t="s">
        <v>4216</v>
      </c>
    </row>
    <row r="74" spans="1:9">
      <c r="A74" t="s">
        <v>2</v>
      </c>
      <c r="B74" t="s">
        <v>4216</v>
      </c>
    </row>
    <row r="75" spans="1:9">
      <c r="A75" t="s">
        <v>2</v>
      </c>
      <c r="B75" t="s">
        <v>4216</v>
      </c>
    </row>
    <row r="76" spans="1:9">
      <c r="A76" t="s">
        <v>2</v>
      </c>
      <c r="B76" t="s">
        <v>4246</v>
      </c>
      <c r="C76" t="s">
        <v>4</v>
      </c>
      <c r="D76" s="7" t="s">
        <v>4247</v>
      </c>
    </row>
    <row r="77" spans="1:9">
      <c r="A77" t="s">
        <v>2</v>
      </c>
      <c r="B77" t="s">
        <v>4246</v>
      </c>
      <c r="D77" s="7" t="s">
        <v>4248</v>
      </c>
    </row>
    <row r="78" spans="1:9" ht="15.6">
      <c r="A78" t="s">
        <v>2</v>
      </c>
      <c r="B78" t="s">
        <v>4246</v>
      </c>
      <c r="D78" s="306" t="s">
        <v>4249</v>
      </c>
    </row>
    <row r="79" spans="1:9">
      <c r="A79" t="s">
        <v>2</v>
      </c>
      <c r="B79" t="s">
        <v>4246</v>
      </c>
      <c r="D79" s="284" t="s">
        <v>6345</v>
      </c>
      <c r="E79" s="48" t="s">
        <v>3177</v>
      </c>
    </row>
    <row r="80" spans="1:9">
      <c r="A80" t="s">
        <v>2</v>
      </c>
      <c r="B80" t="s">
        <v>4246</v>
      </c>
      <c r="D80" s="284">
        <v>0.14399999999999999</v>
      </c>
      <c r="E80" s="48">
        <f>AVERAGE(D80:D81)</f>
        <v>0.11799999999999999</v>
      </c>
      <c r="G80" s="48" t="s">
        <v>6346</v>
      </c>
      <c r="H80" s="50">
        <v>0.78</v>
      </c>
    </row>
    <row r="81" spans="1:13">
      <c r="A81" t="s">
        <v>2</v>
      </c>
      <c r="B81" t="s">
        <v>4246</v>
      </c>
      <c r="D81" s="284">
        <v>9.1999999999999998E-2</v>
      </c>
      <c r="G81" s="48" t="s">
        <v>4250</v>
      </c>
      <c r="H81" s="48">
        <f>E80*(1-H80)</f>
        <v>2.5959999999999997E-2</v>
      </c>
    </row>
    <row r="82" spans="1:13">
      <c r="A82" t="s">
        <v>2</v>
      </c>
      <c r="B82" t="s">
        <v>4246</v>
      </c>
    </row>
    <row r="83" spans="1:13">
      <c r="A83" t="s">
        <v>2</v>
      </c>
      <c r="B83" t="s">
        <v>4246</v>
      </c>
      <c r="C83" t="s">
        <v>473</v>
      </c>
      <c r="D83" s="7" t="s">
        <v>4251</v>
      </c>
    </row>
    <row r="84" spans="1:13">
      <c r="A84" t="s">
        <v>2</v>
      </c>
      <c r="B84" t="s">
        <v>4246</v>
      </c>
      <c r="D84" s="7" t="s">
        <v>4252</v>
      </c>
    </row>
    <row r="85" spans="1:13">
      <c r="A85" t="s">
        <v>2</v>
      </c>
      <c r="B85" t="s">
        <v>4246</v>
      </c>
      <c r="F85" s="580" t="s">
        <v>4253</v>
      </c>
      <c r="G85" s="580"/>
      <c r="H85" s="580"/>
      <c r="I85" s="580" t="s">
        <v>4254</v>
      </c>
      <c r="J85" s="580"/>
      <c r="K85" s="48" t="s">
        <v>2</v>
      </c>
      <c r="L85" s="48" t="s">
        <v>4255</v>
      </c>
      <c r="M85" s="48" t="s">
        <v>3177</v>
      </c>
    </row>
    <row r="86" spans="1:13">
      <c r="A86" t="s">
        <v>2</v>
      </c>
      <c r="B86" t="s">
        <v>4246</v>
      </c>
      <c r="D86" t="s">
        <v>4256</v>
      </c>
      <c r="E86" t="s">
        <v>4257</v>
      </c>
      <c r="F86" t="s">
        <v>4258</v>
      </c>
      <c r="G86" t="s">
        <v>4259</v>
      </c>
      <c r="H86" t="s">
        <v>4260</v>
      </c>
      <c r="I86" t="s">
        <v>4261</v>
      </c>
      <c r="J86" t="s">
        <v>4262</v>
      </c>
      <c r="K86" s="48" t="s">
        <v>4263</v>
      </c>
      <c r="L86" s="48" t="s">
        <v>4264</v>
      </c>
      <c r="M86" s="48" t="s">
        <v>4264</v>
      </c>
    </row>
    <row r="87" spans="1:13">
      <c r="A87" t="s">
        <v>2</v>
      </c>
      <c r="B87" t="s">
        <v>4246</v>
      </c>
      <c r="D87" t="s">
        <v>4265</v>
      </c>
      <c r="M87" s="48">
        <f>AVERAGE(L89:L91,L93:L95,L98:L100,L102:L104)</f>
        <v>6.5289749999999994E-2</v>
      </c>
    </row>
    <row r="88" spans="1:13">
      <c r="A88" t="s">
        <v>2</v>
      </c>
      <c r="B88" t="s">
        <v>4246</v>
      </c>
      <c r="D88" t="s">
        <v>4266</v>
      </c>
    </row>
    <row r="89" spans="1:13">
      <c r="A89" t="s">
        <v>2</v>
      </c>
      <c r="B89" t="s">
        <v>4246</v>
      </c>
      <c r="D89">
        <v>10.7</v>
      </c>
      <c r="E89" t="s">
        <v>4267</v>
      </c>
      <c r="F89" t="s">
        <v>4268</v>
      </c>
      <c r="G89" t="s">
        <v>4269</v>
      </c>
      <c r="H89" t="s">
        <v>4270</v>
      </c>
      <c r="I89" t="s">
        <v>4271</v>
      </c>
      <c r="J89" t="s">
        <v>4272</v>
      </c>
      <c r="K89" s="48">
        <v>9.3000000000000007</v>
      </c>
      <c r="L89" s="48">
        <f>K89*0.789/100</f>
        <v>7.3377000000000012E-2</v>
      </c>
    </row>
    <row r="90" spans="1:13">
      <c r="A90" t="s">
        <v>2</v>
      </c>
      <c r="B90" t="s">
        <v>4246</v>
      </c>
      <c r="D90">
        <v>8.9</v>
      </c>
      <c r="E90" t="s">
        <v>4267</v>
      </c>
      <c r="F90" t="s">
        <v>4273</v>
      </c>
      <c r="G90" t="s">
        <v>4274</v>
      </c>
      <c r="H90" t="s">
        <v>4275</v>
      </c>
      <c r="I90" t="s">
        <v>4276</v>
      </c>
      <c r="J90" t="s">
        <v>4277</v>
      </c>
      <c r="K90" s="48">
        <v>9.5</v>
      </c>
      <c r="L90" s="48">
        <f t="shared" ref="L90:L104" si="1">K90*0.789/100</f>
        <v>7.4955000000000008E-2</v>
      </c>
    </row>
    <row r="91" spans="1:13">
      <c r="A91" t="s">
        <v>2</v>
      </c>
      <c r="B91" t="s">
        <v>4246</v>
      </c>
      <c r="D91">
        <v>7.7</v>
      </c>
      <c r="E91" t="s">
        <v>4278</v>
      </c>
      <c r="F91" t="s">
        <v>4273</v>
      </c>
      <c r="G91" t="s">
        <v>4274</v>
      </c>
      <c r="H91" t="s">
        <v>4275</v>
      </c>
      <c r="I91" t="s">
        <v>4279</v>
      </c>
      <c r="J91" t="s">
        <v>4280</v>
      </c>
      <c r="K91" s="48">
        <v>9.5</v>
      </c>
      <c r="L91" s="48">
        <f t="shared" si="1"/>
        <v>7.4955000000000008E-2</v>
      </c>
    </row>
    <row r="92" spans="1:13">
      <c r="A92" t="s">
        <v>2</v>
      </c>
      <c r="B92" t="s">
        <v>4246</v>
      </c>
      <c r="D92" t="s">
        <v>4281</v>
      </c>
    </row>
    <row r="93" spans="1:13">
      <c r="A93" t="s">
        <v>2</v>
      </c>
      <c r="B93" t="s">
        <v>4246</v>
      </c>
      <c r="D93">
        <v>10</v>
      </c>
      <c r="E93" t="s">
        <v>4282</v>
      </c>
      <c r="F93" t="s">
        <v>4283</v>
      </c>
      <c r="G93" t="s">
        <v>4284</v>
      </c>
      <c r="H93" t="s">
        <v>4285</v>
      </c>
      <c r="I93" t="s">
        <v>4277</v>
      </c>
      <c r="J93" t="s">
        <v>4286</v>
      </c>
      <c r="K93" s="48">
        <v>5.7</v>
      </c>
      <c r="L93" s="48">
        <f t="shared" si="1"/>
        <v>4.4972999999999999E-2</v>
      </c>
    </row>
    <row r="94" spans="1:13">
      <c r="A94" t="s">
        <v>2</v>
      </c>
      <c r="B94" t="s">
        <v>4246</v>
      </c>
      <c r="D94">
        <v>8</v>
      </c>
      <c r="E94" t="s">
        <v>4280</v>
      </c>
      <c r="F94" t="s">
        <v>4277</v>
      </c>
      <c r="G94" t="s">
        <v>4287</v>
      </c>
      <c r="H94" t="s">
        <v>4288</v>
      </c>
      <c r="I94" t="s">
        <v>4289</v>
      </c>
      <c r="J94" t="s">
        <v>4290</v>
      </c>
      <c r="K94" s="48">
        <v>5.8</v>
      </c>
      <c r="L94" s="48">
        <f t="shared" si="1"/>
        <v>4.5761999999999997E-2</v>
      </c>
    </row>
    <row r="95" spans="1:13">
      <c r="A95" t="s">
        <v>2</v>
      </c>
      <c r="B95" t="s">
        <v>4246</v>
      </c>
      <c r="D95">
        <v>6.6</v>
      </c>
      <c r="E95" t="s">
        <v>4282</v>
      </c>
      <c r="F95" t="s">
        <v>4291</v>
      </c>
      <c r="G95" t="s">
        <v>4292</v>
      </c>
      <c r="H95" t="s">
        <v>4293</v>
      </c>
      <c r="I95" t="s">
        <v>4294</v>
      </c>
      <c r="J95" t="s">
        <v>4295</v>
      </c>
      <c r="K95" s="48">
        <v>6.1</v>
      </c>
      <c r="L95" s="48">
        <f t="shared" si="1"/>
        <v>4.8128999999999998E-2</v>
      </c>
    </row>
    <row r="96" spans="1:13">
      <c r="A96" t="s">
        <v>2</v>
      </c>
      <c r="B96" t="s">
        <v>4246</v>
      </c>
      <c r="D96" t="s">
        <v>1151</v>
      </c>
    </row>
    <row r="97" spans="1:12">
      <c r="A97" t="s">
        <v>2</v>
      </c>
      <c r="B97" t="s">
        <v>4246</v>
      </c>
      <c r="D97" t="s">
        <v>4266</v>
      </c>
    </row>
    <row r="98" spans="1:12">
      <c r="A98" t="s">
        <v>2</v>
      </c>
      <c r="B98" t="s">
        <v>4246</v>
      </c>
      <c r="D98">
        <v>9.6999999999999993</v>
      </c>
      <c r="E98" t="s">
        <v>4296</v>
      </c>
      <c r="F98" t="s">
        <v>4297</v>
      </c>
      <c r="G98" t="s">
        <v>4298</v>
      </c>
      <c r="H98" t="s">
        <v>4299</v>
      </c>
      <c r="I98" t="s">
        <v>4300</v>
      </c>
      <c r="J98" t="s">
        <v>4301</v>
      </c>
      <c r="K98" s="48">
        <v>8.9</v>
      </c>
      <c r="L98" s="48">
        <f t="shared" si="1"/>
        <v>7.0221000000000006E-2</v>
      </c>
    </row>
    <row r="99" spans="1:12">
      <c r="A99" t="s">
        <v>2</v>
      </c>
      <c r="B99" t="s">
        <v>4246</v>
      </c>
      <c r="D99">
        <v>8.1</v>
      </c>
      <c r="E99" t="s">
        <v>4296</v>
      </c>
      <c r="F99" t="s">
        <v>4302</v>
      </c>
      <c r="G99" t="s">
        <v>4303</v>
      </c>
      <c r="H99" t="s">
        <v>4304</v>
      </c>
      <c r="I99" t="s">
        <v>4305</v>
      </c>
      <c r="J99" t="s">
        <v>4292</v>
      </c>
      <c r="K99" s="48">
        <v>9.1999999999999993</v>
      </c>
      <c r="L99" s="48">
        <f t="shared" si="1"/>
        <v>7.2588E-2</v>
      </c>
    </row>
    <row r="100" spans="1:12">
      <c r="A100" t="s">
        <v>2</v>
      </c>
      <c r="B100" t="s">
        <v>4246</v>
      </c>
      <c r="D100">
        <v>6.9</v>
      </c>
      <c r="E100" t="s">
        <v>4282</v>
      </c>
      <c r="F100" t="s">
        <v>4302</v>
      </c>
      <c r="G100" t="s">
        <v>4303</v>
      </c>
      <c r="H100" t="s">
        <v>4304</v>
      </c>
      <c r="I100" t="s">
        <v>4300</v>
      </c>
      <c r="J100" t="s">
        <v>4287</v>
      </c>
      <c r="K100" s="48">
        <v>9.1999999999999993</v>
      </c>
      <c r="L100" s="48">
        <f t="shared" si="1"/>
        <v>7.2588E-2</v>
      </c>
    </row>
    <row r="101" spans="1:12">
      <c r="A101" t="s">
        <v>2</v>
      </c>
      <c r="B101" t="s">
        <v>4246</v>
      </c>
      <c r="D101" t="s">
        <v>4281</v>
      </c>
    </row>
    <row r="102" spans="1:12">
      <c r="A102" t="s">
        <v>2</v>
      </c>
      <c r="B102" t="s">
        <v>4246</v>
      </c>
      <c r="D102">
        <v>9.6999999999999993</v>
      </c>
      <c r="E102" t="s">
        <v>4278</v>
      </c>
      <c r="F102" t="s">
        <v>4306</v>
      </c>
      <c r="G102" t="s">
        <v>4307</v>
      </c>
      <c r="H102" t="s">
        <v>4308</v>
      </c>
      <c r="I102" t="s">
        <v>4309</v>
      </c>
      <c r="J102" t="s">
        <v>4310</v>
      </c>
      <c r="K102" s="48">
        <v>8.4</v>
      </c>
      <c r="L102" s="48">
        <f t="shared" si="1"/>
        <v>6.6276000000000002E-2</v>
      </c>
    </row>
    <row r="103" spans="1:12">
      <c r="A103" t="s">
        <v>2</v>
      </c>
      <c r="B103" t="s">
        <v>4246</v>
      </c>
      <c r="D103">
        <v>8.1</v>
      </c>
      <c r="E103" t="s">
        <v>4311</v>
      </c>
      <c r="F103" t="s">
        <v>4312</v>
      </c>
      <c r="G103" t="s">
        <v>4313</v>
      </c>
      <c r="H103" t="s">
        <v>4314</v>
      </c>
      <c r="I103" t="s">
        <v>4282</v>
      </c>
      <c r="J103" t="s">
        <v>4315</v>
      </c>
      <c r="K103" s="48">
        <v>8.8000000000000007</v>
      </c>
      <c r="L103" s="48">
        <f t="shared" si="1"/>
        <v>6.9432000000000008E-2</v>
      </c>
    </row>
    <row r="104" spans="1:12">
      <c r="A104" t="s">
        <v>2</v>
      </c>
      <c r="B104" t="s">
        <v>4246</v>
      </c>
      <c r="D104">
        <v>6.9</v>
      </c>
      <c r="E104" t="s">
        <v>4280</v>
      </c>
      <c r="F104" t="s">
        <v>4297</v>
      </c>
      <c r="G104" t="s">
        <v>4298</v>
      </c>
      <c r="H104" t="s">
        <v>4299</v>
      </c>
      <c r="I104" t="s">
        <v>4316</v>
      </c>
      <c r="J104" t="s">
        <v>4301</v>
      </c>
      <c r="K104" s="48">
        <v>8.9</v>
      </c>
      <c r="L104" s="48">
        <f t="shared" si="1"/>
        <v>7.0221000000000006E-2</v>
      </c>
    </row>
    <row r="105" spans="1:12">
      <c r="A105" t="s">
        <v>2</v>
      </c>
      <c r="B105" t="s">
        <v>4246</v>
      </c>
      <c r="J105" s="48" t="s">
        <v>3033</v>
      </c>
      <c r="K105" s="48">
        <f>MAX(K89:K104)</f>
        <v>9.5</v>
      </c>
    </row>
    <row r="106" spans="1:12">
      <c r="A106" t="s">
        <v>2</v>
      </c>
      <c r="B106" t="s">
        <v>4246</v>
      </c>
      <c r="J106" s="48" t="s">
        <v>3034</v>
      </c>
      <c r="K106" s="48">
        <f>MIN(K89:K104)</f>
        <v>5.7</v>
      </c>
    </row>
    <row r="107" spans="1:12">
      <c r="A107" t="s">
        <v>2</v>
      </c>
      <c r="B107" t="s">
        <v>4246</v>
      </c>
    </row>
    <row r="108" spans="1:12">
      <c r="A108" t="s">
        <v>2</v>
      </c>
      <c r="B108" t="s">
        <v>4246</v>
      </c>
      <c r="C108" t="s">
        <v>69</v>
      </c>
      <c r="D108" s="7" t="s">
        <v>4317</v>
      </c>
    </row>
    <row r="109" spans="1:12">
      <c r="A109" t="s">
        <v>2</v>
      </c>
      <c r="B109" t="s">
        <v>4246</v>
      </c>
      <c r="D109" s="7" t="s">
        <v>4318</v>
      </c>
    </row>
    <row r="110" spans="1:12">
      <c r="A110" t="s">
        <v>2</v>
      </c>
      <c r="B110" t="s">
        <v>4246</v>
      </c>
    </row>
    <row r="111" spans="1:12">
      <c r="A111" t="s">
        <v>2</v>
      </c>
      <c r="B111" t="s">
        <v>4246</v>
      </c>
    </row>
    <row r="112" spans="1:12">
      <c r="A112" t="s">
        <v>2</v>
      </c>
      <c r="B112" t="s">
        <v>4246</v>
      </c>
      <c r="D112" s="48" t="s">
        <v>6347</v>
      </c>
      <c r="E112" s="48"/>
      <c r="F112" s="48"/>
    </row>
    <row r="113" spans="1:15">
      <c r="A113" t="s">
        <v>2</v>
      </c>
      <c r="B113" t="s">
        <v>4246</v>
      </c>
      <c r="D113" s="48" t="s">
        <v>6348</v>
      </c>
      <c r="E113" s="48">
        <v>97.5</v>
      </c>
      <c r="F113" s="48"/>
    </row>
    <row r="114" spans="1:15">
      <c r="A114" t="s">
        <v>2</v>
      </c>
      <c r="B114" t="s">
        <v>4246</v>
      </c>
      <c r="D114" s="48" t="s">
        <v>6350</v>
      </c>
      <c r="E114" s="48">
        <f>E113*3.785*789/1000000</f>
        <v>0.29117058750000002</v>
      </c>
      <c r="F114" s="48"/>
    </row>
    <row r="115" spans="1:15">
      <c r="A115" t="s">
        <v>2</v>
      </c>
      <c r="B115" t="s">
        <v>4246</v>
      </c>
      <c r="D115" s="48" t="s">
        <v>6351</v>
      </c>
      <c r="E115" s="48">
        <f>AVERAGE(10,15,17,24.1, 24)%</f>
        <v>0.1802</v>
      </c>
      <c r="F115" s="48" t="s">
        <v>6353</v>
      </c>
    </row>
    <row r="116" spans="1:15">
      <c r="A116" t="s">
        <v>2</v>
      </c>
      <c r="B116" t="s">
        <v>4246</v>
      </c>
      <c r="D116" s="48" t="s">
        <v>6352</v>
      </c>
      <c r="E116" s="48">
        <f>E114*E115</f>
        <v>5.2468939867500002E-2</v>
      </c>
      <c r="F116" s="48"/>
    </row>
    <row r="117" spans="1:15">
      <c r="A117" t="s">
        <v>2</v>
      </c>
      <c r="B117" t="s">
        <v>4246</v>
      </c>
    </row>
    <row r="118" spans="1:15">
      <c r="A118" t="s">
        <v>2</v>
      </c>
      <c r="B118" t="s">
        <v>4246</v>
      </c>
    </row>
    <row r="119" spans="1:15">
      <c r="A119" t="s">
        <v>2</v>
      </c>
      <c r="B119" t="s">
        <v>4246</v>
      </c>
    </row>
    <row r="120" spans="1:15">
      <c r="A120" t="s">
        <v>2</v>
      </c>
      <c r="B120" t="s">
        <v>4246</v>
      </c>
    </row>
    <row r="121" spans="1:15">
      <c r="A121" t="s">
        <v>2</v>
      </c>
      <c r="B121" t="s">
        <v>4246</v>
      </c>
      <c r="C121" t="s">
        <v>132</v>
      </c>
      <c r="D121" s="7" t="s">
        <v>4319</v>
      </c>
    </row>
    <row r="122" spans="1:15">
      <c r="A122" t="s">
        <v>2</v>
      </c>
      <c r="B122" t="s">
        <v>4246</v>
      </c>
      <c r="D122" s="7" t="s">
        <v>4320</v>
      </c>
    </row>
    <row r="123" spans="1:15" ht="42">
      <c r="A123" t="s">
        <v>2</v>
      </c>
      <c r="B123" t="s">
        <v>4246</v>
      </c>
      <c r="D123" s="295" t="s">
        <v>4321</v>
      </c>
      <c r="E123" s="295" t="s">
        <v>4322</v>
      </c>
      <c r="F123" s="324" t="s">
        <v>4323</v>
      </c>
      <c r="G123" s="324" t="s">
        <v>4324</v>
      </c>
      <c r="H123" s="324" t="s">
        <v>4325</v>
      </c>
      <c r="I123" s="324" t="s">
        <v>4326</v>
      </c>
      <c r="J123" s="295" t="s">
        <v>4327</v>
      </c>
      <c r="K123" s="324" t="s">
        <v>4328</v>
      </c>
      <c r="L123" s="324" t="s">
        <v>4329</v>
      </c>
      <c r="M123" s="324" t="s">
        <v>4330</v>
      </c>
      <c r="N123" s="295" t="s">
        <v>4331</v>
      </c>
      <c r="O123" s="48" t="s">
        <v>4332</v>
      </c>
    </row>
    <row r="124" spans="1:15">
      <c r="A124" t="s">
        <v>2</v>
      </c>
      <c r="B124" t="s">
        <v>4246</v>
      </c>
      <c r="D124" s="292">
        <v>1</v>
      </c>
      <c r="E124" s="292">
        <v>57.5</v>
      </c>
      <c r="F124" s="292">
        <v>2.3E-2</v>
      </c>
      <c r="G124" s="292">
        <v>4.29</v>
      </c>
      <c r="H124" s="292">
        <v>0.30399999999999999</v>
      </c>
      <c r="I124" s="292">
        <v>2E-3</v>
      </c>
      <c r="J124" s="292">
        <v>8.0000000000000002E-3</v>
      </c>
      <c r="K124" s="292">
        <v>0.5</v>
      </c>
      <c r="L124" s="292">
        <v>0.01</v>
      </c>
      <c r="M124" s="292">
        <v>5.0000000000000001E-3</v>
      </c>
      <c r="N124" s="292">
        <v>75</v>
      </c>
      <c r="O124" s="48">
        <f>AVERAGE(M124:M128)</f>
        <v>9.219999999999999E-2</v>
      </c>
    </row>
    <row r="125" spans="1:15">
      <c r="A125" t="s">
        <v>2</v>
      </c>
      <c r="B125" t="s">
        <v>4246</v>
      </c>
      <c r="D125" s="292">
        <v>2</v>
      </c>
      <c r="E125" s="292">
        <v>48.2</v>
      </c>
      <c r="F125" s="292">
        <v>2.4E-2</v>
      </c>
      <c r="G125" s="292">
        <v>5.0999999999999996</v>
      </c>
      <c r="H125" s="292">
        <v>0.13800000000000001</v>
      </c>
      <c r="I125" s="292">
        <v>6.7000000000000004E-2</v>
      </c>
      <c r="J125" s="292">
        <v>0.28599999999999998</v>
      </c>
      <c r="K125" s="292">
        <v>12.2</v>
      </c>
      <c r="L125" s="292">
        <v>0.25</v>
      </c>
      <c r="M125" s="292">
        <v>0.122</v>
      </c>
      <c r="N125" s="292">
        <v>50</v>
      </c>
    </row>
    <row r="126" spans="1:15">
      <c r="A126" t="s">
        <v>2</v>
      </c>
      <c r="B126" t="s">
        <v>4246</v>
      </c>
      <c r="D126" s="292">
        <v>3</v>
      </c>
      <c r="E126" s="292">
        <v>48.2</v>
      </c>
      <c r="F126" s="292">
        <v>4.5999999999999999E-2</v>
      </c>
      <c r="G126" s="292">
        <v>4.13</v>
      </c>
      <c r="H126" s="292">
        <v>0.13400000000000001</v>
      </c>
      <c r="I126" s="292">
        <v>5.8999999999999997E-2</v>
      </c>
      <c r="J126" s="292">
        <v>0.246</v>
      </c>
      <c r="K126" s="292">
        <v>10.9</v>
      </c>
      <c r="L126" s="292">
        <v>0.23</v>
      </c>
      <c r="M126" s="292">
        <v>0.109</v>
      </c>
      <c r="N126" s="292">
        <v>50</v>
      </c>
    </row>
    <row r="127" spans="1:15">
      <c r="A127" t="s">
        <v>2</v>
      </c>
      <c r="B127" t="s">
        <v>4246</v>
      </c>
      <c r="D127" s="292">
        <v>4</v>
      </c>
      <c r="E127" s="292">
        <v>48.2</v>
      </c>
      <c r="F127" s="292">
        <v>1.9E-2</v>
      </c>
      <c r="G127" s="292">
        <v>4.82</v>
      </c>
      <c r="H127" s="292">
        <v>0.154</v>
      </c>
      <c r="I127" s="292">
        <v>5.8000000000000003E-2</v>
      </c>
      <c r="J127" s="292">
        <v>0.27900000000000003</v>
      </c>
      <c r="K127" s="292">
        <v>11.7</v>
      </c>
      <c r="L127" s="292">
        <v>0.24</v>
      </c>
      <c r="M127" s="292">
        <v>0.11700000000000001</v>
      </c>
      <c r="N127" s="292">
        <v>50</v>
      </c>
    </row>
    <row r="128" spans="1:15">
      <c r="A128" t="s">
        <v>2</v>
      </c>
      <c r="B128" t="s">
        <v>4246</v>
      </c>
      <c r="D128" s="290">
        <v>5</v>
      </c>
      <c r="E128" s="290">
        <v>48.2</v>
      </c>
      <c r="F128" s="290">
        <v>0.02</v>
      </c>
      <c r="G128" s="290">
        <v>4.5199999999999996</v>
      </c>
      <c r="H128" s="290">
        <v>0.251</v>
      </c>
      <c r="I128" s="290">
        <v>2.8000000000000001E-2</v>
      </c>
      <c r="J128" s="290">
        <v>0.11899999999999999</v>
      </c>
      <c r="K128" s="290">
        <v>10.8</v>
      </c>
      <c r="L128" s="290">
        <v>0.22</v>
      </c>
      <c r="M128" s="290">
        <v>0.108</v>
      </c>
      <c r="N128" s="325"/>
    </row>
    <row r="129" spans="1:13">
      <c r="A129" t="s">
        <v>2</v>
      </c>
      <c r="B129" t="s">
        <v>4246</v>
      </c>
      <c r="L129" s="48" t="s">
        <v>3033</v>
      </c>
      <c r="M129" s="48">
        <f>MAX(M124:M128)</f>
        <v>0.122</v>
      </c>
    </row>
    <row r="130" spans="1:13">
      <c r="A130" t="s">
        <v>2</v>
      </c>
      <c r="B130" t="s">
        <v>4246</v>
      </c>
      <c r="L130" s="48" t="s">
        <v>3034</v>
      </c>
      <c r="M130" s="48">
        <f>MIN(M124:M128)</f>
        <v>5.0000000000000001E-3</v>
      </c>
    </row>
    <row r="131" spans="1:13">
      <c r="A131" t="s">
        <v>2</v>
      </c>
      <c r="B131" t="s">
        <v>4246</v>
      </c>
    </row>
    <row r="132" spans="1:13">
      <c r="A132" t="s">
        <v>2</v>
      </c>
      <c r="B132" t="s">
        <v>4246</v>
      </c>
      <c r="C132" t="s">
        <v>3145</v>
      </c>
      <c r="D132" s="7" t="s">
        <v>4333</v>
      </c>
    </row>
    <row r="133" spans="1:13">
      <c r="A133" t="s">
        <v>2</v>
      </c>
      <c r="B133" t="s">
        <v>4246</v>
      </c>
      <c r="D133" s="7" t="s">
        <v>4334</v>
      </c>
    </row>
    <row r="134" spans="1:13">
      <c r="A134" t="s">
        <v>2</v>
      </c>
      <c r="B134" t="s">
        <v>4246</v>
      </c>
      <c r="D134" t="s">
        <v>4335</v>
      </c>
    </row>
    <row r="135" spans="1:13">
      <c r="A135" t="s">
        <v>2</v>
      </c>
      <c r="B135" t="s">
        <v>4246</v>
      </c>
      <c r="D135" s="48" t="s">
        <v>3151</v>
      </c>
      <c r="E135" s="48">
        <v>0.34</v>
      </c>
    </row>
    <row r="136" spans="1:13">
      <c r="A136" t="s">
        <v>2</v>
      </c>
      <c r="B136" t="s">
        <v>4246</v>
      </c>
      <c r="D136" s="48" t="s">
        <v>4336</v>
      </c>
      <c r="E136" s="51">
        <f>[1]MonoSugar!$H$14</f>
        <v>9.3163341403508788</v>
      </c>
    </row>
    <row r="137" spans="1:13">
      <c r="A137" t="s">
        <v>2</v>
      </c>
      <c r="B137" t="s">
        <v>4246</v>
      </c>
      <c r="D137" s="48" t="s">
        <v>4250</v>
      </c>
      <c r="E137" s="48">
        <f>E135*E136/100</f>
        <v>3.1675536077192992E-2</v>
      </c>
    </row>
    <row r="138" spans="1:13">
      <c r="A138" t="s">
        <v>2</v>
      </c>
      <c r="B138" t="s">
        <v>4246</v>
      </c>
    </row>
    <row r="139" spans="1:13">
      <c r="A139" t="s">
        <v>2</v>
      </c>
      <c r="B139" t="s">
        <v>4337</v>
      </c>
      <c r="C139" t="s">
        <v>4</v>
      </c>
      <c r="D139" s="7" t="s">
        <v>4338</v>
      </c>
      <c r="F139" t="s">
        <v>6</v>
      </c>
    </row>
    <row r="140" spans="1:13">
      <c r="A140" t="s">
        <v>2</v>
      </c>
      <c r="B140" t="s">
        <v>4337</v>
      </c>
      <c r="D140" s="7" t="s">
        <v>4339</v>
      </c>
    </row>
    <row r="141" spans="1:13">
      <c r="A141" t="s">
        <v>2</v>
      </c>
      <c r="B141" t="s">
        <v>4337</v>
      </c>
      <c r="D141" s="284" t="s">
        <v>430</v>
      </c>
      <c r="E141" s="284" t="s">
        <v>3151</v>
      </c>
      <c r="F141" s="285" t="s">
        <v>4340</v>
      </c>
      <c r="G141" s="48" t="s">
        <v>4341</v>
      </c>
      <c r="H141" s="48" t="s">
        <v>3177</v>
      </c>
    </row>
    <row r="142" spans="1:13">
      <c r="A142" t="s">
        <v>2</v>
      </c>
      <c r="B142" t="s">
        <v>4337</v>
      </c>
      <c r="D142" s="284">
        <v>1</v>
      </c>
      <c r="E142" s="284">
        <v>0.47</v>
      </c>
      <c r="F142" s="286">
        <f>[1]MonoSugar!$H$16</f>
        <v>21.175292982456138</v>
      </c>
      <c r="G142" s="48">
        <f>E142*$F$142/100</f>
        <v>9.9523877017543838E-2</v>
      </c>
      <c r="H142" s="48">
        <f>AVERAGE(G142:G149)</f>
        <v>0.10270017096491227</v>
      </c>
    </row>
    <row r="143" spans="1:13">
      <c r="A143" t="s">
        <v>2</v>
      </c>
      <c r="B143" t="s">
        <v>4337</v>
      </c>
      <c r="D143" s="284">
        <v>2</v>
      </c>
      <c r="E143" s="284">
        <v>0.48</v>
      </c>
      <c r="G143" s="48">
        <f t="shared" ref="G143:G149" si="2">E143*$F$142/100</f>
        <v>0.10164140631578945</v>
      </c>
    </row>
    <row r="144" spans="1:13">
      <c r="A144" t="s">
        <v>2</v>
      </c>
      <c r="B144" t="s">
        <v>4337</v>
      </c>
      <c r="D144" s="284">
        <v>3</v>
      </c>
      <c r="E144" s="284">
        <v>0.46</v>
      </c>
      <c r="G144" s="48">
        <f t="shared" si="2"/>
        <v>9.740634771929825E-2</v>
      </c>
    </row>
    <row r="145" spans="1:7">
      <c r="A145" t="s">
        <v>2</v>
      </c>
      <c r="B145" t="s">
        <v>4337</v>
      </c>
      <c r="D145" s="284">
        <v>4</v>
      </c>
      <c r="E145" s="284">
        <v>0.48</v>
      </c>
      <c r="G145" s="48">
        <f t="shared" si="2"/>
        <v>0.10164140631578945</v>
      </c>
    </row>
    <row r="146" spans="1:7">
      <c r="A146" t="s">
        <v>2</v>
      </c>
      <c r="B146" t="s">
        <v>4337</v>
      </c>
      <c r="D146" s="284">
        <v>5</v>
      </c>
      <c r="E146" s="284">
        <v>0.48</v>
      </c>
      <c r="G146" s="48">
        <f t="shared" si="2"/>
        <v>0.10164140631578945</v>
      </c>
    </row>
    <row r="147" spans="1:7">
      <c r="A147" t="s">
        <v>2</v>
      </c>
      <c r="B147" t="s">
        <v>4337</v>
      </c>
      <c r="D147" s="284">
        <v>6</v>
      </c>
      <c r="E147" s="284">
        <v>0.49</v>
      </c>
      <c r="G147" s="48">
        <f t="shared" si="2"/>
        <v>0.10375893561403508</v>
      </c>
    </row>
    <row r="148" spans="1:7">
      <c r="A148" t="s">
        <v>2</v>
      </c>
      <c r="B148" t="s">
        <v>4337</v>
      </c>
      <c r="D148" s="284">
        <v>7</v>
      </c>
      <c r="E148" s="284">
        <v>0.5</v>
      </c>
      <c r="G148" s="48">
        <f t="shared" si="2"/>
        <v>0.1058764649122807</v>
      </c>
    </row>
    <row r="149" spans="1:7">
      <c r="A149" t="s">
        <v>2</v>
      </c>
      <c r="B149" t="s">
        <v>4337</v>
      </c>
      <c r="D149" s="284">
        <v>8</v>
      </c>
      <c r="E149" s="284">
        <v>0.52</v>
      </c>
      <c r="G149" s="48">
        <f t="shared" si="2"/>
        <v>0.11011152350877193</v>
      </c>
    </row>
    <row r="150" spans="1:7">
      <c r="A150" t="s">
        <v>2</v>
      </c>
      <c r="B150" t="s">
        <v>4337</v>
      </c>
      <c r="D150" s="297" t="s">
        <v>3033</v>
      </c>
      <c r="E150" s="297">
        <f>MAX(E142:E149)</f>
        <v>0.52</v>
      </c>
    </row>
    <row r="151" spans="1:7">
      <c r="A151" t="s">
        <v>2</v>
      </c>
      <c r="B151" t="s">
        <v>4337</v>
      </c>
      <c r="D151" s="48" t="s">
        <v>3034</v>
      </c>
      <c r="E151" s="48">
        <f>MIN(E142:E149)</f>
        <v>0.46</v>
      </c>
    </row>
    <row r="152" spans="1:7">
      <c r="A152" t="s">
        <v>2</v>
      </c>
      <c r="B152" t="s">
        <v>4337</v>
      </c>
    </row>
    <row r="153" spans="1:7">
      <c r="A153" t="s">
        <v>2</v>
      </c>
      <c r="B153" t="s">
        <v>4337</v>
      </c>
      <c r="C153" t="s">
        <v>473</v>
      </c>
      <c r="D153" s="7" t="s">
        <v>4342</v>
      </c>
      <c r="F153" t="s">
        <v>1003</v>
      </c>
    </row>
    <row r="154" spans="1:7">
      <c r="A154" t="s">
        <v>2</v>
      </c>
      <c r="B154" t="s">
        <v>4337</v>
      </c>
      <c r="D154" s="7" t="s">
        <v>4343</v>
      </c>
    </row>
    <row r="155" spans="1:7">
      <c r="A155" t="s">
        <v>2</v>
      </c>
      <c r="B155" t="s">
        <v>4337</v>
      </c>
      <c r="D155" s="326" t="s">
        <v>1350</v>
      </c>
      <c r="E155" s="326" t="s">
        <v>4344</v>
      </c>
      <c r="F155" s="326" t="s">
        <v>4345</v>
      </c>
    </row>
    <row r="156" spans="1:7">
      <c r="A156" t="s">
        <v>2</v>
      </c>
      <c r="B156" t="s">
        <v>4337</v>
      </c>
      <c r="D156" s="327" t="s">
        <v>4346</v>
      </c>
      <c r="E156" s="327"/>
      <c r="F156" s="327"/>
    </row>
    <row r="157" spans="1:7">
      <c r="A157" t="s">
        <v>2</v>
      </c>
      <c r="B157" t="s">
        <v>4337</v>
      </c>
      <c r="D157" s="328" t="s">
        <v>4347</v>
      </c>
      <c r="E157" s="328" t="s">
        <v>4348</v>
      </c>
      <c r="F157" s="328" t="s">
        <v>4349</v>
      </c>
    </row>
    <row r="158" spans="1:7">
      <c r="A158" t="s">
        <v>2</v>
      </c>
      <c r="B158" t="s">
        <v>4337</v>
      </c>
      <c r="D158" s="327" t="s">
        <v>4350</v>
      </c>
      <c r="E158" s="327" t="s">
        <v>4351</v>
      </c>
      <c r="F158" s="327" t="s">
        <v>4352</v>
      </c>
    </row>
    <row r="159" spans="1:7">
      <c r="A159" t="s">
        <v>2</v>
      </c>
      <c r="B159" t="s">
        <v>4337</v>
      </c>
      <c r="D159" s="328" t="s">
        <v>4353</v>
      </c>
      <c r="E159" s="328" t="s">
        <v>4354</v>
      </c>
      <c r="F159" s="328" t="s">
        <v>4355</v>
      </c>
    </row>
    <row r="160" spans="1:7">
      <c r="A160" t="s">
        <v>2</v>
      </c>
      <c r="B160" t="s">
        <v>4337</v>
      </c>
      <c r="D160" s="327" t="s">
        <v>4356</v>
      </c>
      <c r="E160" s="327" t="s">
        <v>4357</v>
      </c>
      <c r="F160" s="327" t="s">
        <v>4358</v>
      </c>
    </row>
    <row r="161" spans="1:12">
      <c r="A161" t="s">
        <v>2</v>
      </c>
      <c r="B161" t="s">
        <v>4337</v>
      </c>
      <c r="D161" s="48" t="s">
        <v>3149</v>
      </c>
      <c r="E161" s="48">
        <v>99.5</v>
      </c>
      <c r="F161" s="48">
        <v>78.900000000000006</v>
      </c>
    </row>
    <row r="162" spans="1:12">
      <c r="A162" t="s">
        <v>2</v>
      </c>
      <c r="B162" t="s">
        <v>4337</v>
      </c>
      <c r="D162" s="48" t="s">
        <v>3727</v>
      </c>
      <c r="E162" s="48">
        <v>0.51</v>
      </c>
    </row>
    <row r="163" spans="1:12">
      <c r="A163" t="s">
        <v>2</v>
      </c>
      <c r="B163" t="s">
        <v>4337</v>
      </c>
      <c r="D163" s="48" t="s">
        <v>3151</v>
      </c>
      <c r="E163" s="48">
        <f>E161*E162/100</f>
        <v>0.50744999999999996</v>
      </c>
      <c r="F163" s="48">
        <f>E162*F161/100</f>
        <v>0.40239000000000003</v>
      </c>
    </row>
    <row r="164" spans="1:12">
      <c r="A164" t="s">
        <v>2</v>
      </c>
      <c r="B164" t="s">
        <v>4337</v>
      </c>
      <c r="D164" s="48" t="s">
        <v>6354</v>
      </c>
      <c r="E164" s="48">
        <f>F142</f>
        <v>21.175292982456138</v>
      </c>
    </row>
    <row r="165" spans="1:12">
      <c r="A165" t="s">
        <v>2</v>
      </c>
      <c r="B165" t="s">
        <v>4337</v>
      </c>
      <c r="D165" s="48" t="s">
        <v>4341</v>
      </c>
      <c r="E165" s="48">
        <f>E164*E163/100</f>
        <v>0.10745402423947366</v>
      </c>
      <c r="F165" s="48">
        <f>F163*E164/100</f>
        <v>8.5207261432105261E-2</v>
      </c>
    </row>
    <row r="166" spans="1:12">
      <c r="A166" t="s">
        <v>2</v>
      </c>
      <c r="B166" t="s">
        <v>4337</v>
      </c>
      <c r="D166" s="48" t="s">
        <v>3177</v>
      </c>
      <c r="E166" s="48">
        <f>AVERAGE(E165:F165)</f>
        <v>9.633064283578946E-2</v>
      </c>
    </row>
    <row r="167" spans="1:12">
      <c r="A167" t="s">
        <v>2</v>
      </c>
      <c r="B167" t="s">
        <v>4337</v>
      </c>
    </row>
    <row r="168" spans="1:12">
      <c r="A168" t="s">
        <v>2</v>
      </c>
      <c r="B168" t="s">
        <v>4337</v>
      </c>
      <c r="C168" t="s">
        <v>69</v>
      </c>
      <c r="D168" s="7" t="s">
        <v>4359</v>
      </c>
    </row>
    <row r="169" spans="1:12">
      <c r="A169" t="s">
        <v>2</v>
      </c>
      <c r="B169" t="s">
        <v>4337</v>
      </c>
      <c r="D169" s="7" t="s">
        <v>4360</v>
      </c>
    </row>
    <row r="170" spans="1:12" ht="17.399999999999999">
      <c r="A170" t="s">
        <v>2</v>
      </c>
      <c r="B170" t="s">
        <v>4337</v>
      </c>
      <c r="D170" s="681" t="s">
        <v>4361</v>
      </c>
      <c r="E170" s="682" t="s">
        <v>4362</v>
      </c>
      <c r="F170" s="682"/>
      <c r="G170" s="682"/>
      <c r="H170" s="682"/>
    </row>
    <row r="171" spans="1:12" ht="17.399999999999999">
      <c r="A171" t="s">
        <v>2</v>
      </c>
      <c r="B171" t="s">
        <v>4337</v>
      </c>
      <c r="D171" s="681"/>
      <c r="E171" s="683" t="s">
        <v>4363</v>
      </c>
      <c r="F171" s="683"/>
      <c r="G171" s="683" t="s">
        <v>4364</v>
      </c>
      <c r="H171" s="683"/>
    </row>
    <row r="172" spans="1:12" ht="34.799999999999997">
      <c r="A172" t="s">
        <v>2</v>
      </c>
      <c r="B172" t="s">
        <v>4337</v>
      </c>
      <c r="D172" s="681"/>
      <c r="E172" s="329" t="s">
        <v>4365</v>
      </c>
      <c r="F172" s="329" t="s">
        <v>4366</v>
      </c>
      <c r="G172" s="329" t="s">
        <v>4365</v>
      </c>
      <c r="H172" s="330" t="s">
        <v>4366</v>
      </c>
      <c r="I172" s="424" t="s">
        <v>4367</v>
      </c>
      <c r="J172" s="424" t="s">
        <v>4341</v>
      </c>
      <c r="K172" s="424" t="s">
        <v>6399</v>
      </c>
      <c r="L172" s="424" t="s">
        <v>4341</v>
      </c>
    </row>
    <row r="173" spans="1:12" ht="17.399999999999999">
      <c r="A173" t="s">
        <v>2</v>
      </c>
      <c r="B173" t="s">
        <v>4337</v>
      </c>
      <c r="D173" s="332">
        <v>100</v>
      </c>
      <c r="E173" s="372" t="s">
        <v>4368</v>
      </c>
      <c r="F173" s="372" t="s">
        <v>4369</v>
      </c>
      <c r="G173" s="333" t="s">
        <v>4370</v>
      </c>
      <c r="H173" s="334" t="s">
        <v>4371</v>
      </c>
      <c r="I173" s="48">
        <v>31.7</v>
      </c>
      <c r="J173" s="48">
        <f>I173*0.789/100</f>
        <v>0.25011300000000003</v>
      </c>
      <c r="K173" s="48">
        <v>28.8</v>
      </c>
      <c r="L173" s="48">
        <f t="shared" ref="L173:L181" si="3">K173*0.789/100</f>
        <v>0.22723200000000002</v>
      </c>
    </row>
    <row r="174" spans="1:12" ht="17.399999999999999">
      <c r="A174" t="s">
        <v>2</v>
      </c>
      <c r="B174" t="s">
        <v>4337</v>
      </c>
      <c r="D174" s="332">
        <v>125</v>
      </c>
      <c r="E174" s="372" t="s">
        <v>4372</v>
      </c>
      <c r="F174" s="372" t="s">
        <v>4373</v>
      </c>
      <c r="G174" s="333" t="s">
        <v>4374</v>
      </c>
      <c r="H174" s="334" t="s">
        <v>4375</v>
      </c>
      <c r="I174" s="48">
        <v>30.5</v>
      </c>
      <c r="J174" s="48">
        <f t="shared" ref="J174:J181" si="4">I174*0.789/100</f>
        <v>0.24064500000000003</v>
      </c>
      <c r="K174" s="48">
        <v>27.8</v>
      </c>
      <c r="L174" s="48">
        <f t="shared" si="3"/>
        <v>0.21934200000000001</v>
      </c>
    </row>
    <row r="175" spans="1:12" ht="17.399999999999999">
      <c r="A175" t="s">
        <v>2</v>
      </c>
      <c r="B175" t="s">
        <v>4337</v>
      </c>
      <c r="D175" s="332">
        <v>150</v>
      </c>
      <c r="E175" s="372" t="s">
        <v>4376</v>
      </c>
      <c r="F175" s="372" t="s">
        <v>4377</v>
      </c>
      <c r="G175" s="333" t="s">
        <v>4378</v>
      </c>
      <c r="H175" s="334" t="s">
        <v>4379</v>
      </c>
      <c r="I175" s="48">
        <v>31.2</v>
      </c>
      <c r="J175" s="48">
        <f t="shared" si="4"/>
        <v>0.24616800000000003</v>
      </c>
      <c r="K175" s="48">
        <v>27.6</v>
      </c>
      <c r="L175" s="48">
        <f t="shared" si="3"/>
        <v>0.21776400000000001</v>
      </c>
    </row>
    <row r="176" spans="1:12" ht="17.399999999999999">
      <c r="A176" t="s">
        <v>2</v>
      </c>
      <c r="B176" t="s">
        <v>4337</v>
      </c>
      <c r="D176" s="332">
        <v>175</v>
      </c>
      <c r="E176" s="372" t="s">
        <v>4380</v>
      </c>
      <c r="F176" s="372" t="s">
        <v>4381</v>
      </c>
      <c r="G176" s="333" t="s">
        <v>4382</v>
      </c>
      <c r="H176" s="334" t="s">
        <v>4383</v>
      </c>
      <c r="I176" s="48">
        <v>31.7</v>
      </c>
      <c r="J176" s="48">
        <f t="shared" si="4"/>
        <v>0.25011300000000003</v>
      </c>
      <c r="K176" s="48">
        <v>30</v>
      </c>
      <c r="L176" s="48">
        <f t="shared" si="3"/>
        <v>0.23670000000000002</v>
      </c>
    </row>
    <row r="177" spans="1:12" ht="17.399999999999999">
      <c r="A177" t="s">
        <v>2</v>
      </c>
      <c r="B177" t="s">
        <v>4337</v>
      </c>
      <c r="D177" s="332">
        <v>200</v>
      </c>
      <c r="E177" s="372" t="s">
        <v>4384</v>
      </c>
      <c r="F177" s="372" t="s">
        <v>4385</v>
      </c>
      <c r="G177" s="333" t="s">
        <v>4386</v>
      </c>
      <c r="H177" s="334" t="s">
        <v>4387</v>
      </c>
      <c r="I177" s="48">
        <v>29.1</v>
      </c>
      <c r="J177" s="48">
        <f t="shared" si="4"/>
        <v>0.229599</v>
      </c>
      <c r="K177" s="48">
        <v>27.5</v>
      </c>
      <c r="L177" s="48">
        <f t="shared" si="3"/>
        <v>0.21697500000000003</v>
      </c>
    </row>
    <row r="178" spans="1:12" ht="17.399999999999999">
      <c r="A178" t="s">
        <v>2</v>
      </c>
      <c r="B178" t="s">
        <v>4337</v>
      </c>
      <c r="D178" s="332">
        <v>225</v>
      </c>
      <c r="E178" s="372" t="s">
        <v>4388</v>
      </c>
      <c r="F178" s="372" t="s">
        <v>4389</v>
      </c>
      <c r="G178" s="333" t="s">
        <v>4390</v>
      </c>
      <c r="H178" s="334" t="s">
        <v>4391</v>
      </c>
      <c r="I178" s="48">
        <v>22.1</v>
      </c>
      <c r="J178" s="48">
        <f t="shared" si="4"/>
        <v>0.17436900000000002</v>
      </c>
      <c r="K178" s="48">
        <v>20.3</v>
      </c>
      <c r="L178" s="48">
        <f t="shared" si="3"/>
        <v>0.160167</v>
      </c>
    </row>
    <row r="179" spans="1:12" ht="17.399999999999999">
      <c r="A179" t="s">
        <v>2</v>
      </c>
      <c r="B179" t="s">
        <v>4337</v>
      </c>
      <c r="D179" s="332">
        <v>250</v>
      </c>
      <c r="E179" s="372" t="s">
        <v>4392</v>
      </c>
      <c r="F179" s="372" t="s">
        <v>4393</v>
      </c>
      <c r="G179" s="333" t="s">
        <v>4394</v>
      </c>
      <c r="H179" s="334" t="s">
        <v>4395</v>
      </c>
      <c r="I179" s="48">
        <v>13.7</v>
      </c>
      <c r="J179" s="48">
        <f t="shared" si="4"/>
        <v>0.10809300000000001</v>
      </c>
      <c r="K179" s="48">
        <v>12</v>
      </c>
      <c r="L179" s="48">
        <f t="shared" si="3"/>
        <v>9.468E-2</v>
      </c>
    </row>
    <row r="180" spans="1:12" ht="17.399999999999999">
      <c r="A180" t="s">
        <v>2</v>
      </c>
      <c r="B180" t="s">
        <v>4337</v>
      </c>
      <c r="D180" s="332">
        <v>275</v>
      </c>
      <c r="E180" s="372" t="s">
        <v>4396</v>
      </c>
      <c r="F180" s="372" t="s">
        <v>4397</v>
      </c>
      <c r="G180" s="333" t="s">
        <v>4352</v>
      </c>
      <c r="H180" s="334" t="s">
        <v>4398</v>
      </c>
      <c r="I180" s="48">
        <v>8.4</v>
      </c>
      <c r="J180" s="48">
        <f t="shared" si="4"/>
        <v>6.6276000000000002E-2</v>
      </c>
      <c r="K180" s="48">
        <v>4.0999999999999996</v>
      </c>
      <c r="L180" s="48">
        <f t="shared" si="3"/>
        <v>3.2348999999999996E-2</v>
      </c>
    </row>
    <row r="181" spans="1:12" ht="17.399999999999999">
      <c r="A181" t="s">
        <v>2</v>
      </c>
      <c r="B181" t="s">
        <v>4337</v>
      </c>
      <c r="D181" s="335">
        <v>300</v>
      </c>
      <c r="E181" s="423" t="s">
        <v>4399</v>
      </c>
      <c r="F181" s="423" t="s">
        <v>4400</v>
      </c>
      <c r="G181" s="336" t="s">
        <v>4401</v>
      </c>
      <c r="H181" s="337" t="s">
        <v>4402</v>
      </c>
      <c r="I181" s="48">
        <v>4.5</v>
      </c>
      <c r="J181" s="48">
        <f t="shared" si="4"/>
        <v>3.5505000000000002E-2</v>
      </c>
      <c r="K181" s="48">
        <v>2</v>
      </c>
      <c r="L181" s="48">
        <f t="shared" si="3"/>
        <v>1.5780000000000002E-2</v>
      </c>
    </row>
    <row r="182" spans="1:12">
      <c r="A182" t="s">
        <v>2</v>
      </c>
      <c r="B182" t="s">
        <v>4337</v>
      </c>
      <c r="H182" s="48" t="s">
        <v>3033</v>
      </c>
      <c r="I182" s="48">
        <f>MAX(I173:I181)</f>
        <v>31.7</v>
      </c>
      <c r="J182" s="48" t="s">
        <v>3033</v>
      </c>
      <c r="K182" s="48">
        <f>MAX(K173:K181)</f>
        <v>30</v>
      </c>
      <c r="L182" s="48" t="s">
        <v>510</v>
      </c>
    </row>
    <row r="183" spans="1:12">
      <c r="A183" t="s">
        <v>2</v>
      </c>
      <c r="B183" t="s">
        <v>4337</v>
      </c>
      <c r="H183" s="48" t="s">
        <v>3034</v>
      </c>
      <c r="I183" s="48">
        <f>MIN(I173:I181)</f>
        <v>4.5</v>
      </c>
      <c r="J183" s="48" t="s">
        <v>3034</v>
      </c>
      <c r="K183" s="48">
        <f>MIN(K173:K181)</f>
        <v>2</v>
      </c>
      <c r="L183" s="48">
        <f>AVERAGE(J173:J181,L173:L181)</f>
        <v>0.16788166666666665</v>
      </c>
    </row>
    <row r="184" spans="1:12">
      <c r="A184" t="s">
        <v>2</v>
      </c>
      <c r="B184" t="s">
        <v>4337</v>
      </c>
    </row>
    <row r="185" spans="1:12">
      <c r="A185" t="s">
        <v>2</v>
      </c>
      <c r="B185" t="s">
        <v>4337</v>
      </c>
      <c r="C185" t="s">
        <v>132</v>
      </c>
      <c r="D185" s="7" t="s">
        <v>4403</v>
      </c>
    </row>
    <row r="186" spans="1:12">
      <c r="A186" t="s">
        <v>2</v>
      </c>
      <c r="B186" t="s">
        <v>4337</v>
      </c>
      <c r="D186" s="7" t="s">
        <v>4404</v>
      </c>
    </row>
    <row r="187" spans="1:12">
      <c r="A187" t="s">
        <v>2</v>
      </c>
      <c r="B187" t="s">
        <v>4337</v>
      </c>
      <c r="D187" s="331" t="s">
        <v>4405</v>
      </c>
      <c r="E187" s="289" t="s">
        <v>4406</v>
      </c>
      <c r="F187" s="289" t="s">
        <v>4407</v>
      </c>
      <c r="G187" s="289" t="s">
        <v>4408</v>
      </c>
      <c r="H187" s="289" t="s">
        <v>4409</v>
      </c>
      <c r="I187" s="289" t="s">
        <v>4410</v>
      </c>
    </row>
    <row r="188" spans="1:12">
      <c r="A188" t="s">
        <v>2</v>
      </c>
      <c r="B188" t="s">
        <v>4337</v>
      </c>
      <c r="D188" s="292" t="s">
        <v>1757</v>
      </c>
      <c r="E188" s="292">
        <v>30</v>
      </c>
      <c r="F188" s="292">
        <v>24</v>
      </c>
      <c r="G188" s="292">
        <v>24</v>
      </c>
      <c r="H188" s="292">
        <v>24</v>
      </c>
      <c r="I188" s="292">
        <v>24</v>
      </c>
    </row>
    <row r="189" spans="1:12" ht="28.8">
      <c r="A189" t="s">
        <v>2</v>
      </c>
      <c r="B189" t="s">
        <v>4337</v>
      </c>
      <c r="D189" s="292" t="s">
        <v>4411</v>
      </c>
      <c r="E189" s="292" t="s">
        <v>4412</v>
      </c>
      <c r="F189" s="292" t="s">
        <v>4413</v>
      </c>
      <c r="G189" s="292" t="s">
        <v>4414</v>
      </c>
      <c r="H189" s="292" t="s">
        <v>4415</v>
      </c>
      <c r="I189" s="292" t="s">
        <v>4416</v>
      </c>
    </row>
    <row r="190" spans="1:12">
      <c r="A190" t="s">
        <v>2</v>
      </c>
      <c r="B190" t="s">
        <v>4337</v>
      </c>
      <c r="D190" s="292" t="s">
        <v>4417</v>
      </c>
      <c r="E190" s="292" t="s">
        <v>4418</v>
      </c>
      <c r="F190" s="292" t="s">
        <v>4419</v>
      </c>
      <c r="G190" s="292" t="s">
        <v>4420</v>
      </c>
      <c r="H190" s="292" t="s">
        <v>4421</v>
      </c>
      <c r="I190" s="292" t="s">
        <v>4422</v>
      </c>
    </row>
    <row r="191" spans="1:12" ht="28.2">
      <c r="A191" t="s">
        <v>2</v>
      </c>
      <c r="B191" t="s">
        <v>4337</v>
      </c>
      <c r="D191" s="292" t="s">
        <v>4423</v>
      </c>
      <c r="E191" s="292" t="s">
        <v>4424</v>
      </c>
      <c r="F191" s="292" t="s">
        <v>4425</v>
      </c>
      <c r="G191" s="292" t="s">
        <v>4426</v>
      </c>
      <c r="H191" s="292" t="s">
        <v>4427</v>
      </c>
      <c r="I191" s="292" t="s">
        <v>4428</v>
      </c>
    </row>
    <row r="192" spans="1:12">
      <c r="A192" t="s">
        <v>2</v>
      </c>
      <c r="B192" t="s">
        <v>4337</v>
      </c>
      <c r="D192" s="292" t="s">
        <v>35</v>
      </c>
      <c r="E192" s="292" t="s">
        <v>4429</v>
      </c>
      <c r="F192" s="292" t="s">
        <v>4430</v>
      </c>
      <c r="G192" s="292" t="s">
        <v>4431</v>
      </c>
      <c r="H192" s="292" t="s">
        <v>4432</v>
      </c>
      <c r="I192" s="292" t="s">
        <v>4433</v>
      </c>
    </row>
    <row r="193" spans="1:11" ht="28.8">
      <c r="A193" t="s">
        <v>2</v>
      </c>
      <c r="B193" t="s">
        <v>4337</v>
      </c>
      <c r="D193" s="292" t="s">
        <v>4434</v>
      </c>
      <c r="E193" s="292" t="s">
        <v>4435</v>
      </c>
      <c r="F193" s="292" t="s">
        <v>4436</v>
      </c>
      <c r="G193" s="292" t="s">
        <v>4437</v>
      </c>
      <c r="H193" s="292" t="s">
        <v>4438</v>
      </c>
      <c r="I193" s="292" t="s">
        <v>4439</v>
      </c>
    </row>
    <row r="194" spans="1:11" ht="28.2">
      <c r="A194" t="s">
        <v>2</v>
      </c>
      <c r="B194" t="s">
        <v>4337</v>
      </c>
      <c r="D194" s="290" t="s">
        <v>4440</v>
      </c>
      <c r="E194" s="290">
        <v>85.88</v>
      </c>
      <c r="F194" s="290">
        <v>86.02</v>
      </c>
      <c r="G194" s="290">
        <v>93.66</v>
      </c>
      <c r="H194" s="290">
        <v>94.8</v>
      </c>
      <c r="I194" s="290">
        <v>96.56</v>
      </c>
      <c r="J194" s="48" t="s">
        <v>3033</v>
      </c>
      <c r="K194" s="48" t="s">
        <v>3034</v>
      </c>
    </row>
    <row r="195" spans="1:11">
      <c r="A195" t="s">
        <v>2</v>
      </c>
      <c r="B195" t="s">
        <v>4337</v>
      </c>
      <c r="D195" s="81" t="s">
        <v>4441</v>
      </c>
      <c r="E195" s="48">
        <f>E194*0.51/100</f>
        <v>0.43798799999999999</v>
      </c>
      <c r="F195" s="48">
        <f t="shared" ref="F195:I195" si="5">F194*0.51/100</f>
        <v>0.43870199999999998</v>
      </c>
      <c r="G195" s="48">
        <f t="shared" si="5"/>
        <v>0.47766599999999998</v>
      </c>
      <c r="H195" s="48">
        <f t="shared" si="5"/>
        <v>0.48347999999999997</v>
      </c>
      <c r="I195" s="48">
        <f t="shared" si="5"/>
        <v>0.492456</v>
      </c>
      <c r="J195" s="48">
        <f>MAX(E195:I195)</f>
        <v>0.492456</v>
      </c>
      <c r="K195" s="48">
        <f>MIN(D195:I195)</f>
        <v>0.43798799999999999</v>
      </c>
    </row>
    <row r="196" spans="1:11">
      <c r="A196" t="s">
        <v>2</v>
      </c>
      <c r="B196" t="s">
        <v>4337</v>
      </c>
      <c r="D196" s="48" t="s">
        <v>4336</v>
      </c>
      <c r="E196" s="48">
        <f>E164</f>
        <v>21.175292982456138</v>
      </c>
    </row>
    <row r="197" spans="1:11">
      <c r="A197" t="s">
        <v>2</v>
      </c>
      <c r="B197" t="s">
        <v>4337</v>
      </c>
      <c r="D197" s="48" t="s">
        <v>4341</v>
      </c>
      <c r="E197" s="48">
        <f>E195*$E$196/100</f>
        <v>9.2745242227999986E-2</v>
      </c>
      <c r="F197" s="48">
        <f t="shared" ref="F197:I197" si="6">F195*$E$196/100</f>
        <v>9.2896433819894722E-2</v>
      </c>
      <c r="G197" s="48">
        <f t="shared" si="6"/>
        <v>0.10114717497757894</v>
      </c>
      <c r="H197" s="48">
        <f t="shared" si="6"/>
        <v>0.10237830651157892</v>
      </c>
      <c r="I197" s="48">
        <f t="shared" si="6"/>
        <v>0.10427900080968421</v>
      </c>
    </row>
    <row r="198" spans="1:11">
      <c r="A198" t="s">
        <v>2</v>
      </c>
      <c r="B198" t="s">
        <v>4337</v>
      </c>
      <c r="D198" s="48" t="s">
        <v>3177</v>
      </c>
      <c r="E198" s="48">
        <f>AVERAGE(E197:I197)</f>
        <v>9.8689231669347371E-2</v>
      </c>
    </row>
    <row r="199" spans="1:11">
      <c r="A199" t="s">
        <v>2</v>
      </c>
      <c r="B199" t="s">
        <v>4337</v>
      </c>
    </row>
    <row r="200" spans="1:11" s="383" customFormat="1">
      <c r="A200" s="383" t="s">
        <v>2</v>
      </c>
      <c r="B200" s="383" t="s">
        <v>4337</v>
      </c>
      <c r="C200" s="383" t="s">
        <v>3145</v>
      </c>
      <c r="D200" s="384" t="s">
        <v>6395</v>
      </c>
      <c r="G200" s="383" t="s">
        <v>815</v>
      </c>
    </row>
    <row r="201" spans="1:11" s="383" customFormat="1">
      <c r="A201" s="383" t="s">
        <v>2</v>
      </c>
      <c r="B201" s="383" t="s">
        <v>4337</v>
      </c>
      <c r="D201" s="383" t="s">
        <v>6396</v>
      </c>
    </row>
    <row r="202" spans="1:11" s="383" customFormat="1">
      <c r="A202" s="383" t="s">
        <v>2</v>
      </c>
      <c r="B202" s="383" t="s">
        <v>4337</v>
      </c>
      <c r="D202" s="383" t="s">
        <v>6355</v>
      </c>
    </row>
    <row r="203" spans="1:11" s="383" customFormat="1">
      <c r="A203" s="383" t="s">
        <v>2</v>
      </c>
      <c r="B203" s="383" t="s">
        <v>4337</v>
      </c>
    </row>
    <row r="204" spans="1:11" s="383" customFormat="1" ht="14.4" customHeight="1">
      <c r="A204" s="383" t="s">
        <v>2</v>
      </c>
      <c r="B204" s="383" t="s">
        <v>4337</v>
      </c>
      <c r="D204" s="383" t="s">
        <v>2122</v>
      </c>
      <c r="E204" s="679" t="s">
        <v>6356</v>
      </c>
      <c r="F204" s="679"/>
      <c r="G204" s="680" t="s">
        <v>6357</v>
      </c>
      <c r="H204" s="680"/>
      <c r="I204" s="425"/>
    </row>
    <row r="205" spans="1:11" s="383" customFormat="1">
      <c r="A205" s="383" t="s">
        <v>2</v>
      </c>
      <c r="B205" s="383" t="s">
        <v>4337</v>
      </c>
      <c r="E205" s="383" t="s">
        <v>6358</v>
      </c>
      <c r="F205" s="383" t="s">
        <v>6359</v>
      </c>
      <c r="G205" s="415" t="s">
        <v>6358</v>
      </c>
      <c r="H205" s="415" t="s">
        <v>6359</v>
      </c>
      <c r="I205" s="388" t="s">
        <v>6397</v>
      </c>
      <c r="J205" s="388" t="s">
        <v>6359</v>
      </c>
      <c r="K205" s="383" t="s">
        <v>6398</v>
      </c>
    </row>
    <row r="206" spans="1:11" s="383" customFormat="1">
      <c r="A206" s="383" t="s">
        <v>2</v>
      </c>
      <c r="B206" s="383" t="s">
        <v>4337</v>
      </c>
      <c r="D206" s="383" t="s">
        <v>6360</v>
      </c>
      <c r="E206" s="383" t="s">
        <v>6361</v>
      </c>
      <c r="F206" s="383" t="s">
        <v>6362</v>
      </c>
      <c r="G206" s="415" t="s">
        <v>6363</v>
      </c>
      <c r="H206" s="415" t="s">
        <v>6364</v>
      </c>
      <c r="I206" s="388">
        <v>8.74</v>
      </c>
      <c r="J206" s="388">
        <v>62.4</v>
      </c>
      <c r="K206" s="383">
        <f>J206/I206</f>
        <v>7.139588100686499</v>
      </c>
    </row>
    <row r="207" spans="1:11" s="383" customFormat="1">
      <c r="A207" s="383" t="s">
        <v>2</v>
      </c>
      <c r="B207" s="383" t="s">
        <v>4337</v>
      </c>
      <c r="D207" s="383" t="s">
        <v>6365</v>
      </c>
      <c r="E207" s="383" t="s">
        <v>6366</v>
      </c>
      <c r="F207" s="383" t="s">
        <v>6367</v>
      </c>
      <c r="G207" s="415" t="s">
        <v>6368</v>
      </c>
      <c r="H207" s="415" t="s">
        <v>6369</v>
      </c>
      <c r="I207" s="388">
        <v>11.5</v>
      </c>
      <c r="J207" s="388">
        <v>50.6</v>
      </c>
    </row>
    <row r="208" spans="1:11" s="383" customFormat="1">
      <c r="A208" s="383" t="s">
        <v>2</v>
      </c>
      <c r="B208" s="383" t="s">
        <v>4337</v>
      </c>
      <c r="D208" s="383" t="s">
        <v>6370</v>
      </c>
      <c r="E208" s="383" t="s">
        <v>6371</v>
      </c>
      <c r="F208" s="383" t="s">
        <v>6372</v>
      </c>
      <c r="G208" s="415" t="s">
        <v>6373</v>
      </c>
      <c r="H208" s="415" t="s">
        <v>6374</v>
      </c>
      <c r="I208" s="388">
        <v>13.7</v>
      </c>
      <c r="J208" s="388">
        <v>56.1</v>
      </c>
    </row>
    <row r="209" spans="1:10" s="383" customFormat="1">
      <c r="A209" s="383" t="s">
        <v>2</v>
      </c>
      <c r="B209" s="383" t="s">
        <v>4337</v>
      </c>
      <c r="D209" s="383" t="s">
        <v>6375</v>
      </c>
      <c r="E209" s="383" t="s">
        <v>6376</v>
      </c>
      <c r="F209" s="383" t="s">
        <v>6377</v>
      </c>
      <c r="G209" s="415" t="s">
        <v>6378</v>
      </c>
      <c r="H209" s="415" t="s">
        <v>6379</v>
      </c>
      <c r="I209" s="388">
        <v>9.4</v>
      </c>
      <c r="J209" s="388">
        <v>29.4</v>
      </c>
    </row>
    <row r="210" spans="1:10" s="383" customFormat="1">
      <c r="A210" s="383" t="s">
        <v>2</v>
      </c>
      <c r="B210" s="383" t="s">
        <v>4337</v>
      </c>
      <c r="D210" s="383" t="s">
        <v>1388</v>
      </c>
      <c r="E210" s="383" t="s">
        <v>6380</v>
      </c>
      <c r="F210" s="383" t="s">
        <v>6381</v>
      </c>
      <c r="G210" s="415" t="s">
        <v>6382</v>
      </c>
      <c r="H210" s="415" t="s">
        <v>6383</v>
      </c>
      <c r="I210" s="388">
        <v>12.7</v>
      </c>
      <c r="J210" s="388">
        <v>34.700000000000003</v>
      </c>
    </row>
    <row r="211" spans="1:10" s="383" customFormat="1">
      <c r="A211" s="383" t="s">
        <v>2</v>
      </c>
      <c r="B211" s="383" t="s">
        <v>4337</v>
      </c>
      <c r="D211" s="383" t="s">
        <v>6384</v>
      </c>
      <c r="E211" s="383" t="s">
        <v>6385</v>
      </c>
      <c r="F211" s="383" t="s">
        <v>6386</v>
      </c>
      <c r="G211" s="415" t="s">
        <v>6387</v>
      </c>
      <c r="H211" s="415" t="s">
        <v>6388</v>
      </c>
      <c r="I211" s="388">
        <v>4.58</v>
      </c>
      <c r="J211" s="388">
        <v>4.67</v>
      </c>
    </row>
    <row r="212" spans="1:10" s="383" customFormat="1">
      <c r="A212" s="383" t="s">
        <v>2</v>
      </c>
      <c r="B212" s="383" t="s">
        <v>4337</v>
      </c>
      <c r="D212" s="383" t="s">
        <v>6389</v>
      </c>
      <c r="E212" s="383" t="s">
        <v>6390</v>
      </c>
      <c r="F212" s="383" t="s">
        <v>6391</v>
      </c>
      <c r="G212" s="415" t="s">
        <v>6392</v>
      </c>
      <c r="H212" s="415" t="s">
        <v>6393</v>
      </c>
      <c r="I212" s="388">
        <v>12.2</v>
      </c>
      <c r="J212" s="388">
        <v>44.2</v>
      </c>
    </row>
    <row r="213" spans="1:10" s="383" customFormat="1">
      <c r="A213" s="383" t="s">
        <v>2</v>
      </c>
      <c r="B213" s="383" t="s">
        <v>4337</v>
      </c>
    </row>
    <row r="214" spans="1:10" s="383" customFormat="1">
      <c r="A214" s="383" t="s">
        <v>2</v>
      </c>
      <c r="B214" s="383" t="s">
        <v>4337</v>
      </c>
      <c r="D214" s="383" t="s">
        <v>6394</v>
      </c>
    </row>
    <row r="215" spans="1:10">
      <c r="A215" t="s">
        <v>2</v>
      </c>
      <c r="B215" t="s">
        <v>4337</v>
      </c>
    </row>
    <row r="216" spans="1:10">
      <c r="A216" t="s">
        <v>2</v>
      </c>
      <c r="B216" t="s">
        <v>4337</v>
      </c>
      <c r="C216" t="s">
        <v>5084</v>
      </c>
      <c r="D216" t="s">
        <v>6400</v>
      </c>
    </row>
    <row r="217" spans="1:10">
      <c r="A217" t="s">
        <v>2</v>
      </c>
      <c r="B217" t="s">
        <v>4337</v>
      </c>
      <c r="D217" t="s">
        <v>6401</v>
      </c>
    </row>
    <row r="218" spans="1:10">
      <c r="A218" t="s">
        <v>2</v>
      </c>
      <c r="B218" t="s">
        <v>4337</v>
      </c>
    </row>
    <row r="219" spans="1:10">
      <c r="A219" t="s">
        <v>2</v>
      </c>
      <c r="B219" t="s">
        <v>4337</v>
      </c>
      <c r="D219" t="s">
        <v>6402</v>
      </c>
      <c r="E219">
        <v>0.48</v>
      </c>
    </row>
    <row r="220" spans="1:10">
      <c r="A220" t="s">
        <v>2</v>
      </c>
      <c r="B220" t="s">
        <v>4337</v>
      </c>
      <c r="E220">
        <v>0.49</v>
      </c>
    </row>
    <row r="221" spans="1:10">
      <c r="A221" t="s">
        <v>2</v>
      </c>
      <c r="B221" t="s">
        <v>4337</v>
      </c>
      <c r="E221">
        <v>0.42</v>
      </c>
    </row>
    <row r="222" spans="1:10">
      <c r="A222" t="s">
        <v>2</v>
      </c>
      <c r="B222" t="s">
        <v>4337</v>
      </c>
      <c r="E222">
        <v>0.43</v>
      </c>
    </row>
    <row r="223" spans="1:10">
      <c r="A223" t="s">
        <v>2</v>
      </c>
      <c r="B223" t="s">
        <v>4337</v>
      </c>
      <c r="D223" t="s">
        <v>510</v>
      </c>
      <c r="E223">
        <f>AVERAGE(E219:E222)</f>
        <v>0.45499999999999996</v>
      </c>
    </row>
    <row r="224" spans="1:10">
      <c r="A224" t="s">
        <v>2</v>
      </c>
      <c r="B224" t="s">
        <v>4337</v>
      </c>
      <c r="D224" t="s">
        <v>6403</v>
      </c>
      <c r="E224" s="142">
        <f>[1]MonoSugar!$K$16</f>
        <v>30.499369298245611</v>
      </c>
    </row>
    <row r="225" spans="1:5">
      <c r="A225" t="s">
        <v>2</v>
      </c>
      <c r="B225" t="s">
        <v>4337</v>
      </c>
      <c r="D225" t="s">
        <v>6404</v>
      </c>
      <c r="E225">
        <f>E223*E224%</f>
        <v>0.13877213030701752</v>
      </c>
    </row>
    <row r="226" spans="1:5">
      <c r="A226" t="s">
        <v>2</v>
      </c>
      <c r="B226" t="s">
        <v>4337</v>
      </c>
    </row>
    <row r="227" spans="1:5">
      <c r="A227" t="s">
        <v>2</v>
      </c>
      <c r="B227" t="s">
        <v>4337</v>
      </c>
    </row>
    <row r="228" spans="1:5">
      <c r="A228" t="s">
        <v>2</v>
      </c>
      <c r="B228" t="s">
        <v>4337</v>
      </c>
    </row>
    <row r="229" spans="1:5">
      <c r="A229" t="s">
        <v>2</v>
      </c>
      <c r="B229" t="s">
        <v>4337</v>
      </c>
    </row>
    <row r="230" spans="1:5">
      <c r="A230" t="s">
        <v>2</v>
      </c>
      <c r="B230" t="s">
        <v>4337</v>
      </c>
    </row>
    <row r="231" spans="1:5">
      <c r="A231" t="s">
        <v>2</v>
      </c>
      <c r="B231" t="s">
        <v>4337</v>
      </c>
    </row>
    <row r="232" spans="1:5">
      <c r="A232" t="s">
        <v>2</v>
      </c>
      <c r="B232" t="s">
        <v>4337</v>
      </c>
    </row>
    <row r="233" spans="1:5">
      <c r="A233" t="s">
        <v>3168</v>
      </c>
      <c r="B233" t="s">
        <v>4216</v>
      </c>
      <c r="C233" t="s">
        <v>638</v>
      </c>
      <c r="D233" t="s">
        <v>639</v>
      </c>
    </row>
    <row r="234" spans="1:5">
      <c r="A234" t="s">
        <v>3168</v>
      </c>
      <c r="B234" t="s">
        <v>4216</v>
      </c>
      <c r="D234" t="s">
        <v>640</v>
      </c>
    </row>
    <row r="235" spans="1:5">
      <c r="A235" t="s">
        <v>3168</v>
      </c>
      <c r="B235" t="s">
        <v>4216</v>
      </c>
    </row>
    <row r="236" spans="1:5">
      <c r="A236" t="s">
        <v>3168</v>
      </c>
      <c r="B236" t="s">
        <v>4216</v>
      </c>
      <c r="D236" s="48" t="s">
        <v>641</v>
      </c>
      <c r="E236" s="48">
        <v>0.72719999999999996</v>
      </c>
    </row>
    <row r="237" spans="1:5">
      <c r="A237" t="s">
        <v>3168</v>
      </c>
      <c r="B237" t="s">
        <v>4216</v>
      </c>
      <c r="D237" s="48" t="s">
        <v>642</v>
      </c>
      <c r="E237" s="60">
        <f>[1]MonoSugar!$J$14</f>
        <v>1.1093727272727272E-2</v>
      </c>
    </row>
    <row r="238" spans="1:5">
      <c r="A238" t="s">
        <v>3168</v>
      </c>
      <c r="B238" t="s">
        <v>4216</v>
      </c>
      <c r="D238" s="48" t="s">
        <v>643</v>
      </c>
      <c r="E238" s="48">
        <f>E236*E237</f>
        <v>8.0673584727272724E-3</v>
      </c>
    </row>
    <row r="239" spans="1:5">
      <c r="A239" t="s">
        <v>3168</v>
      </c>
      <c r="B239" t="s">
        <v>4216</v>
      </c>
    </row>
    <row r="240" spans="1:5" s="383" customFormat="1">
      <c r="A240" s="383" t="s">
        <v>3168</v>
      </c>
      <c r="B240" s="383" t="s">
        <v>4246</v>
      </c>
      <c r="C240" s="383" t="s">
        <v>4</v>
      </c>
      <c r="D240" s="384" t="s">
        <v>4442</v>
      </c>
      <c r="E240" s="383" t="s">
        <v>6405</v>
      </c>
    </row>
    <row r="241" spans="1:13" s="383" customFormat="1">
      <c r="A241" s="383" t="s">
        <v>3168</v>
      </c>
      <c r="B241" s="383" t="s">
        <v>4246</v>
      </c>
      <c r="D241" s="384" t="s">
        <v>4443</v>
      </c>
      <c r="L241" s="426" t="s">
        <v>4444</v>
      </c>
    </row>
    <row r="242" spans="1:13" s="383" customFormat="1">
      <c r="A242" s="383" t="s">
        <v>3168</v>
      </c>
      <c r="B242" s="383" t="s">
        <v>4246</v>
      </c>
      <c r="D242" s="427" t="s">
        <v>4445</v>
      </c>
      <c r="E242" s="427" t="s">
        <v>4446</v>
      </c>
      <c r="F242" s="427" t="s">
        <v>4447</v>
      </c>
      <c r="G242" s="427" t="s">
        <v>4448</v>
      </c>
      <c r="H242" s="427" t="s">
        <v>4449</v>
      </c>
      <c r="I242" s="427" t="s">
        <v>4450</v>
      </c>
      <c r="J242" s="427" t="s">
        <v>4451</v>
      </c>
      <c r="K242" s="427" t="s">
        <v>4452</v>
      </c>
    </row>
    <row r="243" spans="1:13" s="383" customFormat="1">
      <c r="A243" s="383" t="s">
        <v>3168</v>
      </c>
      <c r="B243" s="383" t="s">
        <v>4246</v>
      </c>
      <c r="D243" s="428" t="s">
        <v>4453</v>
      </c>
      <c r="E243" s="429" t="s">
        <v>209</v>
      </c>
      <c r="F243" s="430">
        <v>8.4027777777777785E-2</v>
      </c>
      <c r="G243" s="430">
        <v>8.6805555555555552E-2</v>
      </c>
      <c r="H243" s="430">
        <v>4.5138888888888888E-2</v>
      </c>
      <c r="I243" s="430">
        <v>4.5138888888888888E-2</v>
      </c>
      <c r="J243" s="430">
        <v>4.5138888888888888E-2</v>
      </c>
      <c r="K243" s="430">
        <v>4.5138888888888888E-2</v>
      </c>
    </row>
    <row r="244" spans="1:13" s="383" customFormat="1">
      <c r="A244" s="383" t="s">
        <v>3168</v>
      </c>
      <c r="B244" s="383" t="s">
        <v>4246</v>
      </c>
      <c r="D244" s="428" t="s">
        <v>4454</v>
      </c>
      <c r="E244" s="429" t="s">
        <v>209</v>
      </c>
      <c r="F244" s="428">
        <v>10</v>
      </c>
      <c r="G244" s="428">
        <v>6</v>
      </c>
      <c r="H244" s="428">
        <v>0</v>
      </c>
      <c r="I244" s="428">
        <v>6</v>
      </c>
      <c r="J244" s="428">
        <v>0</v>
      </c>
      <c r="K244" s="428">
        <v>1</v>
      </c>
    </row>
    <row r="245" spans="1:13" s="383" customFormat="1">
      <c r="A245" s="383" t="s">
        <v>3168</v>
      </c>
      <c r="B245" s="383" t="s">
        <v>4246</v>
      </c>
      <c r="D245" s="428" t="s">
        <v>4455</v>
      </c>
      <c r="E245" s="429" t="s">
        <v>209</v>
      </c>
      <c r="F245" s="428">
        <v>45</v>
      </c>
      <c r="G245" s="428">
        <v>140</v>
      </c>
      <c r="H245" s="428">
        <v>140</v>
      </c>
      <c r="I245" s="428">
        <v>140</v>
      </c>
      <c r="J245" s="428">
        <v>140</v>
      </c>
      <c r="K245" s="428">
        <v>140</v>
      </c>
    </row>
    <row r="246" spans="1:13" s="383" customFormat="1">
      <c r="A246" s="383" t="s">
        <v>3168</v>
      </c>
      <c r="B246" s="383" t="s">
        <v>4246</v>
      </c>
      <c r="D246" s="428" t="s">
        <v>4456</v>
      </c>
      <c r="E246" s="429" t="s">
        <v>209</v>
      </c>
      <c r="F246" s="429" t="s">
        <v>209</v>
      </c>
      <c r="G246" s="429" t="s">
        <v>209</v>
      </c>
      <c r="H246" s="429" t="s">
        <v>209</v>
      </c>
      <c r="I246" s="429" t="s">
        <v>209</v>
      </c>
      <c r="J246" s="431">
        <v>0.02</v>
      </c>
      <c r="K246" s="431">
        <v>0.05</v>
      </c>
    </row>
    <row r="247" spans="1:13" s="383" customFormat="1">
      <c r="A247" s="383" t="s">
        <v>3168</v>
      </c>
      <c r="B247" s="383" t="s">
        <v>4246</v>
      </c>
      <c r="D247" s="428" t="s">
        <v>4457</v>
      </c>
      <c r="E247" s="428" t="s">
        <v>4458</v>
      </c>
      <c r="F247" s="428" t="s">
        <v>4459</v>
      </c>
      <c r="G247" s="428" t="s">
        <v>4460</v>
      </c>
      <c r="H247" s="428" t="s">
        <v>4461</v>
      </c>
      <c r="I247" s="428" t="s">
        <v>4462</v>
      </c>
      <c r="J247" s="428" t="s">
        <v>4463</v>
      </c>
      <c r="K247" s="428" t="s">
        <v>4464</v>
      </c>
    </row>
    <row r="248" spans="1:13" s="383" customFormat="1">
      <c r="A248" s="383" t="s">
        <v>3168</v>
      </c>
      <c r="B248" s="383" t="s">
        <v>4246</v>
      </c>
      <c r="D248" s="428" t="s">
        <v>4465</v>
      </c>
      <c r="E248" s="428" t="s">
        <v>4466</v>
      </c>
      <c r="F248" s="428" t="s">
        <v>4467</v>
      </c>
      <c r="G248" s="428" t="s">
        <v>4468</v>
      </c>
      <c r="H248" s="428" t="s">
        <v>4469</v>
      </c>
      <c r="I248" s="428" t="s">
        <v>4470</v>
      </c>
      <c r="J248" s="428" t="s">
        <v>4471</v>
      </c>
      <c r="K248" s="428" t="s">
        <v>4472</v>
      </c>
    </row>
    <row r="249" spans="1:13" s="383" customFormat="1">
      <c r="A249" s="383" t="s">
        <v>3168</v>
      </c>
      <c r="B249" s="383" t="s">
        <v>4246</v>
      </c>
      <c r="D249" s="428" t="s">
        <v>4473</v>
      </c>
      <c r="E249" s="429" t="s">
        <v>209</v>
      </c>
      <c r="F249" s="428" t="s">
        <v>4474</v>
      </c>
      <c r="G249" s="428" t="s">
        <v>4475</v>
      </c>
      <c r="H249" s="428" t="s">
        <v>4476</v>
      </c>
      <c r="I249" s="428" t="s">
        <v>4477</v>
      </c>
      <c r="J249" s="428" t="s">
        <v>4478</v>
      </c>
      <c r="K249" s="428" t="s">
        <v>4479</v>
      </c>
    </row>
    <row r="250" spans="1:13" s="383" customFormat="1">
      <c r="A250" s="383" t="s">
        <v>3168</v>
      </c>
      <c r="B250" s="383" t="s">
        <v>4246</v>
      </c>
      <c r="D250" s="428" t="s">
        <v>4480</v>
      </c>
      <c r="E250" s="429" t="s">
        <v>209</v>
      </c>
      <c r="F250" s="428" t="s">
        <v>4474</v>
      </c>
      <c r="G250" s="428" t="s">
        <v>4481</v>
      </c>
      <c r="H250" s="428" t="s">
        <v>4482</v>
      </c>
      <c r="I250" s="428" t="s">
        <v>4482</v>
      </c>
      <c r="J250" s="428" t="s">
        <v>4483</v>
      </c>
      <c r="K250" s="428" t="s">
        <v>4484</v>
      </c>
      <c r="L250" s="388" t="s">
        <v>3033</v>
      </c>
      <c r="M250" s="388" t="s">
        <v>3034</v>
      </c>
    </row>
    <row r="251" spans="1:13" s="383" customFormat="1">
      <c r="A251" s="383" t="s">
        <v>3168</v>
      </c>
      <c r="B251" s="383" t="s">
        <v>4246</v>
      </c>
      <c r="D251" s="388" t="s">
        <v>4485</v>
      </c>
      <c r="F251" s="388">
        <v>0</v>
      </c>
      <c r="G251" s="388">
        <v>0.14000000000000001</v>
      </c>
      <c r="H251" s="388">
        <v>0.1</v>
      </c>
      <c r="I251" s="388">
        <v>0.1</v>
      </c>
      <c r="J251" s="388">
        <v>0.33</v>
      </c>
      <c r="K251" s="388">
        <v>1</v>
      </c>
      <c r="L251" s="388">
        <f>MAX(F251:K251)</f>
        <v>1</v>
      </c>
      <c r="M251" s="388">
        <f>MIN(F251:K251)</f>
        <v>0</v>
      </c>
    </row>
    <row r="252" spans="1:13" s="383" customFormat="1">
      <c r="A252" s="383" t="s">
        <v>3168</v>
      </c>
      <c r="B252" s="383" t="s">
        <v>4246</v>
      </c>
      <c r="D252" s="388" t="s">
        <v>4486</v>
      </c>
      <c r="F252" s="388">
        <f>F251/100</f>
        <v>0</v>
      </c>
      <c r="G252" s="388">
        <f t="shared" ref="G252:K252" si="7">G251/100</f>
        <v>1.4000000000000002E-3</v>
      </c>
      <c r="H252" s="388">
        <f t="shared" si="7"/>
        <v>1E-3</v>
      </c>
      <c r="I252" s="388">
        <f t="shared" si="7"/>
        <v>1E-3</v>
      </c>
      <c r="J252" s="388">
        <f t="shared" si="7"/>
        <v>3.3E-3</v>
      </c>
      <c r="K252" s="388">
        <f t="shared" si="7"/>
        <v>0.01</v>
      </c>
    </row>
    <row r="253" spans="1:13" s="383" customFormat="1">
      <c r="A253" s="383" t="s">
        <v>3168</v>
      </c>
      <c r="B253" s="383" t="s">
        <v>4246</v>
      </c>
      <c r="D253" s="388" t="s">
        <v>3177</v>
      </c>
      <c r="E253" s="388">
        <f>AVERAGE(F252:K252)</f>
        <v>2.7833333333333334E-3</v>
      </c>
    </row>
    <row r="254" spans="1:13">
      <c r="A254" t="s">
        <v>3168</v>
      </c>
      <c r="B254" t="s">
        <v>4246</v>
      </c>
    </row>
    <row r="255" spans="1:13">
      <c r="A255" t="s">
        <v>3168</v>
      </c>
      <c r="B255" t="s">
        <v>4246</v>
      </c>
      <c r="C255" t="s">
        <v>473</v>
      </c>
      <c r="D255" s="7" t="s">
        <v>4487</v>
      </c>
    </row>
    <row r="256" spans="1:13">
      <c r="A256" t="s">
        <v>3168</v>
      </c>
      <c r="B256" t="s">
        <v>4246</v>
      </c>
      <c r="D256" s="7" t="s">
        <v>4488</v>
      </c>
    </row>
    <row r="257" spans="1:12">
      <c r="A257" t="s">
        <v>3168</v>
      </c>
      <c r="B257" t="s">
        <v>4246</v>
      </c>
      <c r="D257" t="s">
        <v>4489</v>
      </c>
    </row>
    <row r="258" spans="1:12">
      <c r="A258" t="s">
        <v>3168</v>
      </c>
      <c r="B258" t="s">
        <v>4246</v>
      </c>
      <c r="D258" t="s">
        <v>4490</v>
      </c>
    </row>
    <row r="259" spans="1:12">
      <c r="A259" t="s">
        <v>3168</v>
      </c>
      <c r="B259" t="s">
        <v>4246</v>
      </c>
      <c r="D259" s="48" t="s">
        <v>230</v>
      </c>
      <c r="E259" s="48" t="s">
        <v>4491</v>
      </c>
      <c r="F259" s="48" t="s">
        <v>4187</v>
      </c>
      <c r="G259" s="48" t="s">
        <v>3177</v>
      </c>
    </row>
    <row r="260" spans="1:12">
      <c r="A260" t="s">
        <v>3168</v>
      </c>
      <c r="B260" t="s">
        <v>4246</v>
      </c>
      <c r="D260" s="48" t="s">
        <v>4492</v>
      </c>
      <c r="E260" s="48">
        <v>20</v>
      </c>
      <c r="F260" s="48">
        <f>E260/1000</f>
        <v>0.02</v>
      </c>
      <c r="G260" s="48">
        <f>AVERAGE(F260:F261)</f>
        <v>4.8500000000000001E-2</v>
      </c>
    </row>
    <row r="261" spans="1:12">
      <c r="A261" t="s">
        <v>3168</v>
      </c>
      <c r="B261" t="s">
        <v>4246</v>
      </c>
      <c r="D261" s="48" t="s">
        <v>4493</v>
      </c>
      <c r="E261" s="48">
        <v>77</v>
      </c>
      <c r="F261" s="48">
        <f>E261/1000</f>
        <v>7.6999999999999999E-2</v>
      </c>
    </row>
    <row r="262" spans="1:12">
      <c r="A262" t="s">
        <v>3168</v>
      </c>
      <c r="B262" t="s">
        <v>4246</v>
      </c>
    </row>
    <row r="263" spans="1:12">
      <c r="A263" t="s">
        <v>3168</v>
      </c>
      <c r="B263" t="s">
        <v>4246</v>
      </c>
      <c r="C263" t="s">
        <v>69</v>
      </c>
      <c r="D263" s="7" t="s">
        <v>4494</v>
      </c>
    </row>
    <row r="264" spans="1:12">
      <c r="A264" t="s">
        <v>3168</v>
      </c>
      <c r="B264" t="s">
        <v>4246</v>
      </c>
      <c r="D264" s="7" t="s">
        <v>4495</v>
      </c>
    </row>
    <row r="265" spans="1:12" ht="48.6">
      <c r="A265" t="s">
        <v>3168</v>
      </c>
      <c r="B265" t="s">
        <v>4246</v>
      </c>
      <c r="D265" s="326" t="s">
        <v>4496</v>
      </c>
      <c r="E265" s="326" t="s">
        <v>4497</v>
      </c>
      <c r="F265" s="326" t="s">
        <v>4498</v>
      </c>
      <c r="G265" s="326" t="s">
        <v>4499</v>
      </c>
      <c r="H265" s="326" t="s">
        <v>4500</v>
      </c>
      <c r="I265" s="326" t="s">
        <v>73</v>
      </c>
      <c r="J265" s="326" t="s">
        <v>4501</v>
      </c>
      <c r="K265" s="326" t="s">
        <v>4502</v>
      </c>
      <c r="L265" s="326" t="s">
        <v>4503</v>
      </c>
    </row>
    <row r="266" spans="1:12" ht="58.2">
      <c r="A266" t="s">
        <v>3168</v>
      </c>
      <c r="B266" t="s">
        <v>4246</v>
      </c>
      <c r="D266" s="343" t="s">
        <v>4246</v>
      </c>
      <c r="E266" s="343" t="s">
        <v>4504</v>
      </c>
      <c r="F266" s="343" t="s">
        <v>4505</v>
      </c>
      <c r="G266" s="343" t="s">
        <v>4506</v>
      </c>
      <c r="H266" s="343" t="s">
        <v>4507</v>
      </c>
      <c r="I266" s="343" t="s">
        <v>4508</v>
      </c>
      <c r="J266" s="343" t="s">
        <v>4509</v>
      </c>
      <c r="K266" s="343" t="s">
        <v>4510</v>
      </c>
      <c r="L266" s="343" t="s">
        <v>4511</v>
      </c>
    </row>
    <row r="267" spans="1:12" ht="58.2">
      <c r="A267" t="s">
        <v>3168</v>
      </c>
      <c r="B267" t="s">
        <v>4246</v>
      </c>
      <c r="D267" s="344" t="s">
        <v>4512</v>
      </c>
      <c r="E267" s="344" t="s">
        <v>4513</v>
      </c>
      <c r="F267" s="344" t="s">
        <v>4514</v>
      </c>
      <c r="G267" s="344" t="s">
        <v>4506</v>
      </c>
      <c r="H267" s="344" t="s">
        <v>4515</v>
      </c>
      <c r="I267" s="344" t="s">
        <v>4508</v>
      </c>
      <c r="J267" s="344" t="s">
        <v>4516</v>
      </c>
      <c r="K267" s="344" t="s">
        <v>4517</v>
      </c>
      <c r="L267" s="344" t="s">
        <v>4518</v>
      </c>
    </row>
    <row r="268" spans="1:12">
      <c r="A268" t="s">
        <v>3168</v>
      </c>
      <c r="B268" t="s">
        <v>4246</v>
      </c>
      <c r="D268" s="81" t="s">
        <v>4496</v>
      </c>
      <c r="E268" s="81" t="s">
        <v>4503</v>
      </c>
      <c r="F268" s="48" t="s">
        <v>3177</v>
      </c>
    </row>
    <row r="269" spans="1:12">
      <c r="A269" t="s">
        <v>3168</v>
      </c>
      <c r="B269" t="s">
        <v>4246</v>
      </c>
      <c r="D269" s="538" t="s">
        <v>4246</v>
      </c>
      <c r="E269" s="48">
        <v>4.8600000000000003</v>
      </c>
      <c r="F269" s="48">
        <f>AVERAGE(E269:E274)/100</f>
        <v>4.8649999999999992E-2</v>
      </c>
    </row>
    <row r="270" spans="1:12">
      <c r="A270" t="s">
        <v>3168</v>
      </c>
      <c r="B270" t="s">
        <v>4246</v>
      </c>
      <c r="D270" s="538"/>
      <c r="E270" s="48">
        <v>5.34</v>
      </c>
    </row>
    <row r="271" spans="1:12">
      <c r="A271" t="s">
        <v>3168</v>
      </c>
      <c r="B271" t="s">
        <v>4246</v>
      </c>
      <c r="D271" s="538"/>
      <c r="E271" s="48">
        <v>5.49</v>
      </c>
    </row>
    <row r="272" spans="1:12">
      <c r="A272" t="s">
        <v>3168</v>
      </c>
      <c r="B272" t="s">
        <v>4246</v>
      </c>
      <c r="D272" s="538"/>
      <c r="E272" s="48">
        <v>4.53</v>
      </c>
    </row>
    <row r="273" spans="1:5">
      <c r="A273" t="s">
        <v>3168</v>
      </c>
      <c r="B273" t="s">
        <v>4246</v>
      </c>
      <c r="D273" s="538"/>
      <c r="E273" s="48">
        <v>3.48</v>
      </c>
    </row>
    <row r="274" spans="1:5">
      <c r="A274" t="s">
        <v>3168</v>
      </c>
      <c r="B274" t="s">
        <v>4246</v>
      </c>
      <c r="D274" s="48" t="s">
        <v>3033</v>
      </c>
      <c r="E274" s="48">
        <f>MAX(E269:E273)</f>
        <v>5.49</v>
      </c>
    </row>
    <row r="275" spans="1:5">
      <c r="A275" t="s">
        <v>3168</v>
      </c>
      <c r="B275" t="s">
        <v>4246</v>
      </c>
      <c r="D275" s="48" t="s">
        <v>3034</v>
      </c>
      <c r="E275" s="48">
        <f>MIN(E269:E273)</f>
        <v>3.48</v>
      </c>
    </row>
    <row r="276" spans="1:5">
      <c r="A276" t="s">
        <v>3168</v>
      </c>
      <c r="B276" t="s">
        <v>4246</v>
      </c>
    </row>
    <row r="277" spans="1:5">
      <c r="A277" t="s">
        <v>3168</v>
      </c>
      <c r="B277" t="s">
        <v>4246</v>
      </c>
    </row>
    <row r="278" spans="1:5">
      <c r="A278" t="s">
        <v>3168</v>
      </c>
      <c r="B278" t="s">
        <v>4246</v>
      </c>
    </row>
    <row r="279" spans="1:5">
      <c r="A279" t="s">
        <v>3168</v>
      </c>
      <c r="B279" t="s">
        <v>4246</v>
      </c>
    </row>
    <row r="280" spans="1:5">
      <c r="A280" t="s">
        <v>3168</v>
      </c>
      <c r="B280" t="s">
        <v>4246</v>
      </c>
    </row>
    <row r="281" spans="1:5">
      <c r="A281" t="s">
        <v>3168</v>
      </c>
      <c r="B281" t="s">
        <v>4246</v>
      </c>
    </row>
    <row r="282" spans="1:5">
      <c r="A282" t="s">
        <v>3168</v>
      </c>
      <c r="B282" t="s">
        <v>4246</v>
      </c>
    </row>
    <row r="283" spans="1:5">
      <c r="A283" t="s">
        <v>3168</v>
      </c>
      <c r="B283" t="s">
        <v>4337</v>
      </c>
      <c r="C283" t="s">
        <v>638</v>
      </c>
      <c r="D283" t="s">
        <v>639</v>
      </c>
    </row>
    <row r="284" spans="1:5">
      <c r="A284" t="s">
        <v>3168</v>
      </c>
      <c r="B284" t="s">
        <v>4337</v>
      </c>
      <c r="D284" t="s">
        <v>640</v>
      </c>
    </row>
    <row r="285" spans="1:5">
      <c r="A285" t="s">
        <v>3168</v>
      </c>
      <c r="B285" t="s">
        <v>4337</v>
      </c>
    </row>
    <row r="286" spans="1:5">
      <c r="A286" t="s">
        <v>3168</v>
      </c>
      <c r="B286" t="s">
        <v>4337</v>
      </c>
      <c r="D286" s="48" t="s">
        <v>641</v>
      </c>
      <c r="E286" s="48">
        <v>0.72719999999999996</v>
      </c>
    </row>
    <row r="287" spans="1:5">
      <c r="A287" t="s">
        <v>3168</v>
      </c>
      <c r="B287" t="s">
        <v>4337</v>
      </c>
      <c r="D287" s="48" t="s">
        <v>642</v>
      </c>
      <c r="E287" s="48">
        <v>0</v>
      </c>
    </row>
    <row r="288" spans="1:5">
      <c r="A288" t="s">
        <v>3168</v>
      </c>
      <c r="B288" t="s">
        <v>4337</v>
      </c>
      <c r="D288" s="48" t="s">
        <v>643</v>
      </c>
      <c r="E288" s="48">
        <f>E286*E287</f>
        <v>0</v>
      </c>
    </row>
    <row r="289" spans="1:15">
      <c r="A289" t="s">
        <v>3168</v>
      </c>
      <c r="B289" t="s">
        <v>4337</v>
      </c>
    </row>
    <row r="290" spans="1:15">
      <c r="A290" t="s">
        <v>679</v>
      </c>
      <c r="B290" t="s">
        <v>4216</v>
      </c>
      <c r="C290" t="s">
        <v>4</v>
      </c>
      <c r="D290" s="7" t="s">
        <v>4519</v>
      </c>
    </row>
    <row r="291" spans="1:15">
      <c r="A291" t="s">
        <v>679</v>
      </c>
      <c r="B291" t="s">
        <v>4216</v>
      </c>
      <c r="D291" s="7" t="s">
        <v>4520</v>
      </c>
    </row>
    <row r="292" spans="1:15">
      <c r="A292" t="s">
        <v>679</v>
      </c>
      <c r="B292" t="s">
        <v>4216</v>
      </c>
      <c r="D292" s="433" t="s">
        <v>759</v>
      </c>
      <c r="E292" s="434" t="s">
        <v>934</v>
      </c>
      <c r="F292" s="434" t="s">
        <v>4521</v>
      </c>
      <c r="G292" s="434" t="s">
        <v>430</v>
      </c>
      <c r="H292" s="435" t="s">
        <v>6423</v>
      </c>
      <c r="I292" s="436" t="s">
        <v>6424</v>
      </c>
      <c r="J292" s="437" t="s">
        <v>763</v>
      </c>
      <c r="K292" s="438" t="s">
        <v>6425</v>
      </c>
      <c r="L292" s="438" t="s">
        <v>6426</v>
      </c>
      <c r="M292" s="438" t="s">
        <v>4522</v>
      </c>
      <c r="N292" s="438" t="s">
        <v>4523</v>
      </c>
      <c r="O292" s="438" t="s">
        <v>3177</v>
      </c>
    </row>
    <row r="293" spans="1:15" ht="24">
      <c r="A293" t="s">
        <v>679</v>
      </c>
      <c r="B293" t="s">
        <v>4216</v>
      </c>
      <c r="D293" s="439">
        <v>7</v>
      </c>
      <c r="E293" s="440" t="s">
        <v>4524</v>
      </c>
      <c r="F293" s="440" t="s">
        <v>4525</v>
      </c>
      <c r="G293" s="440" t="s">
        <v>6421</v>
      </c>
      <c r="H293" s="440">
        <v>99.2</v>
      </c>
      <c r="I293" s="440">
        <v>95.7</v>
      </c>
      <c r="J293" s="441" t="s">
        <v>800</v>
      </c>
      <c r="K293" s="438">
        <f>I293%*H293%</f>
        <v>0.94934400000000008</v>
      </c>
      <c r="L293" s="438">
        <f>K293*126/180</f>
        <v>0.66454080000000004</v>
      </c>
      <c r="M293" s="442">
        <f>[1]MonoSugar!$I$14</f>
        <v>8.2402894736842125</v>
      </c>
      <c r="N293" s="438">
        <f>L293*M293%</f>
        <v>5.4760085590736855E-2</v>
      </c>
      <c r="O293" s="438">
        <f>AVERAGE(N293:N294)</f>
        <v>5.3754341779894743E-2</v>
      </c>
    </row>
    <row r="294" spans="1:15" ht="24">
      <c r="A294" t="s">
        <v>679</v>
      </c>
      <c r="B294" t="s">
        <v>4216</v>
      </c>
      <c r="D294" s="443">
        <v>8</v>
      </c>
      <c r="E294" s="444" t="s">
        <v>4524</v>
      </c>
      <c r="F294" s="444" t="s">
        <v>4526</v>
      </c>
      <c r="G294" s="444" t="s">
        <v>6422</v>
      </c>
      <c r="H294" s="444">
        <v>97.7</v>
      </c>
      <c r="I294" s="444">
        <v>93.6</v>
      </c>
      <c r="J294" s="445" t="s">
        <v>800</v>
      </c>
      <c r="K294" s="438">
        <f>I294%*H294%</f>
        <v>0.91447199999999995</v>
      </c>
      <c r="L294" s="438">
        <f>K294*126/180</f>
        <v>0.64013039999999988</v>
      </c>
      <c r="M294" s="442">
        <f>[1]MonoSugar!$I$14</f>
        <v>8.2402894736842125</v>
      </c>
      <c r="N294" s="438">
        <f>L294*M294%</f>
        <v>5.2748597969052631E-2</v>
      </c>
      <c r="O294" s="436"/>
    </row>
    <row r="295" spans="1:15">
      <c r="A295" t="s">
        <v>679</v>
      </c>
      <c r="B295" t="s">
        <v>4216</v>
      </c>
    </row>
    <row r="296" spans="1:15">
      <c r="A296" t="s">
        <v>679</v>
      </c>
      <c r="B296" t="s">
        <v>4216</v>
      </c>
    </row>
    <row r="297" spans="1:15">
      <c r="A297" t="s">
        <v>679</v>
      </c>
      <c r="B297" t="s">
        <v>4216</v>
      </c>
    </row>
    <row r="298" spans="1:15">
      <c r="A298" t="s">
        <v>679</v>
      </c>
      <c r="B298" t="s">
        <v>4216</v>
      </c>
    </row>
    <row r="299" spans="1:15">
      <c r="A299" t="s">
        <v>679</v>
      </c>
      <c r="B299" t="s">
        <v>4216</v>
      </c>
    </row>
    <row r="300" spans="1:15">
      <c r="A300" t="s">
        <v>679</v>
      </c>
      <c r="B300" t="s">
        <v>4216</v>
      </c>
    </row>
    <row r="301" spans="1:15">
      <c r="A301" t="s">
        <v>679</v>
      </c>
      <c r="B301" t="s">
        <v>4216</v>
      </c>
    </row>
    <row r="302" spans="1:15">
      <c r="A302" t="s">
        <v>679</v>
      </c>
      <c r="B302" t="s">
        <v>4216</v>
      </c>
    </row>
    <row r="303" spans="1:15">
      <c r="A303" t="s">
        <v>679</v>
      </c>
      <c r="B303" t="s">
        <v>4216</v>
      </c>
    </row>
    <row r="304" spans="1:15">
      <c r="A304" t="s">
        <v>679</v>
      </c>
      <c r="B304" t="s">
        <v>4216</v>
      </c>
    </row>
    <row r="305" spans="1:13">
      <c r="A305" t="s">
        <v>679</v>
      </c>
      <c r="B305" t="s">
        <v>4216</v>
      </c>
      <c r="C305" t="s">
        <v>473</v>
      </c>
      <c r="D305" s="7" t="s">
        <v>4527</v>
      </c>
    </row>
    <row r="306" spans="1:13">
      <c r="A306" t="s">
        <v>679</v>
      </c>
      <c r="B306" t="s">
        <v>4216</v>
      </c>
      <c r="D306" s="7" t="s">
        <v>4528</v>
      </c>
      <c r="H306" t="s">
        <v>3320</v>
      </c>
    </row>
    <row r="307" spans="1:13">
      <c r="A307" t="s">
        <v>679</v>
      </c>
      <c r="B307" t="s">
        <v>4216</v>
      </c>
      <c r="D307" s="284" t="s">
        <v>4529</v>
      </c>
      <c r="E307" s="284" t="s">
        <v>4530</v>
      </c>
      <c r="F307" s="284" t="s">
        <v>6417</v>
      </c>
      <c r="G307" s="48" t="s">
        <v>6419</v>
      </c>
      <c r="H307" s="285" t="s">
        <v>6418</v>
      </c>
      <c r="I307" s="48" t="s">
        <v>6420</v>
      </c>
      <c r="J307" s="48" t="s">
        <v>3177</v>
      </c>
    </row>
    <row r="308" spans="1:13">
      <c r="A308" t="s">
        <v>679</v>
      </c>
      <c r="B308" t="s">
        <v>4216</v>
      </c>
      <c r="D308" s="284">
        <v>1</v>
      </c>
      <c r="E308" s="284" t="s">
        <v>4531</v>
      </c>
      <c r="F308" s="284">
        <v>22.6</v>
      </c>
      <c r="G308" s="48">
        <f>F308*126/180</f>
        <v>15.820000000000002</v>
      </c>
      <c r="H308" s="286">
        <f>[1]MonoSugar!$L$14</f>
        <v>17.55662361403509</v>
      </c>
      <c r="I308" s="48">
        <f>G308%*H308%</f>
        <v>2.777457855740351E-2</v>
      </c>
      <c r="J308" s="48">
        <f>AVERAGE(I308:I310)</f>
        <v>3.2075951342842107E-2</v>
      </c>
    </row>
    <row r="309" spans="1:13">
      <c r="A309" t="s">
        <v>679</v>
      </c>
      <c r="B309" t="s">
        <v>4216</v>
      </c>
      <c r="D309" s="284">
        <v>2</v>
      </c>
      <c r="E309" s="284" t="s">
        <v>4531</v>
      </c>
      <c r="F309" s="284">
        <v>27.2</v>
      </c>
      <c r="G309" s="48">
        <f>F309*126/180</f>
        <v>19.04</v>
      </c>
      <c r="H309" s="286">
        <f>[1]MonoSugar!$L$14</f>
        <v>17.55662361403509</v>
      </c>
      <c r="I309" s="48">
        <f>G309%*H309%</f>
        <v>3.3427811361122807E-2</v>
      </c>
    </row>
    <row r="310" spans="1:13">
      <c r="A310" t="s">
        <v>679</v>
      </c>
      <c r="B310" t="s">
        <v>4216</v>
      </c>
      <c r="D310" s="284">
        <v>3</v>
      </c>
      <c r="E310" s="284" t="s">
        <v>4531</v>
      </c>
      <c r="F310" s="284">
        <v>28.5</v>
      </c>
      <c r="G310" s="48">
        <f>F310*126/180</f>
        <v>19.95</v>
      </c>
      <c r="H310" s="286">
        <f>[1]MonoSugar!$L$14</f>
        <v>17.55662361403509</v>
      </c>
      <c r="I310" s="48">
        <f>G310%*H310%</f>
        <v>3.5025464110000001E-2</v>
      </c>
    </row>
    <row r="311" spans="1:13">
      <c r="A311" t="s">
        <v>679</v>
      </c>
      <c r="B311" t="s">
        <v>4216</v>
      </c>
      <c r="E311" s="297" t="s">
        <v>3033</v>
      </c>
      <c r="F311" s="297">
        <f>MAX(F308:F310)</f>
        <v>28.5</v>
      </c>
    </row>
    <row r="312" spans="1:13">
      <c r="A312" t="s">
        <v>679</v>
      </c>
      <c r="B312" t="s">
        <v>4216</v>
      </c>
      <c r="E312" s="48" t="s">
        <v>3034</v>
      </c>
      <c r="F312" s="48">
        <f>MIN(F308:F310)</f>
        <v>22.6</v>
      </c>
    </row>
    <row r="313" spans="1:13">
      <c r="A313" t="s">
        <v>679</v>
      </c>
      <c r="B313" t="s">
        <v>4216</v>
      </c>
      <c r="D313" t="s">
        <v>4532</v>
      </c>
    </row>
    <row r="314" spans="1:13">
      <c r="A314" t="s">
        <v>679</v>
      </c>
      <c r="B314" t="s">
        <v>4216</v>
      </c>
    </row>
    <row r="315" spans="1:13">
      <c r="A315" t="s">
        <v>679</v>
      </c>
      <c r="B315" t="s">
        <v>4216</v>
      </c>
    </row>
    <row r="316" spans="1:13">
      <c r="A316" t="s">
        <v>679</v>
      </c>
      <c r="B316" t="s">
        <v>4216</v>
      </c>
    </row>
    <row r="317" spans="1:13">
      <c r="A317" t="s">
        <v>679</v>
      </c>
      <c r="B317" t="s">
        <v>4246</v>
      </c>
      <c r="C317" t="s">
        <v>4</v>
      </c>
      <c r="D317" s="7" t="s">
        <v>4533</v>
      </c>
    </row>
    <row r="318" spans="1:13">
      <c r="A318" t="s">
        <v>679</v>
      </c>
      <c r="B318" t="s">
        <v>4246</v>
      </c>
      <c r="D318" s="7" t="s">
        <v>4534</v>
      </c>
    </row>
    <row r="319" spans="1:13">
      <c r="A319" t="s">
        <v>679</v>
      </c>
      <c r="B319" t="s">
        <v>4246</v>
      </c>
      <c r="D319" s="678" t="s">
        <v>4535</v>
      </c>
      <c r="E319" s="678" t="s">
        <v>4536</v>
      </c>
      <c r="F319" s="678" t="s">
        <v>4537</v>
      </c>
      <c r="G319" s="678" t="s">
        <v>4538</v>
      </c>
      <c r="H319" s="677" t="s">
        <v>4539</v>
      </c>
      <c r="I319" s="677"/>
      <c r="J319" s="678" t="s">
        <v>4540</v>
      </c>
      <c r="K319" s="678" t="s">
        <v>4541</v>
      </c>
      <c r="L319" s="48" t="s">
        <v>4523</v>
      </c>
      <c r="M319" s="48" t="s">
        <v>3177</v>
      </c>
    </row>
    <row r="320" spans="1:13">
      <c r="A320" t="s">
        <v>679</v>
      </c>
      <c r="B320" t="s">
        <v>4246</v>
      </c>
      <c r="D320" s="678"/>
      <c r="E320" s="678"/>
      <c r="F320" s="678"/>
      <c r="G320" s="678"/>
      <c r="H320" s="346" t="s">
        <v>4542</v>
      </c>
      <c r="I320" s="346" t="s">
        <v>4543</v>
      </c>
      <c r="J320" s="678"/>
      <c r="K320" s="678"/>
    </row>
    <row r="321" spans="1:13">
      <c r="A321" t="s">
        <v>679</v>
      </c>
      <c r="B321" t="s">
        <v>4246</v>
      </c>
      <c r="D321" s="327">
        <v>1</v>
      </c>
      <c r="E321" s="327">
        <v>1</v>
      </c>
      <c r="F321" s="327">
        <v>0</v>
      </c>
      <c r="G321" s="327">
        <v>220</v>
      </c>
      <c r="H321" s="327">
        <v>30</v>
      </c>
      <c r="I321" s="327">
        <v>34.799999999999997</v>
      </c>
      <c r="J321" s="327">
        <v>56.1</v>
      </c>
      <c r="K321" s="327">
        <v>48.6</v>
      </c>
      <c r="L321" s="48">
        <f>J321/1000</f>
        <v>5.6100000000000004E-2</v>
      </c>
      <c r="M321" s="48">
        <f>AVERAGE(L321:L329)</f>
        <v>5.011111111111112E-2</v>
      </c>
    </row>
    <row r="322" spans="1:13">
      <c r="A322" t="s">
        <v>679</v>
      </c>
      <c r="B322" t="s">
        <v>4246</v>
      </c>
      <c r="D322" s="328">
        <v>2</v>
      </c>
      <c r="E322" s="328" t="s">
        <v>3498</v>
      </c>
      <c r="F322" s="328">
        <v>0</v>
      </c>
      <c r="G322" s="328">
        <v>180</v>
      </c>
      <c r="H322" s="328">
        <v>30</v>
      </c>
      <c r="I322" s="328">
        <v>31.8</v>
      </c>
      <c r="J322" s="328">
        <v>40.5</v>
      </c>
      <c r="K322" s="328">
        <v>48</v>
      </c>
      <c r="L322" s="48">
        <f t="shared" ref="L322:L329" si="8">J322/1000</f>
        <v>4.0500000000000001E-2</v>
      </c>
    </row>
    <row r="323" spans="1:13">
      <c r="A323" t="s">
        <v>679</v>
      </c>
      <c r="B323" t="s">
        <v>4246</v>
      </c>
      <c r="D323" s="327">
        <v>3</v>
      </c>
      <c r="E323" s="327">
        <v>0.5</v>
      </c>
      <c r="F323" s="327">
        <v>0.86599999999999999</v>
      </c>
      <c r="G323" s="327">
        <v>210</v>
      </c>
      <c r="H323" s="327">
        <v>60</v>
      </c>
      <c r="I323" s="327">
        <v>63.5</v>
      </c>
      <c r="J323" s="327">
        <v>43.5</v>
      </c>
      <c r="K323" s="327">
        <v>51</v>
      </c>
      <c r="L323" s="48">
        <f t="shared" si="8"/>
        <v>4.3499999999999997E-2</v>
      </c>
    </row>
    <row r="324" spans="1:13">
      <c r="A324" t="s">
        <v>679</v>
      </c>
      <c r="B324" t="s">
        <v>4246</v>
      </c>
      <c r="D324" s="328">
        <v>4</v>
      </c>
      <c r="E324" s="328" t="s">
        <v>4544</v>
      </c>
      <c r="F324" s="328" t="s">
        <v>4545</v>
      </c>
      <c r="G324" s="328">
        <v>190</v>
      </c>
      <c r="H324" s="328">
        <v>0</v>
      </c>
      <c r="I324" s="328">
        <v>3.1</v>
      </c>
      <c r="J324" s="328">
        <v>4.5</v>
      </c>
      <c r="K324" s="328">
        <v>1.4</v>
      </c>
      <c r="L324" s="48">
        <f t="shared" si="8"/>
        <v>4.4999999999999997E-3</v>
      </c>
    </row>
    <row r="325" spans="1:13">
      <c r="A325" t="s">
        <v>679</v>
      </c>
      <c r="B325" t="s">
        <v>4246</v>
      </c>
      <c r="D325" s="327">
        <v>5</v>
      </c>
      <c r="E325" s="327">
        <v>0.5</v>
      </c>
      <c r="F325" s="327" t="s">
        <v>4545</v>
      </c>
      <c r="G325" s="327">
        <v>210</v>
      </c>
      <c r="H325" s="327">
        <v>0</v>
      </c>
      <c r="I325" s="327">
        <v>2.8</v>
      </c>
      <c r="J325" s="327">
        <v>14.1</v>
      </c>
      <c r="K325" s="327">
        <v>21.6</v>
      </c>
      <c r="L325" s="48">
        <f t="shared" si="8"/>
        <v>1.41E-2</v>
      </c>
    </row>
    <row r="326" spans="1:13">
      <c r="A326" t="s">
        <v>679</v>
      </c>
      <c r="B326" t="s">
        <v>4246</v>
      </c>
      <c r="D326" s="328">
        <v>6</v>
      </c>
      <c r="E326" s="328" t="s">
        <v>4544</v>
      </c>
      <c r="F326" s="328">
        <v>0.86599999999999999</v>
      </c>
      <c r="G326" s="328">
        <v>190</v>
      </c>
      <c r="H326" s="328">
        <v>60</v>
      </c>
      <c r="I326" s="328">
        <v>62.1</v>
      </c>
      <c r="J326" s="328">
        <v>82.5</v>
      </c>
      <c r="K326" s="328">
        <v>75</v>
      </c>
      <c r="L326" s="48">
        <f t="shared" si="8"/>
        <v>8.2500000000000004E-2</v>
      </c>
    </row>
    <row r="327" spans="1:13">
      <c r="A327" t="s">
        <v>679</v>
      </c>
      <c r="B327" t="s">
        <v>4246</v>
      </c>
      <c r="D327" s="327">
        <v>7</v>
      </c>
      <c r="E327" s="327">
        <v>0</v>
      </c>
      <c r="F327" s="327">
        <v>0</v>
      </c>
      <c r="G327" s="327">
        <v>200</v>
      </c>
      <c r="H327" s="327">
        <v>30</v>
      </c>
      <c r="I327" s="327">
        <v>31.5</v>
      </c>
      <c r="J327" s="327">
        <v>66.400000000000006</v>
      </c>
      <c r="K327" s="327">
        <v>69.900000000000006</v>
      </c>
      <c r="L327" s="48">
        <f t="shared" si="8"/>
        <v>6.6400000000000001E-2</v>
      </c>
    </row>
    <row r="328" spans="1:13">
      <c r="A328" t="s">
        <v>679</v>
      </c>
      <c r="B328" t="s">
        <v>4246</v>
      </c>
      <c r="D328" s="328" t="s">
        <v>4546</v>
      </c>
      <c r="E328" s="328">
        <v>0</v>
      </c>
      <c r="F328" s="328">
        <v>0</v>
      </c>
      <c r="G328" s="328">
        <v>200</v>
      </c>
      <c r="H328" s="328">
        <v>30</v>
      </c>
      <c r="I328" s="328">
        <v>32.4</v>
      </c>
      <c r="J328" s="328">
        <v>74.900000000000006</v>
      </c>
      <c r="K328" s="328">
        <v>69.900000000000006</v>
      </c>
      <c r="L328" s="48">
        <f t="shared" si="8"/>
        <v>7.4900000000000008E-2</v>
      </c>
    </row>
    <row r="329" spans="1:13">
      <c r="A329" t="s">
        <v>679</v>
      </c>
      <c r="B329" t="s">
        <v>4246</v>
      </c>
      <c r="D329" s="343" t="s">
        <v>4547</v>
      </c>
      <c r="E329" s="343">
        <v>0</v>
      </c>
      <c r="F329" s="343">
        <v>0</v>
      </c>
      <c r="G329" s="343">
        <v>200</v>
      </c>
      <c r="H329" s="343">
        <v>30</v>
      </c>
      <c r="I329" s="343">
        <v>31.8</v>
      </c>
      <c r="J329" s="343">
        <v>68.5</v>
      </c>
      <c r="K329" s="343">
        <v>69.900000000000006</v>
      </c>
      <c r="L329" s="48">
        <f t="shared" si="8"/>
        <v>6.8500000000000005E-2</v>
      </c>
    </row>
    <row r="330" spans="1:13">
      <c r="A330" t="s">
        <v>679</v>
      </c>
      <c r="B330" t="s">
        <v>4246</v>
      </c>
      <c r="I330" s="48" t="s">
        <v>3033</v>
      </c>
      <c r="J330" s="48">
        <f>MAX(J321:J329)</f>
        <v>82.5</v>
      </c>
    </row>
    <row r="331" spans="1:13">
      <c r="A331" t="s">
        <v>679</v>
      </c>
      <c r="B331" t="s">
        <v>4246</v>
      </c>
      <c r="I331" s="48" t="s">
        <v>3034</v>
      </c>
      <c r="J331" s="48">
        <f>MIN(J321:J329)</f>
        <v>4.5</v>
      </c>
    </row>
    <row r="332" spans="1:13">
      <c r="A332" t="s">
        <v>679</v>
      </c>
      <c r="B332" t="s">
        <v>4246</v>
      </c>
    </row>
    <row r="333" spans="1:13" s="383" customFormat="1">
      <c r="A333" s="383" t="s">
        <v>679</v>
      </c>
      <c r="B333" s="383" t="s">
        <v>4337</v>
      </c>
      <c r="C333" s="383" t="s">
        <v>4</v>
      </c>
      <c r="D333" s="383" t="s">
        <v>6415</v>
      </c>
    </row>
    <row r="334" spans="1:13" s="383" customFormat="1">
      <c r="A334" s="383" t="s">
        <v>679</v>
      </c>
      <c r="B334" s="383" t="s">
        <v>4337</v>
      </c>
      <c r="D334" s="383" t="s">
        <v>6416</v>
      </c>
    </row>
    <row r="335" spans="1:13" s="383" customFormat="1">
      <c r="A335" s="383" t="s">
        <v>679</v>
      </c>
      <c r="B335" s="383" t="s">
        <v>4337</v>
      </c>
      <c r="D335" s="383" t="s">
        <v>6406</v>
      </c>
    </row>
    <row r="336" spans="1:13" s="383" customFormat="1">
      <c r="A336" s="383" t="s">
        <v>679</v>
      </c>
      <c r="B336" s="383" t="s">
        <v>4337</v>
      </c>
      <c r="D336" s="679" t="s">
        <v>476</v>
      </c>
      <c r="E336" s="684" t="s">
        <v>6407</v>
      </c>
      <c r="F336" s="684"/>
      <c r="G336" s="684" t="s">
        <v>6408</v>
      </c>
      <c r="H336" s="684"/>
      <c r="I336" s="684" t="s">
        <v>1763</v>
      </c>
      <c r="J336" s="684"/>
      <c r="K336" s="383" t="s">
        <v>6409</v>
      </c>
    </row>
    <row r="337" spans="1:11" s="383" customFormat="1">
      <c r="A337" s="383" t="s">
        <v>679</v>
      </c>
      <c r="B337" s="383" t="s">
        <v>4337</v>
      </c>
      <c r="D337" s="679"/>
      <c r="E337" s="383" t="s">
        <v>6410</v>
      </c>
      <c r="F337" s="383" t="s">
        <v>84</v>
      </c>
      <c r="G337" s="383" t="s">
        <v>6410</v>
      </c>
      <c r="H337" s="383" t="s">
        <v>84</v>
      </c>
      <c r="I337" s="383" t="s">
        <v>6410</v>
      </c>
      <c r="J337" s="383" t="s">
        <v>84</v>
      </c>
      <c r="K337" s="383" t="s">
        <v>14</v>
      </c>
    </row>
    <row r="338" spans="1:11" s="383" customFormat="1">
      <c r="A338" s="383" t="s">
        <v>679</v>
      </c>
      <c r="B338" s="383" t="s">
        <v>4337</v>
      </c>
      <c r="D338" s="383" t="s">
        <v>2031</v>
      </c>
      <c r="E338" s="383">
        <v>137</v>
      </c>
      <c r="F338" s="383">
        <v>129</v>
      </c>
      <c r="G338" s="383">
        <v>12</v>
      </c>
      <c r="H338" s="383">
        <v>81</v>
      </c>
      <c r="I338" s="383">
        <v>92</v>
      </c>
      <c r="J338" s="383">
        <v>37</v>
      </c>
      <c r="K338" s="383">
        <v>47</v>
      </c>
    </row>
    <row r="339" spans="1:11" s="383" customFormat="1">
      <c r="A339" s="383" t="s">
        <v>679</v>
      </c>
      <c r="B339" s="383" t="s">
        <v>4337</v>
      </c>
      <c r="D339" s="383" t="s">
        <v>6427</v>
      </c>
      <c r="E339" s="383">
        <v>121</v>
      </c>
      <c r="F339" s="383">
        <v>124</v>
      </c>
      <c r="G339" s="383">
        <v>61</v>
      </c>
      <c r="H339" s="383">
        <v>106</v>
      </c>
      <c r="I339" s="383">
        <v>49</v>
      </c>
      <c r="J339" s="383">
        <v>15</v>
      </c>
      <c r="K339" s="383">
        <v>59</v>
      </c>
    </row>
    <row r="340" spans="1:11" s="383" customFormat="1">
      <c r="A340" s="383" t="s">
        <v>679</v>
      </c>
      <c r="B340" s="383" t="s">
        <v>4337</v>
      </c>
      <c r="D340" s="383" t="s">
        <v>6428</v>
      </c>
      <c r="E340" s="383">
        <v>123</v>
      </c>
      <c r="F340" s="383">
        <v>118</v>
      </c>
      <c r="G340" s="383" t="s">
        <v>6411</v>
      </c>
      <c r="H340" s="383">
        <v>115</v>
      </c>
      <c r="I340" s="383" t="s">
        <v>6412</v>
      </c>
      <c r="J340" s="383">
        <v>3</v>
      </c>
      <c r="K340" s="383">
        <v>57</v>
      </c>
    </row>
    <row r="341" spans="1:11" s="383" customFormat="1">
      <c r="A341" s="383" t="s">
        <v>679</v>
      </c>
      <c r="B341" s="383" t="s">
        <v>4337</v>
      </c>
      <c r="D341" s="383" t="s">
        <v>6429</v>
      </c>
      <c r="E341" s="383">
        <v>119</v>
      </c>
      <c r="F341" s="383">
        <v>123</v>
      </c>
      <c r="G341" s="383">
        <v>85</v>
      </c>
      <c r="H341" s="383">
        <v>85</v>
      </c>
      <c r="I341" s="383">
        <v>27</v>
      </c>
      <c r="J341" s="383">
        <v>29</v>
      </c>
      <c r="K341" s="383">
        <v>62</v>
      </c>
    </row>
    <row r="342" spans="1:11" s="383" customFormat="1">
      <c r="A342" s="383" t="s">
        <v>679</v>
      </c>
      <c r="B342" s="383" t="s">
        <v>4337</v>
      </c>
      <c r="D342" s="383" t="s">
        <v>1177</v>
      </c>
      <c r="E342" s="383" t="s">
        <v>1179</v>
      </c>
    </row>
    <row r="343" spans="1:11" s="383" customFormat="1">
      <c r="A343" s="383" t="s">
        <v>679</v>
      </c>
      <c r="B343" s="383" t="s">
        <v>4337</v>
      </c>
      <c r="D343" s="383" t="s">
        <v>6413</v>
      </c>
      <c r="E343" s="383" t="s">
        <v>6414</v>
      </c>
    </row>
    <row r="344" spans="1:11">
      <c r="A344" t="s">
        <v>679</v>
      </c>
      <c r="B344" t="s">
        <v>4337</v>
      </c>
      <c r="C344" t="s">
        <v>638</v>
      </c>
      <c r="D344" t="s">
        <v>680</v>
      </c>
    </row>
    <row r="345" spans="1:11">
      <c r="A345" t="s">
        <v>679</v>
      </c>
      <c r="B345" t="s">
        <v>4337</v>
      </c>
      <c r="D345" s="446" t="s">
        <v>681</v>
      </c>
    </row>
    <row r="346" spans="1:11">
      <c r="A346" t="s">
        <v>679</v>
      </c>
      <c r="B346" t="s">
        <v>4337</v>
      </c>
      <c r="D346">
        <v>180</v>
      </c>
      <c r="E346">
        <v>126</v>
      </c>
    </row>
    <row r="347" spans="1:11">
      <c r="A347" t="s">
        <v>679</v>
      </c>
      <c r="B347" t="s">
        <v>4337</v>
      </c>
      <c r="D347" s="48" t="s">
        <v>809</v>
      </c>
      <c r="E347" s="48">
        <f>1/180*126</f>
        <v>0.70000000000000007</v>
      </c>
    </row>
    <row r="348" spans="1:11">
      <c r="A348" t="s">
        <v>679</v>
      </c>
      <c r="B348" t="s">
        <v>4337</v>
      </c>
      <c r="D348" s="48" t="s">
        <v>6430</v>
      </c>
      <c r="E348" s="51">
        <f>[1]MonoSugar!$L$13</f>
        <v>55.647368421052633</v>
      </c>
    </row>
    <row r="349" spans="1:11">
      <c r="A349" t="s">
        <v>679</v>
      </c>
      <c r="B349" t="s">
        <v>4337</v>
      </c>
      <c r="D349" s="48" t="s">
        <v>6431</v>
      </c>
      <c r="E349" s="48">
        <f>E347*E348%</f>
        <v>0.38953157894736845</v>
      </c>
    </row>
    <row r="350" spans="1:11">
      <c r="A350" t="s">
        <v>679</v>
      </c>
      <c r="B350" t="s">
        <v>4337</v>
      </c>
    </row>
    <row r="351" spans="1:11">
      <c r="A351" t="s">
        <v>679</v>
      </c>
      <c r="B351" t="s">
        <v>4337</v>
      </c>
    </row>
    <row r="352" spans="1:11">
      <c r="A352" t="s">
        <v>823</v>
      </c>
      <c r="B352" t="s">
        <v>4216</v>
      </c>
    </row>
    <row r="353" spans="1:5">
      <c r="A353" t="s">
        <v>823</v>
      </c>
      <c r="B353" t="s">
        <v>4216</v>
      </c>
      <c r="C353" t="s">
        <v>638</v>
      </c>
      <c r="D353" t="s">
        <v>824</v>
      </c>
    </row>
    <row r="354" spans="1:5">
      <c r="A354" t="s">
        <v>823</v>
      </c>
      <c r="B354" t="s">
        <v>4216</v>
      </c>
      <c r="D354" t="s">
        <v>825</v>
      </c>
    </row>
    <row r="355" spans="1:5">
      <c r="A355" t="s">
        <v>823</v>
      </c>
      <c r="B355" t="s">
        <v>4216</v>
      </c>
      <c r="D355" t="s">
        <v>836</v>
      </c>
      <c r="E355">
        <v>0.86699999999999999</v>
      </c>
    </row>
    <row r="356" spans="1:5">
      <c r="A356" t="s">
        <v>823</v>
      </c>
      <c r="B356" t="s">
        <v>4216</v>
      </c>
      <c r="D356" s="48" t="s">
        <v>6433</v>
      </c>
      <c r="E356" s="51">
        <f>[1]MonoSugar!$L$14</f>
        <v>17.55662361403509</v>
      </c>
    </row>
    <row r="357" spans="1:5">
      <c r="A357" t="s">
        <v>823</v>
      </c>
      <c r="B357" t="s">
        <v>4216</v>
      </c>
      <c r="D357" s="48" t="s">
        <v>6434</v>
      </c>
      <c r="E357" s="48">
        <f>E355*E356%</f>
        <v>0.15221592673368423</v>
      </c>
    </row>
    <row r="358" spans="1:5">
      <c r="A358" t="s">
        <v>823</v>
      </c>
      <c r="B358" t="s">
        <v>4216</v>
      </c>
    </row>
    <row r="359" spans="1:5">
      <c r="A359" t="s">
        <v>823</v>
      </c>
      <c r="B359" t="s">
        <v>4246</v>
      </c>
      <c r="C359" t="s">
        <v>638</v>
      </c>
      <c r="D359" t="s">
        <v>824</v>
      </c>
    </row>
    <row r="360" spans="1:5">
      <c r="A360" t="s">
        <v>823</v>
      </c>
      <c r="B360" t="s">
        <v>4246</v>
      </c>
      <c r="D360" t="s">
        <v>825</v>
      </c>
    </row>
    <row r="361" spans="1:5">
      <c r="A361" t="s">
        <v>823</v>
      </c>
      <c r="B361" t="s">
        <v>4246</v>
      </c>
      <c r="D361" t="s">
        <v>836</v>
      </c>
      <c r="E361">
        <v>0.86699999999999999</v>
      </c>
    </row>
    <row r="362" spans="1:5">
      <c r="A362" t="s">
        <v>823</v>
      </c>
      <c r="B362" t="s">
        <v>4246</v>
      </c>
      <c r="D362" s="48" t="s">
        <v>6435</v>
      </c>
      <c r="E362" s="51">
        <f>[1]MonoSugar!$L$15</f>
        <v>44.146556235087715</v>
      </c>
    </row>
    <row r="363" spans="1:5">
      <c r="A363" t="s">
        <v>823</v>
      </c>
      <c r="B363" t="s">
        <v>4246</v>
      </c>
      <c r="D363" s="48" t="s">
        <v>6436</v>
      </c>
      <c r="E363" s="48">
        <f>E361*E362%</f>
        <v>0.38275064255821045</v>
      </c>
    </row>
    <row r="364" spans="1:5">
      <c r="A364" t="s">
        <v>823</v>
      </c>
      <c r="B364" t="s">
        <v>4246</v>
      </c>
    </row>
    <row r="365" spans="1:5">
      <c r="A365" t="s">
        <v>823</v>
      </c>
      <c r="B365" t="s">
        <v>4337</v>
      </c>
      <c r="C365" t="s">
        <v>638</v>
      </c>
      <c r="D365" t="s">
        <v>824</v>
      </c>
    </row>
    <row r="366" spans="1:5">
      <c r="A366" t="s">
        <v>823</v>
      </c>
      <c r="B366" t="s">
        <v>4337</v>
      </c>
      <c r="D366" t="s">
        <v>825</v>
      </c>
    </row>
    <row r="367" spans="1:5">
      <c r="A367" t="s">
        <v>823</v>
      </c>
      <c r="B367" t="s">
        <v>4337</v>
      </c>
      <c r="D367" t="s">
        <v>836</v>
      </c>
      <c r="E367">
        <v>0.86699999999999999</v>
      </c>
    </row>
    <row r="368" spans="1:5">
      <c r="A368" t="s">
        <v>823</v>
      </c>
      <c r="B368" t="s">
        <v>4337</v>
      </c>
      <c r="D368" s="48" t="s">
        <v>3715</v>
      </c>
      <c r="E368" s="51">
        <f>[1]MonoSugar!$L$16</f>
        <v>29.964919298245611</v>
      </c>
    </row>
    <row r="369" spans="1:5">
      <c r="A369" t="s">
        <v>823</v>
      </c>
      <c r="B369" t="s">
        <v>4337</v>
      </c>
      <c r="D369" s="48" t="s">
        <v>840</v>
      </c>
      <c r="E369" s="48">
        <f>E367*E368%</f>
        <v>0.25979585031578944</v>
      </c>
    </row>
    <row r="370" spans="1:5">
      <c r="A370" t="s">
        <v>823</v>
      </c>
      <c r="B370" t="s">
        <v>4337</v>
      </c>
    </row>
    <row r="371" spans="1:5">
      <c r="A371" t="s">
        <v>843</v>
      </c>
      <c r="B371" t="s">
        <v>4216</v>
      </c>
      <c r="C371" t="s">
        <v>638</v>
      </c>
      <c r="D371" t="s">
        <v>4548</v>
      </c>
      <c r="E371" s="142">
        <f>[1]MonoSugar!$H$14</f>
        <v>9.3163341403508788</v>
      </c>
    </row>
    <row r="372" spans="1:5">
      <c r="A372" t="s">
        <v>843</v>
      </c>
      <c r="B372" t="s">
        <v>4216</v>
      </c>
      <c r="D372" s="48" t="s">
        <v>4549</v>
      </c>
      <c r="E372" s="48">
        <f>E371%*17%</f>
        <v>1.5837768038596496E-2</v>
      </c>
    </row>
    <row r="373" spans="1:5">
      <c r="A373" t="s">
        <v>843</v>
      </c>
      <c r="B373" t="s">
        <v>4216</v>
      </c>
    </row>
    <row r="374" spans="1:5">
      <c r="A374" t="s">
        <v>843</v>
      </c>
      <c r="B374" t="s">
        <v>4246</v>
      </c>
      <c r="C374" t="s">
        <v>638</v>
      </c>
      <c r="D374" t="s">
        <v>4550</v>
      </c>
      <c r="E374" s="142">
        <f>[1]MonoSugar!$H$15</f>
        <v>34.700282550877191</v>
      </c>
    </row>
    <row r="375" spans="1:5">
      <c r="A375" t="s">
        <v>843</v>
      </c>
      <c r="B375" t="s">
        <v>4246</v>
      </c>
      <c r="D375" s="48" t="s">
        <v>4551</v>
      </c>
      <c r="E375" s="48">
        <f>E374%*17%</f>
        <v>5.8990480336491229E-2</v>
      </c>
    </row>
    <row r="376" spans="1:5">
      <c r="A376" t="s">
        <v>843</v>
      </c>
      <c r="B376" t="s">
        <v>4246</v>
      </c>
    </row>
    <row r="377" spans="1:5">
      <c r="A377" t="s">
        <v>843</v>
      </c>
      <c r="B377" t="s">
        <v>4337</v>
      </c>
      <c r="C377" t="s">
        <v>638</v>
      </c>
      <c r="D377" t="s">
        <v>4552</v>
      </c>
      <c r="E377" s="142">
        <f>[1]MonoSugar!$H$16</f>
        <v>21.175292982456138</v>
      </c>
    </row>
    <row r="378" spans="1:5">
      <c r="A378" t="s">
        <v>843</v>
      </c>
      <c r="B378" t="s">
        <v>4337</v>
      </c>
      <c r="D378" s="48" t="s">
        <v>4553</v>
      </c>
      <c r="E378" s="48">
        <f>E377%*17%</f>
        <v>3.5997998070175438E-2</v>
      </c>
    </row>
    <row r="379" spans="1:5">
      <c r="A379" t="s">
        <v>843</v>
      </c>
      <c r="B379" t="s">
        <v>4337</v>
      </c>
    </row>
    <row r="380" spans="1:5">
      <c r="A380" t="s">
        <v>6437</v>
      </c>
      <c r="B380" t="s">
        <v>4216</v>
      </c>
      <c r="C380" t="s">
        <v>638</v>
      </c>
      <c r="D380" t="s">
        <v>883</v>
      </c>
      <c r="E380">
        <v>0.66714285714285715</v>
      </c>
    </row>
    <row r="381" spans="1:5">
      <c r="A381" t="s">
        <v>6437</v>
      </c>
      <c r="B381" t="s">
        <v>4216</v>
      </c>
      <c r="D381" s="48" t="s">
        <v>6438</v>
      </c>
      <c r="E381" s="51">
        <f>[1]MonoSugar!$K$14</f>
        <v>17.567717341307816</v>
      </c>
    </row>
    <row r="382" spans="1:5">
      <c r="A382" t="s">
        <v>6437</v>
      </c>
      <c r="B382" t="s">
        <v>4216</v>
      </c>
      <c r="D382" s="48" t="s">
        <v>6439</v>
      </c>
      <c r="E382" s="48">
        <f>E380*E381%</f>
        <v>0.11720177140558213</v>
      </c>
    </row>
    <row r="383" spans="1:5">
      <c r="A383" t="s">
        <v>6437</v>
      </c>
      <c r="B383" t="s">
        <v>4216</v>
      </c>
    </row>
    <row r="384" spans="1:5">
      <c r="A384" t="s">
        <v>6437</v>
      </c>
      <c r="B384" t="s">
        <v>6440</v>
      </c>
      <c r="C384" t="s">
        <v>197</v>
      </c>
      <c r="D384" t="s">
        <v>6442</v>
      </c>
    </row>
    <row r="385" spans="1:12">
      <c r="A385" t="s">
        <v>6437</v>
      </c>
      <c r="B385" t="s">
        <v>6440</v>
      </c>
      <c r="D385" t="s">
        <v>6441</v>
      </c>
    </row>
    <row r="386" spans="1:12">
      <c r="A386" t="s">
        <v>6437</v>
      </c>
      <c r="B386" t="s">
        <v>6440</v>
      </c>
    </row>
    <row r="387" spans="1:12">
      <c r="A387" t="s">
        <v>6437</v>
      </c>
      <c r="B387" t="s">
        <v>6440</v>
      </c>
      <c r="D387" s="374" t="s">
        <v>6443</v>
      </c>
    </row>
    <row r="388" spans="1:12">
      <c r="A388" t="s">
        <v>6437</v>
      </c>
      <c r="B388" t="s">
        <v>6440</v>
      </c>
    </row>
    <row r="389" spans="1:12">
      <c r="A389" t="s">
        <v>6437</v>
      </c>
      <c r="B389" t="s">
        <v>6440</v>
      </c>
      <c r="D389" t="s">
        <v>6444</v>
      </c>
    </row>
    <row r="390" spans="1:12">
      <c r="A390" t="s">
        <v>6437</v>
      </c>
      <c r="B390" t="s">
        <v>6440</v>
      </c>
      <c r="D390" t="s">
        <v>6445</v>
      </c>
      <c r="E390" t="s">
        <v>6446</v>
      </c>
      <c r="F390" t="s">
        <v>6447</v>
      </c>
      <c r="G390" t="s">
        <v>6448</v>
      </c>
      <c r="H390" s="204" t="s">
        <v>6449</v>
      </c>
      <c r="I390" t="s">
        <v>6450</v>
      </c>
      <c r="J390" t="s">
        <v>6451</v>
      </c>
      <c r="K390" t="s">
        <v>6452</v>
      </c>
      <c r="L390" s="48" t="s">
        <v>6449</v>
      </c>
    </row>
    <row r="391" spans="1:12">
      <c r="A391" t="s">
        <v>6437</v>
      </c>
      <c r="B391" t="s">
        <v>6440</v>
      </c>
      <c r="D391" t="s">
        <v>6453</v>
      </c>
      <c r="E391" t="s">
        <v>6454</v>
      </c>
      <c r="F391" t="s">
        <v>6455</v>
      </c>
      <c r="G391" t="s">
        <v>6456</v>
      </c>
      <c r="H391" s="204" t="s">
        <v>6457</v>
      </c>
      <c r="I391" t="s">
        <v>6458</v>
      </c>
      <c r="J391" t="s">
        <v>4032</v>
      </c>
      <c r="K391" t="s">
        <v>6459</v>
      </c>
      <c r="L391" s="48">
        <v>0.62</v>
      </c>
    </row>
    <row r="392" spans="1:12">
      <c r="A392" t="s">
        <v>6437</v>
      </c>
      <c r="B392" t="s">
        <v>6440</v>
      </c>
      <c r="D392" t="s">
        <v>6460</v>
      </c>
      <c r="E392" t="s">
        <v>6461</v>
      </c>
      <c r="F392" t="s">
        <v>6462</v>
      </c>
      <c r="G392" t="s">
        <v>6463</v>
      </c>
      <c r="H392" s="204" t="s">
        <v>97</v>
      </c>
      <c r="I392" t="s">
        <v>4150</v>
      </c>
      <c r="J392" t="s">
        <v>6464</v>
      </c>
      <c r="K392" t="s">
        <v>6465</v>
      </c>
      <c r="L392" s="48">
        <v>0.65</v>
      </c>
    </row>
    <row r="393" spans="1:12">
      <c r="A393" t="s">
        <v>6437</v>
      </c>
      <c r="B393" t="s">
        <v>6440</v>
      </c>
      <c r="D393" t="s">
        <v>6466</v>
      </c>
      <c r="E393" t="s">
        <v>6467</v>
      </c>
      <c r="F393" t="s">
        <v>6468</v>
      </c>
      <c r="G393" t="s">
        <v>6469</v>
      </c>
      <c r="H393" s="204" t="s">
        <v>6470</v>
      </c>
      <c r="I393" t="s">
        <v>6471</v>
      </c>
      <c r="J393" t="s">
        <v>6472</v>
      </c>
      <c r="K393" t="s">
        <v>6473</v>
      </c>
      <c r="L393" s="48">
        <v>0.8</v>
      </c>
    </row>
    <row r="394" spans="1:12">
      <c r="A394" t="s">
        <v>6437</v>
      </c>
      <c r="B394" t="s">
        <v>6440</v>
      </c>
      <c r="D394" t="s">
        <v>6474</v>
      </c>
      <c r="E394" t="s">
        <v>6475</v>
      </c>
      <c r="F394" t="s">
        <v>6476</v>
      </c>
      <c r="G394" t="s">
        <v>6477</v>
      </c>
      <c r="H394" s="204" t="s">
        <v>6478</v>
      </c>
      <c r="I394" t="s">
        <v>6479</v>
      </c>
      <c r="J394">
        <v>0</v>
      </c>
      <c r="K394" t="s">
        <v>6480</v>
      </c>
      <c r="L394" s="48">
        <v>0.9</v>
      </c>
    </row>
    <row r="395" spans="1:12">
      <c r="A395" t="s">
        <v>6437</v>
      </c>
      <c r="B395" t="s">
        <v>6440</v>
      </c>
      <c r="D395" t="s">
        <v>1177</v>
      </c>
      <c r="E395" t="s">
        <v>1179</v>
      </c>
      <c r="K395" s="48" t="s">
        <v>510</v>
      </c>
      <c r="L395" s="48">
        <f>AVERAGE(L391:L394)</f>
        <v>0.74250000000000005</v>
      </c>
    </row>
    <row r="396" spans="1:12">
      <c r="A396" t="s">
        <v>6437</v>
      </c>
      <c r="B396" t="s">
        <v>6440</v>
      </c>
      <c r="D396" t="s">
        <v>6481</v>
      </c>
      <c r="E396" t="s">
        <v>6482</v>
      </c>
    </row>
    <row r="397" spans="1:12">
      <c r="A397" t="s">
        <v>6437</v>
      </c>
      <c r="B397" t="s">
        <v>6440</v>
      </c>
    </row>
    <row r="398" spans="1:12">
      <c r="A398" t="s">
        <v>6437</v>
      </c>
      <c r="B398" t="s">
        <v>6440</v>
      </c>
      <c r="D398" s="48" t="s">
        <v>6483</v>
      </c>
      <c r="E398" s="51">
        <f>[1]MonoSugar!$K$15</f>
        <v>45.127846256299833</v>
      </c>
    </row>
    <row r="399" spans="1:12">
      <c r="A399" t="s">
        <v>6437</v>
      </c>
      <c r="B399" t="s">
        <v>6440</v>
      </c>
      <c r="D399" s="48" t="s">
        <v>6484</v>
      </c>
      <c r="E399" s="48">
        <f>L395*E398%</f>
        <v>0.33507425845302624</v>
      </c>
    </row>
    <row r="400" spans="1:12">
      <c r="A400" t="s">
        <v>6437</v>
      </c>
      <c r="B400" t="s">
        <v>6440</v>
      </c>
    </row>
    <row r="401" spans="1:5">
      <c r="A401" t="s">
        <v>6437</v>
      </c>
      <c r="B401" t="s">
        <v>6440</v>
      </c>
    </row>
    <row r="402" spans="1:5">
      <c r="A402" t="s">
        <v>6437</v>
      </c>
      <c r="B402" t="s">
        <v>4337</v>
      </c>
      <c r="C402" t="s">
        <v>197</v>
      </c>
      <c r="D402" t="s">
        <v>6486</v>
      </c>
    </row>
    <row r="403" spans="1:5">
      <c r="A403" t="s">
        <v>6437</v>
      </c>
      <c r="B403" t="s">
        <v>4337</v>
      </c>
      <c r="D403" t="s">
        <v>6485</v>
      </c>
    </row>
    <row r="404" spans="1:5">
      <c r="A404" t="s">
        <v>6437</v>
      </c>
      <c r="B404" t="s">
        <v>4337</v>
      </c>
    </row>
    <row r="405" spans="1:5">
      <c r="A405" t="s">
        <v>6437</v>
      </c>
      <c r="B405" t="s">
        <v>4337</v>
      </c>
      <c r="D405" t="s">
        <v>6487</v>
      </c>
    </row>
    <row r="406" spans="1:5">
      <c r="A406" t="s">
        <v>6437</v>
      </c>
      <c r="B406" t="s">
        <v>4337</v>
      </c>
      <c r="D406" t="s">
        <v>6488</v>
      </c>
    </row>
    <row r="407" spans="1:5">
      <c r="A407" t="s">
        <v>6437</v>
      </c>
      <c r="B407" t="s">
        <v>4337</v>
      </c>
    </row>
    <row r="408" spans="1:5">
      <c r="A408" t="s">
        <v>6437</v>
      </c>
      <c r="B408" t="s">
        <v>4337</v>
      </c>
      <c r="D408" t="s">
        <v>5070</v>
      </c>
      <c r="E408">
        <v>0.17</v>
      </c>
    </row>
    <row r="409" spans="1:5">
      <c r="A409" t="s">
        <v>6437</v>
      </c>
      <c r="B409" t="s">
        <v>4337</v>
      </c>
      <c r="D409" t="s">
        <v>5070</v>
      </c>
      <c r="E409">
        <v>0.18</v>
      </c>
    </row>
    <row r="410" spans="1:5">
      <c r="A410" t="s">
        <v>6437</v>
      </c>
      <c r="B410" t="s">
        <v>4337</v>
      </c>
      <c r="D410" t="s">
        <v>6489</v>
      </c>
      <c r="E410">
        <f>AVERAGE(E408:E409)</f>
        <v>0.17499999999999999</v>
      </c>
    </row>
    <row r="411" spans="1:5">
      <c r="A411" t="s">
        <v>6437</v>
      </c>
      <c r="B411" t="s">
        <v>4337</v>
      </c>
      <c r="D411" t="s">
        <v>6490</v>
      </c>
      <c r="E411" s="142">
        <f>[1]MonoSugar!$H$16</f>
        <v>21.175292982456138</v>
      </c>
    </row>
    <row r="412" spans="1:5">
      <c r="A412" t="s">
        <v>6437</v>
      </c>
      <c r="B412" t="s">
        <v>4337</v>
      </c>
      <c r="D412" t="s">
        <v>6491</v>
      </c>
      <c r="E412">
        <f>E410*E411%</f>
        <v>3.7056762719298239E-2</v>
      </c>
    </row>
    <row r="413" spans="1:5">
      <c r="A413" t="s">
        <v>4585</v>
      </c>
      <c r="B413" t="s">
        <v>4216</v>
      </c>
    </row>
    <row r="414" spans="1:5">
      <c r="A414" t="s">
        <v>4585</v>
      </c>
      <c r="B414" t="s">
        <v>4216</v>
      </c>
      <c r="C414" t="s">
        <v>638</v>
      </c>
      <c r="D414" t="s">
        <v>883</v>
      </c>
      <c r="E414">
        <v>0.23649999999999999</v>
      </c>
    </row>
    <row r="415" spans="1:5">
      <c r="A415" t="s">
        <v>4585</v>
      </c>
      <c r="B415" t="s">
        <v>4216</v>
      </c>
      <c r="D415" t="s">
        <v>4548</v>
      </c>
      <c r="E415" s="142">
        <f>[1]MonoSugar!$K$14</f>
        <v>17.567717341307816</v>
      </c>
    </row>
    <row r="416" spans="1:5">
      <c r="A416" t="s">
        <v>4585</v>
      </c>
      <c r="B416" t="s">
        <v>4216</v>
      </c>
      <c r="D416" s="48" t="s">
        <v>6492</v>
      </c>
      <c r="E416" s="48">
        <f>E415%*E414</f>
        <v>4.154765151219298E-2</v>
      </c>
    </row>
    <row r="417" spans="1:5">
      <c r="A417" t="s">
        <v>4585</v>
      </c>
      <c r="B417" t="s">
        <v>4216</v>
      </c>
    </row>
    <row r="418" spans="1:5">
      <c r="A418" t="s">
        <v>4585</v>
      </c>
      <c r="B418" t="s">
        <v>4216</v>
      </c>
    </row>
    <row r="419" spans="1:5">
      <c r="A419" t="s">
        <v>4585</v>
      </c>
      <c r="B419" t="s">
        <v>6440</v>
      </c>
      <c r="C419" t="s">
        <v>638</v>
      </c>
      <c r="D419" t="s">
        <v>883</v>
      </c>
      <c r="E419">
        <v>0.23649999999999999</v>
      </c>
    </row>
    <row r="420" spans="1:5">
      <c r="A420" t="s">
        <v>4585</v>
      </c>
      <c r="B420" t="s">
        <v>6440</v>
      </c>
      <c r="D420" t="s">
        <v>6493</v>
      </c>
      <c r="E420" s="142">
        <f>[1]MonoSugar!$K$15</f>
        <v>45.127846256299833</v>
      </c>
    </row>
    <row r="421" spans="1:5">
      <c r="A421" t="s">
        <v>4585</v>
      </c>
      <c r="B421" t="s">
        <v>6440</v>
      </c>
      <c r="D421" s="48" t="s">
        <v>6494</v>
      </c>
      <c r="E421" s="48">
        <f>E420%*E419</f>
        <v>0.1067273563961491</v>
      </c>
    </row>
    <row r="422" spans="1:5">
      <c r="A422" t="s">
        <v>4585</v>
      </c>
      <c r="B422" t="s">
        <v>6440</v>
      </c>
    </row>
    <row r="423" spans="1:5">
      <c r="A423" t="s">
        <v>4585</v>
      </c>
      <c r="B423" t="s">
        <v>4337</v>
      </c>
    </row>
    <row r="424" spans="1:5">
      <c r="A424" t="s">
        <v>4585</v>
      </c>
      <c r="B424" t="s">
        <v>4337</v>
      </c>
      <c r="C424" t="s">
        <v>638</v>
      </c>
      <c r="D424" t="s">
        <v>883</v>
      </c>
      <c r="E424">
        <v>0.23649999999999999</v>
      </c>
    </row>
    <row r="425" spans="1:5">
      <c r="A425" t="s">
        <v>4585</v>
      </c>
      <c r="B425" t="s">
        <v>4337</v>
      </c>
      <c r="D425" t="s">
        <v>6495</v>
      </c>
      <c r="E425" s="142">
        <f>[1]MonoSugar!$K$16</f>
        <v>30.499369298245611</v>
      </c>
    </row>
    <row r="426" spans="1:5">
      <c r="A426" t="s">
        <v>4585</v>
      </c>
      <c r="B426" t="s">
        <v>4337</v>
      </c>
      <c r="D426" s="48" t="s">
        <v>6496</v>
      </c>
      <c r="E426" s="48">
        <f>E425%*E424</f>
        <v>7.2131008390350859E-2</v>
      </c>
    </row>
    <row r="427" spans="1:5">
      <c r="A427" t="s">
        <v>4585</v>
      </c>
      <c r="B427" t="s">
        <v>4337</v>
      </c>
    </row>
    <row r="428" spans="1:5">
      <c r="A428" t="s">
        <v>4585</v>
      </c>
      <c r="B428" t="s">
        <v>4337</v>
      </c>
    </row>
    <row r="429" spans="1:5">
      <c r="A429" t="s">
        <v>6497</v>
      </c>
      <c r="B429" t="s">
        <v>4216</v>
      </c>
      <c r="C429" t="s">
        <v>638</v>
      </c>
      <c r="D429" t="s">
        <v>940</v>
      </c>
      <c r="E429">
        <v>0.52103333333333335</v>
      </c>
    </row>
    <row r="430" spans="1:5">
      <c r="A430" t="s">
        <v>6497</v>
      </c>
      <c r="B430" t="s">
        <v>4216</v>
      </c>
      <c r="D430" t="s">
        <v>6498</v>
      </c>
      <c r="E430" s="142">
        <f>[1]MonoSugar!$L$14</f>
        <v>17.55662361403509</v>
      </c>
    </row>
    <row r="431" spans="1:5">
      <c r="A431" t="s">
        <v>6497</v>
      </c>
      <c r="B431" t="s">
        <v>4216</v>
      </c>
      <c r="D431" s="48" t="s">
        <v>6499</v>
      </c>
      <c r="E431" s="48">
        <f>E429*E430%</f>
        <v>9.1475861236994152E-2</v>
      </c>
    </row>
    <row r="432" spans="1:5">
      <c r="A432" t="s">
        <v>6497</v>
      </c>
      <c r="B432" t="s">
        <v>4216</v>
      </c>
    </row>
    <row r="433" spans="1:12">
      <c r="A433" t="s">
        <v>6497</v>
      </c>
      <c r="B433" t="s">
        <v>4216</v>
      </c>
    </row>
    <row r="434" spans="1:12">
      <c r="A434" t="s">
        <v>6497</v>
      </c>
      <c r="B434" t="s">
        <v>6440</v>
      </c>
      <c r="C434" t="s">
        <v>638</v>
      </c>
      <c r="D434" t="s">
        <v>940</v>
      </c>
      <c r="E434">
        <v>0.52103333333333335</v>
      </c>
    </row>
    <row r="435" spans="1:12">
      <c r="A435" t="s">
        <v>6497</v>
      </c>
      <c r="B435" t="s">
        <v>6440</v>
      </c>
      <c r="D435" t="s">
        <v>6500</v>
      </c>
      <c r="E435" s="142">
        <f>[1]MonoSugar!$L$15</f>
        <v>44.146556235087715</v>
      </c>
    </row>
    <row r="436" spans="1:12">
      <c r="A436" t="s">
        <v>6497</v>
      </c>
      <c r="B436" t="s">
        <v>6440</v>
      </c>
      <c r="D436" s="48" t="s">
        <v>6501</v>
      </c>
      <c r="E436" s="48">
        <f>E434*E435%</f>
        <v>0.23001827350355203</v>
      </c>
    </row>
    <row r="437" spans="1:12">
      <c r="A437" t="s">
        <v>6497</v>
      </c>
      <c r="B437" t="s">
        <v>6440</v>
      </c>
    </row>
    <row r="438" spans="1:12">
      <c r="A438" t="s">
        <v>6497</v>
      </c>
      <c r="B438" t="s">
        <v>4337</v>
      </c>
      <c r="C438" t="s">
        <v>197</v>
      </c>
      <c r="D438" t="s">
        <v>6503</v>
      </c>
    </row>
    <row r="439" spans="1:12">
      <c r="A439" t="s">
        <v>6497</v>
      </c>
      <c r="B439" t="s">
        <v>4337</v>
      </c>
      <c r="D439" t="s">
        <v>6502</v>
      </c>
    </row>
    <row r="440" spans="1:12">
      <c r="A440" t="s">
        <v>6497</v>
      </c>
      <c r="B440" t="s">
        <v>4337</v>
      </c>
    </row>
    <row r="441" spans="1:12">
      <c r="A441" t="s">
        <v>6497</v>
      </c>
      <c r="B441" t="s">
        <v>4337</v>
      </c>
    </row>
    <row r="442" spans="1:12">
      <c r="A442" t="s">
        <v>6497</v>
      </c>
      <c r="B442" t="s">
        <v>4337</v>
      </c>
      <c r="D442" s="112" t="s">
        <v>6504</v>
      </c>
    </row>
    <row r="443" spans="1:12" ht="15" thickBot="1">
      <c r="A443" t="s">
        <v>6497</v>
      </c>
      <c r="B443" t="s">
        <v>4337</v>
      </c>
      <c r="D443" s="26" t="s">
        <v>6505</v>
      </c>
    </row>
    <row r="444" spans="1:12" ht="42.45" customHeight="1" thickBot="1">
      <c r="A444" t="s">
        <v>6497</v>
      </c>
      <c r="B444" t="s">
        <v>4337</v>
      </c>
      <c r="D444" s="685" t="s">
        <v>6506</v>
      </c>
      <c r="E444" s="618" t="s">
        <v>6507</v>
      </c>
      <c r="F444" s="619"/>
      <c r="G444" s="619"/>
      <c r="H444" s="620"/>
      <c r="I444" s="618" t="s">
        <v>6508</v>
      </c>
      <c r="J444" s="619"/>
      <c r="K444" s="619"/>
      <c r="L444" s="620"/>
    </row>
    <row r="445" spans="1:12" ht="22.2" thickTop="1" thickBot="1">
      <c r="A445" t="s">
        <v>6497</v>
      </c>
      <c r="B445" t="s">
        <v>4337</v>
      </c>
      <c r="D445" s="525"/>
      <c r="E445" s="87" t="s">
        <v>6509</v>
      </c>
      <c r="F445" s="87" t="s">
        <v>6510</v>
      </c>
      <c r="G445" s="87" t="s">
        <v>6511</v>
      </c>
      <c r="H445" s="451" t="s">
        <v>6512</v>
      </c>
      <c r="I445" s="87" t="s">
        <v>6509</v>
      </c>
      <c r="J445" s="87" t="s">
        <v>6510</v>
      </c>
      <c r="K445" s="87" t="s">
        <v>6511</v>
      </c>
      <c r="L445" s="451" t="s">
        <v>6512</v>
      </c>
    </row>
    <row r="446" spans="1:12" ht="22.8" thickTop="1" thickBot="1">
      <c r="A446" t="s">
        <v>6497</v>
      </c>
      <c r="B446" t="s">
        <v>4337</v>
      </c>
      <c r="D446" s="420" t="s">
        <v>6513</v>
      </c>
      <c r="E446" s="447">
        <v>101.2</v>
      </c>
      <c r="F446" s="447">
        <v>22.1</v>
      </c>
      <c r="G446" s="447">
        <v>0</v>
      </c>
      <c r="H446" s="452">
        <v>0</v>
      </c>
      <c r="I446" s="447">
        <v>82.4</v>
      </c>
      <c r="J446" s="447">
        <v>1.5</v>
      </c>
      <c r="K446" s="447">
        <v>10.6</v>
      </c>
      <c r="L446" s="452">
        <v>53.2</v>
      </c>
    </row>
    <row r="447" spans="1:12" ht="22.2" thickBot="1">
      <c r="A447" t="s">
        <v>6497</v>
      </c>
      <c r="B447" t="s">
        <v>4337</v>
      </c>
      <c r="D447" s="420" t="s">
        <v>6514</v>
      </c>
      <c r="E447" s="447">
        <v>77.599999999999994</v>
      </c>
      <c r="F447" s="447">
        <v>7</v>
      </c>
      <c r="G447" s="447">
        <v>42.5</v>
      </c>
      <c r="H447" s="452">
        <v>13.4</v>
      </c>
      <c r="I447" s="447">
        <v>47.5</v>
      </c>
      <c r="J447" s="447">
        <v>0.2</v>
      </c>
      <c r="K447" s="447">
        <v>1.4</v>
      </c>
      <c r="L447" s="452">
        <v>87.4</v>
      </c>
    </row>
    <row r="448" spans="1:12" ht="22.2" thickBot="1">
      <c r="A448" t="s">
        <v>6497</v>
      </c>
      <c r="B448" t="s">
        <v>4337</v>
      </c>
      <c r="D448" s="420" t="s">
        <v>6515</v>
      </c>
      <c r="E448" s="447">
        <v>79.099999999999994</v>
      </c>
      <c r="F448" s="447">
        <v>8.6999999999999993</v>
      </c>
      <c r="G448" s="447">
        <v>46.3</v>
      </c>
      <c r="H448" s="452">
        <v>8.6</v>
      </c>
      <c r="I448" s="447">
        <v>48</v>
      </c>
      <c r="J448" s="447">
        <v>0.3</v>
      </c>
      <c r="K448" s="447">
        <v>1.5</v>
      </c>
      <c r="L448" s="452">
        <v>82.8</v>
      </c>
    </row>
    <row r="449" spans="1:12" ht="22.2" thickBot="1">
      <c r="A449" t="s">
        <v>6497</v>
      </c>
      <c r="B449" t="s">
        <v>4337</v>
      </c>
      <c r="D449" s="420" t="s">
        <v>6516</v>
      </c>
      <c r="E449" s="447">
        <v>83.5</v>
      </c>
      <c r="F449" s="447">
        <v>18.7</v>
      </c>
      <c r="G449" s="447">
        <v>44.1</v>
      </c>
      <c r="H449" s="452">
        <v>3.1</v>
      </c>
      <c r="I449" s="447">
        <v>52</v>
      </c>
      <c r="J449" s="447">
        <v>0.5</v>
      </c>
      <c r="K449" s="447">
        <v>1.3</v>
      </c>
      <c r="L449" s="452">
        <v>79.900000000000006</v>
      </c>
    </row>
    <row r="450" spans="1:12" ht="22.2" thickBot="1">
      <c r="A450" t="s">
        <v>6497</v>
      </c>
      <c r="B450" t="s">
        <v>4337</v>
      </c>
      <c r="D450" s="420" t="s">
        <v>6517</v>
      </c>
      <c r="E450" s="447">
        <v>92.1</v>
      </c>
      <c r="F450" s="447">
        <v>1.6</v>
      </c>
      <c r="G450" s="447">
        <v>18.399999999999999</v>
      </c>
      <c r="H450" s="452">
        <v>46.8</v>
      </c>
      <c r="I450" s="447">
        <v>67</v>
      </c>
      <c r="J450" s="447">
        <v>0.2</v>
      </c>
      <c r="K450" s="447">
        <v>0.6</v>
      </c>
      <c r="L450" s="452">
        <v>73.900000000000006</v>
      </c>
    </row>
    <row r="451" spans="1:12" ht="22.2" thickBot="1">
      <c r="A451" t="s">
        <v>6497</v>
      </c>
      <c r="B451" t="s">
        <v>4337</v>
      </c>
      <c r="D451" s="420" t="s">
        <v>6518</v>
      </c>
      <c r="E451" s="447">
        <v>96.3</v>
      </c>
      <c r="F451" s="447">
        <v>1.9</v>
      </c>
      <c r="G451" s="447">
        <v>20.9</v>
      </c>
      <c r="H451" s="452">
        <v>50.4</v>
      </c>
      <c r="I451" s="447">
        <v>73.900000000000006</v>
      </c>
      <c r="J451" s="447">
        <v>0.3</v>
      </c>
      <c r="K451" s="447">
        <v>1.1000000000000001</v>
      </c>
      <c r="L451" s="452">
        <v>79.5</v>
      </c>
    </row>
    <row r="452" spans="1:12" ht="22.2" thickBot="1">
      <c r="A452" t="s">
        <v>6497</v>
      </c>
      <c r="B452" t="s">
        <v>4337</v>
      </c>
      <c r="D452" s="420" t="s">
        <v>6519</v>
      </c>
      <c r="E452" s="447">
        <v>92.5</v>
      </c>
      <c r="F452" s="447">
        <v>2.5</v>
      </c>
      <c r="G452" s="447">
        <v>25.9</v>
      </c>
      <c r="H452" s="452">
        <v>42.1</v>
      </c>
      <c r="I452" s="447">
        <v>71.599999999999994</v>
      </c>
      <c r="J452" s="447">
        <v>0.3</v>
      </c>
      <c r="K452" s="447">
        <v>1.2</v>
      </c>
      <c r="L452" s="452">
        <v>79.5</v>
      </c>
    </row>
    <row r="453" spans="1:12" ht="22.2" thickBot="1">
      <c r="A453" t="s">
        <v>6497</v>
      </c>
      <c r="B453" t="s">
        <v>4337</v>
      </c>
      <c r="D453" s="420" t="s">
        <v>6520</v>
      </c>
      <c r="E453" s="447">
        <v>92</v>
      </c>
      <c r="F453" s="447">
        <v>3.2</v>
      </c>
      <c r="G453" s="447">
        <v>30.5</v>
      </c>
      <c r="H453" s="452">
        <v>37</v>
      </c>
      <c r="I453" s="447">
        <v>72</v>
      </c>
      <c r="J453" s="447">
        <v>0.3</v>
      </c>
      <c r="K453" s="447">
        <v>1</v>
      </c>
      <c r="L453" s="452">
        <v>76.8</v>
      </c>
    </row>
    <row r="454" spans="1:12" ht="22.2" thickBot="1">
      <c r="A454" t="s">
        <v>6497</v>
      </c>
      <c r="B454" t="s">
        <v>4337</v>
      </c>
      <c r="D454" s="420" t="s">
        <v>6521</v>
      </c>
      <c r="E454" s="447">
        <v>82.1</v>
      </c>
      <c r="F454" s="447">
        <v>24.8</v>
      </c>
      <c r="G454" s="447">
        <v>33.6</v>
      </c>
      <c r="H454" s="452">
        <v>1.4</v>
      </c>
      <c r="I454" s="447">
        <v>72.3</v>
      </c>
      <c r="J454" s="447">
        <v>0.4</v>
      </c>
      <c r="K454" s="447">
        <v>1.2</v>
      </c>
      <c r="L454" s="452">
        <v>67.099999999999994</v>
      </c>
    </row>
    <row r="455" spans="1:12" ht="22.2" thickBot="1">
      <c r="A455" t="s">
        <v>6497</v>
      </c>
      <c r="B455" t="s">
        <v>4337</v>
      </c>
      <c r="D455" s="421" t="s">
        <v>6522</v>
      </c>
      <c r="E455" s="448">
        <v>72.7</v>
      </c>
      <c r="F455" s="448">
        <v>30.9</v>
      </c>
      <c r="G455" s="448">
        <v>29.3</v>
      </c>
      <c r="H455" s="453">
        <v>0</v>
      </c>
      <c r="I455" s="448">
        <v>73.7</v>
      </c>
      <c r="J455" s="448">
        <v>0.8</v>
      </c>
      <c r="K455" s="448">
        <v>2</v>
      </c>
      <c r="L455" s="453">
        <v>56.6</v>
      </c>
    </row>
    <row r="456" spans="1:12" ht="17.399999999999999">
      <c r="A456" t="s">
        <v>6497</v>
      </c>
      <c r="B456" t="s">
        <v>4337</v>
      </c>
      <c r="D456" s="449" t="s">
        <v>6523</v>
      </c>
    </row>
    <row r="457" spans="1:12" ht="17.399999999999999">
      <c r="A457" t="s">
        <v>6497</v>
      </c>
      <c r="B457" t="s">
        <v>4337</v>
      </c>
      <c r="D457" s="169" t="s">
        <v>6524</v>
      </c>
    </row>
    <row r="458" spans="1:12">
      <c r="A458" t="s">
        <v>6497</v>
      </c>
      <c r="B458" t="s">
        <v>4337</v>
      </c>
      <c r="D458" s="450" t="s">
        <v>6525</v>
      </c>
    </row>
    <row r="459" spans="1:12">
      <c r="A459" t="s">
        <v>6497</v>
      </c>
      <c r="B459" t="s">
        <v>4337</v>
      </c>
    </row>
    <row r="460" spans="1:12">
      <c r="A460" t="s">
        <v>6497</v>
      </c>
      <c r="B460" t="s">
        <v>4337</v>
      </c>
      <c r="D460" s="48" t="s">
        <v>6512</v>
      </c>
      <c r="E460" s="48">
        <f>AVERAGE(H446:H455,L446:L455)</f>
        <v>46.975000000000001</v>
      </c>
    </row>
    <row r="461" spans="1:12">
      <c r="A461" t="s">
        <v>6497</v>
      </c>
      <c r="B461" t="s">
        <v>4337</v>
      </c>
      <c r="C461" t="s">
        <v>2866</v>
      </c>
      <c r="D461" s="48" t="s">
        <v>6526</v>
      </c>
      <c r="E461" s="48">
        <f>E460%*116/342</f>
        <v>0.15933040935672516</v>
      </c>
    </row>
    <row r="462" spans="1:12">
      <c r="A462" t="s">
        <v>6497</v>
      </c>
      <c r="B462" t="s">
        <v>4337</v>
      </c>
      <c r="D462" s="48" t="s">
        <v>6528</v>
      </c>
      <c r="E462" s="51">
        <f>[1]MonoSugar!$D$16</f>
        <v>13.895699999999998</v>
      </c>
    </row>
    <row r="463" spans="1:12">
      <c r="A463" t="s">
        <v>6497</v>
      </c>
      <c r="B463" t="s">
        <v>4337</v>
      </c>
      <c r="D463" s="48" t="s">
        <v>6527</v>
      </c>
      <c r="E463" s="48">
        <f>E461*E462%</f>
        <v>2.2140075692982451E-2</v>
      </c>
    </row>
    <row r="464" spans="1:12">
      <c r="A464" t="s">
        <v>6497</v>
      </c>
      <c r="B464" t="s">
        <v>4337</v>
      </c>
    </row>
    <row r="465" spans="1:10">
      <c r="A465" t="s">
        <v>4685</v>
      </c>
      <c r="B465" t="s">
        <v>4216</v>
      </c>
      <c r="C465" t="s">
        <v>638</v>
      </c>
      <c r="D465" t="s">
        <v>984</v>
      </c>
    </row>
    <row r="466" spans="1:10">
      <c r="A466" t="s">
        <v>4685</v>
      </c>
      <c r="B466" t="s">
        <v>4216</v>
      </c>
      <c r="D466" t="s">
        <v>985</v>
      </c>
    </row>
    <row r="467" spans="1:10" ht="15.6">
      <c r="A467" t="s">
        <v>4685</v>
      </c>
      <c r="B467" t="s">
        <v>4216</v>
      </c>
      <c r="D467" s="199" t="s">
        <v>986</v>
      </c>
    </row>
    <row r="468" spans="1:10">
      <c r="A468" t="s">
        <v>4685</v>
      </c>
      <c r="B468" t="s">
        <v>4216</v>
      </c>
      <c r="D468" s="48" t="s">
        <v>987</v>
      </c>
      <c r="E468" s="48">
        <v>0.76</v>
      </c>
    </row>
    <row r="469" spans="1:10">
      <c r="A469" t="s">
        <v>4685</v>
      </c>
      <c r="B469" t="s">
        <v>4216</v>
      </c>
      <c r="D469" s="48" t="s">
        <v>6529</v>
      </c>
      <c r="E469" s="51">
        <f>[1]MonoSugar!$H$14</f>
        <v>9.3163341403508788</v>
      </c>
    </row>
    <row r="470" spans="1:10">
      <c r="A470" t="s">
        <v>4685</v>
      </c>
      <c r="B470" t="s">
        <v>4216</v>
      </c>
      <c r="D470" s="48" t="s">
        <v>6530</v>
      </c>
      <c r="E470" s="48">
        <f>E468*E469%</f>
        <v>7.080413946666668E-2</v>
      </c>
    </row>
    <row r="471" spans="1:10">
      <c r="A471" t="s">
        <v>4685</v>
      </c>
      <c r="B471" t="s">
        <v>4216</v>
      </c>
    </row>
    <row r="472" spans="1:10">
      <c r="A472" t="s">
        <v>4685</v>
      </c>
      <c r="B472" t="s">
        <v>6440</v>
      </c>
      <c r="C472" t="s">
        <v>197</v>
      </c>
      <c r="D472" t="s">
        <v>6532</v>
      </c>
    </row>
    <row r="473" spans="1:10">
      <c r="A473" t="s">
        <v>4685</v>
      </c>
      <c r="B473" t="s">
        <v>6440</v>
      </c>
      <c r="D473" t="s">
        <v>6531</v>
      </c>
    </row>
    <row r="474" spans="1:10">
      <c r="A474" t="s">
        <v>4685</v>
      </c>
      <c r="B474" t="s">
        <v>6440</v>
      </c>
    </row>
    <row r="475" spans="1:10">
      <c r="A475" t="s">
        <v>4685</v>
      </c>
      <c r="B475" t="s">
        <v>6440</v>
      </c>
      <c r="D475" t="s">
        <v>6533</v>
      </c>
    </row>
    <row r="476" spans="1:10">
      <c r="A476" t="s">
        <v>4685</v>
      </c>
      <c r="B476" t="s">
        <v>6440</v>
      </c>
      <c r="E476" t="s">
        <v>6534</v>
      </c>
      <c r="H476" t="s">
        <v>6535</v>
      </c>
    </row>
    <row r="477" spans="1:10">
      <c r="A477" t="s">
        <v>4685</v>
      </c>
      <c r="B477" t="s">
        <v>6440</v>
      </c>
      <c r="D477" t="s">
        <v>4535</v>
      </c>
      <c r="E477" t="s">
        <v>6536</v>
      </c>
      <c r="F477" t="s">
        <v>6537</v>
      </c>
      <c r="G477" s="204" t="s">
        <v>6538</v>
      </c>
      <c r="H477" t="s">
        <v>6536</v>
      </c>
      <c r="I477" t="s">
        <v>6539</v>
      </c>
      <c r="J477" s="48" t="s">
        <v>6538</v>
      </c>
    </row>
    <row r="478" spans="1:10">
      <c r="A478" t="s">
        <v>4685</v>
      </c>
      <c r="B478" t="s">
        <v>6440</v>
      </c>
      <c r="D478" t="s">
        <v>6540</v>
      </c>
      <c r="E478">
        <v>96</v>
      </c>
      <c r="F478" t="s">
        <v>6541</v>
      </c>
      <c r="G478" s="204" t="s">
        <v>6542</v>
      </c>
      <c r="H478">
        <v>24</v>
      </c>
      <c r="I478" t="s">
        <v>6543</v>
      </c>
      <c r="J478" s="48">
        <v>0.15</v>
      </c>
    </row>
    <row r="479" spans="1:10">
      <c r="A479" t="s">
        <v>4685</v>
      </c>
      <c r="B479" t="s">
        <v>6440</v>
      </c>
      <c r="D479" t="s">
        <v>6544</v>
      </c>
      <c r="E479">
        <v>96</v>
      </c>
      <c r="F479" t="s">
        <v>6545</v>
      </c>
      <c r="G479" s="204" t="s">
        <v>6542</v>
      </c>
      <c r="H479">
        <v>73</v>
      </c>
      <c r="I479" t="s">
        <v>6546</v>
      </c>
      <c r="J479" s="48">
        <v>0.15</v>
      </c>
    </row>
    <row r="480" spans="1:10">
      <c r="A480" t="s">
        <v>4685</v>
      </c>
      <c r="B480" t="s">
        <v>6440</v>
      </c>
      <c r="D480" t="s">
        <v>6547</v>
      </c>
      <c r="E480">
        <v>142</v>
      </c>
      <c r="F480" t="s">
        <v>6548</v>
      </c>
      <c r="G480" s="204" t="s">
        <v>6549</v>
      </c>
      <c r="H480">
        <v>93</v>
      </c>
      <c r="I480" t="s">
        <v>6550</v>
      </c>
      <c r="J480" s="48">
        <v>0.13</v>
      </c>
    </row>
    <row r="481" spans="1:10">
      <c r="A481" t="s">
        <v>4685</v>
      </c>
      <c r="B481" t="s">
        <v>6440</v>
      </c>
      <c r="D481" t="s">
        <v>6551</v>
      </c>
      <c r="E481">
        <v>331</v>
      </c>
      <c r="F481" t="s">
        <v>6552</v>
      </c>
      <c r="G481" s="204" t="s">
        <v>6553</v>
      </c>
      <c r="H481">
        <v>260</v>
      </c>
      <c r="I481" t="s">
        <v>6554</v>
      </c>
      <c r="J481" s="48">
        <v>0.11</v>
      </c>
    </row>
    <row r="482" spans="1:10">
      <c r="A482" t="s">
        <v>4685</v>
      </c>
      <c r="B482" t="s">
        <v>6440</v>
      </c>
      <c r="D482" t="s">
        <v>6555</v>
      </c>
      <c r="E482">
        <v>48</v>
      </c>
      <c r="F482" t="s">
        <v>6556</v>
      </c>
      <c r="G482" s="204" t="s">
        <v>6546</v>
      </c>
      <c r="H482">
        <v>23</v>
      </c>
      <c r="I482" t="s">
        <v>6557</v>
      </c>
      <c r="J482" s="48">
        <v>0.17</v>
      </c>
    </row>
    <row r="483" spans="1:10">
      <c r="A483" t="s">
        <v>4685</v>
      </c>
      <c r="B483" t="s">
        <v>6440</v>
      </c>
      <c r="D483" t="s">
        <v>6558</v>
      </c>
      <c r="E483">
        <v>103.5</v>
      </c>
      <c r="F483" t="s">
        <v>6559</v>
      </c>
      <c r="G483" s="204" t="s">
        <v>6560</v>
      </c>
      <c r="H483">
        <v>48</v>
      </c>
      <c r="I483" t="s">
        <v>6561</v>
      </c>
      <c r="J483" s="48">
        <v>0.09</v>
      </c>
    </row>
    <row r="484" spans="1:10">
      <c r="A484" t="s">
        <v>4685</v>
      </c>
      <c r="B484" t="s">
        <v>6440</v>
      </c>
      <c r="D484" t="s">
        <v>6562</v>
      </c>
      <c r="E484">
        <v>103.5</v>
      </c>
      <c r="F484" t="s">
        <v>6563</v>
      </c>
      <c r="G484" s="204" t="s">
        <v>6549</v>
      </c>
      <c r="H484">
        <v>23</v>
      </c>
      <c r="I484" t="s">
        <v>6564</v>
      </c>
      <c r="J484" s="48">
        <v>0.13</v>
      </c>
    </row>
    <row r="485" spans="1:10">
      <c r="A485" t="s">
        <v>4685</v>
      </c>
      <c r="B485" t="s">
        <v>6440</v>
      </c>
      <c r="D485" t="s">
        <v>6565</v>
      </c>
    </row>
    <row r="486" spans="1:10">
      <c r="A486" t="s">
        <v>4685</v>
      </c>
      <c r="B486" t="s">
        <v>6440</v>
      </c>
      <c r="D486" s="203" t="s">
        <v>6566</v>
      </c>
    </row>
    <row r="487" spans="1:10">
      <c r="A487" t="s">
        <v>4685</v>
      </c>
      <c r="B487" t="s">
        <v>6440</v>
      </c>
      <c r="D487" t="s">
        <v>6567</v>
      </c>
    </row>
    <row r="488" spans="1:10">
      <c r="A488" t="s">
        <v>4685</v>
      </c>
      <c r="B488" t="s">
        <v>6440</v>
      </c>
    </row>
    <row r="489" spans="1:10">
      <c r="A489" t="s">
        <v>4685</v>
      </c>
      <c r="B489" t="s">
        <v>6440</v>
      </c>
      <c r="D489" s="48" t="s">
        <v>6568</v>
      </c>
      <c r="E489" s="48">
        <f>AVERAGE(J478:J484)</f>
        <v>0.13285714285714287</v>
      </c>
    </row>
    <row r="490" spans="1:10">
      <c r="A490" t="s">
        <v>4685</v>
      </c>
      <c r="B490" t="s">
        <v>6440</v>
      </c>
      <c r="D490" s="48" t="s">
        <v>6569</v>
      </c>
      <c r="E490" s="48">
        <f>1-0.24</f>
        <v>0.76</v>
      </c>
      <c r="F490" t="s">
        <v>6570</v>
      </c>
    </row>
    <row r="491" spans="1:10">
      <c r="A491" t="s">
        <v>4685</v>
      </c>
      <c r="B491" t="s">
        <v>6440</v>
      </c>
      <c r="D491" s="48" t="s">
        <v>6571</v>
      </c>
      <c r="E491" s="48">
        <f>E489*E490</f>
        <v>0.10097142857142859</v>
      </c>
    </row>
    <row r="492" spans="1:10">
      <c r="A492" t="s">
        <v>4685</v>
      </c>
      <c r="B492" t="s">
        <v>6440</v>
      </c>
    </row>
    <row r="493" spans="1:10">
      <c r="A493" t="s">
        <v>4685</v>
      </c>
      <c r="B493" t="s">
        <v>6440</v>
      </c>
      <c r="C493" t="s">
        <v>226</v>
      </c>
      <c r="D493" t="s">
        <v>6573</v>
      </c>
      <c r="F493" s="274" t="s">
        <v>815</v>
      </c>
    </row>
    <row r="494" spans="1:10">
      <c r="A494" t="s">
        <v>4685</v>
      </c>
      <c r="B494" t="s">
        <v>6440</v>
      </c>
      <c r="D494" t="s">
        <v>6572</v>
      </c>
    </row>
    <row r="495" spans="1:10">
      <c r="A495" t="s">
        <v>4685</v>
      </c>
      <c r="B495" t="s">
        <v>6440</v>
      </c>
      <c r="D495" t="s">
        <v>6579</v>
      </c>
    </row>
    <row r="496" spans="1:10">
      <c r="A496" t="s">
        <v>4685</v>
      </c>
      <c r="B496" t="s">
        <v>6440</v>
      </c>
      <c r="D496" t="s">
        <v>6574</v>
      </c>
    </row>
    <row r="497" spans="1:9">
      <c r="A497" t="s">
        <v>4685</v>
      </c>
      <c r="B497" t="s">
        <v>6440</v>
      </c>
      <c r="E497" t="s">
        <v>1177</v>
      </c>
      <c r="F497" t="s">
        <v>1179</v>
      </c>
      <c r="G497" t="s">
        <v>1861</v>
      </c>
      <c r="H497" t="s">
        <v>2990</v>
      </c>
    </row>
    <row r="498" spans="1:9">
      <c r="A498" t="s">
        <v>4685</v>
      </c>
      <c r="B498" t="s">
        <v>6440</v>
      </c>
      <c r="D498" t="s">
        <v>6575</v>
      </c>
      <c r="E498">
        <v>15</v>
      </c>
      <c r="F498">
        <v>27</v>
      </c>
      <c r="G498">
        <v>30</v>
      </c>
      <c r="H498">
        <v>30</v>
      </c>
    </row>
    <row r="499" spans="1:9">
      <c r="A499" t="s">
        <v>4685</v>
      </c>
      <c r="B499" t="s">
        <v>6440</v>
      </c>
      <c r="D499" t="s">
        <v>1026</v>
      </c>
      <c r="E499">
        <v>30</v>
      </c>
      <c r="F499">
        <v>30</v>
      </c>
      <c r="G499">
        <v>37</v>
      </c>
      <c r="H499">
        <v>50</v>
      </c>
    </row>
    <row r="500" spans="1:9">
      <c r="A500" t="s">
        <v>4685</v>
      </c>
      <c r="B500" t="s">
        <v>6440</v>
      </c>
      <c r="D500" t="s">
        <v>5070</v>
      </c>
      <c r="E500">
        <f>E499/E498</f>
        <v>2</v>
      </c>
      <c r="F500">
        <f>F499/F498</f>
        <v>1.1111111111111112</v>
      </c>
      <c r="G500">
        <f>G499/G498</f>
        <v>1.2333333333333334</v>
      </c>
      <c r="H500">
        <f>H499/H498</f>
        <v>1.6666666666666667</v>
      </c>
    </row>
    <row r="501" spans="1:9">
      <c r="A501" t="s">
        <v>4685</v>
      </c>
      <c r="B501" t="s">
        <v>6440</v>
      </c>
      <c r="D501" t="s">
        <v>6578</v>
      </c>
      <c r="E501">
        <f>[1]MonoSugar!$B$15</f>
        <v>29.032222222222224</v>
      </c>
      <c r="F501">
        <f>[1]MonoSugar!$B$15</f>
        <v>29.032222222222224</v>
      </c>
      <c r="G501">
        <f>[1]MonoSugar!$B$15</f>
        <v>29.032222222222224</v>
      </c>
      <c r="H501">
        <f>[1]MonoSugar!$B$15</f>
        <v>29.032222222222224</v>
      </c>
    </row>
    <row r="502" spans="1:9">
      <c r="A502" t="s">
        <v>4685</v>
      </c>
      <c r="B502" t="s">
        <v>6440</v>
      </c>
      <c r="D502" t="s">
        <v>6576</v>
      </c>
      <c r="E502">
        <f>E500*E501%</f>
        <v>0.58064444444444452</v>
      </c>
      <c r="F502">
        <f>F500*F501%</f>
        <v>0.32258024691358028</v>
      </c>
      <c r="G502">
        <f>G500*G501%</f>
        <v>0.35806407407407415</v>
      </c>
      <c r="H502">
        <f>H500*H501%</f>
        <v>0.48387037037037045</v>
      </c>
    </row>
    <row r="503" spans="1:9">
      <c r="A503" t="s">
        <v>4685</v>
      </c>
      <c r="B503" t="s">
        <v>6440</v>
      </c>
      <c r="D503" t="s">
        <v>510</v>
      </c>
      <c r="E503">
        <f>AVERAGE(E502:H502)</f>
        <v>0.43628978395061735</v>
      </c>
    </row>
    <row r="504" spans="1:9">
      <c r="A504" t="s">
        <v>4685</v>
      </c>
      <c r="B504" t="s">
        <v>6440</v>
      </c>
    </row>
    <row r="505" spans="1:9">
      <c r="A505" t="s">
        <v>4685</v>
      </c>
      <c r="B505" t="s">
        <v>6440</v>
      </c>
    </row>
    <row r="506" spans="1:9">
      <c r="A506" t="s">
        <v>4685</v>
      </c>
      <c r="B506" t="s">
        <v>6440</v>
      </c>
      <c r="C506" t="s">
        <v>396</v>
      </c>
      <c r="D506" t="s">
        <v>6581</v>
      </c>
      <c r="F506" s="274" t="s">
        <v>815</v>
      </c>
    </row>
    <row r="507" spans="1:9">
      <c r="A507" t="s">
        <v>4685</v>
      </c>
      <c r="B507" t="s">
        <v>6440</v>
      </c>
      <c r="D507" t="s">
        <v>6580</v>
      </c>
    </row>
    <row r="508" spans="1:9">
      <c r="A508" t="s">
        <v>4685</v>
      </c>
      <c r="B508" t="s">
        <v>6440</v>
      </c>
      <c r="D508" t="s">
        <v>6584</v>
      </c>
    </row>
    <row r="509" spans="1:9">
      <c r="A509" t="s">
        <v>4685</v>
      </c>
      <c r="B509" t="s">
        <v>6440</v>
      </c>
      <c r="E509" t="s">
        <v>1177</v>
      </c>
      <c r="F509" t="s">
        <v>1179</v>
      </c>
      <c r="G509" t="s">
        <v>1861</v>
      </c>
      <c r="H509" t="s">
        <v>2990</v>
      </c>
      <c r="I509" t="s">
        <v>2992</v>
      </c>
    </row>
    <row r="510" spans="1:9">
      <c r="A510" t="s">
        <v>4685</v>
      </c>
      <c r="B510" t="s">
        <v>6440</v>
      </c>
      <c r="D510" t="s">
        <v>6582</v>
      </c>
      <c r="E510">
        <v>0.3</v>
      </c>
      <c r="F510">
        <v>0.42</v>
      </c>
      <c r="G510">
        <v>0.42</v>
      </c>
      <c r="H510">
        <v>0.42</v>
      </c>
      <c r="I510">
        <v>0.44</v>
      </c>
    </row>
    <row r="511" spans="1:9">
      <c r="A511" t="s">
        <v>4685</v>
      </c>
      <c r="B511" t="s">
        <v>6440</v>
      </c>
      <c r="D511" t="s">
        <v>6582</v>
      </c>
      <c r="E511">
        <v>0.35</v>
      </c>
      <c r="F511">
        <v>0.36</v>
      </c>
      <c r="G511">
        <v>0.49</v>
      </c>
      <c r="H511">
        <v>0.55000000000000004</v>
      </c>
      <c r="I511">
        <v>0.52</v>
      </c>
    </row>
    <row r="512" spans="1:9">
      <c r="A512" t="s">
        <v>4685</v>
      </c>
      <c r="B512" t="s">
        <v>6440</v>
      </c>
      <c r="D512" t="s">
        <v>6582</v>
      </c>
      <c r="E512">
        <v>0.3</v>
      </c>
      <c r="F512">
        <v>0.47</v>
      </c>
      <c r="G512">
        <v>0.48</v>
      </c>
      <c r="H512">
        <v>0.48</v>
      </c>
      <c r="I512">
        <v>0.46</v>
      </c>
    </row>
    <row r="513" spans="1:6">
      <c r="A513" t="s">
        <v>4685</v>
      </c>
      <c r="B513" t="s">
        <v>6440</v>
      </c>
      <c r="D513" s="48" t="s">
        <v>6583</v>
      </c>
      <c r="E513" s="48">
        <f>AVERAGEA(E510:I512)</f>
        <v>0.43066666666666664</v>
      </c>
    </row>
    <row r="514" spans="1:6">
      <c r="A514" t="s">
        <v>4685</v>
      </c>
      <c r="B514" t="s">
        <v>6440</v>
      </c>
      <c r="D514" s="48" t="s">
        <v>6569</v>
      </c>
      <c r="E514" s="48">
        <f>1-0.24</f>
        <v>0.76</v>
      </c>
      <c r="F514" t="s">
        <v>6570</v>
      </c>
    </row>
    <row r="515" spans="1:6">
      <c r="A515" t="s">
        <v>4685</v>
      </c>
      <c r="B515" t="s">
        <v>6440</v>
      </c>
      <c r="D515" s="48" t="s">
        <v>6571</v>
      </c>
      <c r="E515" s="48">
        <f>E513*E514</f>
        <v>0.32730666666666663</v>
      </c>
    </row>
    <row r="516" spans="1:6">
      <c r="A516" t="s">
        <v>4685</v>
      </c>
      <c r="B516" t="s">
        <v>6440</v>
      </c>
    </row>
    <row r="517" spans="1:6">
      <c r="A517" t="s">
        <v>4685</v>
      </c>
      <c r="B517" t="s">
        <v>6440</v>
      </c>
    </row>
    <row r="518" spans="1:6">
      <c r="A518" t="s">
        <v>4685</v>
      </c>
      <c r="B518" t="s">
        <v>6440</v>
      </c>
      <c r="C518" t="s">
        <v>420</v>
      </c>
      <c r="D518" t="s">
        <v>6588</v>
      </c>
    </row>
    <row r="519" spans="1:6">
      <c r="A519" t="s">
        <v>4685</v>
      </c>
      <c r="B519" t="s">
        <v>6440</v>
      </c>
      <c r="D519" t="s">
        <v>6621</v>
      </c>
    </row>
    <row r="520" spans="1:6">
      <c r="A520" t="s">
        <v>4685</v>
      </c>
      <c r="B520" t="s">
        <v>6440</v>
      </c>
    </row>
    <row r="521" spans="1:6">
      <c r="A521" t="s">
        <v>4685</v>
      </c>
      <c r="B521" t="s">
        <v>6440</v>
      </c>
      <c r="D521" t="s">
        <v>6585</v>
      </c>
    </row>
    <row r="522" spans="1:6">
      <c r="A522" t="s">
        <v>4685</v>
      </c>
      <c r="B522" t="s">
        <v>6440</v>
      </c>
    </row>
    <row r="523" spans="1:6">
      <c r="A523" t="s">
        <v>4685</v>
      </c>
      <c r="B523" t="s">
        <v>6440</v>
      </c>
    </row>
    <row r="524" spans="1:6">
      <c r="A524" t="s">
        <v>4685</v>
      </c>
      <c r="B524" t="s">
        <v>6440</v>
      </c>
      <c r="D524" t="s">
        <v>6586</v>
      </c>
    </row>
    <row r="525" spans="1:6">
      <c r="A525" t="s">
        <v>4685</v>
      </c>
      <c r="B525" t="s">
        <v>6440</v>
      </c>
      <c r="D525" t="s">
        <v>6587</v>
      </c>
    </row>
    <row r="526" spans="1:6">
      <c r="A526" t="s">
        <v>4685</v>
      </c>
      <c r="B526" t="s">
        <v>6440</v>
      </c>
    </row>
    <row r="527" spans="1:6">
      <c r="A527" t="s">
        <v>4685</v>
      </c>
      <c r="B527" t="s">
        <v>6440</v>
      </c>
      <c r="D527" t="s">
        <v>6589</v>
      </c>
    </row>
    <row r="528" spans="1:6">
      <c r="A528" t="s">
        <v>4685</v>
      </c>
      <c r="B528" t="s">
        <v>6440</v>
      </c>
      <c r="D528" t="s">
        <v>6590</v>
      </c>
      <c r="F528" t="s">
        <v>6591</v>
      </c>
    </row>
    <row r="529" spans="1:14">
      <c r="A529" t="s">
        <v>4685</v>
      </c>
      <c r="B529" t="s">
        <v>6440</v>
      </c>
      <c r="F529" t="s">
        <v>6592</v>
      </c>
      <c r="L529" t="s">
        <v>6593</v>
      </c>
      <c r="N529" t="s">
        <v>6594</v>
      </c>
    </row>
    <row r="530" spans="1:14">
      <c r="A530" t="s">
        <v>4685</v>
      </c>
      <c r="B530" t="s">
        <v>6440</v>
      </c>
      <c r="F530" t="s">
        <v>6595</v>
      </c>
      <c r="G530" t="s">
        <v>6596</v>
      </c>
      <c r="H530" t="s">
        <v>6597</v>
      </c>
      <c r="I530" t="s">
        <v>6598</v>
      </c>
      <c r="J530" t="s">
        <v>6599</v>
      </c>
      <c r="K530" t="s">
        <v>41</v>
      </c>
      <c r="L530" t="s">
        <v>41</v>
      </c>
      <c r="M530" t="s">
        <v>6596</v>
      </c>
      <c r="N530" t="s">
        <v>6600</v>
      </c>
    </row>
    <row r="531" spans="1:14">
      <c r="A531" t="s">
        <v>4685</v>
      </c>
      <c r="B531" t="s">
        <v>6440</v>
      </c>
      <c r="D531" t="s">
        <v>6601</v>
      </c>
      <c r="E531" t="s">
        <v>6602</v>
      </c>
      <c r="F531">
        <v>0.192</v>
      </c>
      <c r="G531">
        <v>8.1000000000000003E-2</v>
      </c>
      <c r="H531">
        <v>0.188</v>
      </c>
      <c r="I531">
        <v>0.16200000000000001</v>
      </c>
      <c r="J531">
        <v>0.26200000000000001</v>
      </c>
      <c r="K531">
        <v>0.20599999999999999</v>
      </c>
      <c r="L531">
        <v>2.4590000000000001</v>
      </c>
      <c r="M531">
        <v>1.7390000000000001</v>
      </c>
      <c r="N531">
        <v>1.6579999999999999</v>
      </c>
    </row>
    <row r="532" spans="1:14">
      <c r="A532" t="s">
        <v>4685</v>
      </c>
      <c r="B532" t="s">
        <v>6440</v>
      </c>
      <c r="D532" t="s">
        <v>6603</v>
      </c>
      <c r="E532" t="s">
        <v>6604</v>
      </c>
      <c r="F532">
        <v>2.9729999999999999</v>
      </c>
      <c r="G532">
        <v>3.4119999999999999</v>
      </c>
      <c r="H532">
        <v>3.113</v>
      </c>
      <c r="I532">
        <v>3.0619999999999998</v>
      </c>
      <c r="J532">
        <v>3.6120000000000001</v>
      </c>
      <c r="K532">
        <v>1.5429999999999999</v>
      </c>
      <c r="L532">
        <v>2.911</v>
      </c>
      <c r="M532">
        <v>3.3439999999999999</v>
      </c>
      <c r="N532" t="s">
        <v>2146</v>
      </c>
    </row>
    <row r="533" spans="1:14">
      <c r="A533" t="s">
        <v>4685</v>
      </c>
      <c r="B533" t="s">
        <v>6440</v>
      </c>
      <c r="D533" t="s">
        <v>6605</v>
      </c>
      <c r="E533" t="s">
        <v>6604</v>
      </c>
      <c r="F533">
        <v>3.3000000000000002E-2</v>
      </c>
      <c r="G533">
        <v>5.8999999999999997E-2</v>
      </c>
      <c r="H533">
        <v>9.5000000000000001E-2</v>
      </c>
      <c r="I533">
        <v>6.5000000000000002E-2</v>
      </c>
      <c r="J533">
        <v>3.0000000000000001E-3</v>
      </c>
      <c r="K533">
        <v>4.5999999999999999E-2</v>
      </c>
      <c r="L533" t="s">
        <v>2146</v>
      </c>
      <c r="M533" t="s">
        <v>2146</v>
      </c>
      <c r="N533">
        <v>5.6180000000000003</v>
      </c>
    </row>
    <row r="534" spans="1:14">
      <c r="A534" t="s">
        <v>4685</v>
      </c>
      <c r="B534" t="s">
        <v>6440</v>
      </c>
      <c r="D534" t="s">
        <v>6606</v>
      </c>
      <c r="E534" t="s">
        <v>6604</v>
      </c>
      <c r="F534">
        <v>0.129</v>
      </c>
      <c r="G534">
        <v>9.9000000000000005E-2</v>
      </c>
      <c r="H534">
        <v>0.33500000000000002</v>
      </c>
      <c r="I534">
        <v>0.188</v>
      </c>
      <c r="J534">
        <v>0.32600000000000001</v>
      </c>
      <c r="K534">
        <v>0.25</v>
      </c>
      <c r="L534">
        <v>3.9820000000000002</v>
      </c>
      <c r="M534">
        <v>1.6870000000000001</v>
      </c>
      <c r="N534">
        <v>0.41299999999999998</v>
      </c>
    </row>
    <row r="535" spans="1:14">
      <c r="A535" t="s">
        <v>4685</v>
      </c>
      <c r="B535" t="s">
        <v>6440</v>
      </c>
      <c r="D535" s="204" t="s">
        <v>6607</v>
      </c>
      <c r="E535" s="204" t="s">
        <v>6608</v>
      </c>
      <c r="F535" s="204">
        <v>0.85099999999999998</v>
      </c>
      <c r="G535" s="204">
        <v>0.79</v>
      </c>
      <c r="H535" s="204">
        <v>0.89400000000000002</v>
      </c>
      <c r="I535" s="204">
        <v>0.58199999999999996</v>
      </c>
      <c r="J535" s="204">
        <v>0.74399999999999999</v>
      </c>
      <c r="K535" s="204">
        <v>0.89</v>
      </c>
      <c r="L535" s="204">
        <v>0.92200000000000004</v>
      </c>
      <c r="M535" s="204">
        <v>0.77900000000000003</v>
      </c>
      <c r="N535" s="204" t="s">
        <v>2146</v>
      </c>
    </row>
    <row r="536" spans="1:14">
      <c r="A536" t="s">
        <v>4685</v>
      </c>
      <c r="B536" t="s">
        <v>6440</v>
      </c>
      <c r="D536" t="s">
        <v>6609</v>
      </c>
      <c r="E536" t="s">
        <v>6610</v>
      </c>
      <c r="F536">
        <v>178.8</v>
      </c>
      <c r="G536">
        <v>165.3</v>
      </c>
      <c r="H536">
        <v>168.5</v>
      </c>
      <c r="I536">
        <v>78.7</v>
      </c>
      <c r="J536">
        <v>92.1</v>
      </c>
      <c r="K536">
        <v>81.900000000000006</v>
      </c>
      <c r="L536">
        <v>67.5</v>
      </c>
      <c r="M536">
        <v>67.8</v>
      </c>
      <c r="N536" t="s">
        <v>2146</v>
      </c>
    </row>
    <row r="537" spans="1:14">
      <c r="A537" t="s">
        <v>4685</v>
      </c>
      <c r="B537" t="s">
        <v>6440</v>
      </c>
      <c r="D537" t="s">
        <v>6611</v>
      </c>
      <c r="E537" t="s">
        <v>6610</v>
      </c>
      <c r="F537">
        <v>136.80000000000001</v>
      </c>
      <c r="G537">
        <v>198.4</v>
      </c>
      <c r="H537">
        <v>197.2</v>
      </c>
      <c r="I537">
        <v>50.1</v>
      </c>
      <c r="J537">
        <v>22.7</v>
      </c>
      <c r="K537">
        <v>147</v>
      </c>
      <c r="L537" t="s">
        <v>2146</v>
      </c>
      <c r="M537" t="s">
        <v>2146</v>
      </c>
      <c r="N537">
        <v>124.2</v>
      </c>
    </row>
    <row r="538" spans="1:14">
      <c r="A538" t="s">
        <v>4685</v>
      </c>
      <c r="B538" t="s">
        <v>6440</v>
      </c>
      <c r="D538" t="s">
        <v>6612</v>
      </c>
      <c r="E538" t="s">
        <v>6610</v>
      </c>
      <c r="F538">
        <v>105.6</v>
      </c>
      <c r="G538">
        <v>76.8</v>
      </c>
      <c r="H538">
        <v>73.8</v>
      </c>
      <c r="I538">
        <v>33.4</v>
      </c>
      <c r="J538">
        <v>38.5</v>
      </c>
      <c r="K538">
        <v>34.5</v>
      </c>
      <c r="L538">
        <v>79.3</v>
      </c>
      <c r="M538">
        <v>84.3</v>
      </c>
      <c r="N538">
        <v>12.4</v>
      </c>
    </row>
    <row r="539" spans="1:14">
      <c r="A539" t="s">
        <v>4685</v>
      </c>
      <c r="B539" t="s">
        <v>6440</v>
      </c>
      <c r="D539" t="s">
        <v>6613</v>
      </c>
      <c r="E539" t="s">
        <v>6614</v>
      </c>
      <c r="F539">
        <v>0.505</v>
      </c>
      <c r="G539">
        <v>0.50600000000000001</v>
      </c>
      <c r="H539">
        <v>0.503</v>
      </c>
      <c r="I539">
        <v>0.79900000000000004</v>
      </c>
      <c r="J539">
        <v>0.79900000000000004</v>
      </c>
      <c r="K539">
        <v>0.623</v>
      </c>
      <c r="L539">
        <v>0.16200000000000001</v>
      </c>
      <c r="M539">
        <v>8.9999999999999993E-3</v>
      </c>
      <c r="N539" t="s">
        <v>2146</v>
      </c>
    </row>
    <row r="540" spans="1:14">
      <c r="A540" t="s">
        <v>4685</v>
      </c>
      <c r="B540" t="s">
        <v>6440</v>
      </c>
      <c r="D540" t="s">
        <v>6615</v>
      </c>
      <c r="E540" t="s">
        <v>6614</v>
      </c>
      <c r="F540">
        <v>1.375</v>
      </c>
      <c r="G540">
        <v>1.3740000000000001</v>
      </c>
      <c r="H540">
        <v>1.3089999999999999</v>
      </c>
      <c r="I540">
        <v>0.43</v>
      </c>
      <c r="J540">
        <v>4.3010000000000002</v>
      </c>
      <c r="K540">
        <v>2.5870000000000002</v>
      </c>
      <c r="L540" t="s">
        <v>2146</v>
      </c>
      <c r="M540" t="s">
        <v>2146</v>
      </c>
      <c r="N540">
        <v>9.9000000000000005E-2</v>
      </c>
    </row>
    <row r="541" spans="1:14">
      <c r="A541" t="s">
        <v>4685</v>
      </c>
      <c r="B541" t="s">
        <v>6440</v>
      </c>
      <c r="D541" t="s">
        <v>6616</v>
      </c>
      <c r="E541" t="s">
        <v>6614</v>
      </c>
      <c r="F541">
        <v>0.03</v>
      </c>
      <c r="G541">
        <v>2.8000000000000001E-2</v>
      </c>
      <c r="H541">
        <v>2.7E-2</v>
      </c>
      <c r="I541">
        <v>1.0999999999999999E-2</v>
      </c>
      <c r="J541">
        <v>1.4E-2</v>
      </c>
      <c r="K541">
        <v>2.1999999999999999E-2</v>
      </c>
      <c r="L541">
        <v>0.46400000000000002</v>
      </c>
      <c r="M541">
        <v>8.3000000000000004E-2</v>
      </c>
      <c r="N541">
        <v>0.219</v>
      </c>
    </row>
    <row r="542" spans="1:14">
      <c r="A542" t="s">
        <v>4685</v>
      </c>
      <c r="B542" t="s">
        <v>6440</v>
      </c>
      <c r="D542" t="s">
        <v>5140</v>
      </c>
      <c r="E542" t="s">
        <v>6617</v>
      </c>
      <c r="F542">
        <v>0.95899999999999996</v>
      </c>
      <c r="G542">
        <v>0.97799999999999998</v>
      </c>
      <c r="H542">
        <v>0.98799999999999999</v>
      </c>
      <c r="I542">
        <v>0.98599999999999999</v>
      </c>
      <c r="J542">
        <v>0.97799999999999998</v>
      </c>
      <c r="K542">
        <v>0.98</v>
      </c>
      <c r="L542">
        <v>0.90700000000000003</v>
      </c>
      <c r="M542">
        <v>0.879</v>
      </c>
      <c r="N542">
        <v>0.85199999999999998</v>
      </c>
    </row>
    <row r="543" spans="1:14">
      <c r="A543" t="s">
        <v>4685</v>
      </c>
      <c r="B543" t="s">
        <v>6440</v>
      </c>
      <c r="D543" t="s">
        <v>6618</v>
      </c>
    </row>
    <row r="544" spans="1:14">
      <c r="A544" t="s">
        <v>4685</v>
      </c>
      <c r="B544" t="s">
        <v>6440</v>
      </c>
    </row>
    <row r="545" spans="1:9">
      <c r="A545" t="s">
        <v>4685</v>
      </c>
      <c r="B545" t="s">
        <v>6440</v>
      </c>
      <c r="D545" s="48" t="s">
        <v>6619</v>
      </c>
      <c r="E545" s="48">
        <f>AVERAGE(F535:M535)</f>
        <v>0.80649999999999988</v>
      </c>
    </row>
    <row r="546" spans="1:9">
      <c r="A546" t="s">
        <v>4685</v>
      </c>
      <c r="B546" t="s">
        <v>6440</v>
      </c>
      <c r="D546" s="48" t="s">
        <v>6620</v>
      </c>
      <c r="E546" s="48">
        <f>E545*90/180</f>
        <v>0.40324999999999994</v>
      </c>
    </row>
    <row r="547" spans="1:9">
      <c r="A547" t="s">
        <v>4685</v>
      </c>
      <c r="B547" t="s">
        <v>6440</v>
      </c>
      <c r="D547" s="48" t="s">
        <v>6577</v>
      </c>
      <c r="E547" s="51">
        <f>[1]MonoSugar!$H$15</f>
        <v>34.700282550877191</v>
      </c>
    </row>
    <row r="548" spans="1:9">
      <c r="A548" t="s">
        <v>4685</v>
      </c>
      <c r="B548" t="s">
        <v>6440</v>
      </c>
      <c r="D548" s="48" t="s">
        <v>6571</v>
      </c>
      <c r="E548" s="48">
        <f>E546*E547%</f>
        <v>0.13992888938641226</v>
      </c>
    </row>
    <row r="549" spans="1:9">
      <c r="A549" t="s">
        <v>4685</v>
      </c>
      <c r="B549" t="s">
        <v>6440</v>
      </c>
    </row>
    <row r="550" spans="1:9">
      <c r="A550" t="s">
        <v>4685</v>
      </c>
      <c r="B550" t="s">
        <v>6440</v>
      </c>
      <c r="C550" t="s">
        <v>425</v>
      </c>
      <c r="D550" t="s">
        <v>6633</v>
      </c>
    </row>
    <row r="551" spans="1:9">
      <c r="A551" t="s">
        <v>4685</v>
      </c>
      <c r="B551" t="s">
        <v>6440</v>
      </c>
      <c r="D551" t="s">
        <v>6634</v>
      </c>
    </row>
    <row r="552" spans="1:9">
      <c r="A552" t="s">
        <v>4685</v>
      </c>
      <c r="B552" t="s">
        <v>6440</v>
      </c>
    </row>
    <row r="553" spans="1:9">
      <c r="A553" t="s">
        <v>4685</v>
      </c>
      <c r="B553" t="s">
        <v>6440</v>
      </c>
      <c r="D553" t="s">
        <v>6622</v>
      </c>
    </row>
    <row r="554" spans="1:9">
      <c r="A554" t="s">
        <v>4685</v>
      </c>
      <c r="B554" t="s">
        <v>6440</v>
      </c>
      <c r="D554" t="s">
        <v>14</v>
      </c>
      <c r="E554" t="s">
        <v>6623</v>
      </c>
      <c r="F554" t="s">
        <v>6624</v>
      </c>
      <c r="G554" t="s">
        <v>6625</v>
      </c>
      <c r="H554" t="s">
        <v>6626</v>
      </c>
      <c r="I554" t="s">
        <v>6627</v>
      </c>
    </row>
    <row r="555" spans="1:9">
      <c r="A555" t="s">
        <v>4685</v>
      </c>
      <c r="B555" t="s">
        <v>6440</v>
      </c>
      <c r="D555" s="580" t="s">
        <v>6628</v>
      </c>
      <c r="E555" s="580"/>
      <c r="F555" s="580"/>
      <c r="G555" s="580"/>
      <c r="H555" s="580"/>
      <c r="I555" s="580"/>
    </row>
    <row r="556" spans="1:9">
      <c r="A556" t="s">
        <v>4685</v>
      </c>
      <c r="B556" t="s">
        <v>6440</v>
      </c>
      <c r="D556" t="s">
        <v>84</v>
      </c>
      <c r="E556">
        <v>58.63</v>
      </c>
      <c r="F556">
        <v>2.63</v>
      </c>
      <c r="G556">
        <v>2.99</v>
      </c>
      <c r="H556">
        <v>7</v>
      </c>
      <c r="I556">
        <v>151.28</v>
      </c>
    </row>
    <row r="557" spans="1:9">
      <c r="A557" t="s">
        <v>4685</v>
      </c>
      <c r="B557" t="s">
        <v>6440</v>
      </c>
      <c r="D557" t="s">
        <v>3181</v>
      </c>
      <c r="E557">
        <v>58.53</v>
      </c>
      <c r="F557">
        <v>2.56</v>
      </c>
      <c r="G557">
        <v>3.2</v>
      </c>
      <c r="H557">
        <v>9</v>
      </c>
      <c r="I557">
        <v>314.67</v>
      </c>
    </row>
    <row r="558" spans="1:9">
      <c r="A558" t="s">
        <v>4685</v>
      </c>
      <c r="B558" t="s">
        <v>6440</v>
      </c>
      <c r="D558" t="s">
        <v>6629</v>
      </c>
      <c r="E558">
        <v>58.63</v>
      </c>
      <c r="F558">
        <v>3.88</v>
      </c>
      <c r="G558">
        <v>1.37</v>
      </c>
      <c r="H558">
        <v>6</v>
      </c>
      <c r="I558">
        <v>865.18</v>
      </c>
    </row>
    <row r="559" spans="1:9">
      <c r="A559" t="s">
        <v>4685</v>
      </c>
      <c r="B559" t="s">
        <v>6440</v>
      </c>
      <c r="D559" s="580" t="s">
        <v>6630</v>
      </c>
      <c r="E559" s="580"/>
      <c r="F559" s="580"/>
      <c r="G559" s="580"/>
      <c r="H559" s="580"/>
      <c r="I559" s="580"/>
    </row>
    <row r="560" spans="1:9">
      <c r="A560" t="s">
        <v>4685</v>
      </c>
      <c r="B560" t="s">
        <v>6440</v>
      </c>
      <c r="D560" t="s">
        <v>84</v>
      </c>
      <c r="E560">
        <v>50</v>
      </c>
      <c r="F560">
        <v>1.48</v>
      </c>
      <c r="G560">
        <v>1.73</v>
      </c>
      <c r="H560">
        <v>7</v>
      </c>
      <c r="I560">
        <v>64.84</v>
      </c>
    </row>
    <row r="561" spans="1:11">
      <c r="A561" t="s">
        <v>4685</v>
      </c>
      <c r="B561" t="s">
        <v>6440</v>
      </c>
      <c r="D561" t="s">
        <v>3181</v>
      </c>
      <c r="E561">
        <v>50</v>
      </c>
      <c r="F561">
        <v>1.55</v>
      </c>
      <c r="G561">
        <v>1.94</v>
      </c>
      <c r="H561">
        <v>12</v>
      </c>
      <c r="I561">
        <v>134.88</v>
      </c>
    </row>
    <row r="562" spans="1:11">
      <c r="A562" t="s">
        <v>4685</v>
      </c>
      <c r="B562" t="s">
        <v>6440</v>
      </c>
      <c r="D562" t="s">
        <v>6629</v>
      </c>
      <c r="E562">
        <v>50</v>
      </c>
      <c r="F562">
        <v>2.2000000000000002</v>
      </c>
      <c r="G562">
        <v>1.1399999999999999</v>
      </c>
      <c r="H562">
        <v>6</v>
      </c>
      <c r="I562">
        <v>370.85</v>
      </c>
    </row>
    <row r="563" spans="1:11">
      <c r="A563" t="s">
        <v>4685</v>
      </c>
      <c r="B563" t="s">
        <v>6440</v>
      </c>
    </row>
    <row r="564" spans="1:11">
      <c r="A564" t="s">
        <v>4685</v>
      </c>
      <c r="B564" t="s">
        <v>6440</v>
      </c>
      <c r="D564" s="186" t="s">
        <v>6632</v>
      </c>
    </row>
    <row r="565" spans="1:11">
      <c r="A565" t="s">
        <v>4685</v>
      </c>
      <c r="B565" t="s">
        <v>6440</v>
      </c>
      <c r="D565" t="s">
        <v>6631</v>
      </c>
    </row>
    <row r="566" spans="1:11">
      <c r="A566" t="s">
        <v>4685</v>
      </c>
      <c r="B566" t="s">
        <v>6440</v>
      </c>
    </row>
    <row r="567" spans="1:11">
      <c r="A567" t="s">
        <v>4685</v>
      </c>
      <c r="B567" t="s">
        <v>6440</v>
      </c>
      <c r="D567" s="48" t="s">
        <v>6665</v>
      </c>
      <c r="E567" s="48">
        <f>E562/I562</f>
        <v>0.13482540110556829</v>
      </c>
    </row>
    <row r="568" spans="1:11">
      <c r="A568" t="s">
        <v>4685</v>
      </c>
      <c r="B568" t="s">
        <v>6440</v>
      </c>
    </row>
    <row r="569" spans="1:11">
      <c r="A569" t="s">
        <v>4685</v>
      </c>
      <c r="B569" t="s">
        <v>6635</v>
      </c>
      <c r="C569" t="s">
        <v>197</v>
      </c>
      <c r="D569" t="s">
        <v>6636</v>
      </c>
    </row>
    <row r="570" spans="1:11">
      <c r="A570" t="s">
        <v>4685</v>
      </c>
      <c r="B570" t="s">
        <v>6635</v>
      </c>
      <c r="D570" t="s">
        <v>6637</v>
      </c>
    </row>
    <row r="571" spans="1:11">
      <c r="A571" t="s">
        <v>4685</v>
      </c>
      <c r="B571" t="s">
        <v>6635</v>
      </c>
    </row>
    <row r="572" spans="1:11">
      <c r="A572" t="s">
        <v>4685</v>
      </c>
      <c r="B572" t="s">
        <v>6635</v>
      </c>
      <c r="D572" t="s">
        <v>6638</v>
      </c>
    </row>
    <row r="573" spans="1:11">
      <c r="A573" t="s">
        <v>4685</v>
      </c>
      <c r="B573" t="s">
        <v>6635</v>
      </c>
      <c r="D573" t="s">
        <v>1757</v>
      </c>
      <c r="E573" t="s">
        <v>6639</v>
      </c>
      <c r="F573" t="s">
        <v>6640</v>
      </c>
      <c r="G573" s="204" t="s">
        <v>6641</v>
      </c>
      <c r="H573" t="s">
        <v>6642</v>
      </c>
      <c r="I573" t="s">
        <v>6643</v>
      </c>
      <c r="J573" t="s">
        <v>6644</v>
      </c>
      <c r="K573" t="s">
        <v>6641</v>
      </c>
    </row>
    <row r="574" spans="1:11">
      <c r="A574" t="s">
        <v>4685</v>
      </c>
      <c r="B574" t="s">
        <v>6635</v>
      </c>
      <c r="D574">
        <v>36</v>
      </c>
      <c r="E574" t="s">
        <v>6645</v>
      </c>
      <c r="F574" t="s">
        <v>6646</v>
      </c>
      <c r="G574" s="204" t="s">
        <v>6647</v>
      </c>
      <c r="H574" t="s">
        <v>1060</v>
      </c>
      <c r="I574" t="s">
        <v>6648</v>
      </c>
      <c r="J574" t="s">
        <v>6649</v>
      </c>
      <c r="K574">
        <v>0.91</v>
      </c>
    </row>
    <row r="575" spans="1:11">
      <c r="A575" t="s">
        <v>4685</v>
      </c>
      <c r="B575" t="s">
        <v>6635</v>
      </c>
      <c r="D575">
        <v>60</v>
      </c>
      <c r="E575" t="s">
        <v>6650</v>
      </c>
      <c r="F575" t="s">
        <v>6651</v>
      </c>
      <c r="G575" s="204" t="s">
        <v>6652</v>
      </c>
      <c r="H575" t="s">
        <v>6653</v>
      </c>
      <c r="I575" t="s">
        <v>6654</v>
      </c>
      <c r="J575" t="s">
        <v>6655</v>
      </c>
      <c r="K575">
        <v>0.9</v>
      </c>
    </row>
    <row r="576" spans="1:11">
      <c r="A576" t="s">
        <v>4685</v>
      </c>
      <c r="B576" t="s">
        <v>6635</v>
      </c>
      <c r="D576">
        <v>72</v>
      </c>
      <c r="E576" t="s">
        <v>6656</v>
      </c>
      <c r="F576" t="s">
        <v>6657</v>
      </c>
      <c r="G576" s="204" t="s">
        <v>6658</v>
      </c>
      <c r="H576" t="s">
        <v>6659</v>
      </c>
      <c r="I576" t="s">
        <v>6660</v>
      </c>
      <c r="J576" t="s">
        <v>6661</v>
      </c>
      <c r="K576">
        <v>0.85</v>
      </c>
    </row>
    <row r="577" spans="1:5">
      <c r="A577" t="s">
        <v>4685</v>
      </c>
      <c r="B577" t="s">
        <v>6635</v>
      </c>
      <c r="D577" t="s">
        <v>6662</v>
      </c>
    </row>
    <row r="578" spans="1:5">
      <c r="A578" t="s">
        <v>4685</v>
      </c>
      <c r="B578" t="s">
        <v>6635</v>
      </c>
      <c r="D578" t="s">
        <v>6663</v>
      </c>
    </row>
    <row r="579" spans="1:5">
      <c r="A579" t="s">
        <v>4685</v>
      </c>
      <c r="B579" t="s">
        <v>6635</v>
      </c>
    </row>
    <row r="580" spans="1:5">
      <c r="A580" t="s">
        <v>4685</v>
      </c>
      <c r="B580" t="s">
        <v>6635</v>
      </c>
      <c r="D580" t="s">
        <v>6664</v>
      </c>
      <c r="E580">
        <f>AVERAGE(K574:K576)</f>
        <v>0.88666666666666671</v>
      </c>
    </row>
    <row r="581" spans="1:5">
      <c r="A581" t="s">
        <v>4685</v>
      </c>
      <c r="B581" t="s">
        <v>6635</v>
      </c>
      <c r="D581" t="s">
        <v>6403</v>
      </c>
      <c r="E581" s="142">
        <f>[1]MonoSugar!$K$16</f>
        <v>30.499369298245611</v>
      </c>
    </row>
    <row r="582" spans="1:5">
      <c r="A582" t="s">
        <v>4685</v>
      </c>
      <c r="B582" t="s">
        <v>6635</v>
      </c>
      <c r="D582" t="s">
        <v>6491</v>
      </c>
      <c r="E582">
        <f>E580*E581%</f>
        <v>0.27042774111111106</v>
      </c>
    </row>
    <row r="583" spans="1:5">
      <c r="A583" t="s">
        <v>4685</v>
      </c>
      <c r="B583" t="s">
        <v>6635</v>
      </c>
    </row>
    <row r="584" spans="1:5">
      <c r="A584" t="s">
        <v>4685</v>
      </c>
      <c r="B584" t="s">
        <v>6635</v>
      </c>
      <c r="C584" t="s">
        <v>226</v>
      </c>
      <c r="D584" t="s">
        <v>6666</v>
      </c>
    </row>
    <row r="585" spans="1:5">
      <c r="A585" t="s">
        <v>4685</v>
      </c>
      <c r="B585" t="s">
        <v>6635</v>
      </c>
      <c r="D585" t="s">
        <v>6667</v>
      </c>
    </row>
    <row r="586" spans="1:5">
      <c r="A586" t="s">
        <v>4685</v>
      </c>
      <c r="B586" t="s">
        <v>6635</v>
      </c>
    </row>
    <row r="587" spans="1:5">
      <c r="A587" t="s">
        <v>4685</v>
      </c>
      <c r="B587" t="s">
        <v>6635</v>
      </c>
      <c r="D587" t="s">
        <v>6668</v>
      </c>
    </row>
    <row r="588" spans="1:5">
      <c r="A588" t="s">
        <v>4685</v>
      </c>
      <c r="B588" t="s">
        <v>6635</v>
      </c>
    </row>
    <row r="589" spans="1:5">
      <c r="A589" t="s">
        <v>4685</v>
      </c>
      <c r="B589" t="s">
        <v>6635</v>
      </c>
      <c r="D589" t="s">
        <v>6669</v>
      </c>
      <c r="E589">
        <v>89.93</v>
      </c>
    </row>
    <row r="590" spans="1:5">
      <c r="A590" t="s">
        <v>4685</v>
      </c>
      <c r="B590" t="s">
        <v>6635</v>
      </c>
      <c r="D590" t="s">
        <v>6670</v>
      </c>
      <c r="E590">
        <v>88</v>
      </c>
    </row>
    <row r="591" spans="1:5">
      <c r="A591" t="s">
        <v>4685</v>
      </c>
      <c r="B591" t="s">
        <v>6635</v>
      </c>
      <c r="D591" t="s">
        <v>6671</v>
      </c>
      <c r="E591">
        <f>E590/E589</f>
        <v>0.97853886356054698</v>
      </c>
    </row>
    <row r="592" spans="1:5">
      <c r="A592" t="s">
        <v>4685</v>
      </c>
      <c r="B592" t="s">
        <v>6635</v>
      </c>
      <c r="D592" t="s">
        <v>6672</v>
      </c>
      <c r="E592" s="142">
        <f>[1]MonoSugar!$D$16</f>
        <v>13.895699999999998</v>
      </c>
    </row>
    <row r="593" spans="1:15">
      <c r="A593" t="s">
        <v>4685</v>
      </c>
      <c r="B593" t="s">
        <v>6635</v>
      </c>
      <c r="D593" t="s">
        <v>6673</v>
      </c>
      <c r="E593">
        <f>E591*E592%</f>
        <v>0.1359748248637829</v>
      </c>
    </row>
    <row r="594" spans="1:15">
      <c r="A594" t="s">
        <v>4685</v>
      </c>
      <c r="B594" t="s">
        <v>6635</v>
      </c>
    </row>
    <row r="595" spans="1:15">
      <c r="A595" t="s">
        <v>4685</v>
      </c>
      <c r="B595" t="s">
        <v>6635</v>
      </c>
      <c r="C595" t="s">
        <v>396</v>
      </c>
      <c r="D595" t="s">
        <v>6783</v>
      </c>
    </row>
    <row r="596" spans="1:15">
      <c r="A596" t="s">
        <v>4685</v>
      </c>
      <c r="B596" t="s">
        <v>6635</v>
      </c>
      <c r="D596" t="s">
        <v>6784</v>
      </c>
    </row>
    <row r="597" spans="1:15">
      <c r="A597" t="s">
        <v>4685</v>
      </c>
      <c r="B597" t="s">
        <v>6635</v>
      </c>
      <c r="D597" t="s">
        <v>6674</v>
      </c>
    </row>
    <row r="598" spans="1:15">
      <c r="A598" t="s">
        <v>4685</v>
      </c>
      <c r="B598" t="s">
        <v>6635</v>
      </c>
      <c r="D598" t="s">
        <v>6675</v>
      </c>
      <c r="E598" t="s">
        <v>6676</v>
      </c>
      <c r="F598" t="s">
        <v>6677</v>
      </c>
      <c r="G598" t="s">
        <v>5481</v>
      </c>
      <c r="H598" t="s">
        <v>6678</v>
      </c>
      <c r="K598" s="204" t="s">
        <v>6679</v>
      </c>
      <c r="L598" t="s">
        <v>6680</v>
      </c>
      <c r="N598" t="s">
        <v>6681</v>
      </c>
      <c r="O598" s="48" t="s">
        <v>6779</v>
      </c>
    </row>
    <row r="599" spans="1:15">
      <c r="A599" t="s">
        <v>4685</v>
      </c>
      <c r="B599" t="s">
        <v>6635</v>
      </c>
      <c r="H599" t="s">
        <v>6682</v>
      </c>
      <c r="I599" t="s">
        <v>6275</v>
      </c>
      <c r="J599" t="s">
        <v>6683</v>
      </c>
      <c r="K599" s="204"/>
      <c r="L599" t="s">
        <v>6682</v>
      </c>
      <c r="M599" t="s">
        <v>6684</v>
      </c>
      <c r="O599" s="48"/>
    </row>
    <row r="600" spans="1:15">
      <c r="A600" t="s">
        <v>4685</v>
      </c>
      <c r="B600" t="s">
        <v>6635</v>
      </c>
      <c r="D600">
        <v>1</v>
      </c>
      <c r="E600">
        <v>69.5</v>
      </c>
      <c r="F600" t="s">
        <v>6685</v>
      </c>
      <c r="G600" t="s">
        <v>6686</v>
      </c>
      <c r="H600" t="s">
        <v>6687</v>
      </c>
      <c r="I600" t="s">
        <v>6688</v>
      </c>
      <c r="J600" t="s">
        <v>6689</v>
      </c>
      <c r="K600" s="204" t="s">
        <v>6690</v>
      </c>
      <c r="L600">
        <v>1.06</v>
      </c>
      <c r="M600">
        <v>1.02</v>
      </c>
      <c r="N600">
        <v>0.97</v>
      </c>
      <c r="O600" s="48">
        <v>0.92</v>
      </c>
    </row>
    <row r="601" spans="1:15">
      <c r="A601" t="s">
        <v>4685</v>
      </c>
      <c r="B601" t="s">
        <v>6635</v>
      </c>
      <c r="D601">
        <v>2</v>
      </c>
      <c r="F601" t="s">
        <v>6691</v>
      </c>
      <c r="G601" t="s">
        <v>6692</v>
      </c>
      <c r="H601" t="s">
        <v>6693</v>
      </c>
      <c r="I601" t="s">
        <v>6694</v>
      </c>
      <c r="J601" t="s">
        <v>6695</v>
      </c>
      <c r="K601" s="204" t="s">
        <v>6696</v>
      </c>
      <c r="L601">
        <v>0.82</v>
      </c>
      <c r="M601">
        <v>0.84</v>
      </c>
      <c r="N601">
        <v>0.83</v>
      </c>
      <c r="O601" s="48">
        <v>0.95</v>
      </c>
    </row>
    <row r="602" spans="1:15">
      <c r="A602" t="s">
        <v>4685</v>
      </c>
      <c r="B602" t="s">
        <v>6635</v>
      </c>
      <c r="D602">
        <v>3</v>
      </c>
      <c r="F602" t="s">
        <v>6697</v>
      </c>
      <c r="G602" t="s">
        <v>6698</v>
      </c>
      <c r="H602" t="s">
        <v>6699</v>
      </c>
      <c r="I602" t="s">
        <v>6700</v>
      </c>
      <c r="J602" t="s">
        <v>6701</v>
      </c>
      <c r="K602" s="204" t="s">
        <v>5905</v>
      </c>
      <c r="L602">
        <v>1.1000000000000001</v>
      </c>
      <c r="M602">
        <v>1.05</v>
      </c>
      <c r="N602">
        <v>1.1200000000000001</v>
      </c>
      <c r="O602" s="48">
        <v>0.93</v>
      </c>
    </row>
    <row r="603" spans="1:15">
      <c r="A603" t="s">
        <v>4685</v>
      </c>
      <c r="B603" t="s">
        <v>6635</v>
      </c>
      <c r="D603">
        <v>4</v>
      </c>
      <c r="F603" t="s">
        <v>6702</v>
      </c>
      <c r="G603" t="s">
        <v>6703</v>
      </c>
      <c r="H603" t="s">
        <v>6704</v>
      </c>
      <c r="I603" t="s">
        <v>6705</v>
      </c>
      <c r="J603" t="s">
        <v>6706</v>
      </c>
      <c r="K603" s="204" t="s">
        <v>6707</v>
      </c>
      <c r="L603">
        <v>1.1399999999999999</v>
      </c>
      <c r="M603">
        <v>1.07</v>
      </c>
      <c r="N603">
        <v>1.1399999999999999</v>
      </c>
      <c r="O603" s="48">
        <v>0.81</v>
      </c>
    </row>
    <row r="604" spans="1:15">
      <c r="A604" t="s">
        <v>4685</v>
      </c>
      <c r="B604" t="s">
        <v>6635</v>
      </c>
      <c r="D604">
        <v>5</v>
      </c>
      <c r="F604" t="s">
        <v>6708</v>
      </c>
      <c r="G604" t="s">
        <v>6698</v>
      </c>
      <c r="H604" t="s">
        <v>6709</v>
      </c>
      <c r="I604" t="s">
        <v>6710</v>
      </c>
      <c r="J604" t="s">
        <v>6701</v>
      </c>
      <c r="K604" s="204" t="s">
        <v>6711</v>
      </c>
      <c r="L604">
        <v>1.1499999999999999</v>
      </c>
      <c r="M604">
        <v>1.05</v>
      </c>
      <c r="N604">
        <v>1.1499999999999999</v>
      </c>
      <c r="O604" s="48">
        <v>0.93</v>
      </c>
    </row>
    <row r="605" spans="1:15">
      <c r="A605" t="s">
        <v>4685</v>
      </c>
      <c r="B605" t="s">
        <v>6635</v>
      </c>
      <c r="D605">
        <v>6</v>
      </c>
      <c r="F605" t="s">
        <v>6712</v>
      </c>
      <c r="G605" t="s">
        <v>6713</v>
      </c>
      <c r="H605" t="s">
        <v>6714</v>
      </c>
      <c r="I605" t="s">
        <v>6715</v>
      </c>
      <c r="J605" t="s">
        <v>6716</v>
      </c>
      <c r="K605" s="204" t="s">
        <v>6717</v>
      </c>
      <c r="L605">
        <v>2.0499999999999998</v>
      </c>
      <c r="M605">
        <v>1.18</v>
      </c>
      <c r="N605">
        <v>2.0499999999999998</v>
      </c>
      <c r="O605" s="48">
        <v>0.91</v>
      </c>
    </row>
    <row r="606" spans="1:15">
      <c r="A606" t="s">
        <v>4685</v>
      </c>
      <c r="B606" t="s">
        <v>6635</v>
      </c>
      <c r="D606">
        <v>7</v>
      </c>
      <c r="F606" t="s">
        <v>6718</v>
      </c>
      <c r="G606" t="s">
        <v>6719</v>
      </c>
      <c r="H606" t="s">
        <v>6720</v>
      </c>
      <c r="I606" t="s">
        <v>6721</v>
      </c>
      <c r="J606" t="s">
        <v>6722</v>
      </c>
      <c r="K606" s="204" t="s">
        <v>5897</v>
      </c>
      <c r="L606">
        <v>2.2400000000000002</v>
      </c>
      <c r="M606">
        <v>1.23</v>
      </c>
      <c r="N606">
        <v>2.2400000000000002</v>
      </c>
      <c r="O606" s="48">
        <v>0.96</v>
      </c>
    </row>
    <row r="607" spans="1:15">
      <c r="A607" t="s">
        <v>4685</v>
      </c>
      <c r="B607" t="s">
        <v>6635</v>
      </c>
      <c r="D607">
        <v>8</v>
      </c>
      <c r="F607" t="s">
        <v>6723</v>
      </c>
      <c r="G607" t="s">
        <v>6724</v>
      </c>
      <c r="H607" t="s">
        <v>6725</v>
      </c>
      <c r="I607" t="s">
        <v>6726</v>
      </c>
      <c r="J607" t="s">
        <v>6727</v>
      </c>
      <c r="K607" s="204" t="s">
        <v>6728</v>
      </c>
      <c r="L607">
        <v>3.28</v>
      </c>
      <c r="M607">
        <v>1.52</v>
      </c>
      <c r="N607">
        <v>3.28</v>
      </c>
      <c r="O607" s="48">
        <v>0.87</v>
      </c>
    </row>
    <row r="608" spans="1:15">
      <c r="A608" t="s">
        <v>4685</v>
      </c>
      <c r="B608" t="s">
        <v>6635</v>
      </c>
      <c r="D608">
        <v>9</v>
      </c>
      <c r="F608" t="s">
        <v>6729</v>
      </c>
      <c r="G608" t="s">
        <v>6730</v>
      </c>
      <c r="H608" t="s">
        <v>6731</v>
      </c>
      <c r="I608" t="s">
        <v>6732</v>
      </c>
      <c r="J608" t="s">
        <v>6733</v>
      </c>
      <c r="K608" s="204" t="s">
        <v>100</v>
      </c>
      <c r="L608">
        <v>3.16</v>
      </c>
      <c r="M608">
        <v>1.48</v>
      </c>
      <c r="N608">
        <v>3.16</v>
      </c>
      <c r="O608" s="48">
        <v>0.87</v>
      </c>
    </row>
    <row r="609" spans="1:15">
      <c r="A609" t="s">
        <v>4685</v>
      </c>
      <c r="B609" t="s">
        <v>6635</v>
      </c>
      <c r="D609">
        <v>10</v>
      </c>
      <c r="F609" t="s">
        <v>6734</v>
      </c>
      <c r="G609" t="s">
        <v>6735</v>
      </c>
      <c r="H609" t="s">
        <v>6736</v>
      </c>
      <c r="I609" t="s">
        <v>6737</v>
      </c>
      <c r="J609" t="s">
        <v>6738</v>
      </c>
      <c r="K609" s="204" t="s">
        <v>5901</v>
      </c>
      <c r="L609">
        <v>3.24</v>
      </c>
      <c r="M609">
        <v>1.51</v>
      </c>
      <c r="N609">
        <v>3.24</v>
      </c>
      <c r="O609" s="48">
        <v>0.91</v>
      </c>
    </row>
    <row r="610" spans="1:15">
      <c r="A610" t="s">
        <v>4685</v>
      </c>
      <c r="B610" t="s">
        <v>6635</v>
      </c>
      <c r="D610">
        <v>11</v>
      </c>
      <c r="F610" t="s">
        <v>6739</v>
      </c>
      <c r="G610" t="s">
        <v>6740</v>
      </c>
      <c r="H610" t="s">
        <v>6741</v>
      </c>
      <c r="I610" t="s">
        <v>6742</v>
      </c>
      <c r="J610" t="s">
        <v>6743</v>
      </c>
      <c r="K610" s="204" t="s">
        <v>6744</v>
      </c>
      <c r="L610">
        <v>3.34</v>
      </c>
      <c r="M610">
        <v>1.61</v>
      </c>
      <c r="N610">
        <v>3.34</v>
      </c>
      <c r="O610" s="48">
        <v>0.85</v>
      </c>
    </row>
    <row r="611" spans="1:15">
      <c r="A611" t="s">
        <v>4685</v>
      </c>
      <c r="B611" t="s">
        <v>6635</v>
      </c>
      <c r="D611">
        <v>12</v>
      </c>
      <c r="F611" t="s">
        <v>6745</v>
      </c>
      <c r="G611" t="s">
        <v>6746</v>
      </c>
      <c r="H611" t="s">
        <v>6747</v>
      </c>
      <c r="I611" t="s">
        <v>6748</v>
      </c>
      <c r="J611" t="s">
        <v>6749</v>
      </c>
      <c r="K611" s="204" t="s">
        <v>6750</v>
      </c>
      <c r="L611">
        <v>4.0999999999999996</v>
      </c>
      <c r="M611">
        <v>1.9</v>
      </c>
      <c r="N611">
        <v>4.0999999999999996</v>
      </c>
      <c r="O611" s="48">
        <v>0.89</v>
      </c>
    </row>
    <row r="612" spans="1:15">
      <c r="A612" t="s">
        <v>4685</v>
      </c>
      <c r="B612" t="s">
        <v>6635</v>
      </c>
      <c r="D612">
        <v>13</v>
      </c>
      <c r="F612" t="s">
        <v>6751</v>
      </c>
      <c r="G612" t="s">
        <v>6752</v>
      </c>
      <c r="H612" t="s">
        <v>6753</v>
      </c>
      <c r="I612" t="s">
        <v>6754</v>
      </c>
      <c r="J612" t="s">
        <v>6755</v>
      </c>
      <c r="K612" s="204" t="s">
        <v>6756</v>
      </c>
      <c r="L612">
        <v>4.37</v>
      </c>
      <c r="M612">
        <v>1.96</v>
      </c>
      <c r="N612">
        <v>4.37</v>
      </c>
      <c r="O612" s="48">
        <v>0.94</v>
      </c>
    </row>
    <row r="613" spans="1:15">
      <c r="A613" t="s">
        <v>4685</v>
      </c>
      <c r="B613" t="s">
        <v>6635</v>
      </c>
      <c r="D613">
        <v>14</v>
      </c>
      <c r="E613">
        <v>85.8</v>
      </c>
      <c r="F613" t="s">
        <v>6757</v>
      </c>
      <c r="G613" t="s">
        <v>6758</v>
      </c>
      <c r="H613" t="s">
        <v>6759</v>
      </c>
      <c r="I613" t="s">
        <v>6760</v>
      </c>
      <c r="J613" t="s">
        <v>6761</v>
      </c>
      <c r="K613" s="204" t="s">
        <v>6762</v>
      </c>
      <c r="L613">
        <v>3.76</v>
      </c>
      <c r="M613">
        <v>1.52</v>
      </c>
      <c r="N613">
        <v>3.76</v>
      </c>
      <c r="O613" s="48">
        <v>0.84</v>
      </c>
    </row>
    <row r="614" spans="1:15">
      <c r="A614" t="s">
        <v>4685</v>
      </c>
      <c r="B614" t="s">
        <v>6635</v>
      </c>
      <c r="D614">
        <v>15</v>
      </c>
      <c r="F614" t="s">
        <v>6763</v>
      </c>
      <c r="G614" t="s">
        <v>6764</v>
      </c>
      <c r="H614" t="s">
        <v>6765</v>
      </c>
      <c r="I614" t="s">
        <v>6766</v>
      </c>
      <c r="J614" t="s">
        <v>6767</v>
      </c>
      <c r="K614" s="204" t="s">
        <v>6756</v>
      </c>
      <c r="L614">
        <v>4.05</v>
      </c>
      <c r="M614">
        <v>1.84</v>
      </c>
      <c r="N614">
        <v>4.05</v>
      </c>
      <c r="O614" s="48">
        <v>0.94</v>
      </c>
    </row>
    <row r="615" spans="1:15">
      <c r="A615" t="s">
        <v>4685</v>
      </c>
      <c r="B615" t="s">
        <v>6635</v>
      </c>
      <c r="D615">
        <v>16</v>
      </c>
      <c r="F615" t="s">
        <v>6768</v>
      </c>
      <c r="G615" t="s">
        <v>6769</v>
      </c>
      <c r="H615" t="s">
        <v>6770</v>
      </c>
      <c r="I615" t="s">
        <v>6771</v>
      </c>
      <c r="J615" t="s">
        <v>6772</v>
      </c>
      <c r="K615" s="204" t="s">
        <v>6773</v>
      </c>
      <c r="L615">
        <v>4.49</v>
      </c>
      <c r="M615">
        <v>2.06</v>
      </c>
      <c r="N615">
        <v>4.49</v>
      </c>
      <c r="O615" s="48">
        <v>0.97</v>
      </c>
    </row>
    <row r="616" spans="1:15">
      <c r="A616" t="s">
        <v>4685</v>
      </c>
      <c r="B616" t="s">
        <v>6635</v>
      </c>
      <c r="D616" t="s">
        <v>1177</v>
      </c>
      <c r="N616" t="s">
        <v>510</v>
      </c>
      <c r="O616" s="48">
        <f>AVERAGE(O600:O615)</f>
        <v>0.90562500000000001</v>
      </c>
    </row>
    <row r="617" spans="1:15">
      <c r="A617" t="s">
        <v>4685</v>
      </c>
      <c r="B617" t="s">
        <v>6635</v>
      </c>
      <c r="D617" t="s">
        <v>6774</v>
      </c>
    </row>
    <row r="618" spans="1:15">
      <c r="A618" t="s">
        <v>4685</v>
      </c>
      <c r="B618" t="s">
        <v>6635</v>
      </c>
      <c r="D618" t="s">
        <v>1179</v>
      </c>
    </row>
    <row r="619" spans="1:15">
      <c r="A619" t="s">
        <v>4685</v>
      </c>
      <c r="B619" t="s">
        <v>6635</v>
      </c>
      <c r="D619" t="s">
        <v>6775</v>
      </c>
    </row>
    <row r="620" spans="1:15">
      <c r="A620" t="s">
        <v>4685</v>
      </c>
      <c r="B620" t="s">
        <v>6635</v>
      </c>
      <c r="D620" t="s">
        <v>1861</v>
      </c>
    </row>
    <row r="621" spans="1:15">
      <c r="A621" t="s">
        <v>4685</v>
      </c>
      <c r="B621" t="s">
        <v>6635</v>
      </c>
      <c r="D621" t="s">
        <v>6776</v>
      </c>
    </row>
    <row r="622" spans="1:15">
      <c r="A622" t="s">
        <v>4685</v>
      </c>
      <c r="B622" t="s">
        <v>6635</v>
      </c>
      <c r="D622" t="s">
        <v>2990</v>
      </c>
    </row>
    <row r="623" spans="1:15">
      <c r="A623" t="s">
        <v>4685</v>
      </c>
      <c r="B623" t="s">
        <v>6635</v>
      </c>
      <c r="D623" t="s">
        <v>6777</v>
      </c>
    </row>
    <row r="624" spans="1:15">
      <c r="A624" t="s">
        <v>4685</v>
      </c>
      <c r="B624" t="s">
        <v>6635</v>
      </c>
      <c r="D624" t="s">
        <v>2992</v>
      </c>
    </row>
    <row r="625" spans="1:5">
      <c r="A625" t="s">
        <v>4685</v>
      </c>
      <c r="B625" t="s">
        <v>6635</v>
      </c>
      <c r="D625" t="s">
        <v>6778</v>
      </c>
    </row>
    <row r="626" spans="1:5">
      <c r="A626" t="s">
        <v>4685</v>
      </c>
      <c r="B626" t="s">
        <v>6635</v>
      </c>
    </row>
    <row r="627" spans="1:5">
      <c r="A627" t="s">
        <v>4685</v>
      </c>
      <c r="B627" t="s">
        <v>6635</v>
      </c>
      <c r="D627" t="s">
        <v>6780</v>
      </c>
      <c r="E627">
        <f>O616</f>
        <v>0.90562500000000001</v>
      </c>
    </row>
    <row r="628" spans="1:5">
      <c r="A628" t="s">
        <v>4685</v>
      </c>
      <c r="B628" t="s">
        <v>6635</v>
      </c>
      <c r="D628" t="s">
        <v>6403</v>
      </c>
      <c r="E628" s="142">
        <f>[1]MonoSugar!$K$16</f>
        <v>30.499369298245611</v>
      </c>
    </row>
    <row r="629" spans="1:5">
      <c r="A629" t="s">
        <v>4685</v>
      </c>
      <c r="B629" t="s">
        <v>6635</v>
      </c>
      <c r="D629" t="s">
        <v>6781</v>
      </c>
      <c r="E629">
        <f>E627*E628%</f>
        <v>0.27620991320723681</v>
      </c>
    </row>
    <row r="630" spans="1:5">
      <c r="A630" t="s">
        <v>4685</v>
      </c>
      <c r="B630" t="s">
        <v>6635</v>
      </c>
    </row>
    <row r="631" spans="1:5">
      <c r="A631" t="s">
        <v>4685</v>
      </c>
      <c r="B631" t="s">
        <v>6635</v>
      </c>
      <c r="C631" t="s">
        <v>6782</v>
      </c>
      <c r="D631" t="s">
        <v>6792</v>
      </c>
    </row>
    <row r="632" spans="1:5">
      <c r="A632" t="s">
        <v>4685</v>
      </c>
      <c r="B632" t="s">
        <v>6635</v>
      </c>
      <c r="D632" t="s">
        <v>6791</v>
      </c>
    </row>
    <row r="633" spans="1:5">
      <c r="A633" t="s">
        <v>4685</v>
      </c>
      <c r="B633" t="s">
        <v>6635</v>
      </c>
      <c r="D633" s="454" t="s">
        <v>6790</v>
      </c>
    </row>
    <row r="634" spans="1:5">
      <c r="A634" t="s">
        <v>4685</v>
      </c>
      <c r="B634" t="s">
        <v>6635</v>
      </c>
      <c r="D634" t="s">
        <v>6785</v>
      </c>
    </row>
    <row r="635" spans="1:5">
      <c r="A635" t="s">
        <v>4685</v>
      </c>
      <c r="B635" t="s">
        <v>6635</v>
      </c>
      <c r="D635" t="s">
        <v>6789</v>
      </c>
      <c r="E635" t="s">
        <v>6788</v>
      </c>
    </row>
    <row r="636" spans="1:5">
      <c r="A636" t="s">
        <v>4685</v>
      </c>
      <c r="B636" t="s">
        <v>6635</v>
      </c>
      <c r="D636" t="s">
        <v>6786</v>
      </c>
    </row>
    <row r="637" spans="1:5">
      <c r="A637" t="s">
        <v>4685</v>
      </c>
      <c r="B637" t="s">
        <v>6635</v>
      </c>
      <c r="D637" t="s">
        <v>6787</v>
      </c>
      <c r="E637">
        <v>53.61</v>
      </c>
    </row>
    <row r="638" spans="1:5">
      <c r="A638" t="s">
        <v>4685</v>
      </c>
      <c r="B638" t="s">
        <v>6635</v>
      </c>
    </row>
    <row r="639" spans="1:5">
      <c r="A639" t="s">
        <v>4685</v>
      </c>
      <c r="B639" t="s">
        <v>6635</v>
      </c>
      <c r="D639" t="s">
        <v>5551</v>
      </c>
      <c r="E639">
        <f>E637/90</f>
        <v>0.59566666666666668</v>
      </c>
    </row>
    <row r="640" spans="1:5">
      <c r="A640" t="s">
        <v>4685</v>
      </c>
      <c r="B640" t="s">
        <v>6635</v>
      </c>
      <c r="D640" t="s">
        <v>6403</v>
      </c>
      <c r="E640" s="142">
        <f>[1]MonoSugar!$K$16</f>
        <v>30.499369298245611</v>
      </c>
    </row>
    <row r="641" spans="1:8">
      <c r="A641" t="s">
        <v>4685</v>
      </c>
      <c r="B641" t="s">
        <v>6635</v>
      </c>
      <c r="D641" t="s">
        <v>6491</v>
      </c>
      <c r="E641">
        <f>E639*E640%</f>
        <v>0.18167457645321636</v>
      </c>
    </row>
    <row r="642" spans="1:8">
      <c r="A642" t="s">
        <v>4685</v>
      </c>
      <c r="B642" t="s">
        <v>6635</v>
      </c>
    </row>
    <row r="643" spans="1:8">
      <c r="A643" t="s">
        <v>4685</v>
      </c>
      <c r="B643" t="s">
        <v>6635</v>
      </c>
    </row>
    <row r="644" spans="1:8">
      <c r="A644" t="s">
        <v>4685</v>
      </c>
      <c r="B644" t="s">
        <v>6635</v>
      </c>
      <c r="C644" t="s">
        <v>425</v>
      </c>
      <c r="D644" t="s">
        <v>6793</v>
      </c>
    </row>
    <row r="645" spans="1:8">
      <c r="A645" t="s">
        <v>4685</v>
      </c>
      <c r="B645" t="s">
        <v>6635</v>
      </c>
      <c r="D645" t="s">
        <v>5118</v>
      </c>
    </row>
    <row r="646" spans="1:8">
      <c r="A646" t="s">
        <v>4685</v>
      </c>
      <c r="B646" t="s">
        <v>6635</v>
      </c>
      <c r="D646" t="s">
        <v>6794</v>
      </c>
      <c r="E646">
        <v>75</v>
      </c>
      <c r="F646" s="204">
        <v>150</v>
      </c>
      <c r="G646">
        <v>300</v>
      </c>
      <c r="H646">
        <v>400</v>
      </c>
    </row>
    <row r="647" spans="1:8">
      <c r="A647" t="s">
        <v>4685</v>
      </c>
      <c r="B647" t="s">
        <v>6635</v>
      </c>
      <c r="D647" s="186" t="s">
        <v>6670</v>
      </c>
      <c r="E647">
        <v>5</v>
      </c>
      <c r="F647" s="204">
        <v>24</v>
      </c>
      <c r="G647">
        <v>28</v>
      </c>
      <c r="H647">
        <v>37</v>
      </c>
    </row>
    <row r="648" spans="1:8">
      <c r="A648" t="s">
        <v>4685</v>
      </c>
      <c r="B648" t="s">
        <v>6635</v>
      </c>
      <c r="D648" t="s">
        <v>6795</v>
      </c>
      <c r="E648">
        <f>E647/E646</f>
        <v>6.6666666666666666E-2</v>
      </c>
      <c r="F648" s="204">
        <f>F647/F646</f>
        <v>0.16</v>
      </c>
      <c r="G648">
        <f>G647/G646</f>
        <v>9.3333333333333338E-2</v>
      </c>
      <c r="H648">
        <f>H647/H646</f>
        <v>9.2499999999999999E-2</v>
      </c>
    </row>
    <row r="649" spans="1:8">
      <c r="A649" t="s">
        <v>4685</v>
      </c>
      <c r="B649" t="s">
        <v>6635</v>
      </c>
    </row>
    <row r="650" spans="1:8">
      <c r="A650" t="s">
        <v>4685</v>
      </c>
      <c r="B650" t="s">
        <v>6635</v>
      </c>
    </row>
    <row r="651" spans="1:8">
      <c r="A651" t="s">
        <v>4685</v>
      </c>
      <c r="B651" t="s">
        <v>6635</v>
      </c>
    </row>
    <row r="652" spans="1:8">
      <c r="A652" t="s">
        <v>4685</v>
      </c>
      <c r="B652" t="s">
        <v>6635</v>
      </c>
    </row>
    <row r="653" spans="1:8">
      <c r="A653" t="s">
        <v>4685</v>
      </c>
      <c r="B653" t="s">
        <v>6635</v>
      </c>
    </row>
    <row r="654" spans="1:8">
      <c r="A654" t="s">
        <v>1186</v>
      </c>
      <c r="B654" t="s">
        <v>6796</v>
      </c>
      <c r="C654" t="s">
        <v>638</v>
      </c>
      <c r="D654" t="s">
        <v>1187</v>
      </c>
    </row>
    <row r="655" spans="1:8">
      <c r="A655" t="s">
        <v>1186</v>
      </c>
      <c r="B655" t="s">
        <v>6796</v>
      </c>
      <c r="D655" t="s">
        <v>1188</v>
      </c>
    </row>
    <row r="656" spans="1:8">
      <c r="A656" t="s">
        <v>1186</v>
      </c>
      <c r="B656" t="s">
        <v>6796</v>
      </c>
      <c r="D656" t="s">
        <v>1194</v>
      </c>
      <c r="E656">
        <v>95.2</v>
      </c>
    </row>
    <row r="657" spans="1:5">
      <c r="A657" t="s">
        <v>1186</v>
      </c>
      <c r="B657" t="s">
        <v>6796</v>
      </c>
      <c r="D657" t="s">
        <v>1193</v>
      </c>
      <c r="E657">
        <v>0.96257777777777775</v>
      </c>
    </row>
    <row r="658" spans="1:5">
      <c r="A658" t="s">
        <v>1186</v>
      </c>
      <c r="B658" t="s">
        <v>6796</v>
      </c>
      <c r="D658" s="48" t="s">
        <v>6797</v>
      </c>
      <c r="E658" s="51">
        <f>[1]MonoSugar!$L$14</f>
        <v>17.55662361403509</v>
      </c>
    </row>
    <row r="659" spans="1:5">
      <c r="A659" t="s">
        <v>1186</v>
      </c>
      <c r="B659" t="s">
        <v>6796</v>
      </c>
      <c r="D659" s="48" t="s">
        <v>6798</v>
      </c>
      <c r="E659" s="48">
        <f>E657*E658%</f>
        <v>0.16899615743678753</v>
      </c>
    </row>
    <row r="660" spans="1:5">
      <c r="A660" t="s">
        <v>1186</v>
      </c>
      <c r="B660" t="s">
        <v>6796</v>
      </c>
    </row>
    <row r="661" spans="1:5">
      <c r="A661" t="s">
        <v>1186</v>
      </c>
      <c r="B661" t="s">
        <v>6796</v>
      </c>
    </row>
    <row r="662" spans="1:5">
      <c r="A662" t="s">
        <v>1186</v>
      </c>
      <c r="B662" t="s">
        <v>6440</v>
      </c>
      <c r="C662" t="s">
        <v>638</v>
      </c>
      <c r="D662" t="s">
        <v>1187</v>
      </c>
    </row>
    <row r="663" spans="1:5">
      <c r="A663" t="s">
        <v>1186</v>
      </c>
      <c r="B663" t="s">
        <v>6440</v>
      </c>
      <c r="D663" t="s">
        <v>1188</v>
      </c>
    </row>
    <row r="664" spans="1:5">
      <c r="A664" t="s">
        <v>1186</v>
      </c>
      <c r="B664" t="s">
        <v>6440</v>
      </c>
      <c r="D664" t="s">
        <v>1194</v>
      </c>
      <c r="E664">
        <v>95.2</v>
      </c>
    </row>
    <row r="665" spans="1:5">
      <c r="A665" t="s">
        <v>1186</v>
      </c>
      <c r="B665" t="s">
        <v>6440</v>
      </c>
      <c r="D665" t="s">
        <v>1193</v>
      </c>
      <c r="E665">
        <v>0.96257777777777775</v>
      </c>
    </row>
    <row r="666" spans="1:5">
      <c r="A666" t="s">
        <v>1186</v>
      </c>
      <c r="B666" t="s">
        <v>6440</v>
      </c>
      <c r="D666" s="48" t="s">
        <v>6799</v>
      </c>
      <c r="E666" s="51">
        <f>[1]MonoSugar!$L$15</f>
        <v>44.146556235087715</v>
      </c>
    </row>
    <row r="667" spans="1:5">
      <c r="A667" t="s">
        <v>1186</v>
      </c>
      <c r="B667" t="s">
        <v>6440</v>
      </c>
      <c r="D667" s="48" t="s">
        <v>6800</v>
      </c>
      <c r="E667" s="48">
        <f>E665*E666%</f>
        <v>0.42494493997312432</v>
      </c>
    </row>
    <row r="668" spans="1:5">
      <c r="A668" t="s">
        <v>1186</v>
      </c>
      <c r="B668" t="s">
        <v>6440</v>
      </c>
    </row>
    <row r="669" spans="1:5">
      <c r="A669" t="s">
        <v>1186</v>
      </c>
      <c r="B669" t="s">
        <v>6440</v>
      </c>
    </row>
    <row r="670" spans="1:5">
      <c r="A670" t="s">
        <v>1186</v>
      </c>
      <c r="B670" t="s">
        <v>6635</v>
      </c>
      <c r="C670" t="s">
        <v>638</v>
      </c>
      <c r="D670" t="s">
        <v>1187</v>
      </c>
    </row>
    <row r="671" spans="1:5">
      <c r="A671" t="s">
        <v>1186</v>
      </c>
      <c r="B671" t="s">
        <v>6635</v>
      </c>
      <c r="D671" t="s">
        <v>1188</v>
      </c>
    </row>
    <row r="672" spans="1:5">
      <c r="A672" t="s">
        <v>1186</v>
      </c>
      <c r="B672" t="s">
        <v>6635</v>
      </c>
      <c r="D672" t="s">
        <v>1194</v>
      </c>
      <c r="E672">
        <v>95.2</v>
      </c>
    </row>
    <row r="673" spans="1:5">
      <c r="A673" t="s">
        <v>1186</v>
      </c>
      <c r="B673" t="s">
        <v>6635</v>
      </c>
      <c r="D673" t="s">
        <v>1193</v>
      </c>
      <c r="E673">
        <v>0.96257777777777775</v>
      </c>
    </row>
    <row r="674" spans="1:5">
      <c r="A674" t="s">
        <v>1186</v>
      </c>
      <c r="B674" t="s">
        <v>6635</v>
      </c>
      <c r="D674" s="48" t="s">
        <v>6801</v>
      </c>
      <c r="E674" s="51">
        <f>[1]MonoSugar!$L$16</f>
        <v>29.964919298245611</v>
      </c>
    </row>
    <row r="675" spans="1:5">
      <c r="A675" t="s">
        <v>1186</v>
      </c>
      <c r="B675" t="s">
        <v>6635</v>
      </c>
      <c r="D675" s="48" t="s">
        <v>6802</v>
      </c>
      <c r="E675" s="48">
        <f>E673*E674%</f>
        <v>0.28843565429395707</v>
      </c>
    </row>
    <row r="676" spans="1:5">
      <c r="A676" t="s">
        <v>1186</v>
      </c>
      <c r="B676" t="s">
        <v>6635</v>
      </c>
    </row>
    <row r="677" spans="1:5">
      <c r="A677" t="s">
        <v>1201</v>
      </c>
      <c r="B677" t="s">
        <v>6796</v>
      </c>
      <c r="C677" t="s">
        <v>638</v>
      </c>
      <c r="D677" t="s">
        <v>1202</v>
      </c>
    </row>
    <row r="678" spans="1:5">
      <c r="A678" t="s">
        <v>1201</v>
      </c>
      <c r="B678" t="s">
        <v>6796</v>
      </c>
      <c r="D678" t="s">
        <v>1203</v>
      </c>
    </row>
    <row r="679" spans="1:5">
      <c r="A679" t="s">
        <v>1201</v>
      </c>
      <c r="B679" t="s">
        <v>6796</v>
      </c>
      <c r="D679" t="s">
        <v>1205</v>
      </c>
      <c r="E679">
        <v>0.48590909090909096</v>
      </c>
    </row>
    <row r="680" spans="1:5">
      <c r="A680" t="s">
        <v>1201</v>
      </c>
      <c r="B680" t="s">
        <v>6796</v>
      </c>
      <c r="D680" s="48" t="s">
        <v>6803</v>
      </c>
      <c r="E680" s="51">
        <f>[1]MonoSugar!$J$14</f>
        <v>1.1093727272727272E-2</v>
      </c>
    </row>
    <row r="681" spans="1:5">
      <c r="A681" t="s">
        <v>1201</v>
      </c>
      <c r="B681" t="s">
        <v>6796</v>
      </c>
      <c r="D681" s="48" t="s">
        <v>6804</v>
      </c>
      <c r="E681" s="48">
        <f>E679*E680%</f>
        <v>5.3905429338842981E-5</v>
      </c>
    </row>
    <row r="682" spans="1:5">
      <c r="A682" t="s">
        <v>1201</v>
      </c>
      <c r="B682" t="s">
        <v>6796</v>
      </c>
    </row>
    <row r="683" spans="1:5">
      <c r="A683" t="s">
        <v>1201</v>
      </c>
      <c r="B683" t="s">
        <v>6796</v>
      </c>
    </row>
    <row r="684" spans="1:5">
      <c r="A684" t="s">
        <v>1201</v>
      </c>
      <c r="B684" t="s">
        <v>6796</v>
      </c>
    </row>
    <row r="685" spans="1:5">
      <c r="A685" t="s">
        <v>1201</v>
      </c>
      <c r="B685" t="s">
        <v>6440</v>
      </c>
      <c r="C685" t="s">
        <v>638</v>
      </c>
      <c r="D685" t="s">
        <v>1202</v>
      </c>
    </row>
    <row r="686" spans="1:5">
      <c r="A686" t="s">
        <v>1201</v>
      </c>
      <c r="B686" t="s">
        <v>6440</v>
      </c>
      <c r="D686" t="s">
        <v>1203</v>
      </c>
    </row>
    <row r="687" spans="1:5">
      <c r="A687" t="s">
        <v>1201</v>
      </c>
      <c r="B687" t="s">
        <v>6440</v>
      </c>
      <c r="D687" t="s">
        <v>1205</v>
      </c>
      <c r="E687">
        <v>0.48590909090909096</v>
      </c>
    </row>
    <row r="688" spans="1:5">
      <c r="A688" t="s">
        <v>1201</v>
      </c>
      <c r="B688" t="s">
        <v>6440</v>
      </c>
      <c r="D688" s="48" t="s">
        <v>1883</v>
      </c>
      <c r="E688" s="51">
        <f>[1]MonoSugar!$J$15</f>
        <v>0.98129002121212117</v>
      </c>
    </row>
    <row r="689" spans="1:5">
      <c r="A689" t="s">
        <v>1201</v>
      </c>
      <c r="B689" t="s">
        <v>6440</v>
      </c>
      <c r="D689" s="48" t="s">
        <v>6805</v>
      </c>
      <c r="E689" s="48">
        <f>E687*E688%</f>
        <v>4.7681774212534438E-3</v>
      </c>
    </row>
    <row r="690" spans="1:5">
      <c r="A690" t="s">
        <v>1201</v>
      </c>
      <c r="B690" t="s">
        <v>6440</v>
      </c>
    </row>
    <row r="691" spans="1:5">
      <c r="A691" t="s">
        <v>1201</v>
      </c>
      <c r="B691" t="s">
        <v>6440</v>
      </c>
    </row>
    <row r="692" spans="1:5">
      <c r="A692" t="s">
        <v>1201</v>
      </c>
      <c r="B692" t="s">
        <v>6440</v>
      </c>
    </row>
    <row r="693" spans="1:5">
      <c r="A693" t="s">
        <v>1201</v>
      </c>
      <c r="B693" t="s">
        <v>6635</v>
      </c>
      <c r="C693" t="s">
        <v>638</v>
      </c>
      <c r="D693" t="s">
        <v>1202</v>
      </c>
    </row>
    <row r="694" spans="1:5">
      <c r="A694" t="s">
        <v>1201</v>
      </c>
      <c r="B694" t="s">
        <v>6635</v>
      </c>
      <c r="D694" t="s">
        <v>1203</v>
      </c>
    </row>
    <row r="695" spans="1:5">
      <c r="A695" t="s">
        <v>1201</v>
      </c>
      <c r="B695" t="s">
        <v>6635</v>
      </c>
      <c r="D695" t="s">
        <v>1205</v>
      </c>
      <c r="E695">
        <v>0.48590909090909096</v>
      </c>
    </row>
    <row r="696" spans="1:5">
      <c r="A696" t="s">
        <v>1201</v>
      </c>
      <c r="B696" t="s">
        <v>6635</v>
      </c>
      <c r="D696" s="48" t="s">
        <v>1883</v>
      </c>
      <c r="E696" s="51">
        <f>[1]MonoSugar!$J$16</f>
        <v>0.53444999999999998</v>
      </c>
    </row>
    <row r="697" spans="1:5">
      <c r="A697" t="s">
        <v>1201</v>
      </c>
      <c r="B697" t="s">
        <v>6635</v>
      </c>
      <c r="D697" s="48" t="s">
        <v>6806</v>
      </c>
      <c r="E697" s="48">
        <f>E695*E696%</f>
        <v>2.5969411363636363E-3</v>
      </c>
    </row>
    <row r="698" spans="1:5">
      <c r="A698" t="s">
        <v>1201</v>
      </c>
      <c r="B698" t="s">
        <v>6635</v>
      </c>
    </row>
    <row r="699" spans="1:5">
      <c r="A699" t="s">
        <v>1201</v>
      </c>
      <c r="B699" t="s">
        <v>6635</v>
      </c>
    </row>
  </sheetData>
  <mergeCells count="25">
    <mergeCell ref="D559:I559"/>
    <mergeCell ref="D555:I555"/>
    <mergeCell ref="E336:F336"/>
    <mergeCell ref="G336:H336"/>
    <mergeCell ref="I336:J336"/>
    <mergeCell ref="D336:D337"/>
    <mergeCell ref="D444:D445"/>
    <mergeCell ref="E444:H444"/>
    <mergeCell ref="I444:L444"/>
    <mergeCell ref="E204:F204"/>
    <mergeCell ref="G204:H204"/>
    <mergeCell ref="F85:H85"/>
    <mergeCell ref="I85:J85"/>
    <mergeCell ref="D170:D172"/>
    <mergeCell ref="E170:H170"/>
    <mergeCell ref="E171:F171"/>
    <mergeCell ref="G171:H171"/>
    <mergeCell ref="H319:I319"/>
    <mergeCell ref="J319:J320"/>
    <mergeCell ref="K319:K320"/>
    <mergeCell ref="D269:D273"/>
    <mergeCell ref="D319:D320"/>
    <mergeCell ref="E319:E320"/>
    <mergeCell ref="F319:F320"/>
    <mergeCell ref="G319:G320"/>
  </mergeCells>
  <hyperlinks>
    <hyperlink ref="D2" r:id="rId1" xr:uid="{97C6EEC1-84D9-4794-9DC6-EEC82D471C2A}"/>
    <hyperlink ref="D3" r:id="rId2" xr:uid="{C01E6672-02E1-4CA7-8637-44D1CF02DCE4}"/>
    <hyperlink ref="D9" r:id="rId3" xr:uid="{A97E85B7-A4DD-4567-9125-86FD7AF1C29A}"/>
    <hyperlink ref="D10" r:id="rId4" display="SADRZAJ-3-2010.vp (srce.hr)" xr:uid="{B4E44088-5F74-4D18-83FA-303ADC590852}"/>
    <hyperlink ref="D76" r:id="rId5" xr:uid="{FA2D3125-E7B2-4CF4-8AB5-828CA0F15086}"/>
    <hyperlink ref="D77" r:id="rId6" xr:uid="{5E70F8B4-398E-4CFB-8540-B3BED58071DA}"/>
    <hyperlink ref="D83" r:id="rId7" xr:uid="{14497222-B072-40FC-A13F-D79ACD3D878B}"/>
    <hyperlink ref="D84" r:id="rId8" xr:uid="{61E9FD12-EA80-4B05-87BF-638EB192B938}"/>
    <hyperlink ref="D108" r:id="rId9" xr:uid="{A8840BDD-4636-4907-AD58-87F4742B458C}"/>
    <hyperlink ref="D109" r:id="rId10" xr:uid="{D7ED78CA-36A5-45E8-91B8-4966D36076A5}"/>
    <hyperlink ref="D122" r:id="rId11" xr:uid="{235678B9-90BC-4671-A0F8-CDF5D76D7EB9}"/>
    <hyperlink ref="D121" r:id="rId12" xr:uid="{C949A2CC-DFAC-4B04-8444-632ED679C8AC}"/>
    <hyperlink ref="D133" r:id="rId13" xr:uid="{720C7BDE-8AA4-455C-806C-004C37E6D0B3}"/>
    <hyperlink ref="D132" r:id="rId14" xr:uid="{91972EBC-A953-4BEC-8577-1BB133CBBEB4}"/>
    <hyperlink ref="D139" r:id="rId15" xr:uid="{6E0FC016-4C4F-4D95-8D59-ABCAD933B03C}"/>
    <hyperlink ref="D140" r:id="rId16" xr:uid="{BDB2D63F-A770-4950-BC15-B1F2459F58E4}"/>
    <hyperlink ref="D153" r:id="rId17" xr:uid="{EA0DABD7-2A58-438C-8EEE-A000DB3F475F}"/>
    <hyperlink ref="D154" r:id="rId18" xr:uid="{E81E855B-D8F9-4EE3-BC4A-282658BC0594}"/>
    <hyperlink ref="D168" r:id="rId19" xr:uid="{E6346527-474C-4F24-B82F-63F3B65B6617}"/>
    <hyperlink ref="D169" r:id="rId20" xr:uid="{D9D36799-08E8-477E-86E3-109F2A6E0DC1}"/>
    <hyperlink ref="D185" r:id="rId21" xr:uid="{0640BBF5-43D3-4084-9CD1-6DB1B3C64D59}"/>
    <hyperlink ref="D186" r:id="rId22" xr:uid="{FA26DE5E-9839-4DF8-BC4E-B94CD40AB0FC}"/>
    <hyperlink ref="D187" r:id="rId23" location="tblfn0005" xr:uid="{57665C2E-129D-491D-86E0-7373A1CBB735}"/>
    <hyperlink ref="D240" r:id="rId24" xr:uid="{F4C0BA56-F7CA-4E57-A2DD-F6D3A6DC2DB3}"/>
    <hyperlink ref="D241" r:id="rId25" xr:uid="{87D7D420-4354-4AE5-990C-B46ABFB97E5D}"/>
    <hyperlink ref="D255" r:id="rId26" xr:uid="{08A0453F-E4D6-43EC-88CF-0AE868FEF8A4}"/>
    <hyperlink ref="D256" r:id="rId27" xr:uid="{0ABA3FDC-906C-4941-B8D3-494E57214549}"/>
    <hyperlink ref="D263" r:id="rId28" xr:uid="{54C1BA19-2DD5-43F2-A32B-BA447A855A68}"/>
    <hyperlink ref="D264" r:id="rId29" xr:uid="{33F6F57E-1EF8-4B6D-9338-E52C720FFB78}"/>
    <hyperlink ref="D291" r:id="rId30" xr:uid="{FF961535-D281-473C-A84A-6A8DA8210B8A}"/>
    <hyperlink ref="D290" r:id="rId31" xr:uid="{522BA9E2-995B-44F8-9721-41F66F3A9B7C}"/>
    <hyperlink ref="D306" r:id="rId32" xr:uid="{1C68A9B2-E469-46AD-B110-470A306B4F62}"/>
    <hyperlink ref="D305" r:id="rId33" xr:uid="{6F9438AC-35C3-4648-B6D0-A6421A7BE669}"/>
    <hyperlink ref="D317" r:id="rId34" xr:uid="{AEE9AAC3-8F6C-4DCD-98F6-D9622464D0E2}"/>
    <hyperlink ref="D318" r:id="rId35" xr:uid="{763C3A65-6E94-4CC0-9372-AF2AF0BB399F}"/>
    <hyperlink ref="D27" r:id="rId36" location="B43-energies-10-01255" display="https://www.mdpi.com/1996-1073/10/9/1255 - B43-energies-10-01255" xr:uid="{56FFE10C-DFF1-4171-ABE6-AA237E031038}"/>
    <hyperlink ref="D26" r:id="rId37" location="B43-energies-10-01255" display="https://www.mdpi.com/1996-1073/10/9/1255 - B43-energies-10-01255" xr:uid="{DA4069CB-5676-46FF-A033-61D5E19B0B99}"/>
    <hyperlink ref="D200" r:id="rId38" xr:uid="{65F48A17-559A-44AF-8488-4C35BAC84306}"/>
    <hyperlink ref="D443" r:id="rId39" display="https://link.springer.com/article/10.1007/s12355-017-0543-5" xr:uid="{9779A04F-43FF-4AB2-889C-C7AF805A501B}"/>
    <hyperlink ref="D458" r:id="rId40" location="Tab1" display="https://link.springer.com/article/10.1007/s12355-017-0543-5 - Tab1" xr:uid="{0D9BE79A-BDCE-4DF0-A7D5-2E19FE6604B6}"/>
  </hyperlinks>
  <pageMargins left="0.7" right="0.7" top="0.75" bottom="0.75" header="0.3" footer="0.3"/>
  <drawing r:id="rId4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82EE3-222D-49A4-BDF8-F5A70515CC22}">
  <dimension ref="A1:O232"/>
  <sheetViews>
    <sheetView topLeftCell="A207" workbookViewId="0">
      <selection activeCell="C216" sqref="C216:E221"/>
    </sheetView>
  </sheetViews>
  <sheetFormatPr defaultRowHeight="14.4"/>
  <cols>
    <col min="1" max="1" width="12.21875" customWidth="1"/>
    <col min="2" max="2" width="13.44140625" customWidth="1"/>
    <col min="3" max="3" width="14.33203125" customWidth="1"/>
    <col min="4" max="4" width="41.88671875" customWidth="1"/>
    <col min="5" max="5" width="20" customWidth="1"/>
    <col min="6" max="6" width="17.77734375" customWidth="1"/>
    <col min="7" max="7" width="13.6640625" customWidth="1"/>
    <col min="8" max="8" width="25" customWidth="1"/>
    <col min="9" max="9" width="16.6640625" customWidth="1"/>
    <col min="10" max="10" width="16.21875" customWidth="1"/>
  </cols>
  <sheetData>
    <row r="1" spans="1:10">
      <c r="A1" t="s">
        <v>0</v>
      </c>
    </row>
    <row r="2" spans="1:10">
      <c r="A2" t="s">
        <v>2</v>
      </c>
      <c r="B2" t="s">
        <v>6957</v>
      </c>
      <c r="D2" t="s">
        <v>6979</v>
      </c>
    </row>
    <row r="3" spans="1:10">
      <c r="A3" t="s">
        <v>2</v>
      </c>
      <c r="B3" t="s">
        <v>6957</v>
      </c>
      <c r="C3" t="s">
        <v>197</v>
      </c>
      <c r="D3" t="s">
        <v>6958</v>
      </c>
      <c r="I3" s="203" t="s">
        <v>6978</v>
      </c>
    </row>
    <row r="4" spans="1:10">
      <c r="A4" t="s">
        <v>2</v>
      </c>
      <c r="B4" t="s">
        <v>6957</v>
      </c>
      <c r="D4" t="s">
        <v>6976</v>
      </c>
    </row>
    <row r="5" spans="1:10">
      <c r="A5" t="s">
        <v>2</v>
      </c>
      <c r="B5" t="s">
        <v>6957</v>
      </c>
    </row>
    <row r="6" spans="1:10">
      <c r="A6" t="s">
        <v>2</v>
      </c>
      <c r="B6" t="s">
        <v>6957</v>
      </c>
      <c r="D6" t="s">
        <v>6959</v>
      </c>
    </row>
    <row r="7" spans="1:10">
      <c r="A7" t="s">
        <v>2</v>
      </c>
      <c r="B7" t="s">
        <v>6957</v>
      </c>
      <c r="D7" t="s">
        <v>666</v>
      </c>
      <c r="E7" t="s">
        <v>73</v>
      </c>
      <c r="F7" s="204" t="s">
        <v>11</v>
      </c>
      <c r="G7" s="204" t="s">
        <v>156</v>
      </c>
      <c r="H7" t="s">
        <v>6960</v>
      </c>
      <c r="I7" t="s">
        <v>6961</v>
      </c>
      <c r="J7" t="s">
        <v>6962</v>
      </c>
    </row>
    <row r="8" spans="1:10">
      <c r="A8" t="s">
        <v>2</v>
      </c>
      <c r="B8" t="s">
        <v>6957</v>
      </c>
      <c r="D8" t="s">
        <v>6963</v>
      </c>
      <c r="E8" t="s">
        <v>6964</v>
      </c>
      <c r="F8">
        <v>41.3</v>
      </c>
      <c r="G8">
        <v>73.400000000000006</v>
      </c>
      <c r="H8">
        <v>15.6</v>
      </c>
      <c r="I8">
        <v>100</v>
      </c>
      <c r="J8">
        <v>13.8</v>
      </c>
    </row>
    <row r="9" spans="1:10">
      <c r="A9" t="s">
        <v>2</v>
      </c>
      <c r="B9" t="s">
        <v>6957</v>
      </c>
      <c r="E9" t="s">
        <v>6965</v>
      </c>
      <c r="F9">
        <v>42.8</v>
      </c>
      <c r="G9">
        <v>54.8</v>
      </c>
      <c r="H9">
        <v>48.7</v>
      </c>
      <c r="I9">
        <v>138.80000000000001</v>
      </c>
      <c r="J9">
        <v>19.2</v>
      </c>
    </row>
    <row r="10" spans="1:10">
      <c r="A10" t="s">
        <v>2</v>
      </c>
      <c r="B10" t="s">
        <v>6957</v>
      </c>
      <c r="E10">
        <v>72</v>
      </c>
      <c r="F10">
        <v>54.8</v>
      </c>
      <c r="G10">
        <v>63.6</v>
      </c>
      <c r="H10">
        <v>35.4</v>
      </c>
      <c r="I10">
        <v>153.1</v>
      </c>
      <c r="J10">
        <v>21.2</v>
      </c>
    </row>
    <row r="11" spans="1:10">
      <c r="A11" t="s">
        <v>2</v>
      </c>
      <c r="B11" t="s">
        <v>6957</v>
      </c>
      <c r="E11">
        <v>96</v>
      </c>
      <c r="F11" t="s">
        <v>6966</v>
      </c>
      <c r="G11" t="s">
        <v>6967</v>
      </c>
      <c r="H11">
        <v>35</v>
      </c>
      <c r="I11">
        <v>153.1</v>
      </c>
      <c r="J11">
        <v>21.2</v>
      </c>
    </row>
    <row r="12" spans="1:10">
      <c r="A12" t="s">
        <v>2</v>
      </c>
      <c r="B12" t="s">
        <v>6957</v>
      </c>
    </row>
    <row r="13" spans="1:10">
      <c r="A13" t="s">
        <v>2</v>
      </c>
      <c r="B13" t="s">
        <v>6957</v>
      </c>
      <c r="D13" t="s">
        <v>6968</v>
      </c>
      <c r="E13" t="s">
        <v>6964</v>
      </c>
      <c r="F13">
        <v>42.9</v>
      </c>
      <c r="G13">
        <v>76.2</v>
      </c>
      <c r="H13">
        <v>12.2</v>
      </c>
      <c r="I13">
        <v>100</v>
      </c>
      <c r="J13">
        <v>22.1</v>
      </c>
    </row>
    <row r="14" spans="1:10">
      <c r="A14" t="s">
        <v>2</v>
      </c>
      <c r="B14" t="s">
        <v>6957</v>
      </c>
      <c r="E14" t="s">
        <v>6965</v>
      </c>
      <c r="F14">
        <v>47.5</v>
      </c>
      <c r="G14">
        <v>58</v>
      </c>
      <c r="H14">
        <v>39.700000000000003</v>
      </c>
      <c r="I14">
        <v>145.6</v>
      </c>
      <c r="J14">
        <v>32.200000000000003</v>
      </c>
    </row>
    <row r="15" spans="1:10">
      <c r="A15" t="s">
        <v>2</v>
      </c>
      <c r="B15" t="s">
        <v>6957</v>
      </c>
      <c r="E15">
        <v>72</v>
      </c>
      <c r="F15">
        <v>55.5</v>
      </c>
      <c r="G15">
        <v>60.5</v>
      </c>
      <c r="H15">
        <v>38.799999999999997</v>
      </c>
      <c r="I15">
        <v>163.30000000000001</v>
      </c>
      <c r="J15">
        <v>36.1</v>
      </c>
    </row>
    <row r="16" spans="1:10">
      <c r="A16" t="s">
        <v>2</v>
      </c>
      <c r="B16" t="s">
        <v>6957</v>
      </c>
      <c r="E16">
        <v>96</v>
      </c>
      <c r="F16" t="s">
        <v>6969</v>
      </c>
      <c r="G16" t="s">
        <v>6970</v>
      </c>
      <c r="H16">
        <v>39.9</v>
      </c>
      <c r="I16">
        <v>163.30000000000001</v>
      </c>
      <c r="J16">
        <v>36.1</v>
      </c>
    </row>
    <row r="17" spans="1:11">
      <c r="A17" t="s">
        <v>2</v>
      </c>
      <c r="B17" t="s">
        <v>6957</v>
      </c>
      <c r="D17" t="s">
        <v>6971</v>
      </c>
      <c r="E17">
        <v>96</v>
      </c>
      <c r="F17">
        <v>69.3</v>
      </c>
      <c r="G17">
        <v>74.7</v>
      </c>
      <c r="I17">
        <v>163.30000000000001</v>
      </c>
      <c r="J17">
        <v>36.1</v>
      </c>
    </row>
    <row r="18" spans="1:11">
      <c r="A18" t="s">
        <v>2</v>
      </c>
      <c r="B18" t="s">
        <v>6957</v>
      </c>
    </row>
    <row r="19" spans="1:11">
      <c r="A19" t="s">
        <v>2</v>
      </c>
      <c r="B19" t="s">
        <v>6957</v>
      </c>
      <c r="D19" t="s">
        <v>6972</v>
      </c>
      <c r="E19" t="s">
        <v>6973</v>
      </c>
      <c r="F19" s="204">
        <v>20.2</v>
      </c>
      <c r="G19" s="204">
        <v>71.7</v>
      </c>
      <c r="H19">
        <v>9</v>
      </c>
      <c r="I19">
        <v>50</v>
      </c>
      <c r="J19">
        <v>14.1</v>
      </c>
    </row>
    <row r="20" spans="1:11">
      <c r="A20" t="s">
        <v>2</v>
      </c>
      <c r="B20" t="s">
        <v>6957</v>
      </c>
      <c r="E20">
        <v>96</v>
      </c>
      <c r="F20" s="204" t="s">
        <v>6974</v>
      </c>
      <c r="G20" s="204" t="s">
        <v>6975</v>
      </c>
      <c r="H20">
        <v>3.3</v>
      </c>
      <c r="I20">
        <v>76.8</v>
      </c>
      <c r="J20">
        <v>21.8</v>
      </c>
    </row>
    <row r="21" spans="1:11">
      <c r="A21" t="s">
        <v>2</v>
      </c>
      <c r="B21" t="s">
        <v>6957</v>
      </c>
    </row>
    <row r="22" spans="1:11">
      <c r="A22" t="s">
        <v>2</v>
      </c>
      <c r="B22" t="s">
        <v>6957</v>
      </c>
    </row>
    <row r="23" spans="1:11">
      <c r="A23" t="s">
        <v>2</v>
      </c>
      <c r="B23" t="s">
        <v>6957</v>
      </c>
      <c r="D23" s="186" t="s">
        <v>6977</v>
      </c>
    </row>
    <row r="24" spans="1:11">
      <c r="A24" t="s">
        <v>2</v>
      </c>
      <c r="B24" t="s">
        <v>6957</v>
      </c>
    </row>
    <row r="25" spans="1:11">
      <c r="A25" t="s">
        <v>2</v>
      </c>
      <c r="B25" t="s">
        <v>6957</v>
      </c>
    </row>
    <row r="26" spans="1:11" ht="14.55" customHeight="1">
      <c r="A26" t="s">
        <v>2</v>
      </c>
      <c r="B26" t="s">
        <v>6957</v>
      </c>
      <c r="E26" s="538" t="s">
        <v>80</v>
      </c>
      <c r="F26" s="539" t="s">
        <v>81</v>
      </c>
      <c r="G26" s="535" t="s">
        <v>15</v>
      </c>
      <c r="H26" s="535" t="s">
        <v>16</v>
      </c>
      <c r="I26" s="535" t="s">
        <v>6998</v>
      </c>
      <c r="J26" s="535" t="s">
        <v>6999</v>
      </c>
      <c r="K26" s="687" t="s">
        <v>7000</v>
      </c>
    </row>
    <row r="27" spans="1:11">
      <c r="A27" t="s">
        <v>2</v>
      </c>
      <c r="B27" t="s">
        <v>6957</v>
      </c>
      <c r="E27" s="538"/>
      <c r="F27" s="539"/>
      <c r="G27" s="535"/>
      <c r="H27" s="535"/>
      <c r="I27" s="535"/>
      <c r="J27" s="535"/>
      <c r="K27" s="688"/>
    </row>
    <row r="28" spans="1:11">
      <c r="A28" t="s">
        <v>2</v>
      </c>
      <c r="B28" t="s">
        <v>6957</v>
      </c>
      <c r="E28" s="204">
        <v>20.2</v>
      </c>
      <c r="F28" s="204">
        <v>71.7</v>
      </c>
      <c r="G28" s="48">
        <f>E28/F28%</f>
        <v>28.172942817294278</v>
      </c>
      <c r="H28" s="51">
        <f>G28/(2*46)*180</f>
        <v>55.120975077314895</v>
      </c>
      <c r="I28" s="51">
        <f>[1]MonoSugar!$H$32</f>
        <v>5.4</v>
      </c>
      <c r="J28" s="48">
        <f>H28/I28%</f>
        <v>1020.7587977280535</v>
      </c>
      <c r="K28" s="48">
        <f>E28/J28</f>
        <v>1.9789200000000003E-2</v>
      </c>
    </row>
    <row r="29" spans="1:11">
      <c r="A29" t="s">
        <v>2</v>
      </c>
      <c r="B29" t="s">
        <v>6957</v>
      </c>
      <c r="E29" s="204">
        <v>36.6</v>
      </c>
      <c r="F29" s="204">
        <v>84.7</v>
      </c>
      <c r="G29" s="48">
        <f>E29/F29%</f>
        <v>43.211334120425029</v>
      </c>
      <c r="H29" s="51">
        <f>G29/(2*46)*180</f>
        <v>84.543914583440269</v>
      </c>
      <c r="I29" s="51">
        <f>[1]MonoSugar!$H$32</f>
        <v>5.4</v>
      </c>
      <c r="J29" s="48">
        <f>H29/I29%</f>
        <v>1565.6280478414863</v>
      </c>
      <c r="K29" s="48">
        <f>E29/J29</f>
        <v>2.3377200000000004E-2</v>
      </c>
    </row>
    <row r="30" spans="1:11">
      <c r="A30" t="s">
        <v>2</v>
      </c>
      <c r="B30" t="s">
        <v>6957</v>
      </c>
      <c r="J30" t="s">
        <v>510</v>
      </c>
      <c r="K30">
        <f>AVERAGE(K28:K29)</f>
        <v>2.1583200000000004E-2</v>
      </c>
    </row>
    <row r="31" spans="1:11">
      <c r="A31" t="s">
        <v>2</v>
      </c>
      <c r="B31" t="s">
        <v>6957</v>
      </c>
    </row>
    <row r="32" spans="1:11">
      <c r="A32" t="s">
        <v>2</v>
      </c>
      <c r="B32" t="s">
        <v>6957</v>
      </c>
      <c r="C32" t="s">
        <v>226</v>
      </c>
      <c r="E32" s="153" t="s">
        <v>6989</v>
      </c>
    </row>
    <row r="33" spans="1:15">
      <c r="A33" t="s">
        <v>2</v>
      </c>
      <c r="B33" t="s">
        <v>6957</v>
      </c>
      <c r="E33" s="11" t="s">
        <v>6997</v>
      </c>
    </row>
    <row r="34" spans="1:15" ht="15" thickBot="1">
      <c r="A34" t="s">
        <v>2</v>
      </c>
      <c r="B34" t="s">
        <v>6957</v>
      </c>
    </row>
    <row r="35" spans="1:15">
      <c r="A35" t="s">
        <v>2</v>
      </c>
      <c r="B35" t="s">
        <v>6957</v>
      </c>
      <c r="E35" s="486" t="s">
        <v>3601</v>
      </c>
      <c r="F35" s="689" t="s">
        <v>3037</v>
      </c>
      <c r="G35" s="689"/>
      <c r="H35" s="689" t="s">
        <v>6990</v>
      </c>
      <c r="I35" s="689"/>
      <c r="J35" s="689"/>
      <c r="K35" s="689" t="s">
        <v>2049</v>
      </c>
      <c r="L35" s="689"/>
      <c r="M35" s="689"/>
      <c r="N35" s="689"/>
      <c r="O35" s="486" t="s">
        <v>763</v>
      </c>
    </row>
    <row r="36" spans="1:15" ht="31.2" thickBot="1">
      <c r="A36" t="s">
        <v>2</v>
      </c>
      <c r="B36" t="s">
        <v>6957</v>
      </c>
      <c r="E36" s="483" t="s">
        <v>14</v>
      </c>
      <c r="F36" s="484" t="s">
        <v>6991</v>
      </c>
      <c r="G36" s="484" t="s">
        <v>1484</v>
      </c>
      <c r="H36" s="484" t="s">
        <v>6992</v>
      </c>
      <c r="I36" s="484" t="s">
        <v>430</v>
      </c>
      <c r="J36" s="484" t="s">
        <v>6993</v>
      </c>
      <c r="K36" s="484" t="s">
        <v>429</v>
      </c>
      <c r="L36" s="484" t="s">
        <v>430</v>
      </c>
      <c r="M36" s="485" t="s">
        <v>6994</v>
      </c>
      <c r="N36" s="422" t="s">
        <v>6995</v>
      </c>
      <c r="O36" s="487"/>
    </row>
    <row r="37" spans="1:15" ht="28.8">
      <c r="A37" t="s">
        <v>2</v>
      </c>
      <c r="B37" t="s">
        <v>6957</v>
      </c>
      <c r="E37" s="690" t="s">
        <v>1230</v>
      </c>
      <c r="F37" s="691" t="s">
        <v>6980</v>
      </c>
      <c r="G37" s="691" t="s">
        <v>6981</v>
      </c>
      <c r="H37" s="481" t="s">
        <v>6982</v>
      </c>
      <c r="I37" s="691" t="s">
        <v>6983</v>
      </c>
      <c r="J37" s="488" t="s">
        <v>6984</v>
      </c>
      <c r="K37" s="693" t="s">
        <v>409</v>
      </c>
      <c r="L37" s="691" t="s">
        <v>6985</v>
      </c>
      <c r="M37" s="489" t="s">
        <v>6986</v>
      </c>
      <c r="N37" s="482">
        <v>0.9</v>
      </c>
      <c r="O37" s="581" t="s">
        <v>4701</v>
      </c>
    </row>
    <row r="38" spans="1:15" ht="30.6">
      <c r="A38" t="s">
        <v>2</v>
      </c>
      <c r="B38" t="s">
        <v>6957</v>
      </c>
      <c r="E38" s="690"/>
      <c r="F38" s="692"/>
      <c r="G38" s="692"/>
      <c r="H38" s="479" t="s">
        <v>6987</v>
      </c>
      <c r="I38" s="692"/>
      <c r="J38" s="229" t="s">
        <v>6988</v>
      </c>
      <c r="K38" s="694"/>
      <c r="L38" s="692"/>
      <c r="M38" s="234" t="s">
        <v>6986</v>
      </c>
      <c r="N38" s="480">
        <v>0.9</v>
      </c>
      <c r="O38" s="686"/>
    </row>
    <row r="39" spans="1:15">
      <c r="A39" t="s">
        <v>2</v>
      </c>
      <c r="B39" t="s">
        <v>6957</v>
      </c>
      <c r="E39" s="690"/>
    </row>
    <row r="40" spans="1:15" ht="15" thickBot="1">
      <c r="A40" t="s">
        <v>2</v>
      </c>
      <c r="B40" t="s">
        <v>6957</v>
      </c>
      <c r="E40" s="690"/>
      <c r="F40" s="14"/>
      <c r="G40" s="14"/>
      <c r="H40" s="14"/>
      <c r="I40" s="14"/>
      <c r="J40" s="14"/>
      <c r="K40" s="14"/>
      <c r="L40" s="14"/>
      <c r="M40" s="14"/>
      <c r="N40" s="14"/>
      <c r="O40" s="14"/>
    </row>
    <row r="41" spans="1:15">
      <c r="A41" t="s">
        <v>2</v>
      </c>
      <c r="B41" t="s">
        <v>6957</v>
      </c>
    </row>
    <row r="42" spans="1:15">
      <c r="A42" t="s">
        <v>2</v>
      </c>
      <c r="B42" t="s">
        <v>6957</v>
      </c>
    </row>
    <row r="43" spans="1:15">
      <c r="A43" t="s">
        <v>2</v>
      </c>
      <c r="B43" t="s">
        <v>6957</v>
      </c>
    </row>
    <row r="44" spans="1:15">
      <c r="A44" t="s">
        <v>2</v>
      </c>
      <c r="B44" t="s">
        <v>6957</v>
      </c>
      <c r="E44" s="186" t="s">
        <v>6996</v>
      </c>
    </row>
    <row r="45" spans="1:15">
      <c r="A45" t="s">
        <v>2</v>
      </c>
      <c r="B45" t="s">
        <v>6957</v>
      </c>
    </row>
    <row r="46" spans="1:15">
      <c r="A46" t="s">
        <v>2</v>
      </c>
      <c r="B46" t="s">
        <v>6957</v>
      </c>
    </row>
    <row r="47" spans="1:15">
      <c r="A47" t="s">
        <v>2</v>
      </c>
      <c r="B47" t="s">
        <v>6957</v>
      </c>
    </row>
    <row r="48" spans="1:15">
      <c r="A48" t="s">
        <v>2</v>
      </c>
      <c r="B48" t="s">
        <v>6957</v>
      </c>
    </row>
    <row r="49" spans="1:14">
      <c r="A49" t="s">
        <v>2</v>
      </c>
      <c r="B49" t="s">
        <v>6957</v>
      </c>
      <c r="F49" s="57"/>
      <c r="G49" s="57"/>
    </row>
    <row r="50" spans="1:14" ht="31.2" thickBot="1">
      <c r="A50" t="s">
        <v>2</v>
      </c>
      <c r="B50" t="s">
        <v>6957</v>
      </c>
      <c r="F50" s="484" t="s">
        <v>7001</v>
      </c>
      <c r="G50" s="485" t="s">
        <v>6994</v>
      </c>
      <c r="H50" s="490" t="s">
        <v>7002</v>
      </c>
      <c r="I50" s="491" t="s">
        <v>7003</v>
      </c>
      <c r="J50" s="490" t="s">
        <v>7004</v>
      </c>
    </row>
    <row r="51" spans="1:14">
      <c r="A51" t="s">
        <v>2</v>
      </c>
      <c r="B51" t="s">
        <v>6957</v>
      </c>
      <c r="F51">
        <v>27.2</v>
      </c>
      <c r="G51">
        <v>9.8000000000000007</v>
      </c>
      <c r="H51">
        <f>G51/F51</f>
        <v>0.36029411764705888</v>
      </c>
      <c r="I51" s="142">
        <f>[1]MonoSugar!$M$32</f>
        <v>10.46</v>
      </c>
      <c r="J51">
        <f>H51*I51%</f>
        <v>3.7686764705882364E-2</v>
      </c>
    </row>
    <row r="52" spans="1:14">
      <c r="A52" t="s">
        <v>2</v>
      </c>
      <c r="B52" t="s">
        <v>6957</v>
      </c>
      <c r="F52">
        <v>27.8</v>
      </c>
      <c r="G52">
        <v>9.8000000000000007</v>
      </c>
      <c r="H52">
        <f>G52/F52</f>
        <v>0.35251798561151082</v>
      </c>
      <c r="I52" s="142">
        <f>[1]MonoSugar!$M$32</f>
        <v>10.46</v>
      </c>
      <c r="J52">
        <f>H52*I52%</f>
        <v>3.6873381294964036E-2</v>
      </c>
    </row>
    <row r="53" spans="1:14">
      <c r="A53" t="s">
        <v>2</v>
      </c>
      <c r="B53" t="s">
        <v>6957</v>
      </c>
      <c r="F53" s="695"/>
      <c r="G53" s="695"/>
      <c r="H53" s="492"/>
      <c r="I53" s="492" t="s">
        <v>510</v>
      </c>
      <c r="J53" s="492">
        <f>AVERAGE(J51:J52)</f>
        <v>3.72800730004232E-2</v>
      </c>
      <c r="K53" s="695"/>
      <c r="L53" s="695"/>
      <c r="M53" s="695"/>
      <c r="N53" s="695"/>
    </row>
    <row r="54" spans="1:14">
      <c r="A54" t="s">
        <v>2</v>
      </c>
    </row>
    <row r="55" spans="1:14">
      <c r="A55" t="s">
        <v>2</v>
      </c>
    </row>
    <row r="56" spans="1:14">
      <c r="A56" t="s">
        <v>2</v>
      </c>
      <c r="B56" t="s">
        <v>7005</v>
      </c>
      <c r="C56" t="s">
        <v>197</v>
      </c>
      <c r="D56" t="s">
        <v>7006</v>
      </c>
    </row>
    <row r="57" spans="1:14">
      <c r="A57" t="s">
        <v>2</v>
      </c>
      <c r="B57" t="s">
        <v>7005</v>
      </c>
      <c r="D57" t="s">
        <v>7007</v>
      </c>
    </row>
    <row r="58" spans="1:14">
      <c r="A58" t="s">
        <v>2</v>
      </c>
      <c r="B58" t="s">
        <v>7005</v>
      </c>
      <c r="D58" t="s">
        <v>7012</v>
      </c>
    </row>
    <row r="59" spans="1:14">
      <c r="A59" t="s">
        <v>2</v>
      </c>
      <c r="B59" t="s">
        <v>7005</v>
      </c>
    </row>
    <row r="60" spans="1:14">
      <c r="A60" t="s">
        <v>2</v>
      </c>
      <c r="B60" t="s">
        <v>7005</v>
      </c>
    </row>
    <row r="61" spans="1:14">
      <c r="A61" t="s">
        <v>2</v>
      </c>
      <c r="B61" t="s">
        <v>7005</v>
      </c>
      <c r="C61" t="s">
        <v>226</v>
      </c>
      <c r="D61" s="494" t="s">
        <v>7008</v>
      </c>
    </row>
    <row r="62" spans="1:14">
      <c r="A62" t="s">
        <v>2</v>
      </c>
      <c r="B62" t="s">
        <v>7005</v>
      </c>
      <c r="D62" s="7" t="s">
        <v>7009</v>
      </c>
    </row>
    <row r="63" spans="1:14">
      <c r="A63" t="s">
        <v>2</v>
      </c>
      <c r="B63" t="s">
        <v>7005</v>
      </c>
    </row>
    <row r="64" spans="1:14">
      <c r="A64" t="s">
        <v>2</v>
      </c>
      <c r="B64" t="s">
        <v>7005</v>
      </c>
      <c r="D64" t="s">
        <v>7010</v>
      </c>
      <c r="E64" s="140">
        <v>0.21479999999999999</v>
      </c>
    </row>
    <row r="65" spans="1:7">
      <c r="A65" t="s">
        <v>2</v>
      </c>
      <c r="B65" t="s">
        <v>7005</v>
      </c>
      <c r="D65" t="s">
        <v>7011</v>
      </c>
    </row>
    <row r="66" spans="1:7">
      <c r="A66" t="s">
        <v>2</v>
      </c>
      <c r="B66" t="s">
        <v>7005</v>
      </c>
    </row>
    <row r="67" spans="1:7">
      <c r="A67" t="s">
        <v>2</v>
      </c>
      <c r="B67" t="s">
        <v>7005</v>
      </c>
    </row>
    <row r="68" spans="1:7">
      <c r="A68" t="s">
        <v>2</v>
      </c>
      <c r="B68" t="s">
        <v>7005</v>
      </c>
      <c r="C68" t="s">
        <v>7013</v>
      </c>
      <c r="D68" t="s">
        <v>8</v>
      </c>
    </row>
    <row r="69" spans="1:7">
      <c r="A69" t="s">
        <v>2</v>
      </c>
      <c r="B69" t="s">
        <v>7005</v>
      </c>
      <c r="D69" s="48" t="s">
        <v>7014</v>
      </c>
      <c r="E69" s="48"/>
      <c r="F69" s="48">
        <f>2*46/180</f>
        <v>0.51111111111111107</v>
      </c>
    </row>
    <row r="70" spans="1:7">
      <c r="A70" t="s">
        <v>2</v>
      </c>
      <c r="B70" t="s">
        <v>7005</v>
      </c>
      <c r="D70" s="48" t="s">
        <v>7015</v>
      </c>
      <c r="E70" s="48"/>
      <c r="F70" s="51">
        <f>[1]MonoSugar!$H$33</f>
        <v>15.487588888888888</v>
      </c>
    </row>
    <row r="71" spans="1:7">
      <c r="A71" t="s">
        <v>2</v>
      </c>
      <c r="B71" t="s">
        <v>7005</v>
      </c>
      <c r="D71" s="48" t="s">
        <v>7016</v>
      </c>
      <c r="E71" s="48"/>
      <c r="F71" s="48">
        <f>F69*F70%</f>
        <v>7.9158787654320981E-2</v>
      </c>
    </row>
    <row r="72" spans="1:7">
      <c r="A72" t="s">
        <v>2</v>
      </c>
      <c r="B72" t="s">
        <v>7005</v>
      </c>
    </row>
    <row r="73" spans="1:7">
      <c r="A73" t="s">
        <v>2</v>
      </c>
    </row>
    <row r="74" spans="1:7">
      <c r="A74" t="s">
        <v>2</v>
      </c>
    </row>
    <row r="75" spans="1:7">
      <c r="A75" t="s">
        <v>3168</v>
      </c>
      <c r="B75" t="s">
        <v>6957</v>
      </c>
      <c r="C75" t="s">
        <v>638</v>
      </c>
      <c r="D75" s="7" t="s">
        <v>639</v>
      </c>
    </row>
    <row r="76" spans="1:7">
      <c r="A76" t="s">
        <v>3168</v>
      </c>
      <c r="B76" t="s">
        <v>6957</v>
      </c>
      <c r="D76" t="s">
        <v>640</v>
      </c>
    </row>
    <row r="77" spans="1:7">
      <c r="A77" t="s">
        <v>3168</v>
      </c>
      <c r="B77" t="s">
        <v>6957</v>
      </c>
    </row>
    <row r="78" spans="1:7">
      <c r="A78" t="s">
        <v>3168</v>
      </c>
      <c r="B78" t="s">
        <v>6957</v>
      </c>
      <c r="D78" s="48" t="s">
        <v>641</v>
      </c>
      <c r="E78" s="48">
        <v>0.72719999999999996</v>
      </c>
      <c r="F78" s="494"/>
      <c r="G78" s="494"/>
    </row>
    <row r="79" spans="1:7">
      <c r="A79" t="s">
        <v>3168</v>
      </c>
      <c r="B79" t="s">
        <v>6957</v>
      </c>
      <c r="D79" s="48" t="s">
        <v>7019</v>
      </c>
      <c r="E79" s="51">
        <f>[1]MonoSugar!$J$32</f>
        <v>5.0599999999999996</v>
      </c>
      <c r="F79" s="494"/>
      <c r="G79" s="494"/>
    </row>
    <row r="80" spans="1:7">
      <c r="A80" t="s">
        <v>3168</v>
      </c>
      <c r="B80" t="s">
        <v>6957</v>
      </c>
      <c r="D80" s="48" t="s">
        <v>643</v>
      </c>
      <c r="E80" s="48">
        <f>E78*E79%</f>
        <v>3.679632E-2</v>
      </c>
      <c r="F80" s="494"/>
      <c r="G80" s="494"/>
    </row>
    <row r="81" spans="1:7">
      <c r="A81" t="s">
        <v>3168</v>
      </c>
      <c r="B81" t="s">
        <v>6957</v>
      </c>
    </row>
    <row r="82" spans="1:7">
      <c r="A82" t="s">
        <v>3168</v>
      </c>
      <c r="B82" t="s">
        <v>7005</v>
      </c>
      <c r="C82" t="s">
        <v>638</v>
      </c>
      <c r="D82" t="s">
        <v>639</v>
      </c>
    </row>
    <row r="83" spans="1:7">
      <c r="A83" t="s">
        <v>3168</v>
      </c>
      <c r="B83" t="s">
        <v>7005</v>
      </c>
      <c r="D83" t="s">
        <v>640</v>
      </c>
    </row>
    <row r="84" spans="1:7">
      <c r="A84" t="s">
        <v>3168</v>
      </c>
      <c r="B84" t="s">
        <v>7005</v>
      </c>
    </row>
    <row r="85" spans="1:7">
      <c r="A85" t="s">
        <v>3168</v>
      </c>
      <c r="B85" t="s">
        <v>7005</v>
      </c>
      <c r="D85" s="48" t="s">
        <v>641</v>
      </c>
      <c r="E85" s="48">
        <v>0.72719999999999996</v>
      </c>
      <c r="F85" s="494"/>
      <c r="G85" s="494"/>
    </row>
    <row r="86" spans="1:7">
      <c r="A86" t="s">
        <v>3168</v>
      </c>
      <c r="B86" t="s">
        <v>7005</v>
      </c>
      <c r="D86" s="48" t="s">
        <v>7019</v>
      </c>
      <c r="E86" s="51">
        <f>[1]MonoSugar!$J$33</f>
        <v>1.2197045454545454</v>
      </c>
      <c r="F86" s="494"/>
      <c r="G86" s="494"/>
    </row>
    <row r="87" spans="1:7">
      <c r="A87" t="s">
        <v>3168</v>
      </c>
      <c r="B87" t="s">
        <v>7005</v>
      </c>
      <c r="D87" s="48" t="s">
        <v>643</v>
      </c>
      <c r="E87" s="48">
        <f>E85*E86%</f>
        <v>8.8696914545454541E-3</v>
      </c>
      <c r="F87" s="494"/>
      <c r="G87" s="494"/>
    </row>
    <row r="88" spans="1:7">
      <c r="A88" t="s">
        <v>3168</v>
      </c>
      <c r="B88" t="s">
        <v>7005</v>
      </c>
    </row>
    <row r="89" spans="1:7">
      <c r="A89" t="s">
        <v>3168</v>
      </c>
    </row>
    <row r="90" spans="1:7">
      <c r="A90" t="s">
        <v>679</v>
      </c>
      <c r="B90" t="s">
        <v>6957</v>
      </c>
      <c r="C90" t="s">
        <v>638</v>
      </c>
      <c r="D90" s="494" t="s">
        <v>680</v>
      </c>
    </row>
    <row r="91" spans="1:7">
      <c r="A91" t="s">
        <v>679</v>
      </c>
      <c r="B91" t="s">
        <v>6957</v>
      </c>
      <c r="D91" s="446" t="s">
        <v>7018</v>
      </c>
      <c r="F91" s="494"/>
    </row>
    <row r="92" spans="1:7">
      <c r="A92" t="s">
        <v>679</v>
      </c>
      <c r="B92" t="s">
        <v>6957</v>
      </c>
      <c r="D92">
        <v>180</v>
      </c>
      <c r="E92">
        <v>126</v>
      </c>
    </row>
    <row r="93" spans="1:7">
      <c r="A93" t="s">
        <v>679</v>
      </c>
      <c r="B93" t="s">
        <v>6957</v>
      </c>
      <c r="D93" s="48" t="s">
        <v>809</v>
      </c>
      <c r="E93" s="48">
        <f>1/180*126</f>
        <v>0.70000000000000007</v>
      </c>
      <c r="F93" s="494"/>
      <c r="G93" s="494"/>
    </row>
    <row r="94" spans="1:7">
      <c r="A94" t="s">
        <v>679</v>
      </c>
      <c r="B94" t="s">
        <v>6957</v>
      </c>
      <c r="D94" s="48" t="s">
        <v>7020</v>
      </c>
      <c r="E94" s="51">
        <f>[1]MonoSugar!$L$32</f>
        <v>5.4</v>
      </c>
      <c r="F94" s="494"/>
      <c r="G94" s="494"/>
    </row>
    <row r="95" spans="1:7">
      <c r="A95" t="s">
        <v>679</v>
      </c>
      <c r="B95" t="s">
        <v>6957</v>
      </c>
      <c r="D95" s="48" t="s">
        <v>7021</v>
      </c>
      <c r="E95" s="48">
        <f>E93*E94%</f>
        <v>3.7800000000000007E-2</v>
      </c>
      <c r="F95" s="494"/>
      <c r="G95" s="494"/>
    </row>
    <row r="96" spans="1:7">
      <c r="A96" t="s">
        <v>679</v>
      </c>
      <c r="B96" t="s">
        <v>6957</v>
      </c>
    </row>
    <row r="97" spans="1:5">
      <c r="A97" t="s">
        <v>679</v>
      </c>
      <c r="B97" t="s">
        <v>7005</v>
      </c>
      <c r="C97" t="s">
        <v>638</v>
      </c>
      <c r="D97" t="s">
        <v>680</v>
      </c>
    </row>
    <row r="98" spans="1:5">
      <c r="A98" t="s">
        <v>679</v>
      </c>
      <c r="B98" t="s">
        <v>7005</v>
      </c>
      <c r="D98" s="446" t="s">
        <v>7018</v>
      </c>
    </row>
    <row r="99" spans="1:5">
      <c r="A99" t="s">
        <v>679</v>
      </c>
      <c r="B99" t="s">
        <v>7005</v>
      </c>
      <c r="D99">
        <v>180</v>
      </c>
      <c r="E99">
        <v>126</v>
      </c>
    </row>
    <row r="100" spans="1:5">
      <c r="A100" t="s">
        <v>679</v>
      </c>
      <c r="B100" t="s">
        <v>7005</v>
      </c>
      <c r="D100" s="48" t="s">
        <v>809</v>
      </c>
      <c r="E100" s="48">
        <f>1/180*126</f>
        <v>0.70000000000000007</v>
      </c>
    </row>
    <row r="101" spans="1:5">
      <c r="A101" t="s">
        <v>679</v>
      </c>
      <c r="B101" t="s">
        <v>7005</v>
      </c>
      <c r="D101" s="48" t="s">
        <v>7020</v>
      </c>
      <c r="E101" s="51">
        <f>[1]MonoSugar!$L$33</f>
        <v>15.487588888888888</v>
      </c>
    </row>
    <row r="102" spans="1:5">
      <c r="A102" t="s">
        <v>679</v>
      </c>
      <c r="B102" t="s">
        <v>7005</v>
      </c>
      <c r="D102" s="48" t="s">
        <v>7021</v>
      </c>
      <c r="E102" s="48">
        <f>E100*E101%</f>
        <v>0.10841312222222224</v>
      </c>
    </row>
    <row r="103" spans="1:5">
      <c r="A103" t="s">
        <v>679</v>
      </c>
      <c r="B103" t="s">
        <v>7005</v>
      </c>
    </row>
    <row r="104" spans="1:5">
      <c r="A104" t="s">
        <v>679</v>
      </c>
    </row>
    <row r="105" spans="1:5">
      <c r="A105" t="s">
        <v>679</v>
      </c>
    </row>
    <row r="106" spans="1:5">
      <c r="A106" t="s">
        <v>679</v>
      </c>
    </row>
    <row r="107" spans="1:5">
      <c r="A107" t="s">
        <v>679</v>
      </c>
    </row>
    <row r="108" spans="1:5">
      <c r="A108" t="s">
        <v>823</v>
      </c>
    </row>
    <row r="109" spans="1:5">
      <c r="A109" t="s">
        <v>823</v>
      </c>
      <c r="B109" t="s">
        <v>6957</v>
      </c>
      <c r="C109" t="s">
        <v>638</v>
      </c>
      <c r="D109" t="s">
        <v>824</v>
      </c>
    </row>
    <row r="110" spans="1:5">
      <c r="A110" t="s">
        <v>823</v>
      </c>
      <c r="B110" t="s">
        <v>6957</v>
      </c>
      <c r="D110" t="s">
        <v>825</v>
      </c>
    </row>
    <row r="111" spans="1:5">
      <c r="A111" t="s">
        <v>823</v>
      </c>
      <c r="B111" t="s">
        <v>6957</v>
      </c>
      <c r="D111" t="s">
        <v>836</v>
      </c>
      <c r="E111">
        <v>0.86699999999999999</v>
      </c>
    </row>
    <row r="112" spans="1:5">
      <c r="A112" t="s">
        <v>823</v>
      </c>
      <c r="B112" t="s">
        <v>6957</v>
      </c>
      <c r="D112" s="48" t="s">
        <v>7022</v>
      </c>
      <c r="E112" s="51">
        <f>[1]MonoSugar!$L$32</f>
        <v>5.4</v>
      </c>
    </row>
    <row r="113" spans="1:5">
      <c r="A113" t="s">
        <v>823</v>
      </c>
      <c r="B113" t="s">
        <v>6957</v>
      </c>
      <c r="D113" s="48" t="s">
        <v>7024</v>
      </c>
      <c r="E113" s="48">
        <f>E111*E112%</f>
        <v>4.6818000000000005E-2</v>
      </c>
    </row>
    <row r="114" spans="1:5">
      <c r="A114" t="s">
        <v>823</v>
      </c>
      <c r="B114" t="s">
        <v>6957</v>
      </c>
    </row>
    <row r="115" spans="1:5">
      <c r="A115" t="s">
        <v>823</v>
      </c>
      <c r="B115" t="s">
        <v>6957</v>
      </c>
    </row>
    <row r="116" spans="1:5">
      <c r="A116" t="s">
        <v>823</v>
      </c>
      <c r="B116" t="s">
        <v>7005</v>
      </c>
      <c r="C116" t="s">
        <v>638</v>
      </c>
      <c r="D116" t="s">
        <v>824</v>
      </c>
    </row>
    <row r="117" spans="1:5">
      <c r="A117" t="s">
        <v>823</v>
      </c>
      <c r="B117" t="s">
        <v>7005</v>
      </c>
      <c r="D117" t="s">
        <v>825</v>
      </c>
    </row>
    <row r="118" spans="1:5">
      <c r="A118" t="s">
        <v>823</v>
      </c>
      <c r="B118" t="s">
        <v>7005</v>
      </c>
      <c r="D118" t="s">
        <v>836</v>
      </c>
      <c r="E118">
        <v>0.86699999999999999</v>
      </c>
    </row>
    <row r="119" spans="1:5">
      <c r="A119" t="s">
        <v>823</v>
      </c>
      <c r="B119" t="s">
        <v>7005</v>
      </c>
      <c r="D119" s="48" t="s">
        <v>7023</v>
      </c>
      <c r="E119" s="51">
        <f>[1]MonoSugar!$L$33</f>
        <v>15.487588888888888</v>
      </c>
    </row>
    <row r="120" spans="1:5">
      <c r="A120" t="s">
        <v>823</v>
      </c>
      <c r="B120" t="s">
        <v>7005</v>
      </c>
      <c r="D120" s="48" t="s">
        <v>7024</v>
      </c>
      <c r="E120" s="48">
        <f>E118*E119%</f>
        <v>0.13427739566666666</v>
      </c>
    </row>
    <row r="121" spans="1:5">
      <c r="A121" t="s">
        <v>823</v>
      </c>
      <c r="B121" t="s">
        <v>7005</v>
      </c>
    </row>
    <row r="122" spans="1:5">
      <c r="A122" t="s">
        <v>823</v>
      </c>
      <c r="B122" t="s">
        <v>7005</v>
      </c>
    </row>
    <row r="123" spans="1:5">
      <c r="A123" t="s">
        <v>823</v>
      </c>
    </row>
    <row r="124" spans="1:5">
      <c r="A124" t="s">
        <v>823</v>
      </c>
    </row>
    <row r="125" spans="1:5">
      <c r="A125" t="s">
        <v>843</v>
      </c>
      <c r="B125" t="s">
        <v>6957</v>
      </c>
      <c r="C125" t="s">
        <v>638</v>
      </c>
      <c r="D125" s="494" t="s">
        <v>7025</v>
      </c>
      <c r="E125" s="142">
        <v>4.4591455087719298</v>
      </c>
    </row>
    <row r="126" spans="1:5">
      <c r="A126" t="s">
        <v>843</v>
      </c>
      <c r="B126" t="s">
        <v>6957</v>
      </c>
      <c r="C126" s="494"/>
      <c r="D126" s="48" t="s">
        <v>7026</v>
      </c>
      <c r="E126" s="48">
        <f>E125%*[1]MonoSugar!$H$32%</f>
        <v>2.4079385747368424E-3</v>
      </c>
    </row>
    <row r="127" spans="1:5">
      <c r="A127" t="s">
        <v>843</v>
      </c>
      <c r="B127" t="s">
        <v>6957</v>
      </c>
    </row>
    <row r="128" spans="1:5">
      <c r="A128" t="s">
        <v>843</v>
      </c>
      <c r="B128" t="s">
        <v>6957</v>
      </c>
    </row>
    <row r="129" spans="1:6">
      <c r="A129" t="s">
        <v>843</v>
      </c>
      <c r="B129" t="s">
        <v>7005</v>
      </c>
      <c r="C129" t="s">
        <v>638</v>
      </c>
      <c r="D129" s="494" t="s">
        <v>7027</v>
      </c>
      <c r="E129" s="142">
        <v>37.56</v>
      </c>
    </row>
    <row r="130" spans="1:6">
      <c r="A130" t="s">
        <v>843</v>
      </c>
      <c r="B130" t="s">
        <v>7005</v>
      </c>
      <c r="C130" s="494"/>
      <c r="D130" s="48" t="s">
        <v>7028</v>
      </c>
      <c r="E130" s="48">
        <f>E129%*[1]MonoSugar!$H$33%</f>
        <v>5.8171383866666676E-2</v>
      </c>
    </row>
    <row r="131" spans="1:6">
      <c r="A131" t="s">
        <v>843</v>
      </c>
      <c r="B131" t="s">
        <v>7005</v>
      </c>
    </row>
    <row r="132" spans="1:6">
      <c r="A132" t="s">
        <v>843</v>
      </c>
      <c r="B132" t="s">
        <v>7005</v>
      </c>
    </row>
    <row r="133" spans="1:6">
      <c r="A133" t="s">
        <v>843</v>
      </c>
      <c r="B133" t="s">
        <v>7005</v>
      </c>
    </row>
    <row r="134" spans="1:6">
      <c r="A134" t="s">
        <v>843</v>
      </c>
      <c r="B134" t="s">
        <v>7005</v>
      </c>
    </row>
    <row r="135" spans="1:6">
      <c r="A135" t="s">
        <v>843</v>
      </c>
      <c r="B135" t="s">
        <v>7005</v>
      </c>
    </row>
    <row r="136" spans="1:6">
      <c r="A136" t="s">
        <v>6840</v>
      </c>
      <c r="B136" t="s">
        <v>6957</v>
      </c>
      <c r="C136" t="s">
        <v>638</v>
      </c>
      <c r="D136" t="s">
        <v>883</v>
      </c>
      <c r="E136">
        <v>0.66714285714285715</v>
      </c>
    </row>
    <row r="137" spans="1:6">
      <c r="A137" t="s">
        <v>6840</v>
      </c>
      <c r="B137" t="s">
        <v>6957</v>
      </c>
      <c r="D137" s="48" t="s">
        <v>7029</v>
      </c>
      <c r="E137" s="51">
        <f>[1]MonoSugar!$K$32</f>
        <v>10.46</v>
      </c>
    </row>
    <row r="138" spans="1:6">
      <c r="A138" t="s">
        <v>6840</v>
      </c>
      <c r="B138" t="s">
        <v>6957</v>
      </c>
      <c r="D138" s="48" t="s">
        <v>7030</v>
      </c>
      <c r="E138" s="48">
        <f>E136*E137%</f>
        <v>6.9783142857142863E-2</v>
      </c>
    </row>
    <row r="139" spans="1:6">
      <c r="A139" t="s">
        <v>6840</v>
      </c>
      <c r="B139" t="s">
        <v>6957</v>
      </c>
    </row>
    <row r="140" spans="1:6">
      <c r="A140" t="s">
        <v>6840</v>
      </c>
      <c r="B140" t="s">
        <v>6957</v>
      </c>
    </row>
    <row r="141" spans="1:6">
      <c r="A141" t="s">
        <v>6840</v>
      </c>
      <c r="B141" t="s">
        <v>6957</v>
      </c>
    </row>
    <row r="142" spans="1:6">
      <c r="A142" t="s">
        <v>6840</v>
      </c>
      <c r="B142" t="s">
        <v>7005</v>
      </c>
      <c r="C142" s="383" t="s">
        <v>638</v>
      </c>
      <c r="D142" s="383" t="s">
        <v>883</v>
      </c>
      <c r="E142" s="383">
        <v>0.66714285714285715</v>
      </c>
      <c r="F142" s="383"/>
    </row>
    <row r="143" spans="1:6">
      <c r="A143" t="s">
        <v>6840</v>
      </c>
      <c r="B143" t="s">
        <v>7005</v>
      </c>
      <c r="C143" s="383"/>
      <c r="D143" s="388" t="s">
        <v>7031</v>
      </c>
      <c r="E143" s="409">
        <f>[1]MonoSugar!$K$33</f>
        <v>16.707293434343434</v>
      </c>
      <c r="F143" s="383"/>
    </row>
    <row r="144" spans="1:6">
      <c r="A144" t="s">
        <v>6840</v>
      </c>
      <c r="B144" t="s">
        <v>7005</v>
      </c>
      <c r="C144" s="383"/>
      <c r="D144" s="388" t="s">
        <v>7032</v>
      </c>
      <c r="E144" s="388">
        <f>E142*E143%</f>
        <v>0.11146151476911977</v>
      </c>
      <c r="F144" s="383"/>
    </row>
    <row r="145" spans="1:6">
      <c r="A145" t="s">
        <v>6840</v>
      </c>
      <c r="B145" t="s">
        <v>7005</v>
      </c>
      <c r="C145" t="s">
        <v>197</v>
      </c>
      <c r="D145" s="494" t="s">
        <v>7035</v>
      </c>
    </row>
    <row r="146" spans="1:6">
      <c r="A146" t="s">
        <v>6840</v>
      </c>
      <c r="B146" t="s">
        <v>7005</v>
      </c>
      <c r="D146" s="7" t="s">
        <v>7034</v>
      </c>
    </row>
    <row r="147" spans="1:6">
      <c r="A147" t="s">
        <v>6840</v>
      </c>
      <c r="B147" t="s">
        <v>7005</v>
      </c>
      <c r="D147" s="186" t="s">
        <v>7033</v>
      </c>
    </row>
    <row r="148" spans="1:6">
      <c r="A148" t="s">
        <v>6840</v>
      </c>
      <c r="B148" t="s">
        <v>7005</v>
      </c>
    </row>
    <row r="149" spans="1:6">
      <c r="A149" t="s">
        <v>6840</v>
      </c>
      <c r="B149" t="s">
        <v>7005</v>
      </c>
      <c r="D149" s="48" t="s">
        <v>7036</v>
      </c>
      <c r="E149" s="48">
        <f>AVERAGE(0.9,0.914,0.887)</f>
        <v>0.90033333333333332</v>
      </c>
      <c r="F149" s="7" t="s">
        <v>7037</v>
      </c>
    </row>
    <row r="150" spans="1:6">
      <c r="A150" t="s">
        <v>6840</v>
      </c>
      <c r="B150" t="s">
        <v>7005</v>
      </c>
      <c r="D150" s="48" t="s">
        <v>7038</v>
      </c>
      <c r="E150" s="48">
        <f>12.4%*E149</f>
        <v>0.11164133333333333</v>
      </c>
    </row>
    <row r="151" spans="1:6">
      <c r="A151" t="s">
        <v>6840</v>
      </c>
      <c r="B151" t="s">
        <v>7005</v>
      </c>
    </row>
    <row r="152" spans="1:6">
      <c r="A152" t="s">
        <v>6840</v>
      </c>
      <c r="B152" t="s">
        <v>7005</v>
      </c>
    </row>
    <row r="153" spans="1:6">
      <c r="A153" t="s">
        <v>6840</v>
      </c>
      <c r="B153" t="s">
        <v>7005</v>
      </c>
    </row>
    <row r="154" spans="1:6">
      <c r="A154" t="s">
        <v>6840</v>
      </c>
      <c r="B154" t="s">
        <v>7005</v>
      </c>
    </row>
    <row r="155" spans="1:6">
      <c r="A155" t="s">
        <v>4585</v>
      </c>
      <c r="B155" t="s">
        <v>6957</v>
      </c>
      <c r="C155" t="s">
        <v>638</v>
      </c>
      <c r="D155" t="s">
        <v>883</v>
      </c>
      <c r="E155">
        <v>0.23649999999999999</v>
      </c>
    </row>
    <row r="156" spans="1:6">
      <c r="A156" t="s">
        <v>4585</v>
      </c>
      <c r="B156" t="s">
        <v>6957</v>
      </c>
      <c r="D156" t="s">
        <v>7025</v>
      </c>
      <c r="E156" s="142">
        <f>[1]MonoSugar!$H$32</f>
        <v>5.4</v>
      </c>
    </row>
    <row r="157" spans="1:6">
      <c r="A157" t="s">
        <v>4585</v>
      </c>
      <c r="B157" t="s">
        <v>6957</v>
      </c>
      <c r="D157" s="48" t="s">
        <v>7039</v>
      </c>
      <c r="E157" s="48">
        <f>E156%*E155</f>
        <v>1.2771000000000001E-2</v>
      </c>
    </row>
    <row r="158" spans="1:6">
      <c r="A158" t="s">
        <v>4585</v>
      </c>
      <c r="B158" t="s">
        <v>6957</v>
      </c>
    </row>
    <row r="159" spans="1:6">
      <c r="A159" t="s">
        <v>4585</v>
      </c>
      <c r="B159" t="s">
        <v>7005</v>
      </c>
      <c r="C159" t="s">
        <v>638</v>
      </c>
      <c r="D159" t="s">
        <v>883</v>
      </c>
      <c r="E159">
        <v>0.23649999999999999</v>
      </c>
    </row>
    <row r="160" spans="1:6">
      <c r="A160" t="s">
        <v>4585</v>
      </c>
      <c r="B160" t="s">
        <v>7005</v>
      </c>
      <c r="D160" t="s">
        <v>7040</v>
      </c>
      <c r="E160" s="142">
        <f>[1]MonoSugar!$H$33</f>
        <v>15.487588888888888</v>
      </c>
    </row>
    <row r="161" spans="1:5">
      <c r="A161" t="s">
        <v>4585</v>
      </c>
      <c r="B161" t="s">
        <v>7005</v>
      </c>
      <c r="D161" s="48" t="s">
        <v>7041</v>
      </c>
      <c r="E161" s="48">
        <f>E160%*E159</f>
        <v>3.6628147722222219E-2</v>
      </c>
    </row>
    <row r="162" spans="1:5">
      <c r="A162" t="s">
        <v>4585</v>
      </c>
      <c r="B162" t="s">
        <v>7005</v>
      </c>
    </row>
    <row r="163" spans="1:5">
      <c r="A163" t="s">
        <v>4585</v>
      </c>
      <c r="B163" t="s">
        <v>7005</v>
      </c>
    </row>
    <row r="164" spans="1:5">
      <c r="A164" t="s">
        <v>4585</v>
      </c>
      <c r="B164" t="s">
        <v>7005</v>
      </c>
    </row>
    <row r="165" spans="1:5">
      <c r="A165" t="s">
        <v>4585</v>
      </c>
      <c r="B165" t="s">
        <v>7005</v>
      </c>
    </row>
    <row r="166" spans="1:5">
      <c r="A166" t="s">
        <v>4585</v>
      </c>
      <c r="B166" t="s">
        <v>7005</v>
      </c>
    </row>
    <row r="167" spans="1:5">
      <c r="A167" t="s">
        <v>6497</v>
      </c>
      <c r="B167" t="s">
        <v>6957</v>
      </c>
      <c r="C167" t="s">
        <v>638</v>
      </c>
      <c r="D167" t="s">
        <v>940</v>
      </c>
      <c r="E167">
        <v>0.52103333333333335</v>
      </c>
    </row>
    <row r="168" spans="1:5">
      <c r="A168" t="s">
        <v>6497</v>
      </c>
      <c r="B168" t="s">
        <v>6957</v>
      </c>
      <c r="D168" t="s">
        <v>7042</v>
      </c>
      <c r="E168" s="142">
        <f>[1]MonoSugar!$L$32</f>
        <v>5.4</v>
      </c>
    </row>
    <row r="169" spans="1:5">
      <c r="A169" t="s">
        <v>6497</v>
      </c>
      <c r="B169" t="s">
        <v>6957</v>
      </c>
      <c r="D169" s="48" t="s">
        <v>7043</v>
      </c>
      <c r="E169" s="48">
        <f>E167*E168%</f>
        <v>2.8135800000000002E-2</v>
      </c>
    </row>
    <row r="170" spans="1:5">
      <c r="A170" t="s">
        <v>6497</v>
      </c>
      <c r="B170" t="s">
        <v>6957</v>
      </c>
    </row>
    <row r="171" spans="1:5">
      <c r="A171" t="s">
        <v>6497</v>
      </c>
      <c r="B171" t="s">
        <v>7005</v>
      </c>
      <c r="C171" t="s">
        <v>638</v>
      </c>
      <c r="D171" t="s">
        <v>940</v>
      </c>
      <c r="E171">
        <v>0.52103333333333335</v>
      </c>
    </row>
    <row r="172" spans="1:5">
      <c r="A172" t="s">
        <v>6497</v>
      </c>
      <c r="B172" t="s">
        <v>7005</v>
      </c>
      <c r="D172" t="s">
        <v>7044</v>
      </c>
      <c r="E172" s="142">
        <f>[1]MonoSugar!$L$33</f>
        <v>15.487588888888888</v>
      </c>
    </row>
    <row r="173" spans="1:5">
      <c r="A173" t="s">
        <v>6497</v>
      </c>
      <c r="B173" t="s">
        <v>7005</v>
      </c>
      <c r="D173" s="48" t="s">
        <v>7045</v>
      </c>
      <c r="E173" s="48">
        <f>E171*E172%</f>
        <v>8.0695500640740742E-2</v>
      </c>
    </row>
    <row r="174" spans="1:5">
      <c r="A174" t="s">
        <v>6497</v>
      </c>
      <c r="B174" t="s">
        <v>7005</v>
      </c>
    </row>
    <row r="175" spans="1:5">
      <c r="A175" t="s">
        <v>6497</v>
      </c>
    </row>
    <row r="176" spans="1:5">
      <c r="A176" t="s">
        <v>6497</v>
      </c>
    </row>
    <row r="177" spans="1:5">
      <c r="A177" t="s">
        <v>6497</v>
      </c>
    </row>
    <row r="178" spans="1:5">
      <c r="A178" t="s">
        <v>6497</v>
      </c>
    </row>
    <row r="179" spans="1:5">
      <c r="A179" t="s">
        <v>6497</v>
      </c>
    </row>
    <row r="180" spans="1:5">
      <c r="A180" t="s">
        <v>4685</v>
      </c>
      <c r="B180" t="s">
        <v>6957</v>
      </c>
      <c r="C180" t="s">
        <v>638</v>
      </c>
      <c r="D180" t="s">
        <v>984</v>
      </c>
    </row>
    <row r="181" spans="1:5">
      <c r="A181" t="s">
        <v>4685</v>
      </c>
      <c r="D181" t="s">
        <v>985</v>
      </c>
    </row>
    <row r="182" spans="1:5" ht="15.6">
      <c r="A182" t="s">
        <v>4685</v>
      </c>
      <c r="D182" s="199" t="s">
        <v>986</v>
      </c>
    </row>
    <row r="183" spans="1:5">
      <c r="A183" t="s">
        <v>4685</v>
      </c>
      <c r="D183" t="s">
        <v>987</v>
      </c>
      <c r="E183">
        <v>0.76</v>
      </c>
    </row>
    <row r="184" spans="1:5">
      <c r="A184" t="s">
        <v>4685</v>
      </c>
      <c r="D184" t="s">
        <v>7046</v>
      </c>
      <c r="E184" s="142">
        <f>[1]MonoSugar!$K$32</f>
        <v>10.46</v>
      </c>
    </row>
    <row r="185" spans="1:5">
      <c r="A185" t="s">
        <v>4685</v>
      </c>
      <c r="D185" s="48" t="s">
        <v>7047</v>
      </c>
      <c r="E185" s="48">
        <f>E183*E184%</f>
        <v>7.9496000000000011E-2</v>
      </c>
    </row>
    <row r="186" spans="1:5">
      <c r="A186" t="s">
        <v>4685</v>
      </c>
    </row>
    <row r="187" spans="1:5">
      <c r="A187" t="s">
        <v>4685</v>
      </c>
      <c r="B187" t="s">
        <v>7005</v>
      </c>
      <c r="C187" t="s">
        <v>197</v>
      </c>
      <c r="D187" s="7" t="s">
        <v>7050</v>
      </c>
    </row>
    <row r="188" spans="1:5">
      <c r="A188" t="s">
        <v>4685</v>
      </c>
      <c r="D188" s="494" t="s">
        <v>7049</v>
      </c>
    </row>
    <row r="189" spans="1:5">
      <c r="A189" t="s">
        <v>4685</v>
      </c>
      <c r="D189" t="s">
        <v>7051</v>
      </c>
    </row>
    <row r="190" spans="1:5">
      <c r="A190" t="s">
        <v>4685</v>
      </c>
      <c r="D190" s="495" t="s">
        <v>7048</v>
      </c>
    </row>
    <row r="191" spans="1:5">
      <c r="A191" t="s">
        <v>4685</v>
      </c>
    </row>
    <row r="192" spans="1:5">
      <c r="A192" t="s">
        <v>4685</v>
      </c>
      <c r="D192" t="s">
        <v>7052</v>
      </c>
      <c r="E192">
        <v>0.96</v>
      </c>
    </row>
    <row r="193" spans="1:8">
      <c r="A193" t="s">
        <v>4685</v>
      </c>
      <c r="D193" t="s">
        <v>7059</v>
      </c>
      <c r="E193" s="142">
        <f>[1]MonoSugar!$H$33</f>
        <v>15.487588888888888</v>
      </c>
    </row>
    <row r="194" spans="1:8">
      <c r="A194" t="s">
        <v>4685</v>
      </c>
      <c r="D194" t="s">
        <v>7053</v>
      </c>
      <c r="E194">
        <f>E192*E193%</f>
        <v>0.14868085333333333</v>
      </c>
    </row>
    <row r="195" spans="1:8">
      <c r="A195" t="s">
        <v>4685</v>
      </c>
    </row>
    <row r="196" spans="1:8">
      <c r="A196" t="s">
        <v>4685</v>
      </c>
    </row>
    <row r="197" spans="1:8">
      <c r="A197" t="s">
        <v>4685</v>
      </c>
      <c r="C197" s="494"/>
      <c r="D197" s="494"/>
      <c r="E197" s="494"/>
      <c r="F197" s="494"/>
      <c r="G197" s="494"/>
      <c r="H197" s="494"/>
    </row>
    <row r="198" spans="1:8">
      <c r="A198" t="s">
        <v>4685</v>
      </c>
      <c r="C198" s="494"/>
      <c r="D198" s="494"/>
      <c r="E198" s="494"/>
      <c r="F198" s="494"/>
      <c r="G198" s="494"/>
      <c r="H198" s="494"/>
    </row>
    <row r="199" spans="1:8">
      <c r="A199" t="s">
        <v>1186</v>
      </c>
      <c r="B199" t="s">
        <v>6957</v>
      </c>
      <c r="C199" s="494" t="s">
        <v>638</v>
      </c>
      <c r="D199" s="494" t="s">
        <v>1187</v>
      </c>
      <c r="E199" s="494"/>
      <c r="F199" s="494"/>
      <c r="G199" s="494"/>
      <c r="H199" s="494"/>
    </row>
    <row r="200" spans="1:8">
      <c r="A200" t="s">
        <v>1186</v>
      </c>
      <c r="C200" s="494"/>
      <c r="D200" s="494" t="s">
        <v>1188</v>
      </c>
      <c r="E200" s="494"/>
      <c r="F200" s="494"/>
      <c r="G200" s="494"/>
      <c r="H200" s="494"/>
    </row>
    <row r="201" spans="1:8">
      <c r="A201" t="s">
        <v>1186</v>
      </c>
      <c r="C201" s="494"/>
      <c r="D201" s="494" t="s">
        <v>1194</v>
      </c>
      <c r="E201" s="494">
        <v>95.2</v>
      </c>
      <c r="F201" s="494"/>
      <c r="G201" s="494"/>
      <c r="H201" s="494"/>
    </row>
    <row r="202" spans="1:8">
      <c r="A202" t="s">
        <v>1186</v>
      </c>
      <c r="C202" s="494"/>
      <c r="D202" s="494" t="s">
        <v>1193</v>
      </c>
      <c r="E202" s="494">
        <v>0.96257777777777775</v>
      </c>
      <c r="F202" s="494"/>
      <c r="G202" s="494"/>
      <c r="H202" s="494"/>
    </row>
    <row r="203" spans="1:8">
      <c r="A203" t="s">
        <v>1186</v>
      </c>
      <c r="C203" s="494"/>
      <c r="D203" s="48" t="s">
        <v>7054</v>
      </c>
      <c r="E203" s="51">
        <f>[1]MonoSugar!$L$32</f>
        <v>5.4</v>
      </c>
      <c r="F203" s="494"/>
      <c r="G203" s="494"/>
      <c r="H203" s="494"/>
    </row>
    <row r="204" spans="1:8">
      <c r="A204" t="s">
        <v>1186</v>
      </c>
      <c r="C204" s="494"/>
      <c r="D204" s="48" t="s">
        <v>7055</v>
      </c>
      <c r="E204" s="48">
        <f>E202*E203%</f>
        <v>5.1979200000000003E-2</v>
      </c>
      <c r="F204" s="494"/>
      <c r="G204" s="494"/>
      <c r="H204" s="494"/>
    </row>
    <row r="205" spans="1:8">
      <c r="A205" t="s">
        <v>1186</v>
      </c>
      <c r="C205" s="494"/>
      <c r="D205" s="494"/>
      <c r="E205" s="494"/>
      <c r="F205" s="494"/>
      <c r="G205" s="494"/>
      <c r="H205" s="494"/>
    </row>
    <row r="206" spans="1:8">
      <c r="A206" t="s">
        <v>1186</v>
      </c>
      <c r="B206" t="s">
        <v>7005</v>
      </c>
      <c r="C206" s="494" t="s">
        <v>638</v>
      </c>
      <c r="D206" s="494" t="s">
        <v>1187</v>
      </c>
      <c r="E206" s="494"/>
      <c r="F206" s="494"/>
      <c r="G206" s="494"/>
      <c r="H206" s="494"/>
    </row>
    <row r="207" spans="1:8">
      <c r="A207" t="s">
        <v>1186</v>
      </c>
      <c r="C207" s="494"/>
      <c r="D207" s="494" t="s">
        <v>1188</v>
      </c>
      <c r="E207" s="494"/>
      <c r="F207" s="494"/>
      <c r="G207" s="494"/>
      <c r="H207" s="494"/>
    </row>
    <row r="208" spans="1:8">
      <c r="A208" t="s">
        <v>1186</v>
      </c>
      <c r="C208" s="494"/>
      <c r="D208" s="494" t="s">
        <v>1194</v>
      </c>
      <c r="E208" s="494">
        <v>95.2</v>
      </c>
      <c r="F208" s="494"/>
      <c r="G208" s="494"/>
      <c r="H208" s="494"/>
    </row>
    <row r="209" spans="1:5">
      <c r="A209" t="s">
        <v>1186</v>
      </c>
      <c r="D209" t="s">
        <v>1193</v>
      </c>
      <c r="E209">
        <v>0.96257777777777775</v>
      </c>
    </row>
    <row r="210" spans="1:5">
      <c r="A210" t="s">
        <v>1186</v>
      </c>
      <c r="D210" s="48" t="s">
        <v>7056</v>
      </c>
      <c r="E210" s="51">
        <f>[1]MonoSugar!$L$33</f>
        <v>15.487588888888888</v>
      </c>
    </row>
    <row r="211" spans="1:5">
      <c r="A211" t="s">
        <v>1186</v>
      </c>
      <c r="D211" s="48" t="s">
        <v>7057</v>
      </c>
      <c r="E211" s="48">
        <f>E209*E210%</f>
        <v>0.14908008895802469</v>
      </c>
    </row>
    <row r="212" spans="1:5">
      <c r="A212" t="s">
        <v>1186</v>
      </c>
    </row>
    <row r="213" spans="1:5">
      <c r="A213" t="s">
        <v>1186</v>
      </c>
    </row>
    <row r="214" spans="1:5">
      <c r="A214" t="s">
        <v>1186</v>
      </c>
    </row>
    <row r="215" spans="1:5">
      <c r="A215" t="s">
        <v>1186</v>
      </c>
    </row>
    <row r="216" spans="1:5">
      <c r="A216" t="s">
        <v>1201</v>
      </c>
      <c r="B216" t="s">
        <v>6957</v>
      </c>
      <c r="C216" t="s">
        <v>638</v>
      </c>
      <c r="D216" t="s">
        <v>1202</v>
      </c>
    </row>
    <row r="217" spans="1:5">
      <c r="A217" t="s">
        <v>1201</v>
      </c>
      <c r="D217" t="s">
        <v>1203</v>
      </c>
    </row>
    <row r="218" spans="1:5">
      <c r="A218" t="s">
        <v>1201</v>
      </c>
      <c r="D218" t="s">
        <v>1205</v>
      </c>
      <c r="E218">
        <v>0.48590909090909096</v>
      </c>
    </row>
    <row r="219" spans="1:5">
      <c r="A219" t="s">
        <v>1201</v>
      </c>
      <c r="D219" s="48" t="s">
        <v>7058</v>
      </c>
      <c r="E219" s="51">
        <f>[1]MonoSugar!$J$32</f>
        <v>5.0599999999999996</v>
      </c>
    </row>
    <row r="220" spans="1:5">
      <c r="A220" t="s">
        <v>1201</v>
      </c>
      <c r="D220" s="48" t="s">
        <v>1884</v>
      </c>
      <c r="E220" s="48">
        <f>E218*E219%</f>
        <v>2.4587000000000001E-2</v>
      </c>
    </row>
    <row r="221" spans="1:5">
      <c r="A221" t="s">
        <v>1201</v>
      </c>
    </row>
    <row r="222" spans="1:5">
      <c r="A222" t="s">
        <v>1201</v>
      </c>
    </row>
    <row r="223" spans="1:5">
      <c r="A223" t="s">
        <v>1201</v>
      </c>
      <c r="B223" t="s">
        <v>7005</v>
      </c>
      <c r="C223" t="s">
        <v>638</v>
      </c>
      <c r="D223" t="s">
        <v>1202</v>
      </c>
    </row>
    <row r="224" spans="1:5">
      <c r="A224" t="s">
        <v>1201</v>
      </c>
      <c r="D224" t="s">
        <v>1203</v>
      </c>
    </row>
    <row r="225" spans="1:5">
      <c r="A225" t="s">
        <v>1201</v>
      </c>
      <c r="D225" t="s">
        <v>1205</v>
      </c>
      <c r="E225">
        <v>0.48590909090909096</v>
      </c>
    </row>
    <row r="226" spans="1:5">
      <c r="A226" t="s">
        <v>1201</v>
      </c>
      <c r="D226" s="48" t="s">
        <v>1885</v>
      </c>
      <c r="E226" s="51">
        <f>[1]MonoSugar!$J$33</f>
        <v>1.2197045454545454</v>
      </c>
    </row>
    <row r="227" spans="1:5">
      <c r="A227" t="s">
        <v>1201</v>
      </c>
      <c r="D227" s="48" t="s">
        <v>1886</v>
      </c>
      <c r="E227" s="48">
        <f>E225*E226%</f>
        <v>5.9266552685950415E-3</v>
      </c>
    </row>
    <row r="228" spans="1:5">
      <c r="A228" t="s">
        <v>1201</v>
      </c>
    </row>
    <row r="229" spans="1:5">
      <c r="A229" t="s">
        <v>1201</v>
      </c>
    </row>
    <row r="230" spans="1:5">
      <c r="A230" t="s">
        <v>1201</v>
      </c>
    </row>
    <row r="231" spans="1:5">
      <c r="A231" t="s">
        <v>1201</v>
      </c>
    </row>
    <row r="232" spans="1:5">
      <c r="A232" t="s">
        <v>1201</v>
      </c>
    </row>
  </sheetData>
  <mergeCells count="19">
    <mergeCell ref="F53:G53"/>
    <mergeCell ref="K53:N53"/>
    <mergeCell ref="J26:J27"/>
    <mergeCell ref="F35:G35"/>
    <mergeCell ref="H35:J35"/>
    <mergeCell ref="F26:F27"/>
    <mergeCell ref="G26:G27"/>
    <mergeCell ref="H26:H27"/>
    <mergeCell ref="I26:I27"/>
    <mergeCell ref="O37:O38"/>
    <mergeCell ref="K26:K27"/>
    <mergeCell ref="K35:N35"/>
    <mergeCell ref="E37:E40"/>
    <mergeCell ref="F37:F38"/>
    <mergeCell ref="G37:G38"/>
    <mergeCell ref="I37:I38"/>
    <mergeCell ref="K37:K38"/>
    <mergeCell ref="L37:L38"/>
    <mergeCell ref="E26:E27"/>
  </mergeCells>
  <hyperlinks>
    <hyperlink ref="M37" r:id="rId1" location="tblfn2" display="https://www.sciencedirect.com/science/article/pii/S0196890422006653?pes=vor - tblfn2" xr:uid="{E41015C6-E9F4-4FBB-881D-9044BDCE68D4}"/>
    <hyperlink ref="O37" r:id="rId2" location="b0265" display="https://www.sciencedirect.com/science/article/pii/S0196890422006653?pes=vor - b0265" xr:uid="{AAFD2745-E0FC-4FCD-9792-2F25F4BD7075}"/>
    <hyperlink ref="M38" r:id="rId3" location="tblfn2" display="https://www.sciencedirect.com/science/article/pii/S0196890422006653?pes=vor - tblfn2" xr:uid="{4F3A851F-7C4F-438C-AE2F-C0989FCF5923}"/>
    <hyperlink ref="N36" r:id="rId4" location="tblfn1" display="https://www.sciencedirect.com/science/article/pii/S0196890422006653?pes=vor - tblfn1" xr:uid="{9BC65AF1-71D5-44E2-9A86-503D6C9BBF89}"/>
    <hyperlink ref="D62" r:id="rId5" tooltip="Persistent link using digital object identifier" xr:uid="{B7CBF3A8-F9BE-45EC-8885-619B857A50F0}"/>
    <hyperlink ref="F149" r:id="rId6" xr:uid="{DD4EB30E-86E1-4C9F-99CE-576492C2FF53}"/>
    <hyperlink ref="D187" r:id="rId7" xr:uid="{95399BEB-C4FB-4303-BF59-B2755EC88703}"/>
    <hyperlink ref="D146" r:id="rId8" tooltip="Persistent link using digital object identifier" xr:uid="{0CF76973-6EE5-4012-B91A-22AD68D388B4}"/>
    <hyperlink ref="D75" r:id="rId9" xr:uid="{DD3511A5-6D81-41EA-AF6A-AF52F2DB7EF5}"/>
  </hyperlinks>
  <pageMargins left="0.7" right="0.7" top="0.75" bottom="0.75" header="0.3" footer="0.3"/>
  <pageSetup paperSize="9" orientation="portrait" r:id="rId10"/>
  <drawing r:id="rId1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F94C8-F7A5-45F0-96D1-E70E14C93E7A}">
  <dimension ref="A1:M294"/>
  <sheetViews>
    <sheetView topLeftCell="A20" workbookViewId="0">
      <selection activeCell="C28" sqref="C28"/>
    </sheetView>
  </sheetViews>
  <sheetFormatPr defaultRowHeight="14.4"/>
  <cols>
    <col min="1" max="1" width="14.77734375" customWidth="1"/>
    <col min="2" max="2" width="11.21875" bestFit="1" customWidth="1"/>
    <col min="3" max="3" width="12.21875" customWidth="1"/>
    <col min="4" max="4" width="26.88671875" customWidth="1"/>
    <col min="5" max="5" width="8.5546875" customWidth="1"/>
    <col min="6" max="6" width="14.109375" customWidth="1"/>
    <col min="7" max="7" width="11" customWidth="1"/>
    <col min="8" max="8" width="15.77734375" bestFit="1" customWidth="1"/>
    <col min="9" max="9" width="12.33203125" customWidth="1"/>
  </cols>
  <sheetData>
    <row r="1" spans="1:13">
      <c r="A1" t="s">
        <v>0</v>
      </c>
    </row>
    <row r="2" spans="1:13">
      <c r="A2" t="s">
        <v>2</v>
      </c>
      <c r="B2" t="s">
        <v>6841</v>
      </c>
      <c r="C2" t="s">
        <v>197</v>
      </c>
      <c r="D2" s="7" t="s">
        <v>6842</v>
      </c>
    </row>
    <row r="3" spans="1:13" ht="15" thickBot="1">
      <c r="A3" t="s">
        <v>2</v>
      </c>
      <c r="B3" t="s">
        <v>6841</v>
      </c>
      <c r="C3" t="s">
        <v>6870</v>
      </c>
      <c r="D3" t="s">
        <v>6871</v>
      </c>
    </row>
    <row r="4" spans="1:13" ht="55.8" thickBot="1">
      <c r="A4" t="s">
        <v>2</v>
      </c>
      <c r="B4" t="s">
        <v>6841</v>
      </c>
      <c r="C4" s="458" t="s">
        <v>6843</v>
      </c>
      <c r="D4" s="458" t="s">
        <v>6844</v>
      </c>
      <c r="E4" s="458" t="s">
        <v>6845</v>
      </c>
      <c r="F4" s="458" t="s">
        <v>1688</v>
      </c>
      <c r="G4" s="458" t="s">
        <v>6846</v>
      </c>
      <c r="H4" s="459" t="s">
        <v>6847</v>
      </c>
      <c r="J4" s="459"/>
      <c r="K4" s="459" t="s">
        <v>6845</v>
      </c>
      <c r="L4" s="459" t="s">
        <v>6846</v>
      </c>
      <c r="M4" s="459" t="s">
        <v>6872</v>
      </c>
    </row>
    <row r="5" spans="1:13" ht="28.2" thickBot="1">
      <c r="A5" t="s">
        <v>2</v>
      </c>
      <c r="B5" t="s">
        <v>6841</v>
      </c>
      <c r="C5" s="460" t="s">
        <v>6848</v>
      </c>
      <c r="D5" s="460" t="s">
        <v>6849</v>
      </c>
      <c r="E5" s="460" t="s">
        <v>6850</v>
      </c>
      <c r="F5" s="460" t="s">
        <v>6851</v>
      </c>
      <c r="G5" s="460">
        <v>59.2</v>
      </c>
      <c r="H5" s="461" t="s">
        <v>6853</v>
      </c>
      <c r="J5" s="460" t="s">
        <v>6848</v>
      </c>
      <c r="K5" s="460" t="s">
        <v>6850</v>
      </c>
      <c r="L5" s="460" t="s">
        <v>6852</v>
      </c>
      <c r="M5" s="460">
        <v>0.71140000000000003</v>
      </c>
    </row>
    <row r="6" spans="1:13" ht="15" thickBot="1">
      <c r="A6" t="s">
        <v>2</v>
      </c>
      <c r="B6" t="s">
        <v>6841</v>
      </c>
      <c r="C6" s="460" t="s">
        <v>6854</v>
      </c>
      <c r="D6" s="460" t="s">
        <v>6855</v>
      </c>
      <c r="E6" s="460" t="s">
        <v>6856</v>
      </c>
      <c r="F6" s="460" t="s">
        <v>6857</v>
      </c>
      <c r="G6" s="460" t="s">
        <v>6858</v>
      </c>
      <c r="H6" s="461" t="s">
        <v>6859</v>
      </c>
    </row>
    <row r="7" spans="1:13" ht="15" thickBot="1">
      <c r="A7" t="s">
        <v>2</v>
      </c>
      <c r="B7" t="s">
        <v>6841</v>
      </c>
      <c r="C7" s="460" t="s">
        <v>6848</v>
      </c>
      <c r="D7" s="460" t="s">
        <v>6860</v>
      </c>
      <c r="E7" s="460" t="s">
        <v>6861</v>
      </c>
      <c r="F7" s="460" t="s">
        <v>6862</v>
      </c>
      <c r="G7" s="460">
        <v>49.7</v>
      </c>
      <c r="H7" s="461" t="s">
        <v>6863</v>
      </c>
    </row>
    <row r="8" spans="1:13" ht="15" thickBot="1">
      <c r="A8" t="s">
        <v>2</v>
      </c>
      <c r="B8" t="s">
        <v>6841</v>
      </c>
      <c r="C8" s="460" t="s">
        <v>6864</v>
      </c>
      <c r="D8" s="460" t="s">
        <v>6865</v>
      </c>
      <c r="E8" s="460" t="s">
        <v>6866</v>
      </c>
      <c r="F8" s="460" t="s">
        <v>6867</v>
      </c>
      <c r="G8" s="460" t="s">
        <v>6868</v>
      </c>
      <c r="H8" s="461" t="s">
        <v>6869</v>
      </c>
    </row>
    <row r="9" spans="1:13">
      <c r="A9" t="s">
        <v>2</v>
      </c>
      <c r="B9" t="s">
        <v>6841</v>
      </c>
    </row>
    <row r="10" spans="1:13">
      <c r="A10" t="s">
        <v>2</v>
      </c>
      <c r="B10" t="s">
        <v>6841</v>
      </c>
      <c r="D10" s="48" t="s">
        <v>3985</v>
      </c>
      <c r="E10" s="48">
        <f>52.5</f>
        <v>52.5</v>
      </c>
      <c r="F10" s="48" t="s">
        <v>5208</v>
      </c>
    </row>
    <row r="11" spans="1:13">
      <c r="A11" t="s">
        <v>2</v>
      </c>
      <c r="B11" t="s">
        <v>6841</v>
      </c>
      <c r="D11" s="48" t="s">
        <v>3986</v>
      </c>
      <c r="E11" s="48">
        <v>41.7</v>
      </c>
      <c r="F11" s="48" t="s">
        <v>5208</v>
      </c>
    </row>
    <row r="12" spans="1:13">
      <c r="A12" t="s">
        <v>2</v>
      </c>
      <c r="B12" t="s">
        <v>6841</v>
      </c>
    </row>
    <row r="13" spans="1:13">
      <c r="A13" t="s">
        <v>2</v>
      </c>
      <c r="B13" t="s">
        <v>6841</v>
      </c>
      <c r="D13" s="419" t="s">
        <v>6875</v>
      </c>
      <c r="E13">
        <f>G5*180/46*2</f>
        <v>463.30434782608694</v>
      </c>
      <c r="F13">
        <f>G7*2*180/46</f>
        <v>388.95652173913044</v>
      </c>
    </row>
    <row r="14" spans="1:13">
      <c r="A14" t="s">
        <v>2</v>
      </c>
      <c r="B14" t="s">
        <v>6841</v>
      </c>
      <c r="D14" s="419" t="s">
        <v>6876</v>
      </c>
      <c r="E14">
        <f>E13/E15</f>
        <v>651.25716590678508</v>
      </c>
      <c r="F14">
        <f>F13/F15</f>
        <v>546.74799232377063</v>
      </c>
    </row>
    <row r="15" spans="1:13">
      <c r="A15" t="s">
        <v>2</v>
      </c>
      <c r="B15" t="s">
        <v>6841</v>
      </c>
      <c r="D15" s="419" t="s">
        <v>6873</v>
      </c>
      <c r="E15" s="463">
        <v>0.71140000000000003</v>
      </c>
      <c r="F15" s="463">
        <v>0.71140000000000003</v>
      </c>
    </row>
    <row r="16" spans="1:13">
      <c r="A16" t="s">
        <v>2</v>
      </c>
      <c r="B16" t="s">
        <v>6841</v>
      </c>
      <c r="D16" s="419" t="s">
        <v>6874</v>
      </c>
      <c r="E16">
        <f>E10/E14</f>
        <v>8.0613316441441457E-2</v>
      </c>
      <c r="F16">
        <f>41.7/F14</f>
        <v>7.6269141515761238E-2</v>
      </c>
    </row>
    <row r="17" spans="1:10" ht="28.8">
      <c r="A17" t="s">
        <v>2</v>
      </c>
      <c r="B17" s="494" t="s">
        <v>6841</v>
      </c>
      <c r="D17" s="419" t="s">
        <v>6877</v>
      </c>
      <c r="E17">
        <f>AVERAGE(E16:F16)</f>
        <v>7.8441228978601341E-2</v>
      </c>
    </row>
    <row r="18" spans="1:10">
      <c r="A18" t="s">
        <v>2</v>
      </c>
      <c r="B18" s="494" t="s">
        <v>6841</v>
      </c>
    </row>
    <row r="19" spans="1:10">
      <c r="A19" t="s">
        <v>2</v>
      </c>
      <c r="B19" s="494" t="s">
        <v>6841</v>
      </c>
      <c r="C19" t="s">
        <v>226</v>
      </c>
      <c r="D19" s="7" t="s">
        <v>6878</v>
      </c>
    </row>
    <row r="20" spans="1:10">
      <c r="A20" t="s">
        <v>2</v>
      </c>
      <c r="B20" s="494" t="s">
        <v>6841</v>
      </c>
      <c r="C20" t="s">
        <v>6</v>
      </c>
    </row>
    <row r="21" spans="1:10">
      <c r="A21" t="s">
        <v>2</v>
      </c>
      <c r="B21" s="494" t="s">
        <v>6841</v>
      </c>
      <c r="C21" s="457"/>
      <c r="D21" s="457"/>
      <c r="E21" s="457"/>
      <c r="F21" s="457"/>
    </row>
    <row r="22" spans="1:10" ht="15" thickBot="1">
      <c r="A22" t="s">
        <v>2</v>
      </c>
      <c r="B22" s="494" t="s">
        <v>6841</v>
      </c>
      <c r="C22" s="457"/>
      <c r="D22" s="457"/>
      <c r="E22" s="457"/>
      <c r="F22" s="457"/>
    </row>
    <row r="23" spans="1:10" ht="15" thickBot="1">
      <c r="A23" t="s">
        <v>2</v>
      </c>
      <c r="B23" s="494" t="s">
        <v>6841</v>
      </c>
      <c r="D23" s="458" t="s">
        <v>6879</v>
      </c>
      <c r="E23" s="458" t="s">
        <v>6880</v>
      </c>
      <c r="F23" s="459" t="s">
        <v>6881</v>
      </c>
    </row>
    <row r="24" spans="1:10" ht="28.2" thickBot="1">
      <c r="A24" t="s">
        <v>2</v>
      </c>
      <c r="B24" s="494" t="s">
        <v>6841</v>
      </c>
      <c r="C24" s="460" t="s">
        <v>6882</v>
      </c>
      <c r="D24" s="460"/>
      <c r="E24" s="460"/>
      <c r="F24" s="461"/>
    </row>
    <row r="25" spans="1:10" ht="29.4" thickBot="1">
      <c r="A25" t="s">
        <v>2</v>
      </c>
      <c r="B25" s="494" t="s">
        <v>6841</v>
      </c>
      <c r="C25" s="460" t="s">
        <v>6883</v>
      </c>
      <c r="D25" s="460">
        <v>14.19</v>
      </c>
      <c r="E25" s="460">
        <v>14.5</v>
      </c>
      <c r="F25" s="461">
        <v>12.86</v>
      </c>
      <c r="H25" s="419" t="s">
        <v>6887</v>
      </c>
      <c r="I25" s="464">
        <f>29/100</f>
        <v>0.28999999999999998</v>
      </c>
      <c r="J25" s="247" t="s">
        <v>6888</v>
      </c>
    </row>
    <row r="26" spans="1:10" ht="28.2" thickBot="1">
      <c r="A26" t="s">
        <v>2</v>
      </c>
      <c r="B26" s="494" t="s">
        <v>6841</v>
      </c>
      <c r="C26" s="460" t="s">
        <v>6884</v>
      </c>
      <c r="D26" s="460">
        <v>14.42</v>
      </c>
      <c r="E26" s="460">
        <v>14.04</v>
      </c>
      <c r="F26" s="461"/>
      <c r="H26" s="419" t="s">
        <v>6889</v>
      </c>
      <c r="I26" s="432">
        <v>7.5</v>
      </c>
      <c r="J26" s="249" t="s">
        <v>6349</v>
      </c>
    </row>
    <row r="27" spans="1:10" ht="29.4" thickBot="1">
      <c r="A27" t="s">
        <v>2</v>
      </c>
      <c r="B27" s="494" t="s">
        <v>6841</v>
      </c>
      <c r="C27" s="460" t="s">
        <v>6885</v>
      </c>
      <c r="D27" s="460">
        <v>14.64</v>
      </c>
      <c r="E27" s="460"/>
      <c r="F27" s="461"/>
      <c r="H27" s="419" t="s">
        <v>6890</v>
      </c>
      <c r="I27" s="432">
        <f>M5</f>
        <v>0.71140000000000003</v>
      </c>
      <c r="J27" s="249"/>
    </row>
    <row r="28" spans="1:10" ht="29.4" thickBot="1">
      <c r="A28" t="s">
        <v>2</v>
      </c>
      <c r="B28" s="494" t="s">
        <v>6841</v>
      </c>
      <c r="C28" s="460" t="s">
        <v>6886</v>
      </c>
      <c r="D28" s="460"/>
      <c r="E28" s="460"/>
      <c r="F28" s="461"/>
      <c r="H28" s="419" t="s">
        <v>6891</v>
      </c>
      <c r="I28" s="432">
        <f>I27*I25*46/180*2</f>
        <v>0.10544528888888889</v>
      </c>
      <c r="J28" s="249"/>
    </row>
    <row r="29" spans="1:10" ht="15" thickBot="1">
      <c r="A29" t="s">
        <v>2</v>
      </c>
      <c r="B29" s="494" t="s">
        <v>6841</v>
      </c>
      <c r="C29" s="460" t="s">
        <v>6883</v>
      </c>
      <c r="D29" s="460">
        <v>84.2</v>
      </c>
      <c r="E29" s="460">
        <v>86.1</v>
      </c>
      <c r="F29" s="461">
        <v>78.099999999999994</v>
      </c>
      <c r="H29" s="419" t="s">
        <v>5241</v>
      </c>
      <c r="I29" s="432">
        <f>AVERAGE(D29:F31)</f>
        <v>83.633333333333326</v>
      </c>
      <c r="J29" s="249" t="s">
        <v>3417</v>
      </c>
    </row>
    <row r="30" spans="1:10" ht="29.4" thickBot="1">
      <c r="A30" t="s">
        <v>2</v>
      </c>
      <c r="B30" s="494" t="s">
        <v>6841</v>
      </c>
      <c r="C30" s="460" t="s">
        <v>6884</v>
      </c>
      <c r="D30" s="460">
        <v>87.6</v>
      </c>
      <c r="E30" s="460">
        <v>83.4</v>
      </c>
      <c r="F30" s="461"/>
      <c r="H30" s="419" t="s">
        <v>6892</v>
      </c>
      <c r="I30" s="432">
        <f>I28/I25</f>
        <v>0.36360444444444445</v>
      </c>
      <c r="J30" s="249"/>
    </row>
    <row r="31" spans="1:10" ht="28.2" thickBot="1">
      <c r="A31" t="s">
        <v>2</v>
      </c>
      <c r="B31" s="494" t="s">
        <v>6841</v>
      </c>
      <c r="C31" s="460" t="s">
        <v>6885</v>
      </c>
      <c r="D31" s="460">
        <v>82.4</v>
      </c>
      <c r="E31" s="460"/>
      <c r="F31" s="461"/>
      <c r="H31" s="419" t="s">
        <v>6893</v>
      </c>
      <c r="I31" s="251">
        <f>I30*I29/100</f>
        <v>0.30409451703703705</v>
      </c>
      <c r="J31" s="252"/>
    </row>
    <row r="32" spans="1:10">
      <c r="A32" t="s">
        <v>2</v>
      </c>
      <c r="B32" s="494" t="s">
        <v>6841</v>
      </c>
      <c r="C32" s="462"/>
      <c r="D32" s="462"/>
      <c r="E32" s="462"/>
      <c r="F32" s="462"/>
    </row>
    <row r="33" spans="1:12">
      <c r="A33" t="s">
        <v>2</v>
      </c>
      <c r="B33" s="494" t="s">
        <v>6841</v>
      </c>
    </row>
    <row r="34" spans="1:12">
      <c r="A34" t="s">
        <v>2</v>
      </c>
      <c r="B34" s="494" t="s">
        <v>6841</v>
      </c>
    </row>
    <row r="35" spans="1:12">
      <c r="A35" t="s">
        <v>2</v>
      </c>
      <c r="B35" s="494" t="s">
        <v>6841</v>
      </c>
      <c r="C35" t="s">
        <v>396</v>
      </c>
    </row>
    <row r="36" spans="1:12" ht="15" thickBot="1">
      <c r="A36" t="s">
        <v>2</v>
      </c>
      <c r="B36" s="494" t="s">
        <v>6841</v>
      </c>
      <c r="C36" t="s">
        <v>6</v>
      </c>
    </row>
    <row r="37" spans="1:12" ht="29.4" thickBot="1">
      <c r="A37" t="s">
        <v>2</v>
      </c>
      <c r="B37" s="494" t="s">
        <v>6841</v>
      </c>
      <c r="C37" s="465" t="s">
        <v>6843</v>
      </c>
      <c r="D37" s="466" t="s">
        <v>6894</v>
      </c>
      <c r="E37" s="467"/>
      <c r="F37" s="467"/>
      <c r="G37" s="466" t="s">
        <v>6895</v>
      </c>
      <c r="H37" s="467"/>
      <c r="I37" s="467"/>
      <c r="J37" s="468" t="s">
        <v>6899</v>
      </c>
      <c r="K37" s="467" t="s">
        <v>6909</v>
      </c>
      <c r="L37" s="696"/>
    </row>
    <row r="38" spans="1:12" ht="15" thickBot="1">
      <c r="A38" t="s">
        <v>2</v>
      </c>
      <c r="B38" s="494" t="s">
        <v>6841</v>
      </c>
      <c r="C38" s="469"/>
      <c r="D38" s="470" t="s">
        <v>1772</v>
      </c>
      <c r="E38" s="471"/>
      <c r="F38" s="469"/>
      <c r="G38" s="470" t="s">
        <v>1772</v>
      </c>
      <c r="H38" s="471"/>
      <c r="I38" s="469"/>
      <c r="J38" s="469"/>
      <c r="K38" s="469"/>
      <c r="L38" s="697"/>
    </row>
    <row r="39" spans="1:12" ht="16.2" thickBot="1">
      <c r="A39" t="s">
        <v>2</v>
      </c>
      <c r="B39" s="494" t="s">
        <v>6841</v>
      </c>
      <c r="C39" s="471"/>
      <c r="D39" s="470" t="s">
        <v>6896</v>
      </c>
      <c r="E39" s="470" t="s">
        <v>6900</v>
      </c>
      <c r="F39" s="472" t="s">
        <v>2203</v>
      </c>
      <c r="G39" s="470" t="s">
        <v>6896</v>
      </c>
      <c r="H39" s="473" t="s">
        <v>6900</v>
      </c>
      <c r="I39" s="472" t="s">
        <v>2203</v>
      </c>
      <c r="J39" s="470" t="s">
        <v>6896</v>
      </c>
      <c r="K39" s="473" t="s">
        <v>6900</v>
      </c>
      <c r="L39" s="698"/>
    </row>
    <row r="40" spans="1:12">
      <c r="A40" t="s">
        <v>2</v>
      </c>
      <c r="B40" s="494" t="s">
        <v>6841</v>
      </c>
      <c r="C40" s="474" t="s">
        <v>6897</v>
      </c>
      <c r="D40" s="474" t="s">
        <v>6901</v>
      </c>
      <c r="E40" s="474" t="s">
        <v>6902</v>
      </c>
      <c r="F40" s="475">
        <v>6.07</v>
      </c>
      <c r="G40" s="474" t="s">
        <v>6903</v>
      </c>
      <c r="H40" s="476" t="s">
        <v>6904</v>
      </c>
      <c r="I40" s="475">
        <v>5.12</v>
      </c>
      <c r="J40" s="474">
        <v>0.36299999999999999</v>
      </c>
      <c r="K40" s="475">
        <v>0.40300000000000002</v>
      </c>
      <c r="L40" s="469"/>
    </row>
    <row r="41" spans="1:12" ht="15" thickBot="1">
      <c r="A41" t="s">
        <v>2</v>
      </c>
      <c r="B41" s="494" t="s">
        <v>6841</v>
      </c>
      <c r="C41" s="470" t="s">
        <v>6898</v>
      </c>
      <c r="D41" s="470" t="s">
        <v>6905</v>
      </c>
      <c r="E41" s="470" t="s">
        <v>6906</v>
      </c>
      <c r="F41" s="472">
        <v>7.01</v>
      </c>
      <c r="G41" s="470" t="s">
        <v>6907</v>
      </c>
      <c r="H41" s="473" t="s">
        <v>6908</v>
      </c>
      <c r="I41" s="472">
        <v>3.88</v>
      </c>
      <c r="J41" s="470">
        <v>0.32800000000000001</v>
      </c>
      <c r="K41" s="472">
        <v>0.38100000000000001</v>
      </c>
      <c r="L41" s="471"/>
    </row>
    <row r="42" spans="1:12">
      <c r="A42" t="s">
        <v>2</v>
      </c>
      <c r="B42" s="494" t="s">
        <v>6841</v>
      </c>
    </row>
    <row r="43" spans="1:12" ht="43.2">
      <c r="A43" t="s">
        <v>2</v>
      </c>
      <c r="B43" s="494" t="s">
        <v>6841</v>
      </c>
      <c r="C43" s="419" t="s">
        <v>6910</v>
      </c>
      <c r="D43">
        <f>AVERAGE(J40:K41)</f>
        <v>0.36875000000000002</v>
      </c>
    </row>
    <row r="44" spans="1:12" ht="43.2">
      <c r="A44" t="s">
        <v>2</v>
      </c>
      <c r="B44" s="494" t="s">
        <v>6841</v>
      </c>
      <c r="C44" s="419" t="s">
        <v>6890</v>
      </c>
      <c r="D44" s="432">
        <f>I27</f>
        <v>0.71140000000000003</v>
      </c>
    </row>
    <row r="45" spans="1:12" ht="28.8">
      <c r="A45" t="s">
        <v>2</v>
      </c>
      <c r="B45" s="494" t="s">
        <v>6841</v>
      </c>
      <c r="C45" s="419" t="s">
        <v>6911</v>
      </c>
      <c r="D45">
        <f>D43*D44</f>
        <v>0.26232875000000005</v>
      </c>
    </row>
    <row r="46" spans="1:12">
      <c r="A46" t="s">
        <v>2</v>
      </c>
      <c r="B46" s="494" t="s">
        <v>6841</v>
      </c>
    </row>
    <row r="47" spans="1:12">
      <c r="A47" t="s">
        <v>2</v>
      </c>
      <c r="B47" s="494" t="s">
        <v>6841</v>
      </c>
      <c r="C47" t="s">
        <v>420</v>
      </c>
    </row>
    <row r="48" spans="1:12" ht="15" thickBot="1">
      <c r="A48" t="s">
        <v>2</v>
      </c>
      <c r="B48" s="494" t="s">
        <v>6841</v>
      </c>
      <c r="C48" t="s">
        <v>6912</v>
      </c>
    </row>
    <row r="49" spans="1:9" ht="42" thickBot="1">
      <c r="A49" t="s">
        <v>2</v>
      </c>
      <c r="B49" s="494" t="s">
        <v>6841</v>
      </c>
      <c r="C49" s="458" t="s">
        <v>3601</v>
      </c>
      <c r="D49" s="458" t="s">
        <v>6913</v>
      </c>
      <c r="E49" s="458" t="s">
        <v>6914</v>
      </c>
      <c r="F49" s="459" t="s">
        <v>207</v>
      </c>
    </row>
    <row r="50" spans="1:9" ht="28.2" thickBot="1">
      <c r="A50" t="s">
        <v>2</v>
      </c>
      <c r="B50" s="494" t="s">
        <v>6841</v>
      </c>
      <c r="C50" s="460" t="s">
        <v>4189</v>
      </c>
      <c r="D50" s="460" t="s">
        <v>6915</v>
      </c>
      <c r="E50" s="460" t="s">
        <v>6916</v>
      </c>
      <c r="F50" s="461" t="s">
        <v>6917</v>
      </c>
    </row>
    <row r="51" spans="1:9" ht="28.2" thickBot="1">
      <c r="A51" t="s">
        <v>2</v>
      </c>
      <c r="B51" s="494" t="s">
        <v>6841</v>
      </c>
      <c r="C51" s="460" t="s">
        <v>6918</v>
      </c>
      <c r="D51" s="460" t="s">
        <v>6919</v>
      </c>
      <c r="E51" s="460" t="s">
        <v>6920</v>
      </c>
      <c r="F51" s="461" t="s">
        <v>6917</v>
      </c>
    </row>
    <row r="52" spans="1:9" ht="15" thickBot="1">
      <c r="A52" t="s">
        <v>2</v>
      </c>
      <c r="B52" s="494" t="s">
        <v>6841</v>
      </c>
      <c r="C52" s="460" t="s">
        <v>3016</v>
      </c>
      <c r="D52" s="460" t="s">
        <v>6921</v>
      </c>
      <c r="E52" s="460">
        <v>4180</v>
      </c>
      <c r="F52" s="461" t="s">
        <v>6922</v>
      </c>
    </row>
    <row r="53" spans="1:9" ht="29.4" thickBot="1">
      <c r="A53" t="s">
        <v>2</v>
      </c>
      <c r="B53" s="494" t="s">
        <v>6841</v>
      </c>
      <c r="C53" s="460" t="s">
        <v>6923</v>
      </c>
      <c r="D53" s="460" t="s">
        <v>6924</v>
      </c>
      <c r="E53" s="460" t="s">
        <v>6925</v>
      </c>
      <c r="F53" s="461" t="s">
        <v>6926</v>
      </c>
      <c r="H53" s="419" t="s">
        <v>6954</v>
      </c>
      <c r="I53" s="419">
        <f>D57</f>
        <v>345</v>
      </c>
    </row>
    <row r="54" spans="1:9" ht="29.4" thickBot="1">
      <c r="A54" t="s">
        <v>2</v>
      </c>
      <c r="B54" s="494" t="s">
        <v>6841</v>
      </c>
      <c r="C54" s="460" t="s">
        <v>6927</v>
      </c>
      <c r="D54" s="460">
        <v>250</v>
      </c>
      <c r="E54" s="460" t="s">
        <v>6928</v>
      </c>
      <c r="F54" s="461" t="s">
        <v>6929</v>
      </c>
      <c r="H54" s="419" t="s">
        <v>6955</v>
      </c>
      <c r="I54" s="419">
        <f>I53*0.79</f>
        <v>272.55</v>
      </c>
    </row>
    <row r="55" spans="1:9" ht="28.2" thickBot="1">
      <c r="A55" t="s">
        <v>2</v>
      </c>
      <c r="B55" s="494" t="s">
        <v>6841</v>
      </c>
      <c r="C55" s="460" t="s">
        <v>4996</v>
      </c>
      <c r="D55" s="460">
        <v>380</v>
      </c>
      <c r="E55" s="460">
        <v>1099</v>
      </c>
      <c r="F55" s="461" t="s">
        <v>6930</v>
      </c>
      <c r="H55" s="419" t="s">
        <v>6956</v>
      </c>
      <c r="I55" s="419">
        <f>I54/1000</f>
        <v>0.27255000000000001</v>
      </c>
    </row>
    <row r="56" spans="1:9" ht="15" thickBot="1">
      <c r="A56" t="s">
        <v>2</v>
      </c>
      <c r="B56" s="494" t="s">
        <v>6841</v>
      </c>
      <c r="C56" s="460" t="s">
        <v>4363</v>
      </c>
      <c r="D56" s="460">
        <v>280</v>
      </c>
      <c r="E56" s="460" t="s">
        <v>209</v>
      </c>
      <c r="F56" s="461" t="s">
        <v>6931</v>
      </c>
    </row>
    <row r="57" spans="1:9" ht="15" thickBot="1">
      <c r="A57" t="s">
        <v>2</v>
      </c>
      <c r="B57" s="494" t="s">
        <v>6841</v>
      </c>
      <c r="C57" s="477" t="s">
        <v>6841</v>
      </c>
      <c r="D57" s="477">
        <v>345</v>
      </c>
      <c r="E57" s="477" t="s">
        <v>209</v>
      </c>
      <c r="F57" s="478" t="s">
        <v>6932</v>
      </c>
    </row>
    <row r="58" spans="1:9" ht="15" thickBot="1">
      <c r="A58" t="s">
        <v>2</v>
      </c>
      <c r="B58" s="494" t="s">
        <v>6841</v>
      </c>
      <c r="C58" s="460" t="s">
        <v>6933</v>
      </c>
      <c r="D58" s="460">
        <v>264</v>
      </c>
      <c r="E58" s="460" t="s">
        <v>209</v>
      </c>
      <c r="F58" s="461" t="s">
        <v>6932</v>
      </c>
    </row>
    <row r="59" spans="1:9" ht="15" thickBot="1">
      <c r="A59" s="494" t="s">
        <v>2</v>
      </c>
      <c r="B59" s="494" t="s">
        <v>6841</v>
      </c>
      <c r="C59" s="460" t="s">
        <v>6934</v>
      </c>
      <c r="D59" s="460">
        <v>368</v>
      </c>
      <c r="E59" s="460" t="s">
        <v>209</v>
      </c>
      <c r="F59" s="461" t="s">
        <v>6932</v>
      </c>
    </row>
    <row r="60" spans="1:9" ht="28.2" thickBot="1">
      <c r="A60" s="494" t="s">
        <v>2</v>
      </c>
      <c r="B60" s="494" t="s">
        <v>6841</v>
      </c>
      <c r="C60" s="460" t="s">
        <v>6935</v>
      </c>
      <c r="D60" s="460" t="s">
        <v>6936</v>
      </c>
      <c r="E60" s="460" t="s">
        <v>6937</v>
      </c>
      <c r="F60" s="461" t="s">
        <v>6938</v>
      </c>
    </row>
    <row r="61" spans="1:9" ht="15" thickBot="1">
      <c r="A61" s="494" t="s">
        <v>2</v>
      </c>
      <c r="B61" s="494" t="s">
        <v>6841</v>
      </c>
      <c r="C61" s="460" t="s">
        <v>6939</v>
      </c>
      <c r="D61" s="460" t="s">
        <v>6940</v>
      </c>
      <c r="E61" s="460">
        <v>4901</v>
      </c>
      <c r="F61" s="461" t="s">
        <v>6941</v>
      </c>
    </row>
    <row r="62" spans="1:9" ht="28.2" thickBot="1">
      <c r="A62" s="494" t="s">
        <v>2</v>
      </c>
      <c r="B62" s="494" t="s">
        <v>6841</v>
      </c>
      <c r="C62" s="460" t="s">
        <v>2509</v>
      </c>
      <c r="D62" s="460">
        <v>90</v>
      </c>
      <c r="E62" s="460" t="s">
        <v>6942</v>
      </c>
      <c r="F62" s="461" t="s">
        <v>6943</v>
      </c>
    </row>
    <row r="63" spans="1:9" ht="15" thickBot="1">
      <c r="A63" s="494" t="s">
        <v>2</v>
      </c>
      <c r="B63" s="494" t="s">
        <v>6841</v>
      </c>
      <c r="C63" s="460" t="s">
        <v>6944</v>
      </c>
      <c r="D63" s="460">
        <v>208</v>
      </c>
      <c r="E63" s="460">
        <v>2496</v>
      </c>
      <c r="F63" s="461" t="s">
        <v>6941</v>
      </c>
    </row>
    <row r="64" spans="1:9" ht="15" thickBot="1">
      <c r="A64" s="494" t="s">
        <v>2</v>
      </c>
      <c r="B64" s="494" t="s">
        <v>6841</v>
      </c>
      <c r="C64" s="460" t="s">
        <v>6945</v>
      </c>
      <c r="D64" s="460" t="s">
        <v>6946</v>
      </c>
      <c r="E64" s="460">
        <v>1600</v>
      </c>
      <c r="F64" s="461" t="s">
        <v>6947</v>
      </c>
    </row>
    <row r="65" spans="1:6" ht="28.2" thickBot="1">
      <c r="A65" s="494" t="s">
        <v>2</v>
      </c>
      <c r="B65" s="494" t="s">
        <v>6841</v>
      </c>
      <c r="C65" s="460" t="s">
        <v>3404</v>
      </c>
      <c r="D65" s="460" t="s">
        <v>6948</v>
      </c>
      <c r="E65" s="460" t="s">
        <v>6949</v>
      </c>
      <c r="F65" s="461" t="s">
        <v>6950</v>
      </c>
    </row>
    <row r="66" spans="1:6" ht="15" thickBot="1">
      <c r="A66" s="494" t="s">
        <v>2</v>
      </c>
      <c r="B66" s="494" t="s">
        <v>6841</v>
      </c>
      <c r="C66" s="460" t="s">
        <v>6951</v>
      </c>
      <c r="D66" s="460">
        <v>192</v>
      </c>
      <c r="E66" s="460">
        <v>4800</v>
      </c>
      <c r="F66" s="461" t="s">
        <v>6941</v>
      </c>
    </row>
    <row r="67" spans="1:6" ht="15" thickBot="1">
      <c r="A67" s="494" t="s">
        <v>2</v>
      </c>
      <c r="B67" s="494" t="s">
        <v>6841</v>
      </c>
      <c r="C67" s="460" t="s">
        <v>3181</v>
      </c>
      <c r="D67" s="460">
        <v>450</v>
      </c>
      <c r="E67" s="460">
        <v>4400</v>
      </c>
      <c r="F67" s="461" t="s">
        <v>6952</v>
      </c>
    </row>
    <row r="68" spans="1:6" ht="15" thickBot="1">
      <c r="A68" s="494" t="s">
        <v>2</v>
      </c>
      <c r="B68" s="494" t="s">
        <v>6841</v>
      </c>
      <c r="C68" s="460" t="s">
        <v>4095</v>
      </c>
      <c r="D68" s="460">
        <v>510</v>
      </c>
      <c r="E68" s="460" t="s">
        <v>209</v>
      </c>
      <c r="F68" s="461" t="s">
        <v>6953</v>
      </c>
    </row>
    <row r="69" spans="1:6" ht="15" thickBot="1">
      <c r="A69" s="494" t="s">
        <v>2</v>
      </c>
      <c r="B69" s="494" t="s">
        <v>6841</v>
      </c>
      <c r="C69" s="460" t="s">
        <v>3609</v>
      </c>
      <c r="D69" s="460">
        <v>490</v>
      </c>
      <c r="E69" s="460" t="s">
        <v>209</v>
      </c>
      <c r="F69" s="461" t="s">
        <v>6953</v>
      </c>
    </row>
    <row r="70" spans="1:6" s="494" customFormat="1">
      <c r="A70" s="494" t="s">
        <v>2</v>
      </c>
      <c r="B70" s="494" t="s">
        <v>7060</v>
      </c>
    </row>
    <row r="71" spans="1:6" s="494" customFormat="1">
      <c r="A71" s="494" t="s">
        <v>2</v>
      </c>
      <c r="B71" s="494" t="s">
        <v>7060</v>
      </c>
    </row>
    <row r="72" spans="1:6" s="494" customFormat="1">
      <c r="A72" s="494" t="s">
        <v>2</v>
      </c>
      <c r="B72" s="494" t="s">
        <v>7060</v>
      </c>
      <c r="C72" s="496" t="s">
        <v>197</v>
      </c>
      <c r="D72" s="7" t="s">
        <v>7061</v>
      </c>
    </row>
    <row r="73" spans="1:6" s="494" customFormat="1">
      <c r="A73" s="494" t="s">
        <v>2</v>
      </c>
      <c r="B73" s="494" t="s">
        <v>7060</v>
      </c>
    </row>
    <row r="74" spans="1:6" s="494" customFormat="1" ht="28.8">
      <c r="A74" s="494" t="s">
        <v>2</v>
      </c>
      <c r="B74" s="494" t="s">
        <v>7060</v>
      </c>
      <c r="D74" s="493" t="s">
        <v>7062</v>
      </c>
      <c r="E74" s="494">
        <v>65</v>
      </c>
    </row>
    <row r="75" spans="1:6" s="494" customFormat="1">
      <c r="A75" s="494" t="s">
        <v>2</v>
      </c>
      <c r="B75" s="494" t="s">
        <v>7060</v>
      </c>
      <c r="D75" s="493" t="s">
        <v>7063</v>
      </c>
      <c r="E75" s="494">
        <f>E74/1000</f>
        <v>6.5000000000000002E-2</v>
      </c>
    </row>
    <row r="76" spans="1:6" s="494" customFormat="1">
      <c r="A76" s="494" t="s">
        <v>2</v>
      </c>
      <c r="B76" s="494" t="s">
        <v>7060</v>
      </c>
    </row>
    <row r="77" spans="1:6" s="494" customFormat="1">
      <c r="A77" s="494" t="s">
        <v>2</v>
      </c>
      <c r="B77" s="494" t="s">
        <v>7060</v>
      </c>
    </row>
    <row r="78" spans="1:6" s="494" customFormat="1">
      <c r="A78" s="494" t="s">
        <v>2</v>
      </c>
      <c r="B78" s="494" t="s">
        <v>7060</v>
      </c>
      <c r="C78" s="494" t="s">
        <v>226</v>
      </c>
      <c r="D78" s="7" t="s">
        <v>7065</v>
      </c>
    </row>
    <row r="79" spans="1:6" s="494" customFormat="1" ht="28.8">
      <c r="A79" s="494" t="s">
        <v>2</v>
      </c>
      <c r="B79" s="494" t="s">
        <v>7060</v>
      </c>
      <c r="D79" s="493" t="s">
        <v>7064</v>
      </c>
      <c r="E79" s="494">
        <v>251</v>
      </c>
    </row>
    <row r="80" spans="1:6" s="494" customFormat="1">
      <c r="A80" s="494" t="s">
        <v>2</v>
      </c>
      <c r="B80" s="494" t="s">
        <v>7060</v>
      </c>
      <c r="D80" s="493" t="s">
        <v>7066</v>
      </c>
      <c r="E80" s="494">
        <v>789</v>
      </c>
    </row>
    <row r="81" spans="1:11" s="494" customFormat="1">
      <c r="A81" s="494" t="s">
        <v>2</v>
      </c>
      <c r="B81" s="494" t="s">
        <v>7060</v>
      </c>
      <c r="D81" s="493" t="s">
        <v>7067</v>
      </c>
      <c r="E81" s="494">
        <f>E79*E80/1000000</f>
        <v>0.19803899999999999</v>
      </c>
    </row>
    <row r="82" spans="1:11" s="494" customFormat="1">
      <c r="A82" s="494" t="s">
        <v>2</v>
      </c>
      <c r="B82" s="494" t="s">
        <v>7060</v>
      </c>
    </row>
    <row r="83" spans="1:11" s="494" customFormat="1">
      <c r="A83" s="494" t="s">
        <v>2</v>
      </c>
      <c r="B83" s="494" t="s">
        <v>7060</v>
      </c>
    </row>
    <row r="84" spans="1:11" s="494" customFormat="1">
      <c r="A84" s="494" t="s">
        <v>2</v>
      </c>
      <c r="B84" s="494" t="s">
        <v>7060</v>
      </c>
      <c r="C84" s="494" t="s">
        <v>396</v>
      </c>
      <c r="D84" s="7" t="s">
        <v>7068</v>
      </c>
    </row>
    <row r="85" spans="1:11" s="494" customFormat="1">
      <c r="A85" s="494" t="s">
        <v>2</v>
      </c>
      <c r="B85" s="494" t="s">
        <v>7060</v>
      </c>
    </row>
    <row r="86" spans="1:11" s="494" customFormat="1" ht="28.8">
      <c r="A86" s="494" t="s">
        <v>2</v>
      </c>
      <c r="B86" s="494" t="s">
        <v>7060</v>
      </c>
      <c r="D86" s="493" t="s">
        <v>7069</v>
      </c>
      <c r="E86" s="494">
        <v>17.899999999999999</v>
      </c>
    </row>
    <row r="87" spans="1:11" s="494" customFormat="1">
      <c r="A87" s="494" t="s">
        <v>2</v>
      </c>
      <c r="B87" s="494" t="s">
        <v>7060</v>
      </c>
      <c r="D87" s="493" t="s">
        <v>7067</v>
      </c>
      <c r="E87" s="494">
        <f>E86/100</f>
        <v>0.17899999999999999</v>
      </c>
    </row>
    <row r="88" spans="1:11">
      <c r="A88" s="494" t="s">
        <v>2</v>
      </c>
      <c r="B88" s="494" t="s">
        <v>7060</v>
      </c>
    </row>
    <row r="89" spans="1:11">
      <c r="A89" s="494" t="s">
        <v>2</v>
      </c>
      <c r="B89" s="494" t="s">
        <v>7060</v>
      </c>
      <c r="C89" t="s">
        <v>6782</v>
      </c>
      <c r="D89" s="7" t="s">
        <v>7097</v>
      </c>
    </row>
    <row r="90" spans="1:11" ht="15" thickBot="1">
      <c r="A90" s="494" t="s">
        <v>2</v>
      </c>
      <c r="B90" s="494" t="s">
        <v>7060</v>
      </c>
      <c r="C90" t="s">
        <v>7070</v>
      </c>
    </row>
    <row r="91" spans="1:11" ht="42" thickBot="1">
      <c r="A91" s="494" t="s">
        <v>2</v>
      </c>
      <c r="B91" s="494" t="s">
        <v>7060</v>
      </c>
      <c r="D91" s="497" t="s">
        <v>7071</v>
      </c>
      <c r="E91" s="497" t="s">
        <v>7072</v>
      </c>
      <c r="F91" s="497" t="s">
        <v>7073</v>
      </c>
      <c r="G91" s="498" t="s">
        <v>7074</v>
      </c>
      <c r="H91" s="497" t="s">
        <v>7091</v>
      </c>
      <c r="I91" s="497" t="s">
        <v>7092</v>
      </c>
      <c r="J91" s="497" t="s">
        <v>7093</v>
      </c>
      <c r="K91" s="501" t="s">
        <v>7094</v>
      </c>
    </row>
    <row r="92" spans="1:11" ht="28.2" thickBot="1">
      <c r="A92" s="494" t="s">
        <v>2</v>
      </c>
      <c r="B92" s="494" t="s">
        <v>7060</v>
      </c>
      <c r="D92" s="499" t="s">
        <v>7075</v>
      </c>
      <c r="E92" s="499" t="s">
        <v>7076</v>
      </c>
      <c r="F92" s="499" t="s">
        <v>7077</v>
      </c>
      <c r="G92" s="500" t="s">
        <v>7078</v>
      </c>
      <c r="H92" s="499">
        <f>(31.2+42.27+28.7+40.3)/4</f>
        <v>35.6175</v>
      </c>
      <c r="I92" s="499">
        <f>AVERAGE(73,94,59.5,82.2)</f>
        <v>77.174999999999997</v>
      </c>
      <c r="J92" s="499">
        <f>H92/I92*100</f>
        <v>46.151603498542279</v>
      </c>
      <c r="K92">
        <f>J92*180/46*2</f>
        <v>361.18646216250477</v>
      </c>
    </row>
    <row r="93" spans="1:11" ht="28.2" thickBot="1">
      <c r="A93" s="494" t="s">
        <v>2</v>
      </c>
      <c r="B93" s="494" t="s">
        <v>7060</v>
      </c>
      <c r="D93" s="499" t="s">
        <v>7079</v>
      </c>
      <c r="E93" s="499" t="s">
        <v>7080</v>
      </c>
      <c r="F93" s="499" t="s">
        <v>7081</v>
      </c>
      <c r="G93" s="500" t="s">
        <v>7082</v>
      </c>
    </row>
    <row r="94" spans="1:11" ht="28.2" thickBot="1">
      <c r="A94" s="494" t="s">
        <v>2</v>
      </c>
      <c r="B94" s="494" t="s">
        <v>7060</v>
      </c>
      <c r="D94" s="499" t="s">
        <v>7083</v>
      </c>
      <c r="E94" s="499" t="s">
        <v>7084</v>
      </c>
      <c r="F94" s="499" t="s">
        <v>7085</v>
      </c>
      <c r="G94" s="500" t="s">
        <v>7086</v>
      </c>
    </row>
    <row r="95" spans="1:11" ht="28.2" thickBot="1">
      <c r="A95" s="494" t="s">
        <v>2</v>
      </c>
      <c r="B95" s="494" t="s">
        <v>7060</v>
      </c>
      <c r="D95" s="499" t="s">
        <v>7087</v>
      </c>
      <c r="E95" s="499" t="s">
        <v>7088</v>
      </c>
      <c r="F95" s="499" t="s">
        <v>7089</v>
      </c>
      <c r="G95" s="500" t="s">
        <v>7090</v>
      </c>
    </row>
    <row r="96" spans="1:11">
      <c r="A96" s="494" t="s">
        <v>2</v>
      </c>
      <c r="B96" s="494" t="s">
        <v>7060</v>
      </c>
      <c r="D96" s="494"/>
    </row>
    <row r="97" spans="1:6">
      <c r="A97" s="494" t="s">
        <v>2</v>
      </c>
      <c r="B97" s="494" t="s">
        <v>7060</v>
      </c>
      <c r="D97" s="494"/>
      <c r="E97" s="494"/>
      <c r="F97" s="494"/>
    </row>
    <row r="98" spans="1:6">
      <c r="A98" s="494" t="s">
        <v>2</v>
      </c>
      <c r="B98" s="494" t="s">
        <v>7060</v>
      </c>
      <c r="D98" s="493" t="s">
        <v>6875</v>
      </c>
      <c r="E98" s="494">
        <f>K92</f>
        <v>361.18646216250477</v>
      </c>
      <c r="F98" s="494"/>
    </row>
    <row r="99" spans="1:6">
      <c r="A99" s="494" t="s">
        <v>2</v>
      </c>
      <c r="B99" s="494" t="s">
        <v>7060</v>
      </c>
      <c r="D99" s="493" t="s">
        <v>6876</v>
      </c>
      <c r="E99" s="494">
        <f>E98/E100</f>
        <v>1229.7802593207516</v>
      </c>
    </row>
    <row r="100" spans="1:6">
      <c r="A100" s="494" t="s">
        <v>2</v>
      </c>
      <c r="B100" s="494" t="s">
        <v>7060</v>
      </c>
      <c r="D100" s="493" t="s">
        <v>7095</v>
      </c>
      <c r="E100" s="463">
        <v>0.29370000000000002</v>
      </c>
    </row>
    <row r="101" spans="1:6">
      <c r="A101" s="494" t="s">
        <v>2</v>
      </c>
      <c r="B101" s="494" t="s">
        <v>7060</v>
      </c>
      <c r="D101" s="493" t="s">
        <v>7096</v>
      </c>
      <c r="E101" s="494">
        <f>H92/E99</f>
        <v>2.896249125E-2</v>
      </c>
    </row>
    <row r="102" spans="1:6">
      <c r="A102" s="494" t="s">
        <v>2</v>
      </c>
      <c r="B102" s="494" t="s">
        <v>7060</v>
      </c>
    </row>
    <row r="103" spans="1:6">
      <c r="A103" s="494" t="s">
        <v>2</v>
      </c>
      <c r="B103" s="494" t="s">
        <v>7060</v>
      </c>
      <c r="D103" s="494" t="s">
        <v>425</v>
      </c>
      <c r="E103" s="7" t="s">
        <v>7098</v>
      </c>
    </row>
    <row r="104" spans="1:6">
      <c r="A104" s="494" t="s">
        <v>2</v>
      </c>
      <c r="B104" s="494" t="s">
        <v>7060</v>
      </c>
    </row>
    <row r="105" spans="1:6" ht="28.8">
      <c r="A105" s="494" t="s">
        <v>2</v>
      </c>
      <c r="B105" s="494" t="s">
        <v>7060</v>
      </c>
      <c r="D105" s="493" t="s">
        <v>7064</v>
      </c>
      <c r="E105" s="494">
        <v>220</v>
      </c>
    </row>
    <row r="106" spans="1:6">
      <c r="A106" s="494" t="s">
        <v>2</v>
      </c>
      <c r="B106" s="494" t="s">
        <v>7060</v>
      </c>
      <c r="D106" s="493" t="s">
        <v>7066</v>
      </c>
      <c r="E106" s="494">
        <v>789</v>
      </c>
    </row>
    <row r="107" spans="1:6">
      <c r="A107" s="494" t="s">
        <v>2</v>
      </c>
      <c r="B107" s="494" t="s">
        <v>7060</v>
      </c>
      <c r="D107" s="493" t="s">
        <v>7067</v>
      </c>
      <c r="E107" s="494">
        <f>E105*E106/1000000</f>
        <v>0.17358000000000001</v>
      </c>
    </row>
    <row r="108" spans="1:6">
      <c r="A108" s="494" t="s">
        <v>2</v>
      </c>
      <c r="B108" s="494" t="s">
        <v>7060</v>
      </c>
    </row>
    <row r="109" spans="1:6">
      <c r="A109" s="494" t="s">
        <v>2</v>
      </c>
      <c r="B109" s="494" t="s">
        <v>7060</v>
      </c>
    </row>
    <row r="110" spans="1:6">
      <c r="A110" s="494" t="s">
        <v>2</v>
      </c>
      <c r="B110" s="494" t="s">
        <v>7060</v>
      </c>
      <c r="D110" s="494"/>
      <c r="E110" s="494"/>
    </row>
    <row r="111" spans="1:6" s="494" customFormat="1">
      <c r="A111" s="494" t="s">
        <v>2</v>
      </c>
      <c r="B111" s="494" t="s">
        <v>7060</v>
      </c>
    </row>
    <row r="112" spans="1:6" s="494" customFormat="1">
      <c r="A112" s="494" t="s">
        <v>2</v>
      </c>
      <c r="B112" s="494" t="s">
        <v>7060</v>
      </c>
    </row>
    <row r="113" spans="1:5" s="494" customFormat="1">
      <c r="A113" s="494" t="s">
        <v>2</v>
      </c>
      <c r="B113" s="494" t="s">
        <v>7060</v>
      </c>
    </row>
    <row r="114" spans="1:5" s="494" customFormat="1">
      <c r="A114" s="494" t="s">
        <v>2</v>
      </c>
      <c r="B114" s="494" t="s">
        <v>7060</v>
      </c>
    </row>
    <row r="115" spans="1:5" s="494" customFormat="1">
      <c r="A115" s="494" t="s">
        <v>2</v>
      </c>
      <c r="B115" s="494" t="s">
        <v>7060</v>
      </c>
    </row>
    <row r="116" spans="1:5" s="494" customFormat="1">
      <c r="A116" s="494" t="s">
        <v>3168</v>
      </c>
      <c r="B116" s="494" t="s">
        <v>6841</v>
      </c>
      <c r="C116" s="494" t="s">
        <v>638</v>
      </c>
      <c r="D116" s="7" t="s">
        <v>639</v>
      </c>
    </row>
    <row r="117" spans="1:5" s="494" customFormat="1">
      <c r="A117" s="494" t="s">
        <v>3168</v>
      </c>
      <c r="B117" s="494" t="s">
        <v>6841</v>
      </c>
      <c r="D117" s="494" t="s">
        <v>640</v>
      </c>
    </row>
    <row r="118" spans="1:5" s="494" customFormat="1">
      <c r="A118" s="494" t="s">
        <v>3168</v>
      </c>
      <c r="B118" s="494" t="s">
        <v>6841</v>
      </c>
    </row>
    <row r="119" spans="1:5" s="494" customFormat="1">
      <c r="A119" s="494" t="s">
        <v>3168</v>
      </c>
      <c r="B119" s="494" t="s">
        <v>6841</v>
      </c>
      <c r="D119" s="48" t="s">
        <v>641</v>
      </c>
      <c r="E119" s="48">
        <v>0.72719999999999996</v>
      </c>
    </row>
    <row r="120" spans="1:5" s="494" customFormat="1">
      <c r="A120" s="494" t="s">
        <v>3168</v>
      </c>
      <c r="B120" s="494" t="s">
        <v>6841</v>
      </c>
      <c r="D120" s="48" t="s">
        <v>7019</v>
      </c>
      <c r="E120" s="51">
        <f>[1]MonoSugar!$J$29</f>
        <v>13.973886363636364</v>
      </c>
    </row>
    <row r="121" spans="1:5" s="494" customFormat="1">
      <c r="A121" s="494" t="s">
        <v>3168</v>
      </c>
      <c r="B121" s="494" t="s">
        <v>6841</v>
      </c>
      <c r="D121" s="48" t="s">
        <v>643</v>
      </c>
      <c r="E121" s="48">
        <f>E119*E120%</f>
        <v>0.10161810163636364</v>
      </c>
    </row>
    <row r="122" spans="1:5" s="494" customFormat="1">
      <c r="A122" s="494" t="s">
        <v>3168</v>
      </c>
      <c r="B122" s="494" t="s">
        <v>6841</v>
      </c>
    </row>
    <row r="123" spans="1:5" s="494" customFormat="1">
      <c r="A123" s="494" t="s">
        <v>3168</v>
      </c>
      <c r="B123" s="494" t="s">
        <v>6841</v>
      </c>
    </row>
    <row r="124" spans="1:5" s="494" customFormat="1">
      <c r="A124" s="494" t="s">
        <v>3168</v>
      </c>
      <c r="B124" s="494" t="s">
        <v>6841</v>
      </c>
    </row>
    <row r="125" spans="1:5" s="494" customFormat="1">
      <c r="A125" s="494" t="s">
        <v>3168</v>
      </c>
      <c r="B125" s="494" t="s">
        <v>7060</v>
      </c>
    </row>
    <row r="126" spans="1:5" s="494" customFormat="1">
      <c r="A126" s="494" t="s">
        <v>3168</v>
      </c>
      <c r="B126" s="494" t="s">
        <v>7060</v>
      </c>
      <c r="C126" s="494" t="s">
        <v>638</v>
      </c>
      <c r="D126" s="7" t="s">
        <v>639</v>
      </c>
    </row>
    <row r="127" spans="1:5" s="494" customFormat="1">
      <c r="A127" s="494" t="s">
        <v>3168</v>
      </c>
      <c r="B127" s="494" t="s">
        <v>7060</v>
      </c>
      <c r="D127" s="494" t="s">
        <v>640</v>
      </c>
    </row>
    <row r="128" spans="1:5" s="494" customFormat="1">
      <c r="A128" s="494" t="s">
        <v>3168</v>
      </c>
      <c r="B128" s="494" t="s">
        <v>7060</v>
      </c>
    </row>
    <row r="129" spans="1:5" s="494" customFormat="1">
      <c r="A129" s="494" t="s">
        <v>3168</v>
      </c>
      <c r="B129" s="494" t="s">
        <v>7060</v>
      </c>
      <c r="D129" s="48" t="s">
        <v>641</v>
      </c>
      <c r="E129" s="48">
        <v>0.72719999999999996</v>
      </c>
    </row>
    <row r="130" spans="1:5" s="494" customFormat="1">
      <c r="A130" s="494" t="s">
        <v>3168</v>
      </c>
      <c r="B130" s="494" t="s">
        <v>7060</v>
      </c>
      <c r="D130" s="48" t="s">
        <v>7019</v>
      </c>
      <c r="E130" s="51">
        <f>[1]MonoSugar!$J$31</f>
        <v>9.817795454545454</v>
      </c>
    </row>
    <row r="131" spans="1:5" s="494" customFormat="1">
      <c r="A131" s="494" t="s">
        <v>3168</v>
      </c>
      <c r="B131" s="494" t="s">
        <v>7060</v>
      </c>
      <c r="D131" s="48" t="s">
        <v>643</v>
      </c>
      <c r="E131" s="48">
        <f>E129*E130%</f>
        <v>7.1395008545454539E-2</v>
      </c>
    </row>
    <row r="132" spans="1:5" s="494" customFormat="1">
      <c r="A132" s="494" t="s">
        <v>3168</v>
      </c>
      <c r="B132" s="494" t="s">
        <v>7060</v>
      </c>
    </row>
    <row r="133" spans="1:5">
      <c r="A133" t="s">
        <v>679</v>
      </c>
      <c r="B133" s="494" t="s">
        <v>6841</v>
      </c>
      <c r="C133" s="494" t="s">
        <v>638</v>
      </c>
      <c r="D133" s="494" t="s">
        <v>680</v>
      </c>
      <c r="E133" s="494"/>
    </row>
    <row r="134" spans="1:5">
      <c r="A134" t="s">
        <v>679</v>
      </c>
      <c r="B134" s="494" t="s">
        <v>6841</v>
      </c>
      <c r="C134" s="494"/>
      <c r="D134" s="446" t="s">
        <v>7018</v>
      </c>
      <c r="E134" s="494"/>
    </row>
    <row r="135" spans="1:5">
      <c r="A135" t="s">
        <v>679</v>
      </c>
      <c r="B135" s="494" t="s">
        <v>6841</v>
      </c>
      <c r="C135" s="494"/>
      <c r="D135" s="494">
        <v>180</v>
      </c>
      <c r="E135" s="494">
        <v>126</v>
      </c>
    </row>
    <row r="136" spans="1:5">
      <c r="A136" t="s">
        <v>679</v>
      </c>
      <c r="B136" s="494" t="s">
        <v>6841</v>
      </c>
      <c r="C136" s="494"/>
      <c r="D136" s="48" t="s">
        <v>809</v>
      </c>
      <c r="E136" s="48">
        <f>1/180*126</f>
        <v>0.70000000000000007</v>
      </c>
    </row>
    <row r="137" spans="1:5">
      <c r="A137" t="s">
        <v>679</v>
      </c>
      <c r="B137" s="494" t="s">
        <v>6841</v>
      </c>
      <c r="C137" s="494"/>
      <c r="D137" s="48" t="s">
        <v>7020</v>
      </c>
      <c r="E137" s="51">
        <f>[1]MonoSugar!$L$29</f>
        <v>71.691228654970757</v>
      </c>
    </row>
    <row r="138" spans="1:5">
      <c r="A138" t="s">
        <v>679</v>
      </c>
      <c r="B138" s="494" t="s">
        <v>6841</v>
      </c>
      <c r="C138" s="494"/>
      <c r="D138" s="48" t="s">
        <v>7021</v>
      </c>
      <c r="E138" s="48">
        <f>E136*E137%</f>
        <v>0.50183860058479535</v>
      </c>
    </row>
    <row r="139" spans="1:5">
      <c r="A139" t="s">
        <v>679</v>
      </c>
      <c r="B139" s="494" t="s">
        <v>6841</v>
      </c>
      <c r="C139" s="494"/>
      <c r="D139" s="494"/>
      <c r="E139" s="494"/>
    </row>
    <row r="140" spans="1:5">
      <c r="A140" t="s">
        <v>679</v>
      </c>
      <c r="B140" s="494" t="s">
        <v>7060</v>
      </c>
      <c r="C140" s="494" t="s">
        <v>638</v>
      </c>
      <c r="D140" s="494" t="s">
        <v>680</v>
      </c>
      <c r="E140" s="494"/>
    </row>
    <row r="141" spans="1:5">
      <c r="A141" t="s">
        <v>679</v>
      </c>
      <c r="B141" s="494" t="s">
        <v>7060</v>
      </c>
      <c r="C141" s="494"/>
      <c r="D141" s="446" t="s">
        <v>7018</v>
      </c>
      <c r="E141" s="494"/>
    </row>
    <row r="142" spans="1:5">
      <c r="A142" t="s">
        <v>679</v>
      </c>
      <c r="B142" s="494" t="s">
        <v>7060</v>
      </c>
      <c r="C142" s="494"/>
      <c r="D142" s="494">
        <v>180</v>
      </c>
      <c r="E142" s="494">
        <v>126</v>
      </c>
    </row>
    <row r="143" spans="1:5">
      <c r="A143" t="s">
        <v>679</v>
      </c>
      <c r="B143" s="494" t="s">
        <v>7060</v>
      </c>
      <c r="C143" s="494"/>
      <c r="D143" s="48" t="s">
        <v>809</v>
      </c>
      <c r="E143" s="48">
        <f>1/180*126</f>
        <v>0.70000000000000007</v>
      </c>
    </row>
    <row r="144" spans="1:5">
      <c r="A144" t="s">
        <v>679</v>
      </c>
      <c r="B144" s="494" t="s">
        <v>7060</v>
      </c>
      <c r="C144" s="494"/>
      <c r="D144" s="48" t="s">
        <v>7020</v>
      </c>
      <c r="E144" s="51">
        <f>[1]MonoSugar!$L$31</f>
        <v>29.781563157894738</v>
      </c>
    </row>
    <row r="145" spans="1:7">
      <c r="A145" t="s">
        <v>679</v>
      </c>
      <c r="B145" s="494" t="s">
        <v>7060</v>
      </c>
      <c r="C145" s="494"/>
      <c r="D145" s="48" t="s">
        <v>7021</v>
      </c>
      <c r="E145" s="48">
        <f>E143*E144%</f>
        <v>0.20847094210526318</v>
      </c>
    </row>
    <row r="146" spans="1:7">
      <c r="A146" t="s">
        <v>679</v>
      </c>
      <c r="B146" s="494" t="s">
        <v>7060</v>
      </c>
      <c r="C146" s="494"/>
      <c r="D146" s="494"/>
      <c r="E146" s="494"/>
    </row>
    <row r="147" spans="1:7">
      <c r="A147" t="s">
        <v>823</v>
      </c>
      <c r="B147" s="494" t="s">
        <v>6841</v>
      </c>
      <c r="C147" s="494" t="s">
        <v>638</v>
      </c>
      <c r="D147" s="494" t="s">
        <v>824</v>
      </c>
      <c r="E147" s="494"/>
      <c r="F147" s="494"/>
      <c r="G147" s="494"/>
    </row>
    <row r="148" spans="1:7">
      <c r="A148" t="s">
        <v>823</v>
      </c>
      <c r="B148" s="494" t="s">
        <v>6841</v>
      </c>
      <c r="C148" s="494"/>
      <c r="D148" s="494" t="s">
        <v>825</v>
      </c>
      <c r="E148" s="494"/>
      <c r="F148" s="494"/>
      <c r="G148" s="494"/>
    </row>
    <row r="149" spans="1:7">
      <c r="A149" t="s">
        <v>823</v>
      </c>
      <c r="B149" s="494" t="s">
        <v>6841</v>
      </c>
      <c r="C149" s="494"/>
      <c r="D149" s="494" t="s">
        <v>836</v>
      </c>
      <c r="E149" s="494">
        <v>0.86699999999999999</v>
      </c>
      <c r="F149" s="494"/>
      <c r="G149" s="494"/>
    </row>
    <row r="150" spans="1:7">
      <c r="A150" t="s">
        <v>823</v>
      </c>
      <c r="B150" s="494" t="s">
        <v>6841</v>
      </c>
      <c r="C150" s="494"/>
      <c r="D150" s="48" t="s">
        <v>7022</v>
      </c>
      <c r="E150" s="51">
        <f>[1]MonoSugar!$L$29</f>
        <v>71.691228654970757</v>
      </c>
      <c r="F150" s="494"/>
      <c r="G150" s="494"/>
    </row>
    <row r="151" spans="1:7">
      <c r="A151" t="s">
        <v>823</v>
      </c>
      <c r="B151" s="494" t="s">
        <v>6841</v>
      </c>
      <c r="C151" s="494"/>
      <c r="D151" s="48" t="s">
        <v>7185</v>
      </c>
      <c r="E151" s="48">
        <f>E149*E150%</f>
        <v>0.62156295243859649</v>
      </c>
      <c r="F151" s="494"/>
      <c r="G151" s="494"/>
    </row>
    <row r="152" spans="1:7">
      <c r="A152" t="s">
        <v>823</v>
      </c>
      <c r="B152" s="494" t="s">
        <v>6841</v>
      </c>
      <c r="C152" s="494"/>
      <c r="D152" s="494"/>
      <c r="E152" s="494"/>
      <c r="F152" s="494"/>
      <c r="G152" s="494"/>
    </row>
    <row r="153" spans="1:7">
      <c r="A153" t="s">
        <v>823</v>
      </c>
      <c r="B153" s="494" t="s">
        <v>6841</v>
      </c>
      <c r="C153" s="494"/>
      <c r="D153" s="494"/>
      <c r="E153" s="494"/>
      <c r="F153" s="494"/>
      <c r="G153" s="494"/>
    </row>
    <row r="154" spans="1:7">
      <c r="A154" t="s">
        <v>823</v>
      </c>
      <c r="B154" s="494" t="s">
        <v>7060</v>
      </c>
      <c r="C154" s="494" t="s">
        <v>638</v>
      </c>
      <c r="D154" s="494" t="s">
        <v>824</v>
      </c>
      <c r="E154" s="494"/>
      <c r="F154" s="494"/>
      <c r="G154" s="494"/>
    </row>
    <row r="155" spans="1:7">
      <c r="A155" t="s">
        <v>823</v>
      </c>
      <c r="B155" s="494" t="s">
        <v>7060</v>
      </c>
      <c r="C155" s="494"/>
      <c r="D155" s="494" t="s">
        <v>825</v>
      </c>
      <c r="E155" s="494"/>
      <c r="F155" s="494"/>
      <c r="G155" s="494"/>
    </row>
    <row r="156" spans="1:7">
      <c r="A156" t="s">
        <v>823</v>
      </c>
      <c r="B156" s="494" t="s">
        <v>7060</v>
      </c>
      <c r="C156" s="494"/>
      <c r="D156" s="494" t="s">
        <v>836</v>
      </c>
      <c r="E156" s="494">
        <v>0.86699999999999999</v>
      </c>
      <c r="F156" s="494"/>
      <c r="G156" s="494"/>
    </row>
    <row r="157" spans="1:7">
      <c r="A157" t="s">
        <v>823</v>
      </c>
      <c r="B157" s="494" t="s">
        <v>7060</v>
      </c>
      <c r="C157" s="494"/>
      <c r="D157" s="48" t="s">
        <v>7023</v>
      </c>
      <c r="E157" s="51">
        <f>[1]MonoSugar!$L$31</f>
        <v>29.781563157894738</v>
      </c>
      <c r="F157" s="494"/>
      <c r="G157" s="494"/>
    </row>
    <row r="158" spans="1:7">
      <c r="A158" t="s">
        <v>823</v>
      </c>
      <c r="B158" s="494" t="s">
        <v>7060</v>
      </c>
      <c r="C158" s="494"/>
      <c r="D158" s="48" t="s">
        <v>7186</v>
      </c>
      <c r="E158" s="48">
        <f>E156*E157%</f>
        <v>0.25820615257894736</v>
      </c>
      <c r="F158" s="494"/>
      <c r="G158" s="494"/>
    </row>
    <row r="159" spans="1:7">
      <c r="A159" t="s">
        <v>823</v>
      </c>
      <c r="B159" s="494" t="s">
        <v>7060</v>
      </c>
      <c r="C159" s="494"/>
      <c r="D159" s="494"/>
      <c r="E159" s="494"/>
      <c r="F159" s="494"/>
      <c r="G159" s="494"/>
    </row>
    <row r="160" spans="1:7">
      <c r="A160" t="s">
        <v>823</v>
      </c>
      <c r="B160" s="494" t="s">
        <v>7060</v>
      </c>
      <c r="C160" s="494"/>
      <c r="D160" s="494"/>
      <c r="E160" s="494"/>
      <c r="F160" s="494"/>
      <c r="G160" s="494"/>
    </row>
    <row r="161" spans="1:5">
      <c r="A161" t="s">
        <v>843</v>
      </c>
      <c r="B161" s="494" t="s">
        <v>6841</v>
      </c>
      <c r="C161" s="494" t="s">
        <v>638</v>
      </c>
      <c r="D161" s="494" t="s">
        <v>7187</v>
      </c>
      <c r="E161" s="142">
        <v>56.92</v>
      </c>
    </row>
    <row r="162" spans="1:5">
      <c r="A162" t="s">
        <v>843</v>
      </c>
      <c r="B162" s="494" t="s">
        <v>6841</v>
      </c>
      <c r="C162" s="494"/>
      <c r="D162" s="48" t="s">
        <v>7189</v>
      </c>
      <c r="E162" s="48">
        <f>E161%*[1]MonoSugar!$H$32%</f>
        <v>3.0736800000000005E-2</v>
      </c>
    </row>
    <row r="163" spans="1:5">
      <c r="A163" t="s">
        <v>843</v>
      </c>
      <c r="B163" s="494" t="s">
        <v>6841</v>
      </c>
      <c r="C163" s="494"/>
      <c r="D163" s="494"/>
      <c r="E163" s="494"/>
    </row>
    <row r="164" spans="1:5">
      <c r="A164" t="s">
        <v>843</v>
      </c>
      <c r="B164" s="494" t="s">
        <v>7060</v>
      </c>
      <c r="C164" s="494"/>
      <c r="D164" s="494"/>
      <c r="E164" s="494"/>
    </row>
    <row r="165" spans="1:5">
      <c r="A165" t="s">
        <v>843</v>
      </c>
      <c r="B165" s="494" t="s">
        <v>7060</v>
      </c>
      <c r="C165" s="494" t="s">
        <v>638</v>
      </c>
      <c r="D165" s="494" t="s">
        <v>7188</v>
      </c>
      <c r="E165" s="142">
        <v>7.85</v>
      </c>
    </row>
    <row r="166" spans="1:5">
      <c r="A166" t="s">
        <v>843</v>
      </c>
      <c r="B166" s="494" t="s">
        <v>7060</v>
      </c>
      <c r="C166" s="494"/>
      <c r="D166" s="48" t="s">
        <v>7190</v>
      </c>
      <c r="E166" s="48">
        <f>E165%*[1]MonoSugar!$H$33%</f>
        <v>1.2157757277777778E-2</v>
      </c>
    </row>
    <row r="167" spans="1:5">
      <c r="A167" t="s">
        <v>843</v>
      </c>
      <c r="B167" s="494" t="s">
        <v>7060</v>
      </c>
      <c r="C167" s="494"/>
      <c r="D167" s="494"/>
      <c r="E167" s="494"/>
    </row>
    <row r="168" spans="1:5">
      <c r="A168" t="s">
        <v>843</v>
      </c>
      <c r="B168" s="494" t="s">
        <v>7060</v>
      </c>
    </row>
    <row r="169" spans="1:5">
      <c r="A169" t="s">
        <v>843</v>
      </c>
      <c r="B169" s="494" t="s">
        <v>7060</v>
      </c>
    </row>
    <row r="170" spans="1:5">
      <c r="A170" s="494" t="s">
        <v>843</v>
      </c>
      <c r="B170" s="494" t="s">
        <v>7060</v>
      </c>
    </row>
    <row r="171" spans="1:5">
      <c r="A171" s="494" t="s">
        <v>6840</v>
      </c>
      <c r="B171" s="494" t="s">
        <v>6841</v>
      </c>
      <c r="C171" s="494" t="s">
        <v>638</v>
      </c>
      <c r="D171" s="494" t="s">
        <v>883</v>
      </c>
      <c r="E171" s="494">
        <v>0.66714285714285715</v>
      </c>
    </row>
    <row r="172" spans="1:5">
      <c r="A172" s="494" t="s">
        <v>6840</v>
      </c>
      <c r="B172" s="494" t="s">
        <v>6841</v>
      </c>
      <c r="C172" s="494"/>
      <c r="D172" s="48" t="s">
        <v>7029</v>
      </c>
      <c r="E172" s="51">
        <f>[1]MonoSugar!$K$29</f>
        <v>85.665115018607125</v>
      </c>
    </row>
    <row r="173" spans="1:5">
      <c r="A173" s="494" t="s">
        <v>6840</v>
      </c>
      <c r="B173" s="494" t="s">
        <v>6841</v>
      </c>
      <c r="C173" s="494"/>
      <c r="D173" s="48" t="s">
        <v>7191</v>
      </c>
      <c r="E173" s="48">
        <f>E171*E172%</f>
        <v>0.57150869590985043</v>
      </c>
    </row>
    <row r="174" spans="1:5">
      <c r="A174" s="494" t="s">
        <v>6840</v>
      </c>
      <c r="B174" s="494" t="s">
        <v>7060</v>
      </c>
    </row>
    <row r="175" spans="1:5">
      <c r="A175" t="s">
        <v>6840</v>
      </c>
      <c r="B175" s="494" t="s">
        <v>7060</v>
      </c>
      <c r="C175" t="s">
        <v>638</v>
      </c>
      <c r="D175" t="s">
        <v>883</v>
      </c>
      <c r="E175">
        <v>0.66714285714285715</v>
      </c>
    </row>
    <row r="176" spans="1:5">
      <c r="A176" t="s">
        <v>6840</v>
      </c>
      <c r="B176" s="494" t="s">
        <v>7060</v>
      </c>
      <c r="D176" s="48" t="s">
        <v>7193</v>
      </c>
      <c r="E176" s="142">
        <f>[1]MonoSugar!$K$31</f>
        <v>39.599358612440192</v>
      </c>
    </row>
    <row r="177" spans="1:5">
      <c r="A177" t="s">
        <v>6840</v>
      </c>
      <c r="B177" s="494" t="s">
        <v>7060</v>
      </c>
      <c r="D177" s="48" t="s">
        <v>7192</v>
      </c>
      <c r="E177">
        <v>0.11146151476911977</v>
      </c>
    </row>
    <row r="178" spans="1:5">
      <c r="A178" t="s">
        <v>6840</v>
      </c>
      <c r="B178" s="494" t="s">
        <v>7060</v>
      </c>
    </row>
    <row r="179" spans="1:5">
      <c r="A179" t="s">
        <v>4585</v>
      </c>
      <c r="B179" s="494" t="s">
        <v>6841</v>
      </c>
      <c r="C179" s="494" t="s">
        <v>638</v>
      </c>
      <c r="D179" s="494" t="s">
        <v>883</v>
      </c>
      <c r="E179" s="494">
        <v>0.23649999999999999</v>
      </c>
    </row>
    <row r="180" spans="1:5">
      <c r="A180" t="s">
        <v>4585</v>
      </c>
      <c r="B180" s="494" t="s">
        <v>6841</v>
      </c>
      <c r="C180" s="494"/>
      <c r="D180" s="494" t="s">
        <v>7187</v>
      </c>
      <c r="E180" s="142">
        <f>[1]MonoSugar!$H$29</f>
        <v>71.144386549707605</v>
      </c>
    </row>
    <row r="181" spans="1:5">
      <c r="A181" t="s">
        <v>4585</v>
      </c>
      <c r="B181" s="494" t="s">
        <v>6841</v>
      </c>
      <c r="C181" s="494"/>
      <c r="D181" s="48" t="s">
        <v>7194</v>
      </c>
      <c r="E181" s="48">
        <f>E180%*E179</f>
        <v>0.16825647419005849</v>
      </c>
    </row>
    <row r="182" spans="1:5">
      <c r="A182" t="s">
        <v>4585</v>
      </c>
      <c r="B182" s="494" t="s">
        <v>7060</v>
      </c>
      <c r="C182" s="494"/>
      <c r="D182" s="494"/>
      <c r="E182" s="494"/>
    </row>
    <row r="183" spans="1:5">
      <c r="A183" t="s">
        <v>4585</v>
      </c>
      <c r="B183" s="494" t="s">
        <v>7060</v>
      </c>
      <c r="C183" s="494" t="s">
        <v>638</v>
      </c>
      <c r="D183" s="494" t="s">
        <v>883</v>
      </c>
      <c r="E183" s="494">
        <v>0.23649999999999999</v>
      </c>
    </row>
    <row r="184" spans="1:5">
      <c r="A184" t="s">
        <v>4585</v>
      </c>
      <c r="B184" s="494" t="s">
        <v>7060</v>
      </c>
      <c r="C184" s="494"/>
      <c r="D184" s="494" t="s">
        <v>7188</v>
      </c>
      <c r="E184" s="142">
        <f>[1]MonoSugar!$H$31</f>
        <v>29.368931578947368</v>
      </c>
    </row>
    <row r="185" spans="1:5">
      <c r="A185" t="s">
        <v>4585</v>
      </c>
      <c r="B185" s="494" t="s">
        <v>7060</v>
      </c>
      <c r="C185" s="494"/>
      <c r="D185" s="48" t="s">
        <v>7195</v>
      </c>
      <c r="E185" s="48">
        <f>E184%*E183</f>
        <v>6.9457523184210515E-2</v>
      </c>
    </row>
    <row r="186" spans="1:5">
      <c r="A186" t="s">
        <v>4585</v>
      </c>
      <c r="B186" s="494" t="s">
        <v>7060</v>
      </c>
      <c r="C186" s="494"/>
      <c r="D186" s="494"/>
      <c r="E186" s="494"/>
    </row>
    <row r="187" spans="1:5">
      <c r="A187" t="s">
        <v>4585</v>
      </c>
      <c r="B187" s="494" t="s">
        <v>7060</v>
      </c>
      <c r="C187" s="494"/>
      <c r="D187" s="494"/>
      <c r="E187" s="494"/>
    </row>
    <row r="188" spans="1:5">
      <c r="A188" t="s">
        <v>4585</v>
      </c>
      <c r="B188" s="494" t="s">
        <v>7060</v>
      </c>
      <c r="C188" s="494"/>
      <c r="D188" s="494"/>
      <c r="E188" s="494"/>
    </row>
    <row r="189" spans="1:5">
      <c r="A189" t="s">
        <v>6497</v>
      </c>
      <c r="B189" s="494" t="s">
        <v>6841</v>
      </c>
      <c r="C189" s="494" t="s">
        <v>638</v>
      </c>
      <c r="D189" s="494" t="s">
        <v>940</v>
      </c>
      <c r="E189" s="494">
        <v>0.52103333333333335</v>
      </c>
    </row>
    <row r="190" spans="1:5">
      <c r="A190" t="s">
        <v>6497</v>
      </c>
      <c r="B190" s="494" t="s">
        <v>6841</v>
      </c>
      <c r="C190" s="494"/>
      <c r="D190" s="494" t="s">
        <v>7042</v>
      </c>
      <c r="E190" s="142">
        <f>[1]MonoSugar!$L$29</f>
        <v>71.691228654970757</v>
      </c>
    </row>
    <row r="191" spans="1:5">
      <c r="A191" t="s">
        <v>6497</v>
      </c>
      <c r="B191" s="494" t="s">
        <v>6841</v>
      </c>
      <c r="C191" s="494"/>
      <c r="D191" s="48" t="s">
        <v>7043</v>
      </c>
      <c r="E191" s="48">
        <f>E189*E190%</f>
        <v>0.37353519836861598</v>
      </c>
    </row>
    <row r="192" spans="1:5">
      <c r="A192" t="s">
        <v>6497</v>
      </c>
      <c r="B192" s="494" t="s">
        <v>7060</v>
      </c>
      <c r="C192" s="494"/>
      <c r="D192" s="494"/>
      <c r="E192" s="494"/>
    </row>
    <row r="193" spans="1:5">
      <c r="A193" t="s">
        <v>6497</v>
      </c>
      <c r="B193" s="494" t="s">
        <v>7060</v>
      </c>
      <c r="C193" s="494" t="s">
        <v>638</v>
      </c>
      <c r="D193" s="494" t="s">
        <v>940</v>
      </c>
      <c r="E193" s="494">
        <v>0.52103333333333335</v>
      </c>
    </row>
    <row r="194" spans="1:5">
      <c r="A194" t="s">
        <v>6497</v>
      </c>
      <c r="B194" s="494" t="s">
        <v>7060</v>
      </c>
      <c r="C194" s="494"/>
      <c r="D194" s="494" t="s">
        <v>7044</v>
      </c>
      <c r="E194" s="142">
        <f>[1]MonoSugar!$L$31</f>
        <v>29.781563157894738</v>
      </c>
    </row>
    <row r="195" spans="1:5">
      <c r="A195" t="s">
        <v>6497</v>
      </c>
      <c r="B195" s="494" t="s">
        <v>7060</v>
      </c>
      <c r="C195" s="494"/>
      <c r="D195" s="48" t="s">
        <v>7045</v>
      </c>
      <c r="E195" s="48">
        <f>E193*E194%</f>
        <v>0.15517187124035087</v>
      </c>
    </row>
    <row r="196" spans="1:5">
      <c r="A196" t="s">
        <v>6497</v>
      </c>
      <c r="B196" s="494" t="s">
        <v>7060</v>
      </c>
    </row>
    <row r="197" spans="1:5">
      <c r="A197" t="s">
        <v>6497</v>
      </c>
      <c r="B197" s="494" t="s">
        <v>7060</v>
      </c>
    </row>
    <row r="198" spans="1:5">
      <c r="A198" t="s">
        <v>6497</v>
      </c>
      <c r="B198" s="494" t="s">
        <v>7060</v>
      </c>
    </row>
    <row r="199" spans="1:5" s="494" customFormat="1">
      <c r="A199" s="494" t="s">
        <v>4685</v>
      </c>
      <c r="B199" s="494" t="s">
        <v>6841</v>
      </c>
      <c r="C199" s="494" t="s">
        <v>638</v>
      </c>
      <c r="D199" s="494" t="s">
        <v>984</v>
      </c>
    </row>
    <row r="200" spans="1:5" s="494" customFormat="1">
      <c r="A200" s="494" t="s">
        <v>4685</v>
      </c>
      <c r="B200" s="494" t="s">
        <v>6841</v>
      </c>
      <c r="D200" s="494" t="s">
        <v>985</v>
      </c>
    </row>
    <row r="201" spans="1:5" s="494" customFormat="1" ht="15.6">
      <c r="A201" s="494" t="s">
        <v>4685</v>
      </c>
      <c r="B201" s="494" t="s">
        <v>6841</v>
      </c>
      <c r="D201" s="199" t="s">
        <v>986</v>
      </c>
    </row>
    <row r="202" spans="1:5" s="494" customFormat="1">
      <c r="A202" s="494" t="s">
        <v>4685</v>
      </c>
      <c r="B202" s="494" t="s">
        <v>6841</v>
      </c>
      <c r="D202" s="494" t="s">
        <v>987</v>
      </c>
      <c r="E202" s="494">
        <v>0.76</v>
      </c>
    </row>
    <row r="203" spans="1:5" s="494" customFormat="1">
      <c r="A203" s="494" t="s">
        <v>4685</v>
      </c>
      <c r="B203" s="494" t="s">
        <v>6841</v>
      </c>
      <c r="D203" s="494" t="s">
        <v>7046</v>
      </c>
      <c r="E203" s="142">
        <f>[1]MonoSugar!$K$29</f>
        <v>85.665115018607125</v>
      </c>
    </row>
    <row r="204" spans="1:5" s="494" customFormat="1">
      <c r="A204" s="494" t="s">
        <v>4685</v>
      </c>
      <c r="B204" s="494" t="s">
        <v>6841</v>
      </c>
      <c r="D204" s="48" t="s">
        <v>7047</v>
      </c>
      <c r="E204" s="48">
        <f>E202*E203%</f>
        <v>0.65105487414141416</v>
      </c>
    </row>
    <row r="205" spans="1:5" s="494" customFormat="1">
      <c r="A205" s="494" t="s">
        <v>4685</v>
      </c>
      <c r="B205" s="494" t="s">
        <v>6841</v>
      </c>
    </row>
    <row r="206" spans="1:5">
      <c r="A206" t="s">
        <v>4685</v>
      </c>
      <c r="B206" s="494" t="s">
        <v>7060</v>
      </c>
      <c r="C206" t="s">
        <v>197</v>
      </c>
      <c r="D206" s="7" t="s">
        <v>7100</v>
      </c>
    </row>
    <row r="207" spans="1:5">
      <c r="A207" t="s">
        <v>4685</v>
      </c>
      <c r="B207" s="494" t="s">
        <v>7060</v>
      </c>
    </row>
    <row r="208" spans="1:5">
      <c r="A208" t="s">
        <v>4685</v>
      </c>
      <c r="B208" s="494" t="s">
        <v>7060</v>
      </c>
      <c r="C208" s="493" t="s">
        <v>7099</v>
      </c>
      <c r="D208">
        <v>0.29699999999999999</v>
      </c>
    </row>
    <row r="209" spans="1:4">
      <c r="A209" t="s">
        <v>4685</v>
      </c>
      <c r="B209" s="494" t="s">
        <v>7060</v>
      </c>
    </row>
    <row r="210" spans="1:4">
      <c r="A210" t="s">
        <v>4685</v>
      </c>
      <c r="B210" s="494" t="s">
        <v>7060</v>
      </c>
    </row>
    <row r="211" spans="1:4">
      <c r="A211" t="s">
        <v>4685</v>
      </c>
      <c r="B211" s="494" t="s">
        <v>7060</v>
      </c>
      <c r="C211" t="s">
        <v>1871</v>
      </c>
      <c r="D211" s="7" t="s">
        <v>7101</v>
      </c>
    </row>
    <row r="212" spans="1:4">
      <c r="A212" t="s">
        <v>4685</v>
      </c>
      <c r="B212" s="494" t="s">
        <v>7060</v>
      </c>
    </row>
    <row r="213" spans="1:4" ht="28.8">
      <c r="A213" t="s">
        <v>4685</v>
      </c>
      <c r="B213" s="494" t="s">
        <v>7060</v>
      </c>
      <c r="C213" s="493" t="s">
        <v>7102</v>
      </c>
      <c r="D213" s="494">
        <v>0.99</v>
      </c>
    </row>
    <row r="214" spans="1:4" ht="28.8">
      <c r="A214" t="s">
        <v>4685</v>
      </c>
      <c r="B214" s="494" t="s">
        <v>7060</v>
      </c>
      <c r="C214" s="493" t="s">
        <v>7103</v>
      </c>
      <c r="D214">
        <v>0.29370000000000002</v>
      </c>
    </row>
    <row r="215" spans="1:4">
      <c r="A215" t="s">
        <v>4685</v>
      </c>
      <c r="B215" s="494" t="s">
        <v>7060</v>
      </c>
      <c r="C215" s="493" t="s">
        <v>7104</v>
      </c>
      <c r="D215">
        <f>D214*D213</f>
        <v>0.29076299999999999</v>
      </c>
    </row>
    <row r="216" spans="1:4">
      <c r="A216" t="s">
        <v>4685</v>
      </c>
      <c r="B216" s="494" t="s">
        <v>7060</v>
      </c>
    </row>
    <row r="217" spans="1:4">
      <c r="A217" t="s">
        <v>4685</v>
      </c>
      <c r="B217" s="494" t="s">
        <v>7060</v>
      </c>
      <c r="C217" s="494" t="s">
        <v>396</v>
      </c>
      <c r="D217" s="7" t="s">
        <v>7105</v>
      </c>
    </row>
    <row r="218" spans="1:4">
      <c r="A218" t="s">
        <v>4685</v>
      </c>
      <c r="B218" s="494" t="s">
        <v>7060</v>
      </c>
    </row>
    <row r="219" spans="1:4">
      <c r="A219" t="s">
        <v>4685</v>
      </c>
      <c r="B219" s="494" t="s">
        <v>7060</v>
      </c>
      <c r="C219" s="493" t="s">
        <v>7104</v>
      </c>
      <c r="D219">
        <v>0.34</v>
      </c>
    </row>
    <row r="220" spans="1:4">
      <c r="A220" t="s">
        <v>4685</v>
      </c>
      <c r="B220" s="494" t="s">
        <v>7060</v>
      </c>
    </row>
    <row r="221" spans="1:4">
      <c r="A221" t="s">
        <v>4685</v>
      </c>
      <c r="B221" s="494" t="s">
        <v>7060</v>
      </c>
      <c r="C221" t="s">
        <v>6782</v>
      </c>
      <c r="D221" s="7" t="s">
        <v>7106</v>
      </c>
    </row>
    <row r="222" spans="1:4" ht="28.8">
      <c r="A222" t="s">
        <v>4685</v>
      </c>
      <c r="B222" s="494" t="s">
        <v>7060</v>
      </c>
      <c r="C222" s="493" t="s">
        <v>7102</v>
      </c>
      <c r="D222" s="494">
        <v>0.73</v>
      </c>
    </row>
    <row r="223" spans="1:4" ht="28.8">
      <c r="A223" t="s">
        <v>4685</v>
      </c>
      <c r="B223" s="494" t="s">
        <v>7060</v>
      </c>
      <c r="C223" s="493" t="s">
        <v>7103</v>
      </c>
      <c r="D223" s="494">
        <v>0.29370000000000002</v>
      </c>
    </row>
    <row r="224" spans="1:4">
      <c r="A224" t="s">
        <v>4685</v>
      </c>
      <c r="B224" s="494" t="s">
        <v>7060</v>
      </c>
      <c r="C224" s="493" t="s">
        <v>7104</v>
      </c>
      <c r="D224" s="494">
        <f>D223*D222</f>
        <v>0.21440100000000001</v>
      </c>
    </row>
    <row r="225" spans="1:5">
      <c r="A225" t="s">
        <v>4685</v>
      </c>
      <c r="B225" s="494" t="s">
        <v>7060</v>
      </c>
    </row>
    <row r="226" spans="1:5">
      <c r="A226" t="s">
        <v>4685</v>
      </c>
      <c r="B226" s="494" t="s">
        <v>7060</v>
      </c>
      <c r="C226" s="494" t="s">
        <v>7107</v>
      </c>
      <c r="D226" s="7" t="s">
        <v>7101</v>
      </c>
    </row>
    <row r="227" spans="1:5" ht="28.8">
      <c r="A227" t="s">
        <v>4685</v>
      </c>
      <c r="B227" s="494" t="s">
        <v>7060</v>
      </c>
      <c r="C227" s="493" t="s">
        <v>7102</v>
      </c>
      <c r="D227" s="494">
        <v>0.7</v>
      </c>
    </row>
    <row r="228" spans="1:5" ht="28.8">
      <c r="A228" t="s">
        <v>4685</v>
      </c>
      <c r="B228" s="494" t="s">
        <v>7060</v>
      </c>
      <c r="C228" s="493" t="s">
        <v>7103</v>
      </c>
      <c r="D228" s="494">
        <v>0.29370000000000002</v>
      </c>
    </row>
    <row r="229" spans="1:5">
      <c r="A229" t="s">
        <v>4685</v>
      </c>
      <c r="B229" s="494" t="s">
        <v>7060</v>
      </c>
      <c r="C229" s="493" t="s">
        <v>7104</v>
      </c>
      <c r="D229" s="494">
        <f>D228*D227</f>
        <v>0.20558999999999999</v>
      </c>
    </row>
    <row r="230" spans="1:5">
      <c r="A230" t="s">
        <v>1186</v>
      </c>
      <c r="B230" s="494" t="s">
        <v>6841</v>
      </c>
      <c r="C230" s="494" t="s">
        <v>638</v>
      </c>
      <c r="D230" s="494" t="s">
        <v>1187</v>
      </c>
      <c r="E230" s="494"/>
    </row>
    <row r="231" spans="1:5">
      <c r="A231" t="s">
        <v>1186</v>
      </c>
      <c r="B231" s="494" t="s">
        <v>6841</v>
      </c>
      <c r="C231" s="494"/>
      <c r="D231" s="494" t="s">
        <v>1188</v>
      </c>
      <c r="E231" s="494"/>
    </row>
    <row r="232" spans="1:5">
      <c r="A232" t="s">
        <v>1186</v>
      </c>
      <c r="B232" s="494" t="s">
        <v>6841</v>
      </c>
      <c r="C232" s="494"/>
      <c r="D232" s="494" t="s">
        <v>1194</v>
      </c>
      <c r="E232" s="494">
        <v>95.2</v>
      </c>
    </row>
    <row r="233" spans="1:5">
      <c r="A233" t="s">
        <v>1186</v>
      </c>
      <c r="B233" s="494" t="s">
        <v>6841</v>
      </c>
      <c r="C233" s="494"/>
      <c r="D233" s="494" t="s">
        <v>1193</v>
      </c>
      <c r="E233" s="494">
        <v>0.96257777777777775</v>
      </c>
    </row>
    <row r="234" spans="1:5">
      <c r="A234" t="s">
        <v>1186</v>
      </c>
      <c r="B234" s="494" t="s">
        <v>6841</v>
      </c>
      <c r="C234" s="494"/>
      <c r="D234" s="48" t="s">
        <v>7054</v>
      </c>
      <c r="E234" s="51">
        <f>[1]MonoSugar!$L$29</f>
        <v>71.691228654970757</v>
      </c>
    </row>
    <row r="235" spans="1:5">
      <c r="A235" t="s">
        <v>1186</v>
      </c>
      <c r="B235" s="494" t="s">
        <v>6841</v>
      </c>
      <c r="C235" s="494"/>
      <c r="D235" s="48" t="s">
        <v>7055</v>
      </c>
      <c r="E235" s="48">
        <f>E233*E234%</f>
        <v>0.69008383564860298</v>
      </c>
    </row>
    <row r="236" spans="1:5">
      <c r="A236" t="s">
        <v>1186</v>
      </c>
      <c r="B236" s="494" t="s">
        <v>6841</v>
      </c>
      <c r="C236" s="494"/>
      <c r="D236" s="494"/>
      <c r="E236" s="494"/>
    </row>
    <row r="237" spans="1:5">
      <c r="A237" t="s">
        <v>1186</v>
      </c>
      <c r="B237" s="494" t="s">
        <v>7060</v>
      </c>
      <c r="C237" s="494" t="s">
        <v>638</v>
      </c>
      <c r="D237" s="494" t="s">
        <v>1187</v>
      </c>
      <c r="E237" s="494"/>
    </row>
    <row r="238" spans="1:5">
      <c r="A238" t="s">
        <v>1186</v>
      </c>
      <c r="B238" s="494" t="s">
        <v>7060</v>
      </c>
      <c r="C238" s="494"/>
      <c r="D238" s="494" t="s">
        <v>1188</v>
      </c>
      <c r="E238" s="494"/>
    </row>
    <row r="239" spans="1:5">
      <c r="A239" t="s">
        <v>1186</v>
      </c>
      <c r="B239" s="494" t="s">
        <v>7060</v>
      </c>
      <c r="C239" s="494"/>
      <c r="D239" s="494" t="s">
        <v>1194</v>
      </c>
      <c r="E239" s="494">
        <v>95.2</v>
      </c>
    </row>
    <row r="240" spans="1:5">
      <c r="A240" t="s">
        <v>1186</v>
      </c>
      <c r="B240" s="494" t="s">
        <v>7060</v>
      </c>
      <c r="C240" s="494"/>
      <c r="D240" s="494" t="s">
        <v>1193</v>
      </c>
      <c r="E240" s="494">
        <v>0.96257777777777775</v>
      </c>
    </row>
    <row r="241" spans="1:13">
      <c r="A241" t="s">
        <v>1186</v>
      </c>
      <c r="B241" s="494" t="s">
        <v>7060</v>
      </c>
      <c r="C241" s="494"/>
      <c r="D241" s="48" t="s">
        <v>7056</v>
      </c>
      <c r="E241" s="51">
        <f>[1]MonoSugar!$L$31</f>
        <v>29.781563157894738</v>
      </c>
    </row>
    <row r="242" spans="1:13">
      <c r="A242" t="s">
        <v>1186</v>
      </c>
      <c r="B242" s="494" t="s">
        <v>7060</v>
      </c>
      <c r="C242" s="494"/>
      <c r="D242" s="48" t="s">
        <v>7057</v>
      </c>
      <c r="E242" s="48">
        <f>E240*E241%</f>
        <v>0.28667070883274853</v>
      </c>
    </row>
    <row r="243" spans="1:13">
      <c r="A243" t="s">
        <v>1186</v>
      </c>
      <c r="B243" s="494" t="s">
        <v>7060</v>
      </c>
      <c r="C243" s="494"/>
      <c r="D243" s="494"/>
      <c r="E243" s="494"/>
    </row>
    <row r="244" spans="1:13">
      <c r="A244" s="494" t="s">
        <v>1201</v>
      </c>
      <c r="B244" s="494" t="s">
        <v>6841</v>
      </c>
      <c r="C244" s="494" t="s">
        <v>638</v>
      </c>
      <c r="D244" s="494" t="s">
        <v>1202</v>
      </c>
      <c r="E244" s="494"/>
    </row>
    <row r="245" spans="1:13">
      <c r="A245" s="494" t="s">
        <v>1201</v>
      </c>
      <c r="B245" s="494" t="s">
        <v>6841</v>
      </c>
      <c r="C245" s="494"/>
      <c r="D245" s="494" t="s">
        <v>1203</v>
      </c>
      <c r="E245" s="494"/>
    </row>
    <row r="246" spans="1:13">
      <c r="A246" s="494" t="s">
        <v>1201</v>
      </c>
      <c r="B246" s="494" t="s">
        <v>6841</v>
      </c>
      <c r="C246" s="494"/>
      <c r="D246" s="494" t="s">
        <v>1205</v>
      </c>
      <c r="E246" s="494">
        <v>0.48590909090909096</v>
      </c>
    </row>
    <row r="247" spans="1:13">
      <c r="A247" s="494" t="s">
        <v>1201</v>
      </c>
      <c r="B247" s="494" t="s">
        <v>6841</v>
      </c>
      <c r="C247" s="494"/>
      <c r="D247" s="48" t="s">
        <v>7196</v>
      </c>
      <c r="E247" s="51">
        <f>[1]MonoSugar!$J$29</f>
        <v>13.973886363636364</v>
      </c>
    </row>
    <row r="248" spans="1:13">
      <c r="A248" s="494" t="s">
        <v>1201</v>
      </c>
      <c r="B248" s="494" t="s">
        <v>6841</v>
      </c>
      <c r="C248" s="494"/>
      <c r="D248" s="48" t="s">
        <v>7197</v>
      </c>
      <c r="E248" s="48">
        <f>E246*E247%</f>
        <v>6.7900384194214888E-2</v>
      </c>
    </row>
    <row r="249" spans="1:13">
      <c r="A249" s="494" t="s">
        <v>1201</v>
      </c>
      <c r="B249" s="494" t="s">
        <v>6841</v>
      </c>
      <c r="C249" s="494"/>
      <c r="D249" s="494"/>
      <c r="E249" s="494"/>
    </row>
    <row r="250" spans="1:13">
      <c r="A250" s="494" t="s">
        <v>1201</v>
      </c>
    </row>
    <row r="251" spans="1:13">
      <c r="A251" s="494" t="s">
        <v>1201</v>
      </c>
    </row>
    <row r="252" spans="1:13">
      <c r="A252" s="494" t="s">
        <v>1201</v>
      </c>
    </row>
    <row r="253" spans="1:13">
      <c r="A253" t="s">
        <v>1201</v>
      </c>
      <c r="C253" s="494" t="s">
        <v>903</v>
      </c>
      <c r="D253" s="7" t="s">
        <v>7178</v>
      </c>
    </row>
    <row r="254" spans="1:13" ht="15" thickBot="1">
      <c r="A254" t="s">
        <v>1201</v>
      </c>
      <c r="C254" s="494" t="s">
        <v>6912</v>
      </c>
    </row>
    <row r="255" spans="1:13" ht="42" thickBot="1">
      <c r="A255" t="s">
        <v>1201</v>
      </c>
      <c r="C255" s="497" t="s">
        <v>4535</v>
      </c>
      <c r="D255" s="497" t="s">
        <v>7108</v>
      </c>
      <c r="E255" s="497" t="s">
        <v>7109</v>
      </c>
      <c r="F255" s="497" t="s">
        <v>3603</v>
      </c>
      <c r="G255" s="497" t="s">
        <v>7110</v>
      </c>
      <c r="H255" s="497" t="s">
        <v>7111</v>
      </c>
      <c r="I255" s="497" t="s">
        <v>7112</v>
      </c>
      <c r="J255" s="497" t="s">
        <v>7113</v>
      </c>
      <c r="K255" s="497" t="s">
        <v>7114</v>
      </c>
      <c r="L255" s="497" t="s">
        <v>7115</v>
      </c>
      <c r="M255" s="498" t="s">
        <v>7116</v>
      </c>
    </row>
    <row r="256" spans="1:13" ht="15" thickBot="1">
      <c r="A256" t="s">
        <v>1201</v>
      </c>
      <c r="C256" s="499">
        <v>1</v>
      </c>
      <c r="D256" s="499">
        <v>8</v>
      </c>
      <c r="E256" s="499">
        <v>100</v>
      </c>
      <c r="F256" s="499">
        <v>172</v>
      </c>
      <c r="G256" s="499" t="s">
        <v>7117</v>
      </c>
      <c r="H256" s="499" t="s">
        <v>7118</v>
      </c>
      <c r="I256" s="499" t="s">
        <v>7119</v>
      </c>
      <c r="J256" s="499" t="s">
        <v>7120</v>
      </c>
      <c r="K256" s="499" t="s">
        <v>7121</v>
      </c>
      <c r="L256" s="499" t="s">
        <v>7122</v>
      </c>
      <c r="M256" s="500">
        <v>0.23</v>
      </c>
    </row>
    <row r="257" spans="1:13" ht="15" thickBot="1">
      <c r="A257" t="s">
        <v>1201</v>
      </c>
      <c r="C257" s="499">
        <v>2</v>
      </c>
      <c r="D257" s="499">
        <v>12</v>
      </c>
      <c r="E257" s="499">
        <v>100</v>
      </c>
      <c r="F257" s="499">
        <v>171</v>
      </c>
      <c r="G257" s="499" t="s">
        <v>7123</v>
      </c>
      <c r="H257" s="499" t="s">
        <v>7124</v>
      </c>
      <c r="I257" s="499" t="s">
        <v>7125</v>
      </c>
      <c r="J257" s="499" t="s">
        <v>7126</v>
      </c>
      <c r="K257" s="499" t="s">
        <v>7127</v>
      </c>
      <c r="L257" s="499" t="s">
        <v>7128</v>
      </c>
      <c r="M257" s="500">
        <v>0.28000000000000003</v>
      </c>
    </row>
    <row r="258" spans="1:13" ht="15" thickBot="1">
      <c r="A258" t="s">
        <v>1201</v>
      </c>
      <c r="C258" s="499">
        <v>3</v>
      </c>
      <c r="D258" s="499">
        <v>8</v>
      </c>
      <c r="E258" s="499">
        <v>140</v>
      </c>
      <c r="F258" s="499">
        <v>172</v>
      </c>
      <c r="G258" s="499" t="s">
        <v>7129</v>
      </c>
      <c r="H258" s="499" t="s">
        <v>7130</v>
      </c>
      <c r="I258" s="499" t="s">
        <v>7131</v>
      </c>
      <c r="J258" s="499" t="s">
        <v>7132</v>
      </c>
      <c r="K258" s="499" t="s">
        <v>7133</v>
      </c>
      <c r="L258" s="499" t="s">
        <v>7134</v>
      </c>
      <c r="M258" s="500">
        <v>0.19</v>
      </c>
    </row>
    <row r="259" spans="1:13" ht="15" thickBot="1">
      <c r="A259" t="s">
        <v>1201</v>
      </c>
      <c r="C259" s="499">
        <v>4</v>
      </c>
      <c r="D259" s="499">
        <v>12</v>
      </c>
      <c r="E259" s="499">
        <v>140</v>
      </c>
      <c r="F259" s="499">
        <v>171</v>
      </c>
      <c r="G259" s="499" t="s">
        <v>7135</v>
      </c>
      <c r="H259" s="499" t="s">
        <v>7136</v>
      </c>
      <c r="I259" s="499" t="s">
        <v>7137</v>
      </c>
      <c r="J259" s="499" t="s">
        <v>7138</v>
      </c>
      <c r="K259" s="499" t="s">
        <v>7139</v>
      </c>
      <c r="L259" s="499" t="s">
        <v>3463</v>
      </c>
      <c r="M259" s="500">
        <v>0.24</v>
      </c>
    </row>
    <row r="260" spans="1:13" ht="15" thickBot="1">
      <c r="A260" t="s">
        <v>1201</v>
      </c>
      <c r="C260" s="499">
        <v>5</v>
      </c>
      <c r="D260" s="499">
        <v>8</v>
      </c>
      <c r="E260" s="499">
        <v>100</v>
      </c>
      <c r="F260" s="499">
        <v>372</v>
      </c>
      <c r="G260" s="499" t="s">
        <v>7140</v>
      </c>
      <c r="H260" s="499" t="s">
        <v>7141</v>
      </c>
      <c r="I260" s="499" t="s">
        <v>7142</v>
      </c>
      <c r="J260" s="499" t="s">
        <v>7143</v>
      </c>
      <c r="K260" s="499" t="s">
        <v>7139</v>
      </c>
      <c r="L260" s="499" t="s">
        <v>3481</v>
      </c>
      <c r="M260" s="500">
        <v>0.21</v>
      </c>
    </row>
    <row r="261" spans="1:13" ht="15" thickBot="1">
      <c r="A261" t="s">
        <v>1201</v>
      </c>
      <c r="C261" s="499">
        <v>6</v>
      </c>
      <c r="D261" s="499">
        <v>12</v>
      </c>
      <c r="E261" s="499">
        <v>100</v>
      </c>
      <c r="F261" s="499">
        <v>371</v>
      </c>
      <c r="G261" s="499" t="s">
        <v>7144</v>
      </c>
      <c r="H261" s="499" t="s">
        <v>7145</v>
      </c>
      <c r="I261" s="499" t="s">
        <v>7146</v>
      </c>
      <c r="J261" s="499" t="s">
        <v>7147</v>
      </c>
      <c r="K261" s="499" t="s">
        <v>3481</v>
      </c>
      <c r="L261" s="499" t="s">
        <v>7148</v>
      </c>
      <c r="M261" s="500">
        <v>0.31</v>
      </c>
    </row>
    <row r="262" spans="1:13" ht="15" thickBot="1">
      <c r="A262" t="s">
        <v>1201</v>
      </c>
      <c r="C262" s="499">
        <v>7</v>
      </c>
      <c r="D262" s="499">
        <v>8</v>
      </c>
      <c r="E262" s="499">
        <v>140</v>
      </c>
      <c r="F262" s="499">
        <v>372</v>
      </c>
      <c r="G262" s="499" t="s">
        <v>7149</v>
      </c>
      <c r="H262" s="499" t="s">
        <v>7150</v>
      </c>
      <c r="I262" s="499" t="s">
        <v>7151</v>
      </c>
      <c r="J262" s="499" t="s">
        <v>7152</v>
      </c>
      <c r="K262" s="499" t="s">
        <v>7153</v>
      </c>
      <c r="L262" s="499" t="s">
        <v>3481</v>
      </c>
      <c r="M262" s="500">
        <v>0.17</v>
      </c>
    </row>
    <row r="263" spans="1:13" ht="15" thickBot="1">
      <c r="A263" t="s">
        <v>1201</v>
      </c>
      <c r="C263" s="499">
        <v>8</v>
      </c>
      <c r="D263" s="499">
        <v>12</v>
      </c>
      <c r="E263" s="499">
        <v>140</v>
      </c>
      <c r="F263" s="499">
        <v>371</v>
      </c>
      <c r="G263" s="499" t="s">
        <v>7154</v>
      </c>
      <c r="H263" s="499" t="s">
        <v>7155</v>
      </c>
      <c r="I263" s="499" t="s">
        <v>7156</v>
      </c>
      <c r="J263" s="499" t="s">
        <v>7157</v>
      </c>
      <c r="K263" s="499" t="s">
        <v>7158</v>
      </c>
      <c r="L263" s="499" t="s">
        <v>7159</v>
      </c>
      <c r="M263" s="500">
        <v>0.24</v>
      </c>
    </row>
    <row r="264" spans="1:13" ht="15" thickBot="1">
      <c r="A264" t="s">
        <v>1201</v>
      </c>
      <c r="C264" s="499">
        <v>9</v>
      </c>
      <c r="D264" s="499">
        <v>10</v>
      </c>
      <c r="E264" s="499">
        <v>120</v>
      </c>
      <c r="F264" s="499">
        <v>271</v>
      </c>
      <c r="G264" s="499" t="s">
        <v>7160</v>
      </c>
      <c r="H264" s="499" t="s">
        <v>7161</v>
      </c>
      <c r="I264" s="499" t="s">
        <v>7162</v>
      </c>
      <c r="J264" s="499" t="s">
        <v>7163</v>
      </c>
      <c r="K264" s="499" t="s">
        <v>7153</v>
      </c>
      <c r="L264" s="499" t="s">
        <v>3474</v>
      </c>
      <c r="M264" s="500">
        <v>0.21</v>
      </c>
    </row>
    <row r="265" spans="1:13" ht="15" thickBot="1">
      <c r="A265" t="s">
        <v>1201</v>
      </c>
      <c r="C265" s="499">
        <v>10</v>
      </c>
      <c r="D265" s="499">
        <v>10</v>
      </c>
      <c r="E265" s="499">
        <v>120</v>
      </c>
      <c r="F265" s="499">
        <v>271</v>
      </c>
      <c r="G265" s="499" t="s">
        <v>7164</v>
      </c>
      <c r="H265" s="499" t="s">
        <v>7165</v>
      </c>
      <c r="I265" s="499" t="s">
        <v>7166</v>
      </c>
      <c r="J265" s="499" t="s">
        <v>7167</v>
      </c>
      <c r="K265" s="499" t="s">
        <v>7168</v>
      </c>
      <c r="L265" s="499" t="s">
        <v>3474</v>
      </c>
      <c r="M265" s="500">
        <v>0.26</v>
      </c>
    </row>
    <row r="266" spans="1:13" ht="15" thickBot="1">
      <c r="A266" t="s">
        <v>1201</v>
      </c>
      <c r="C266" s="499">
        <v>11</v>
      </c>
      <c r="D266" s="499">
        <v>10</v>
      </c>
      <c r="E266" s="499">
        <v>120</v>
      </c>
      <c r="F266" s="499">
        <v>271</v>
      </c>
      <c r="G266" s="499" t="s">
        <v>7169</v>
      </c>
      <c r="H266" s="499" t="s">
        <v>7165</v>
      </c>
      <c r="I266" s="499" t="s">
        <v>7123</v>
      </c>
      <c r="J266" s="499" t="s">
        <v>7170</v>
      </c>
      <c r="K266" s="499" t="s">
        <v>7171</v>
      </c>
      <c r="L266" s="499" t="s">
        <v>7172</v>
      </c>
      <c r="M266" s="500">
        <v>0.24</v>
      </c>
    </row>
    <row r="267" spans="1:13" ht="15" thickBot="1">
      <c r="A267" t="s">
        <v>1201</v>
      </c>
      <c r="C267" s="499">
        <v>12</v>
      </c>
      <c r="D267" s="499">
        <v>10</v>
      </c>
      <c r="E267" s="499">
        <v>120</v>
      </c>
      <c r="F267" s="499">
        <v>271</v>
      </c>
      <c r="G267" s="499" t="s">
        <v>7173</v>
      </c>
      <c r="H267" s="499" t="s">
        <v>7174</v>
      </c>
      <c r="I267" s="499" t="s">
        <v>7175</v>
      </c>
      <c r="J267" s="499" t="s">
        <v>7176</v>
      </c>
      <c r="K267" s="499" t="s">
        <v>7177</v>
      </c>
      <c r="L267" s="499" t="s">
        <v>3427</v>
      </c>
      <c r="M267" s="500">
        <v>0.24</v>
      </c>
    </row>
    <row r="268" spans="1:13">
      <c r="A268" t="s">
        <v>1201</v>
      </c>
    </row>
    <row r="269" spans="1:13" ht="28.8">
      <c r="A269" t="s">
        <v>1201</v>
      </c>
      <c r="C269" s="493" t="s">
        <v>7179</v>
      </c>
      <c r="D269">
        <f>AVERAGE(M256:M267)</f>
        <v>0.23500000000000001</v>
      </c>
    </row>
    <row r="270" spans="1:13" ht="28.8">
      <c r="A270" t="s">
        <v>1201</v>
      </c>
      <c r="C270" s="493" t="s">
        <v>7180</v>
      </c>
      <c r="D270" s="496">
        <v>9.8000000000000004E-2</v>
      </c>
    </row>
    <row r="271" spans="1:13">
      <c r="A271" t="s">
        <v>1201</v>
      </c>
      <c r="C271" s="493" t="s">
        <v>7104</v>
      </c>
      <c r="D271">
        <f>D269*D270</f>
        <v>2.3030000000000002E-2</v>
      </c>
    </row>
    <row r="272" spans="1:13">
      <c r="A272" t="s">
        <v>1201</v>
      </c>
    </row>
    <row r="273" spans="1:4">
      <c r="A273" t="s">
        <v>1201</v>
      </c>
      <c r="C273" s="494" t="s">
        <v>7181</v>
      </c>
      <c r="D273" s="7" t="s">
        <v>7182</v>
      </c>
    </row>
    <row r="274" spans="1:4" ht="28.8">
      <c r="A274" t="s">
        <v>1201</v>
      </c>
      <c r="C274" s="493" t="s">
        <v>7179</v>
      </c>
      <c r="D274">
        <v>0.57999999999999996</v>
      </c>
    </row>
    <row r="275" spans="1:4" ht="28.8">
      <c r="A275" t="s">
        <v>1201</v>
      </c>
      <c r="C275" s="493" t="s">
        <v>7180</v>
      </c>
      <c r="D275" s="496">
        <v>9.8000000000000004E-2</v>
      </c>
    </row>
    <row r="276" spans="1:4">
      <c r="A276" s="494" t="s">
        <v>1201</v>
      </c>
      <c r="C276" s="493" t="s">
        <v>7104</v>
      </c>
      <c r="D276">
        <f>D274*D275</f>
        <v>5.6840000000000002E-2</v>
      </c>
    </row>
    <row r="277" spans="1:4">
      <c r="A277" s="494" t="s">
        <v>1201</v>
      </c>
    </row>
    <row r="278" spans="1:4">
      <c r="A278" s="494" t="s">
        <v>1201</v>
      </c>
      <c r="C278" s="494" t="s">
        <v>396</v>
      </c>
      <c r="D278" s="7" t="s">
        <v>7182</v>
      </c>
    </row>
    <row r="279" spans="1:4" ht="28.8">
      <c r="A279" s="494" t="s">
        <v>1201</v>
      </c>
      <c r="C279" s="493" t="s">
        <v>7179</v>
      </c>
      <c r="D279" s="494">
        <v>0.78</v>
      </c>
    </row>
    <row r="280" spans="1:4" ht="28.8">
      <c r="A280" s="494" t="s">
        <v>1201</v>
      </c>
      <c r="C280" s="493" t="s">
        <v>7180</v>
      </c>
      <c r="D280" s="496">
        <v>9.8000000000000004E-2</v>
      </c>
    </row>
    <row r="281" spans="1:4">
      <c r="A281" s="494" t="s">
        <v>1201</v>
      </c>
      <c r="C281" s="493" t="s">
        <v>7104</v>
      </c>
      <c r="D281" s="494">
        <f>D279*D280</f>
        <v>7.6440000000000008E-2</v>
      </c>
    </row>
    <row r="282" spans="1:4">
      <c r="A282" s="494" t="s">
        <v>1201</v>
      </c>
    </row>
    <row r="283" spans="1:4">
      <c r="A283" s="494" t="s">
        <v>1201</v>
      </c>
      <c r="C283" s="494" t="s">
        <v>420</v>
      </c>
      <c r="D283" s="7" t="s">
        <v>7183</v>
      </c>
    </row>
    <row r="284" spans="1:4" ht="28.8">
      <c r="A284" s="494" t="s">
        <v>1201</v>
      </c>
      <c r="C284" s="493" t="s">
        <v>7179</v>
      </c>
      <c r="D284" s="494">
        <v>0.505</v>
      </c>
    </row>
    <row r="285" spans="1:4" ht="28.8">
      <c r="A285" s="494" t="s">
        <v>1201</v>
      </c>
      <c r="C285" s="493" t="s">
        <v>7180</v>
      </c>
      <c r="D285" s="496">
        <v>9.8000000000000004E-2</v>
      </c>
    </row>
    <row r="286" spans="1:4">
      <c r="A286" s="494" t="s">
        <v>1201</v>
      </c>
      <c r="C286" s="493" t="s">
        <v>7104</v>
      </c>
      <c r="D286" s="494">
        <f>D284*D285</f>
        <v>4.9489999999999999E-2</v>
      </c>
    </row>
    <row r="287" spans="1:4">
      <c r="A287" s="494" t="s">
        <v>1201</v>
      </c>
    </row>
    <row r="288" spans="1:4">
      <c r="A288" s="494" t="s">
        <v>1201</v>
      </c>
      <c r="C288" s="494" t="s">
        <v>425</v>
      </c>
      <c r="D288" s="7" t="s">
        <v>7184</v>
      </c>
    </row>
    <row r="289" spans="1:4" ht="28.8">
      <c r="A289" s="494" t="s">
        <v>1201</v>
      </c>
      <c r="C289" s="493" t="s">
        <v>7179</v>
      </c>
      <c r="D289" s="494">
        <v>0.65</v>
      </c>
    </row>
    <row r="290" spans="1:4" ht="28.8">
      <c r="A290" s="494" t="s">
        <v>1201</v>
      </c>
      <c r="C290" s="493" t="s">
        <v>7180</v>
      </c>
      <c r="D290" s="496">
        <v>9.8000000000000004E-2</v>
      </c>
    </row>
    <row r="291" spans="1:4">
      <c r="A291" s="494" t="s">
        <v>1201</v>
      </c>
      <c r="C291" s="493" t="s">
        <v>7104</v>
      </c>
      <c r="D291" s="494">
        <f>D289*D290</f>
        <v>6.3700000000000007E-2</v>
      </c>
    </row>
    <row r="292" spans="1:4">
      <c r="A292" s="494" t="s">
        <v>1201</v>
      </c>
    </row>
    <row r="293" spans="1:4">
      <c r="A293" s="494" t="s">
        <v>1201</v>
      </c>
    </row>
    <row r="294" spans="1:4">
      <c r="A294" s="494" t="s">
        <v>1201</v>
      </c>
    </row>
  </sheetData>
  <mergeCells count="1">
    <mergeCell ref="L37:L39"/>
  </mergeCells>
  <hyperlinks>
    <hyperlink ref="D2" r:id="rId1" display="https://www.researchgate.net/publication/256197077_Ethanol_Production_from_Winter_Hulless_Barley" xr:uid="{5FDB8322-8590-420A-B658-E9E5EA14F00F}"/>
    <hyperlink ref="D19" r:id="rId2" display="https://link.springer.com/article/10.1007/s12010-011-9304-1?utm_source=getftr&amp;utm_medium=getftr&amp;utm_campaign=getftr_pilot" xr:uid="{5212A16C-B3A5-4F15-BB44-3197494DC16C}"/>
    <hyperlink ref="J37" location="_bookmark7" display="_bookmark7" xr:uid="{D2365A8C-4A9A-4E7E-B158-D4C122AB0856}"/>
    <hyperlink ref="D72" r:id="rId3" display="https://www-sciencedirect-com.proxy.library.uu.nl/science/article/pii/S0926669008000241" xr:uid="{B66011D3-25C9-40E6-A1B7-3946C73A4CC1}"/>
    <hyperlink ref="D78" r:id="rId4" display="https://www-sciencedirect-com.proxy.library.uu.nl/science/article/pii/S0960148122002919" xr:uid="{7F77D99B-6A9D-401D-A0E3-273AD588581F}"/>
    <hyperlink ref="D84" r:id="rId5" display="https://pubs.acs.org/doi/10.1021/acs.energyfuels.8b00343" xr:uid="{2A07BF4B-190D-4956-9D52-6FB9F60C20C1}"/>
    <hyperlink ref="D89" r:id="rId6" display="https://www-sciencedirect-com.proxy.library.uu.nl/science/article/pii/S1871678418302279" xr:uid="{47E5BD5E-0DA0-4B77-B02C-165CC73F4160}"/>
    <hyperlink ref="E103" r:id="rId7" display="https://www-sciencedirect-com.proxy.library.uu.nl/science/article/pii/S0960852419315974" xr:uid="{87C6D50A-D6AC-430F-A98A-5E626952A02D}"/>
    <hyperlink ref="D206" r:id="rId8" display="https://www-sciencedirect-com.proxy.library.uu.nl/science/article/pii/S0960852424001937" xr:uid="{29F1D405-2D9C-4BE1-88FA-2254318E8DCF}"/>
    <hyperlink ref="D211" r:id="rId9" display="https://www-sciencedirect-com.proxy.library.uu.nl/science/article/pii/S1369703X08000235" xr:uid="{A3E71601-90AC-422D-91CC-0903C3CA0B96}"/>
    <hyperlink ref="D217" r:id="rId10" display="https://www-sciencedirect-com.proxy.library.uu.nl/science/article/pii/S0956053X15302154" xr:uid="{7D39CE89-2026-4183-94D4-1C5A1B82BAA9}"/>
    <hyperlink ref="D221" r:id="rId11" display="https://link-springer-com.proxy.library.uu.nl/article/10.1007/s10529-007-9494-3" xr:uid="{A884C62F-66CF-4F9F-AE79-4B23783B2692}"/>
    <hyperlink ref="D226" r:id="rId12" display="https://www-sciencedirect-com.proxy.library.uu.nl/science/article/pii/S1369703X08000235" xr:uid="{52112695-0B5A-456F-BE67-9A24F2E33A4C}"/>
    <hyperlink ref="D253" r:id="rId13" display="https://onlinelibrary-wiley-com.proxy.library.uu.nl/doi/epdf/10.1002/jsfa.2276" xr:uid="{17D66B68-C5DC-40BF-8690-52DBCE8FA969}"/>
    <hyperlink ref="D273" r:id="rId14" display="https://link-springer-com.proxy.library.uu.nl/article/10.1007/s10529-007-9468-5" xr:uid="{DD31FFD0-F954-4737-ABC6-E2E71C2BEB5B}"/>
    <hyperlink ref="D278" r:id="rId15" display="https://link-springer-com.proxy.library.uu.nl/article/10.1007/s10529-007-9468-5" xr:uid="{5EC71704-DF82-4499-88DF-089FC245EB8B}"/>
    <hyperlink ref="D283" r:id="rId16" display="https://www.sciencedirect.com/science/article/abs/pii/S0032959204001657" xr:uid="{6961FBB9-73E5-48B5-B340-2D94CFBCDA2F}"/>
    <hyperlink ref="D288" r:id="rId17" display="https://aiche-onlinelibrary-wiley-com.proxy.library.uu.nl/doi/epdf/10.1021/bp0501118" xr:uid="{8F65DEFE-658B-4EE3-B0E7-3A39452B4D5E}"/>
    <hyperlink ref="D116" r:id="rId18" xr:uid="{7A9B0156-EF3F-4067-A6B5-5E8F955ED357}"/>
    <hyperlink ref="D126" r:id="rId19" xr:uid="{DA5089B1-CCA6-48EF-89B8-A92EC9AC35B9}"/>
  </hyperlinks>
  <pageMargins left="0.7" right="0.7" top="0.75" bottom="0.75" header="0.3" footer="0.3"/>
  <pageSetup orientation="portrait"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B190F-D6ED-4A3F-AD46-3626247156B7}">
  <dimension ref="A2:AD477"/>
  <sheetViews>
    <sheetView topLeftCell="A72" zoomScale="91" zoomScaleNormal="100" workbookViewId="0">
      <selection activeCell="D109" sqref="D109:D112"/>
    </sheetView>
  </sheetViews>
  <sheetFormatPr defaultRowHeight="14.4"/>
  <cols>
    <col min="2" max="2" width="13.88671875" customWidth="1"/>
    <col min="3" max="3" width="23.44140625" customWidth="1"/>
    <col min="4" max="4" width="33.33203125" customWidth="1"/>
    <col min="5" max="5" width="25" customWidth="1"/>
    <col min="6" max="6" width="20.44140625" customWidth="1"/>
    <col min="7" max="7" width="18.88671875" customWidth="1"/>
    <col min="8" max="8" width="15.109375" customWidth="1"/>
    <col min="9" max="9" width="16" customWidth="1"/>
    <col min="10" max="10" width="14.88671875" customWidth="1"/>
    <col min="11" max="11" width="22" customWidth="1"/>
    <col min="12" max="12" width="22.44140625" customWidth="1"/>
    <col min="13" max="13" width="23.109375" customWidth="1"/>
    <col min="17" max="17" width="15.44140625" bestFit="1" customWidth="1"/>
    <col min="30" max="30" width="34.88671875" bestFit="1" customWidth="1"/>
  </cols>
  <sheetData>
    <row r="2" spans="1:7">
      <c r="A2" t="s">
        <v>2</v>
      </c>
      <c r="B2" t="s">
        <v>1279</v>
      </c>
      <c r="C2" t="s">
        <v>444</v>
      </c>
      <c r="D2" t="s">
        <v>1280</v>
      </c>
    </row>
    <row r="3" spans="1:7">
      <c r="A3" t="s">
        <v>2</v>
      </c>
      <c r="B3" t="s">
        <v>1279</v>
      </c>
    </row>
    <row r="4" spans="1:7" ht="21">
      <c r="A4" t="s">
        <v>2</v>
      </c>
      <c r="B4" t="s">
        <v>1279</v>
      </c>
      <c r="D4" s="111" t="s">
        <v>1281</v>
      </c>
    </row>
    <row r="5" spans="1:7" ht="15" thickBot="1">
      <c r="A5" t="s">
        <v>2</v>
      </c>
      <c r="B5" t="s">
        <v>1279</v>
      </c>
      <c r="D5" s="26" t="s">
        <v>1282</v>
      </c>
    </row>
    <row r="6" spans="1:7" ht="22.2" thickTop="1" thickBot="1">
      <c r="A6" t="s">
        <v>2</v>
      </c>
      <c r="B6" t="s">
        <v>1279</v>
      </c>
      <c r="D6" s="563"/>
      <c r="E6" s="520" t="s">
        <v>1283</v>
      </c>
      <c r="F6" s="521"/>
      <c r="G6" s="522"/>
    </row>
    <row r="7" spans="1:7" ht="22.2" thickTop="1" thickBot="1">
      <c r="A7" t="s">
        <v>2</v>
      </c>
      <c r="B7" t="s">
        <v>1279</v>
      </c>
      <c r="D7" s="564"/>
      <c r="E7" s="87" t="s">
        <v>1284</v>
      </c>
      <c r="F7" s="87" t="s">
        <v>1285</v>
      </c>
      <c r="G7" s="102" t="s">
        <v>1286</v>
      </c>
    </row>
    <row r="8" spans="1:7" ht="22.2" thickTop="1" thickBot="1">
      <c r="A8" t="s">
        <v>2</v>
      </c>
      <c r="B8" t="s">
        <v>1279</v>
      </c>
      <c r="D8" s="565" t="s">
        <v>666</v>
      </c>
      <c r="E8" s="566"/>
      <c r="F8" s="566"/>
      <c r="G8" s="567"/>
    </row>
    <row r="9" spans="1:7" ht="22.2" thickTop="1" thickBot="1">
      <c r="A9" t="s">
        <v>2</v>
      </c>
      <c r="B9" t="s">
        <v>1279</v>
      </c>
      <c r="D9" s="92" t="s">
        <v>1287</v>
      </c>
      <c r="E9" s="113">
        <v>31500</v>
      </c>
      <c r="F9" s="113">
        <v>31500</v>
      </c>
      <c r="G9" s="109" t="s">
        <v>1288</v>
      </c>
    </row>
    <row r="10" spans="1:7" ht="22.2" thickTop="1" thickBot="1">
      <c r="A10" t="s">
        <v>2</v>
      </c>
      <c r="B10" t="s">
        <v>1279</v>
      </c>
      <c r="D10" s="560" t="s">
        <v>1289</v>
      </c>
      <c r="E10" s="561"/>
      <c r="F10" s="561"/>
      <c r="G10" s="562"/>
    </row>
    <row r="11" spans="1:7" ht="22.2" thickTop="1" thickBot="1">
      <c r="A11" t="s">
        <v>2</v>
      </c>
      <c r="B11" t="s">
        <v>1279</v>
      </c>
      <c r="D11" s="92" t="s">
        <v>1290</v>
      </c>
      <c r="E11" s="88">
        <v>416.3</v>
      </c>
      <c r="F11" s="88">
        <v>416.3</v>
      </c>
      <c r="G11" s="109" t="s">
        <v>1291</v>
      </c>
    </row>
    <row r="12" spans="1:7" ht="22.2" thickTop="1" thickBot="1">
      <c r="A12" t="s">
        <v>2</v>
      </c>
      <c r="B12" t="s">
        <v>1279</v>
      </c>
      <c r="D12" s="92" t="s">
        <v>1292</v>
      </c>
      <c r="E12" s="88">
        <v>4199.3999999999996</v>
      </c>
      <c r="F12" s="88">
        <v>4199.3999999999996</v>
      </c>
      <c r="G12" s="109" t="s">
        <v>1291</v>
      </c>
    </row>
    <row r="13" spans="1:7" ht="22.2" thickTop="1" thickBot="1">
      <c r="A13" t="s">
        <v>2</v>
      </c>
      <c r="B13" t="s">
        <v>1279</v>
      </c>
      <c r="D13" s="92" t="s">
        <v>1293</v>
      </c>
      <c r="E13" s="88">
        <v>415</v>
      </c>
      <c r="F13" s="88">
        <v>415</v>
      </c>
      <c r="G13" s="109" t="s">
        <v>1291</v>
      </c>
    </row>
    <row r="14" spans="1:7" ht="22.2" thickTop="1" thickBot="1">
      <c r="A14" t="s">
        <v>2</v>
      </c>
      <c r="B14" t="s">
        <v>1279</v>
      </c>
      <c r="D14" s="560" t="s">
        <v>1294</v>
      </c>
      <c r="E14" s="561"/>
      <c r="F14" s="561"/>
      <c r="G14" s="562"/>
    </row>
    <row r="15" spans="1:7" ht="22.2" thickTop="1" thickBot="1">
      <c r="A15" t="s">
        <v>2</v>
      </c>
      <c r="B15" t="s">
        <v>1279</v>
      </c>
      <c r="D15" s="92" t="s">
        <v>1295</v>
      </c>
      <c r="E15" s="88">
        <v>2164.4</v>
      </c>
      <c r="F15" s="88">
        <v>2164.4</v>
      </c>
      <c r="G15" s="109" t="s">
        <v>1296</v>
      </c>
    </row>
    <row r="16" spans="1:7" ht="22.2" thickTop="1" thickBot="1">
      <c r="A16" t="s">
        <v>2</v>
      </c>
      <c r="B16" t="s">
        <v>1279</v>
      </c>
      <c r="D16" s="92" t="s">
        <v>1297</v>
      </c>
      <c r="E16" s="88">
        <v>9730</v>
      </c>
      <c r="F16" s="88">
        <v>6738</v>
      </c>
      <c r="G16" s="109" t="s">
        <v>1288</v>
      </c>
    </row>
    <row r="17" spans="1:11" ht="22.8" thickTop="1" thickBot="1">
      <c r="A17" t="s">
        <v>2</v>
      </c>
      <c r="B17" t="s">
        <v>1279</v>
      </c>
      <c r="D17" s="92" t="s">
        <v>1298</v>
      </c>
      <c r="E17" s="113">
        <v>94446</v>
      </c>
      <c r="F17" s="113">
        <v>61782</v>
      </c>
      <c r="G17" s="109" t="s">
        <v>1299</v>
      </c>
    </row>
    <row r="18" spans="1:11" ht="22.2" thickTop="1" thickBot="1">
      <c r="A18" t="s">
        <v>2</v>
      </c>
      <c r="B18" t="s">
        <v>1279</v>
      </c>
      <c r="D18" s="560" t="s">
        <v>1300</v>
      </c>
      <c r="E18" s="561"/>
      <c r="F18" s="561"/>
      <c r="G18" s="562"/>
    </row>
    <row r="19" spans="1:11" ht="22.2" thickTop="1" thickBot="1">
      <c r="A19" t="s">
        <v>2</v>
      </c>
      <c r="B19" t="s">
        <v>1279</v>
      </c>
      <c r="D19" s="92" t="s">
        <v>1301</v>
      </c>
      <c r="E19" s="88">
        <v>14.27</v>
      </c>
      <c r="F19" s="88">
        <v>14.27</v>
      </c>
      <c r="G19" s="109" t="s">
        <v>1302</v>
      </c>
    </row>
    <row r="20" spans="1:11" ht="22.2" thickTop="1" thickBot="1">
      <c r="A20" t="s">
        <v>2</v>
      </c>
      <c r="B20" t="s">
        <v>1279</v>
      </c>
      <c r="D20" s="92" t="s">
        <v>1303</v>
      </c>
      <c r="E20" s="88">
        <v>104</v>
      </c>
      <c r="F20" s="88">
        <v>104</v>
      </c>
      <c r="G20" s="109" t="s">
        <v>1304</v>
      </c>
    </row>
    <row r="21" spans="1:11" ht="22.2" thickTop="1" thickBot="1">
      <c r="A21" t="s">
        <v>2</v>
      </c>
      <c r="B21" t="s">
        <v>1279</v>
      </c>
      <c r="D21" s="92" t="s">
        <v>1305</v>
      </c>
      <c r="E21" s="88">
        <v>949.21</v>
      </c>
      <c r="F21" s="88" t="s">
        <v>209</v>
      </c>
      <c r="G21" s="109" t="s">
        <v>1306</v>
      </c>
    </row>
    <row r="22" spans="1:11" ht="22.2" thickTop="1" thickBot="1">
      <c r="A22" t="s">
        <v>2</v>
      </c>
      <c r="B22" t="s">
        <v>1279</v>
      </c>
      <c r="D22" s="92" t="s">
        <v>1307</v>
      </c>
      <c r="E22" s="88" t="s">
        <v>209</v>
      </c>
      <c r="F22" s="88">
        <v>1268.06</v>
      </c>
      <c r="G22" s="109" t="s">
        <v>1306</v>
      </c>
    </row>
    <row r="23" spans="1:11" ht="43.2" thickTop="1" thickBot="1">
      <c r="A23" t="s">
        <v>2</v>
      </c>
      <c r="B23" t="s">
        <v>1279</v>
      </c>
      <c r="D23" s="94" t="s">
        <v>1308</v>
      </c>
      <c r="E23" s="96">
        <v>66.5</v>
      </c>
      <c r="F23" s="96">
        <v>88.9</v>
      </c>
      <c r="G23" s="110" t="s">
        <v>1309</v>
      </c>
    </row>
    <row r="24" spans="1:11" ht="15" thickTop="1">
      <c r="A24" t="s">
        <v>2</v>
      </c>
      <c r="B24" t="s">
        <v>1279</v>
      </c>
      <c r="D24" s="52" t="s">
        <v>1310</v>
      </c>
      <c r="E24" s="48">
        <f>AVERAGE(E23:F23)</f>
        <v>77.7</v>
      </c>
    </row>
    <row r="25" spans="1:11">
      <c r="A25" t="s">
        <v>2</v>
      </c>
      <c r="B25" t="s">
        <v>1279</v>
      </c>
      <c r="D25" s="52" t="s">
        <v>1311</v>
      </c>
      <c r="E25" s="48">
        <v>784.8</v>
      </c>
    </row>
    <row r="26" spans="1:11">
      <c r="A26" t="s">
        <v>2</v>
      </c>
      <c r="B26" t="s">
        <v>1279</v>
      </c>
      <c r="D26" s="52" t="s">
        <v>1312</v>
      </c>
      <c r="E26" s="48">
        <f>E24*E25/1000000</f>
        <v>6.0978959999999999E-2</v>
      </c>
    </row>
    <row r="27" spans="1:11">
      <c r="A27" t="s">
        <v>2</v>
      </c>
      <c r="B27" t="s">
        <v>1279</v>
      </c>
    </row>
    <row r="28" spans="1:11">
      <c r="A28" t="s">
        <v>2</v>
      </c>
      <c r="B28" t="s">
        <v>1279</v>
      </c>
      <c r="C28" t="s">
        <v>226</v>
      </c>
      <c r="D28" t="s">
        <v>1313</v>
      </c>
    </row>
    <row r="29" spans="1:11">
      <c r="A29" t="s">
        <v>2</v>
      </c>
      <c r="B29" t="s">
        <v>1279</v>
      </c>
    </row>
    <row r="30" spans="1:11" ht="21">
      <c r="A30" t="s">
        <v>2</v>
      </c>
      <c r="B30" t="s">
        <v>1279</v>
      </c>
      <c r="D30" s="111" t="s">
        <v>1314</v>
      </c>
    </row>
    <row r="31" spans="1:11" ht="15" thickBot="1">
      <c r="A31" t="s">
        <v>2</v>
      </c>
      <c r="B31" t="s">
        <v>1279</v>
      </c>
      <c r="D31" s="26" t="s">
        <v>1315</v>
      </c>
    </row>
    <row r="32" spans="1:11" ht="43.8" thickTop="1" thickBot="1">
      <c r="A32" t="s">
        <v>2</v>
      </c>
      <c r="B32" t="s">
        <v>1279</v>
      </c>
      <c r="D32" s="106" t="s">
        <v>1316</v>
      </c>
      <c r="E32" s="107" t="s">
        <v>73</v>
      </c>
      <c r="F32" s="107" t="s">
        <v>1317</v>
      </c>
      <c r="G32" s="107" t="s">
        <v>1318</v>
      </c>
      <c r="H32" s="107" t="s">
        <v>1319</v>
      </c>
      <c r="I32" s="114" t="s">
        <v>1320</v>
      </c>
      <c r="J32" s="114" t="s">
        <v>1321</v>
      </c>
      <c r="K32" s="101" t="s">
        <v>1322</v>
      </c>
    </row>
    <row r="33" spans="1:11" ht="22.2" thickTop="1" thickBot="1">
      <c r="A33" t="s">
        <v>2</v>
      </c>
      <c r="B33" t="s">
        <v>1279</v>
      </c>
      <c r="D33" s="92" t="s">
        <v>1323</v>
      </c>
      <c r="E33" s="88">
        <v>9</v>
      </c>
      <c r="F33" s="89" t="s">
        <v>1324</v>
      </c>
      <c r="G33" s="89" t="s">
        <v>1325</v>
      </c>
      <c r="H33" s="89" t="s">
        <v>1326</v>
      </c>
      <c r="I33" s="89" t="s">
        <v>1327</v>
      </c>
      <c r="J33" s="89">
        <v>0.47</v>
      </c>
      <c r="K33" s="93">
        <v>88.95</v>
      </c>
    </row>
    <row r="34" spans="1:11" ht="22.2" thickTop="1" thickBot="1">
      <c r="A34" t="s">
        <v>2</v>
      </c>
      <c r="B34" t="s">
        <v>1279</v>
      </c>
      <c r="D34" s="94" t="s">
        <v>1328</v>
      </c>
      <c r="E34" s="96">
        <v>6</v>
      </c>
      <c r="F34" s="95" t="s">
        <v>1329</v>
      </c>
      <c r="G34" s="95" t="s">
        <v>1330</v>
      </c>
      <c r="H34" s="95" t="s">
        <v>1331</v>
      </c>
      <c r="I34" s="95" t="s">
        <v>1332</v>
      </c>
      <c r="J34" s="95">
        <v>0.49</v>
      </c>
      <c r="K34" s="97">
        <v>95.98</v>
      </c>
    </row>
    <row r="35" spans="1:11" ht="19.8" thickTop="1">
      <c r="A35" t="s">
        <v>2</v>
      </c>
      <c r="B35" t="s">
        <v>1279</v>
      </c>
      <c r="D35" s="103" t="s">
        <v>1333</v>
      </c>
    </row>
    <row r="36" spans="1:11">
      <c r="A36" t="s">
        <v>2</v>
      </c>
      <c r="B36" t="s">
        <v>1279</v>
      </c>
    </row>
    <row r="37" spans="1:11">
      <c r="A37" t="s">
        <v>2</v>
      </c>
      <c r="B37" t="s">
        <v>1279</v>
      </c>
      <c r="D37" s="48" t="s">
        <v>1334</v>
      </c>
      <c r="E37" s="48"/>
      <c r="F37" s="48"/>
      <c r="G37" s="48"/>
      <c r="H37" s="48"/>
      <c r="I37" s="48"/>
      <c r="J37" s="48">
        <f>AVERAGE(J33:J34)</f>
        <v>0.48</v>
      </c>
    </row>
    <row r="38" spans="1:11">
      <c r="A38" t="s">
        <v>2</v>
      </c>
      <c r="B38" t="s">
        <v>1279</v>
      </c>
      <c r="D38" s="48" t="s">
        <v>1335</v>
      </c>
      <c r="E38" s="48"/>
      <c r="F38" s="48"/>
      <c r="G38" s="48"/>
      <c r="H38" s="48"/>
      <c r="I38" s="48"/>
      <c r="J38" s="60">
        <v>0.139693073508772</v>
      </c>
    </row>
    <row r="39" spans="1:11">
      <c r="A39" t="s">
        <v>2</v>
      </c>
      <c r="B39" t="s">
        <v>1279</v>
      </c>
      <c r="D39" s="52" t="s">
        <v>1312</v>
      </c>
      <c r="E39" s="48"/>
      <c r="F39" s="48"/>
      <c r="G39" s="48"/>
      <c r="H39" s="48"/>
      <c r="I39" s="48"/>
      <c r="J39" s="48">
        <f>J37*J38</f>
        <v>6.705267528421055E-2</v>
      </c>
    </row>
    <row r="40" spans="1:11">
      <c r="A40" t="s">
        <v>2</v>
      </c>
      <c r="B40" t="s">
        <v>1279</v>
      </c>
    </row>
    <row r="41" spans="1:11">
      <c r="A41" t="s">
        <v>2</v>
      </c>
      <c r="B41" t="s">
        <v>1279</v>
      </c>
    </row>
    <row r="42" spans="1:11">
      <c r="A42" t="s">
        <v>2</v>
      </c>
      <c r="B42" t="s">
        <v>1279</v>
      </c>
      <c r="C42" t="s">
        <v>396</v>
      </c>
      <c r="D42" t="s">
        <v>1336</v>
      </c>
    </row>
    <row r="43" spans="1:11">
      <c r="A43" t="s">
        <v>2</v>
      </c>
      <c r="B43" t="s">
        <v>1279</v>
      </c>
      <c r="D43" t="s">
        <v>1337</v>
      </c>
    </row>
    <row r="44" spans="1:11">
      <c r="A44" t="s">
        <v>2</v>
      </c>
      <c r="B44" t="s">
        <v>1279</v>
      </c>
    </row>
    <row r="45" spans="1:11">
      <c r="A45" t="s">
        <v>2</v>
      </c>
      <c r="B45" t="s">
        <v>1279</v>
      </c>
    </row>
    <row r="46" spans="1:11">
      <c r="A46" t="s">
        <v>2</v>
      </c>
      <c r="B46" t="s">
        <v>1279</v>
      </c>
    </row>
    <row r="47" spans="1:11">
      <c r="A47" t="s">
        <v>2</v>
      </c>
      <c r="B47" t="s">
        <v>1279</v>
      </c>
    </row>
    <row r="48" spans="1:11">
      <c r="A48" t="s">
        <v>2</v>
      </c>
      <c r="B48" t="s">
        <v>1279</v>
      </c>
    </row>
    <row r="49" spans="1:2">
      <c r="A49" t="s">
        <v>2</v>
      </c>
      <c r="B49" t="s">
        <v>1279</v>
      </c>
    </row>
    <row r="50" spans="1:2">
      <c r="A50" t="s">
        <v>2</v>
      </c>
      <c r="B50" t="s">
        <v>1279</v>
      </c>
    </row>
    <row r="51" spans="1:2">
      <c r="A51" t="s">
        <v>2</v>
      </c>
      <c r="B51" t="s">
        <v>1279</v>
      </c>
    </row>
    <row r="52" spans="1:2">
      <c r="A52" t="s">
        <v>2</v>
      </c>
      <c r="B52" t="s">
        <v>1279</v>
      </c>
    </row>
    <row r="53" spans="1:2">
      <c r="A53" t="s">
        <v>2</v>
      </c>
      <c r="B53" t="s">
        <v>1279</v>
      </c>
    </row>
    <row r="54" spans="1:2">
      <c r="A54" t="s">
        <v>2</v>
      </c>
      <c r="B54" t="s">
        <v>1279</v>
      </c>
    </row>
    <row r="55" spans="1:2">
      <c r="A55" t="s">
        <v>2</v>
      </c>
      <c r="B55" t="s">
        <v>1279</v>
      </c>
    </row>
    <row r="56" spans="1:2">
      <c r="A56" t="s">
        <v>2</v>
      </c>
      <c r="B56" t="s">
        <v>1279</v>
      </c>
    </row>
    <row r="57" spans="1:2">
      <c r="A57" t="s">
        <v>2</v>
      </c>
      <c r="B57" t="s">
        <v>1279</v>
      </c>
    </row>
    <row r="58" spans="1:2">
      <c r="A58" t="s">
        <v>2</v>
      </c>
      <c r="B58" t="s">
        <v>1279</v>
      </c>
    </row>
    <row r="59" spans="1:2">
      <c r="A59" t="s">
        <v>2</v>
      </c>
      <c r="B59" t="s">
        <v>1279</v>
      </c>
    </row>
    <row r="60" spans="1:2">
      <c r="A60" t="s">
        <v>2</v>
      </c>
      <c r="B60" t="s">
        <v>1279</v>
      </c>
    </row>
    <row r="61" spans="1:2">
      <c r="A61" t="s">
        <v>2</v>
      </c>
      <c r="B61" t="s">
        <v>1279</v>
      </c>
    </row>
    <row r="62" spans="1:2">
      <c r="A62" t="s">
        <v>2</v>
      </c>
      <c r="B62" t="s">
        <v>1279</v>
      </c>
    </row>
    <row r="63" spans="1:2">
      <c r="A63" t="s">
        <v>2</v>
      </c>
      <c r="B63" t="s">
        <v>1279</v>
      </c>
    </row>
    <row r="64" spans="1:2">
      <c r="A64" t="s">
        <v>2</v>
      </c>
      <c r="B64" t="s">
        <v>1279</v>
      </c>
    </row>
    <row r="65" spans="1:5">
      <c r="A65" t="s">
        <v>2</v>
      </c>
      <c r="B65" t="s">
        <v>1279</v>
      </c>
    </row>
    <row r="66" spans="1:5">
      <c r="A66" t="s">
        <v>2</v>
      </c>
      <c r="B66" t="s">
        <v>1279</v>
      </c>
    </row>
    <row r="67" spans="1:5">
      <c r="A67" t="s">
        <v>2</v>
      </c>
      <c r="B67" t="s">
        <v>1279</v>
      </c>
    </row>
    <row r="68" spans="1:5">
      <c r="A68" t="s">
        <v>2</v>
      </c>
      <c r="B68" t="s">
        <v>1279</v>
      </c>
    </row>
    <row r="69" spans="1:5">
      <c r="A69" t="s">
        <v>2</v>
      </c>
      <c r="B69" t="s">
        <v>1279</v>
      </c>
    </row>
    <row r="70" spans="1:5">
      <c r="A70" t="s">
        <v>2</v>
      </c>
      <c r="B70" t="s">
        <v>1279</v>
      </c>
    </row>
    <row r="71" spans="1:5">
      <c r="A71" t="s">
        <v>2</v>
      </c>
      <c r="B71" t="s">
        <v>1279</v>
      </c>
    </row>
    <row r="72" spans="1:5">
      <c r="A72" t="s">
        <v>2</v>
      </c>
      <c r="B72" t="s">
        <v>1279</v>
      </c>
    </row>
    <row r="73" spans="1:5">
      <c r="A73" t="s">
        <v>2</v>
      </c>
      <c r="B73" t="s">
        <v>1279</v>
      </c>
    </row>
    <row r="74" spans="1:5">
      <c r="A74" t="s">
        <v>2</v>
      </c>
      <c r="B74" t="s">
        <v>1279</v>
      </c>
    </row>
    <row r="75" spans="1:5">
      <c r="A75" t="s">
        <v>2</v>
      </c>
      <c r="B75" t="s">
        <v>1279</v>
      </c>
    </row>
    <row r="76" spans="1:5">
      <c r="A76" t="s">
        <v>2</v>
      </c>
      <c r="B76" t="s">
        <v>1279</v>
      </c>
    </row>
    <row r="77" spans="1:5">
      <c r="A77" t="s">
        <v>2</v>
      </c>
      <c r="B77" t="s">
        <v>1279</v>
      </c>
    </row>
    <row r="78" spans="1:5">
      <c r="A78" t="s">
        <v>2</v>
      </c>
      <c r="B78" t="s">
        <v>1279</v>
      </c>
    </row>
    <row r="79" spans="1:5">
      <c r="A79" t="s">
        <v>2</v>
      </c>
      <c r="B79" t="s">
        <v>1279</v>
      </c>
      <c r="D79" s="48" t="s">
        <v>1338</v>
      </c>
      <c r="E79" s="48">
        <v>7.42</v>
      </c>
    </row>
    <row r="80" spans="1:5">
      <c r="A80" t="s">
        <v>2</v>
      </c>
      <c r="B80" t="s">
        <v>1279</v>
      </c>
      <c r="D80" s="48" t="s">
        <v>1339</v>
      </c>
      <c r="E80" s="48">
        <v>6.18</v>
      </c>
    </row>
    <row r="81" spans="1:5">
      <c r="A81" t="s">
        <v>2</v>
      </c>
      <c r="B81" t="s">
        <v>1279</v>
      </c>
      <c r="D81" s="48" t="s">
        <v>1340</v>
      </c>
      <c r="E81" s="48">
        <f>SUM(E79:E80)/2/100</f>
        <v>6.8000000000000005E-2</v>
      </c>
    </row>
    <row r="82" spans="1:5">
      <c r="A82" t="s">
        <v>2</v>
      </c>
      <c r="B82" t="s">
        <v>1279</v>
      </c>
    </row>
    <row r="83" spans="1:5">
      <c r="A83" t="s">
        <v>2</v>
      </c>
      <c r="B83" t="s">
        <v>1279</v>
      </c>
    </row>
    <row r="84" spans="1:5">
      <c r="A84" t="s">
        <v>2</v>
      </c>
      <c r="B84" t="s">
        <v>1279</v>
      </c>
      <c r="C84" t="s">
        <v>420</v>
      </c>
      <c r="D84" t="s">
        <v>1341</v>
      </c>
    </row>
    <row r="85" spans="1:5">
      <c r="A85" t="s">
        <v>2</v>
      </c>
      <c r="B85" t="s">
        <v>1279</v>
      </c>
      <c r="D85" t="s">
        <v>1342</v>
      </c>
    </row>
    <row r="86" spans="1:5">
      <c r="A86" t="s">
        <v>2</v>
      </c>
      <c r="B86" t="s">
        <v>1279</v>
      </c>
      <c r="D86" t="s">
        <v>1343</v>
      </c>
    </row>
    <row r="87" spans="1:5" ht="15.6">
      <c r="A87" t="s">
        <v>2</v>
      </c>
      <c r="B87" t="s">
        <v>1279</v>
      </c>
      <c r="D87" t="s">
        <v>1142</v>
      </c>
      <c r="E87" t="s">
        <v>1344</v>
      </c>
    </row>
    <row r="88" spans="1:5">
      <c r="A88" t="s">
        <v>2</v>
      </c>
      <c r="B88" t="s">
        <v>1279</v>
      </c>
      <c r="D88">
        <v>1</v>
      </c>
      <c r="E88">
        <v>0.48</v>
      </c>
    </row>
    <row r="89" spans="1:5">
      <c r="A89" t="s">
        <v>2</v>
      </c>
      <c r="B89" t="s">
        <v>1279</v>
      </c>
      <c r="D89">
        <v>2</v>
      </c>
      <c r="E89">
        <v>0.49</v>
      </c>
    </row>
    <row r="90" spans="1:5">
      <c r="A90" t="s">
        <v>2</v>
      </c>
      <c r="B90" t="s">
        <v>1279</v>
      </c>
      <c r="D90">
        <v>3</v>
      </c>
      <c r="E90">
        <v>0.45</v>
      </c>
    </row>
    <row r="91" spans="1:5">
      <c r="A91" t="s">
        <v>2</v>
      </c>
      <c r="B91" t="s">
        <v>1279</v>
      </c>
      <c r="D91">
        <v>4</v>
      </c>
      <c r="E91">
        <v>0.45</v>
      </c>
    </row>
    <row r="92" spans="1:5">
      <c r="A92" t="s">
        <v>2</v>
      </c>
      <c r="B92" t="s">
        <v>1279</v>
      </c>
      <c r="D92">
        <v>5</v>
      </c>
      <c r="E92">
        <v>0.45</v>
      </c>
    </row>
    <row r="93" spans="1:5">
      <c r="A93" t="s">
        <v>2</v>
      </c>
      <c r="B93" t="s">
        <v>1279</v>
      </c>
      <c r="D93">
        <v>6</v>
      </c>
      <c r="E93">
        <v>0.41</v>
      </c>
    </row>
    <row r="94" spans="1:5">
      <c r="A94" t="s">
        <v>2</v>
      </c>
      <c r="B94" t="s">
        <v>1279</v>
      </c>
      <c r="D94">
        <v>7</v>
      </c>
      <c r="E94">
        <v>0.48</v>
      </c>
    </row>
    <row r="95" spans="1:5">
      <c r="A95" t="s">
        <v>2</v>
      </c>
      <c r="B95" t="s">
        <v>1279</v>
      </c>
      <c r="D95" s="48" t="s">
        <v>1345</v>
      </c>
      <c r="E95" s="48">
        <f>AVERAGE(E88:E94)</f>
        <v>0.45857142857142857</v>
      </c>
    </row>
    <row r="96" spans="1:5">
      <c r="A96" t="s">
        <v>2</v>
      </c>
      <c r="B96" t="s">
        <v>1279</v>
      </c>
      <c r="D96" s="48" t="s">
        <v>1335</v>
      </c>
      <c r="E96" s="60">
        <v>0.139693073508772</v>
      </c>
    </row>
    <row r="97" spans="1:9">
      <c r="A97" t="s">
        <v>2</v>
      </c>
      <c r="B97" t="s">
        <v>1279</v>
      </c>
      <c r="D97" s="48" t="s">
        <v>1346</v>
      </c>
      <c r="E97" s="48">
        <f>E95*E96</f>
        <v>6.4059252280451159E-2</v>
      </c>
    </row>
    <row r="98" spans="1:9">
      <c r="A98" t="s">
        <v>2</v>
      </c>
      <c r="B98" t="s">
        <v>1279</v>
      </c>
    </row>
    <row r="99" spans="1:9">
      <c r="A99" t="s">
        <v>2</v>
      </c>
      <c r="B99" t="s">
        <v>1279</v>
      </c>
      <c r="C99" t="s">
        <v>425</v>
      </c>
      <c r="D99" t="s">
        <v>1347</v>
      </c>
    </row>
    <row r="100" spans="1:9">
      <c r="A100" t="s">
        <v>2</v>
      </c>
      <c r="B100" t="s">
        <v>1279</v>
      </c>
      <c r="D100" t="s">
        <v>1348</v>
      </c>
    </row>
    <row r="101" spans="1:9">
      <c r="A101" t="s">
        <v>2</v>
      </c>
      <c r="B101" t="s">
        <v>1279</v>
      </c>
      <c r="D101" t="s">
        <v>1349</v>
      </c>
    </row>
    <row r="102" spans="1:9">
      <c r="A102" t="s">
        <v>2</v>
      </c>
      <c r="B102" t="s">
        <v>1279</v>
      </c>
      <c r="D102" t="s">
        <v>1350</v>
      </c>
      <c r="E102" t="s">
        <v>1351</v>
      </c>
      <c r="F102" t="s">
        <v>1352</v>
      </c>
      <c r="G102" t="s">
        <v>1353</v>
      </c>
      <c r="H102" t="s">
        <v>1354</v>
      </c>
    </row>
    <row r="103" spans="1:9">
      <c r="A103" t="s">
        <v>2</v>
      </c>
      <c r="B103" t="s">
        <v>1279</v>
      </c>
      <c r="D103" t="s">
        <v>1355</v>
      </c>
      <c r="E103" t="s">
        <v>1356</v>
      </c>
      <c r="F103" t="s">
        <v>1357</v>
      </c>
      <c r="G103" t="s">
        <v>1358</v>
      </c>
      <c r="H103" t="s">
        <v>1359</v>
      </c>
    </row>
    <row r="104" spans="1:9">
      <c r="A104" t="s">
        <v>2</v>
      </c>
      <c r="B104" t="s">
        <v>1279</v>
      </c>
      <c r="D104" t="s">
        <v>1360</v>
      </c>
      <c r="E104" t="s">
        <v>1361</v>
      </c>
      <c r="F104" t="s">
        <v>1362</v>
      </c>
      <c r="G104" t="s">
        <v>1363</v>
      </c>
      <c r="H104" t="s">
        <v>1364</v>
      </c>
    </row>
    <row r="105" spans="1:9">
      <c r="A105" t="s">
        <v>2</v>
      </c>
      <c r="B105" t="s">
        <v>1279</v>
      </c>
      <c r="D105" t="s">
        <v>1365</v>
      </c>
      <c r="E105" t="s">
        <v>1366</v>
      </c>
      <c r="F105" t="s">
        <v>1367</v>
      </c>
      <c r="G105" t="s">
        <v>1368</v>
      </c>
      <c r="H105" t="s">
        <v>1369</v>
      </c>
    </row>
    <row r="106" spans="1:9">
      <c r="A106" t="s">
        <v>2</v>
      </c>
      <c r="B106" t="s">
        <v>1279</v>
      </c>
      <c r="D106" t="s">
        <v>1370</v>
      </c>
      <c r="E106" t="s">
        <v>1371</v>
      </c>
      <c r="F106" t="s">
        <v>1372</v>
      </c>
      <c r="G106" t="s">
        <v>1373</v>
      </c>
      <c r="H106" t="s">
        <v>1374</v>
      </c>
    </row>
    <row r="107" spans="1:9">
      <c r="A107" t="s">
        <v>2</v>
      </c>
      <c r="B107" t="s">
        <v>1279</v>
      </c>
      <c r="D107" t="s">
        <v>1375</v>
      </c>
    </row>
    <row r="108" spans="1:9">
      <c r="A108" t="s">
        <v>2</v>
      </c>
      <c r="B108" t="s">
        <v>1279</v>
      </c>
      <c r="D108" s="48"/>
      <c r="E108" s="48"/>
      <c r="F108" s="48"/>
      <c r="G108" s="48"/>
      <c r="H108" s="48"/>
    </row>
    <row r="109" spans="1:9">
      <c r="A109" t="s">
        <v>2</v>
      </c>
      <c r="B109" t="s">
        <v>1279</v>
      </c>
      <c r="D109" s="48" t="s">
        <v>1360</v>
      </c>
      <c r="E109" s="48">
        <v>0.34100000000000003</v>
      </c>
      <c r="F109" s="48">
        <v>0.27500000000000002</v>
      </c>
      <c r="G109" s="48">
        <v>0.30199999999999999</v>
      </c>
      <c r="H109" s="48">
        <v>0.19</v>
      </c>
      <c r="I109" s="48"/>
    </row>
    <row r="110" spans="1:9">
      <c r="A110" t="s">
        <v>2</v>
      </c>
      <c r="B110" t="s">
        <v>1279</v>
      </c>
      <c r="D110" s="48" t="s">
        <v>1376</v>
      </c>
      <c r="E110" s="48">
        <f>AVERAGE(E109:H109)</f>
        <v>0.27700000000000002</v>
      </c>
    </row>
    <row r="111" spans="1:9">
      <c r="A111" t="s">
        <v>2</v>
      </c>
      <c r="B111" t="s">
        <v>1279</v>
      </c>
      <c r="D111" s="48" t="s">
        <v>1335</v>
      </c>
      <c r="E111" s="60">
        <v>0.139693073508772</v>
      </c>
    </row>
    <row r="112" spans="1:9">
      <c r="A112" t="s">
        <v>2</v>
      </c>
      <c r="B112" t="s">
        <v>1279</v>
      </c>
      <c r="D112" s="48" t="s">
        <v>1346</v>
      </c>
      <c r="E112" s="48">
        <f>E110*E111</f>
        <v>3.8694981361929844E-2</v>
      </c>
    </row>
    <row r="113" spans="1:10">
      <c r="A113" t="s">
        <v>2</v>
      </c>
    </row>
    <row r="114" spans="1:10">
      <c r="A114" t="s">
        <v>2</v>
      </c>
    </row>
    <row r="115" spans="1:10">
      <c r="A115" t="s">
        <v>2</v>
      </c>
      <c r="B115" t="s">
        <v>1377</v>
      </c>
      <c r="C115" t="s">
        <v>197</v>
      </c>
      <c r="D115" t="s">
        <v>1378</v>
      </c>
    </row>
    <row r="116" spans="1:10">
      <c r="A116" t="s">
        <v>2</v>
      </c>
      <c r="B116" t="s">
        <v>1377</v>
      </c>
      <c r="D116" t="s">
        <v>1379</v>
      </c>
    </row>
    <row r="117" spans="1:10" ht="15" thickBot="1">
      <c r="A117" t="s">
        <v>2</v>
      </c>
      <c r="B117" t="s">
        <v>1377</v>
      </c>
      <c r="D117" s="26" t="s">
        <v>1380</v>
      </c>
    </row>
    <row r="118" spans="1:10" ht="28.2" thickBot="1">
      <c r="A118" t="s">
        <v>2</v>
      </c>
      <c r="B118" t="s">
        <v>1377</v>
      </c>
      <c r="D118" s="568" t="s">
        <v>14</v>
      </c>
      <c r="E118" s="568"/>
      <c r="F118" s="18" t="s">
        <v>1381</v>
      </c>
      <c r="G118" s="18" t="s">
        <v>1382</v>
      </c>
      <c r="H118" s="18" t="s">
        <v>1383</v>
      </c>
      <c r="I118" s="21" t="s">
        <v>1384</v>
      </c>
      <c r="J118" s="21" t="s">
        <v>1385</v>
      </c>
    </row>
    <row r="119" spans="1:10">
      <c r="A119" t="s">
        <v>2</v>
      </c>
      <c r="B119" t="s">
        <v>1377</v>
      </c>
      <c r="D119" s="569" t="s">
        <v>409</v>
      </c>
      <c r="E119" s="15" t="s">
        <v>1386</v>
      </c>
      <c r="F119" s="74">
        <v>15</v>
      </c>
      <c r="G119" s="74">
        <v>0</v>
      </c>
      <c r="H119" s="75">
        <v>82</v>
      </c>
      <c r="I119" s="75">
        <v>0.59</v>
      </c>
      <c r="J119" s="75">
        <v>0.45</v>
      </c>
    </row>
    <row r="120" spans="1:10">
      <c r="A120" t="s">
        <v>2</v>
      </c>
      <c r="B120" t="s">
        <v>1377</v>
      </c>
      <c r="D120" s="534"/>
      <c r="E120" s="504" t="s">
        <v>1387</v>
      </c>
      <c r="F120" s="74">
        <v>15</v>
      </c>
      <c r="G120" s="74">
        <v>0</v>
      </c>
      <c r="H120" s="75">
        <v>68.5</v>
      </c>
      <c r="I120" s="75">
        <v>0.84</v>
      </c>
      <c r="J120" s="75">
        <v>0.46</v>
      </c>
    </row>
    <row r="121" spans="1:10">
      <c r="A121" t="s">
        <v>2</v>
      </c>
      <c r="B121" t="s">
        <v>1377</v>
      </c>
      <c r="D121" s="534"/>
      <c r="E121" s="504"/>
      <c r="F121" s="74">
        <v>30</v>
      </c>
      <c r="G121" s="74">
        <v>0</v>
      </c>
      <c r="H121" s="75">
        <v>70.3</v>
      </c>
      <c r="I121" s="75">
        <v>0.9</v>
      </c>
      <c r="J121" s="75">
        <v>0.43</v>
      </c>
    </row>
    <row r="122" spans="1:10">
      <c r="A122" t="s">
        <v>2</v>
      </c>
      <c r="B122" t="s">
        <v>1377</v>
      </c>
      <c r="D122" s="534"/>
      <c r="E122" s="504"/>
      <c r="F122" s="504">
        <v>60</v>
      </c>
      <c r="G122" s="74">
        <v>0</v>
      </c>
      <c r="H122" s="75">
        <v>60.8</v>
      </c>
      <c r="I122" s="75">
        <v>0.91</v>
      </c>
      <c r="J122" s="75">
        <v>0.42</v>
      </c>
    </row>
    <row r="123" spans="1:10">
      <c r="A123" t="s">
        <v>2</v>
      </c>
      <c r="B123" t="s">
        <v>1377</v>
      </c>
      <c r="D123" s="534"/>
      <c r="E123" s="504"/>
      <c r="F123" s="504"/>
      <c r="G123" s="74">
        <v>20</v>
      </c>
      <c r="H123" s="75">
        <v>57.1</v>
      </c>
      <c r="I123" s="75">
        <v>0.9</v>
      </c>
      <c r="J123" s="75">
        <v>0.4</v>
      </c>
    </row>
    <row r="124" spans="1:10">
      <c r="A124" t="s">
        <v>2</v>
      </c>
      <c r="B124" t="s">
        <v>1377</v>
      </c>
      <c r="D124" s="534"/>
      <c r="E124" s="504"/>
      <c r="F124" s="504"/>
      <c r="G124" s="74">
        <v>40</v>
      </c>
      <c r="H124" s="75">
        <v>56.8</v>
      </c>
      <c r="I124" s="75">
        <v>1.02</v>
      </c>
      <c r="J124" s="75">
        <v>0.46</v>
      </c>
    </row>
    <row r="125" spans="1:10">
      <c r="A125" t="s">
        <v>2</v>
      </c>
      <c r="B125" t="s">
        <v>1377</v>
      </c>
      <c r="D125" s="534"/>
      <c r="E125" s="504"/>
      <c r="F125" s="504"/>
      <c r="G125" s="74">
        <v>80</v>
      </c>
      <c r="H125" s="75">
        <v>58.9</v>
      </c>
      <c r="I125" s="75">
        <v>1.1000000000000001</v>
      </c>
      <c r="J125" s="75">
        <v>0.47</v>
      </c>
    </row>
    <row r="126" spans="1:10">
      <c r="A126" t="s">
        <v>2</v>
      </c>
      <c r="B126" t="s">
        <v>1377</v>
      </c>
      <c r="D126" s="534"/>
      <c r="E126" s="504"/>
      <c r="F126" s="504"/>
      <c r="G126" s="74">
        <v>160</v>
      </c>
      <c r="H126" s="75">
        <v>49</v>
      </c>
      <c r="I126" s="75">
        <v>0.78</v>
      </c>
      <c r="J126" s="75">
        <v>0.38</v>
      </c>
    </row>
    <row r="127" spans="1:10">
      <c r="A127" t="s">
        <v>2</v>
      </c>
      <c r="B127" t="s">
        <v>1377</v>
      </c>
      <c r="D127" s="534"/>
      <c r="E127" s="504"/>
      <c r="F127" s="74">
        <v>120</v>
      </c>
      <c r="G127" s="74">
        <v>0</v>
      </c>
      <c r="H127" s="75">
        <v>66.099999999999994</v>
      </c>
      <c r="I127" s="75">
        <v>1.0900000000000001</v>
      </c>
      <c r="J127" s="75">
        <v>0.42</v>
      </c>
    </row>
    <row r="128" spans="1:10">
      <c r="A128" t="s">
        <v>2</v>
      </c>
      <c r="B128" t="s">
        <v>1377</v>
      </c>
      <c r="D128" s="534" t="s">
        <v>1388</v>
      </c>
      <c r="E128" s="15" t="s">
        <v>1386</v>
      </c>
      <c r="F128" s="74">
        <v>15</v>
      </c>
      <c r="G128" s="74">
        <v>0</v>
      </c>
      <c r="H128" s="75">
        <v>43.2</v>
      </c>
      <c r="I128" s="75">
        <v>0.62</v>
      </c>
      <c r="J128" s="75">
        <v>0.35</v>
      </c>
    </row>
    <row r="129" spans="1:11">
      <c r="A129" t="s">
        <v>2</v>
      </c>
      <c r="B129" t="s">
        <v>1377</v>
      </c>
      <c r="D129" s="534"/>
      <c r="E129" s="504" t="s">
        <v>1387</v>
      </c>
      <c r="F129" s="74">
        <v>15</v>
      </c>
      <c r="G129" s="74">
        <v>0</v>
      </c>
      <c r="H129" s="75">
        <v>35.4</v>
      </c>
      <c r="I129" s="75">
        <v>0.87</v>
      </c>
      <c r="J129" s="75">
        <v>0.31</v>
      </c>
    </row>
    <row r="130" spans="1:11">
      <c r="A130" t="s">
        <v>2</v>
      </c>
      <c r="B130" t="s">
        <v>1377</v>
      </c>
      <c r="D130" s="534"/>
      <c r="E130" s="504"/>
      <c r="F130" s="74">
        <v>30</v>
      </c>
      <c r="G130" s="74">
        <v>0</v>
      </c>
      <c r="H130" s="75">
        <v>34.700000000000003</v>
      </c>
      <c r="I130" s="75">
        <v>0.89</v>
      </c>
      <c r="J130" s="75">
        <v>0.36</v>
      </c>
    </row>
    <row r="131" spans="1:11">
      <c r="A131" t="s">
        <v>2</v>
      </c>
      <c r="B131" t="s">
        <v>1377</v>
      </c>
      <c r="D131" s="534"/>
      <c r="E131" s="504"/>
      <c r="F131" s="504">
        <v>60</v>
      </c>
      <c r="G131" s="74">
        <v>0</v>
      </c>
      <c r="H131" s="75">
        <v>33.799999999999997</v>
      </c>
      <c r="I131" s="75">
        <v>1.01</v>
      </c>
      <c r="J131" s="75">
        <v>0.37</v>
      </c>
    </row>
    <row r="132" spans="1:11">
      <c r="A132" t="s">
        <v>2</v>
      </c>
      <c r="B132" t="s">
        <v>1377</v>
      </c>
      <c r="D132" s="534"/>
      <c r="E132" s="504"/>
      <c r="F132" s="504"/>
      <c r="G132" s="74">
        <v>20</v>
      </c>
      <c r="H132" s="75">
        <v>33.9</v>
      </c>
      <c r="I132" s="75">
        <v>1.07</v>
      </c>
      <c r="J132" s="75">
        <v>0.34</v>
      </c>
    </row>
    <row r="133" spans="1:11">
      <c r="A133" t="s">
        <v>2</v>
      </c>
      <c r="B133" t="s">
        <v>1377</v>
      </c>
      <c r="D133" s="534"/>
      <c r="E133" s="504"/>
      <c r="F133" s="504"/>
      <c r="G133" s="74">
        <v>40</v>
      </c>
      <c r="H133" s="75">
        <v>31.6</v>
      </c>
      <c r="I133" s="75">
        <v>1.1399999999999999</v>
      </c>
      <c r="J133" s="75">
        <v>0.28000000000000003</v>
      </c>
    </row>
    <row r="134" spans="1:11">
      <c r="A134" t="s">
        <v>2</v>
      </c>
      <c r="B134" t="s">
        <v>1377</v>
      </c>
      <c r="D134" s="534"/>
      <c r="E134" s="504"/>
      <c r="F134" s="504"/>
      <c r="G134" s="74">
        <v>80</v>
      </c>
      <c r="H134" s="75">
        <v>32.799999999999997</v>
      </c>
      <c r="I134" s="75">
        <v>1.23</v>
      </c>
      <c r="J134" s="75">
        <v>0.28999999999999998</v>
      </c>
    </row>
    <row r="135" spans="1:11">
      <c r="A135" t="s">
        <v>2</v>
      </c>
      <c r="B135" t="s">
        <v>1377</v>
      </c>
      <c r="D135" s="534"/>
      <c r="E135" s="504"/>
      <c r="F135" s="504"/>
      <c r="G135" s="74">
        <v>160</v>
      </c>
      <c r="H135" s="75">
        <v>27.7</v>
      </c>
      <c r="I135" s="75">
        <v>0.89</v>
      </c>
      <c r="J135" s="75">
        <v>0.28000000000000003</v>
      </c>
    </row>
    <row r="136" spans="1:11" ht="15" thickBot="1">
      <c r="A136" t="s">
        <v>2</v>
      </c>
      <c r="B136" t="s">
        <v>1377</v>
      </c>
      <c r="D136" s="570"/>
      <c r="E136" s="505"/>
      <c r="F136" s="78">
        <v>120</v>
      </c>
      <c r="G136" s="78">
        <v>0</v>
      </c>
      <c r="H136" s="79">
        <v>3.7</v>
      </c>
      <c r="I136" s="79">
        <v>0.12</v>
      </c>
      <c r="J136" s="79">
        <v>0.02</v>
      </c>
    </row>
    <row r="137" spans="1:11">
      <c r="A137" t="s">
        <v>2</v>
      </c>
      <c r="B137" t="s">
        <v>1377</v>
      </c>
      <c r="D137" s="48" t="s">
        <v>510</v>
      </c>
      <c r="E137" s="48"/>
      <c r="F137" s="48"/>
      <c r="G137" s="48"/>
      <c r="H137" s="48"/>
      <c r="I137" s="48"/>
      <c r="J137" s="48">
        <f>AVERAGE(J119:J136)</f>
        <v>0.36055555555555552</v>
      </c>
    </row>
    <row r="138" spans="1:11">
      <c r="A138" t="s">
        <v>2</v>
      </c>
      <c r="B138" t="s">
        <v>1377</v>
      </c>
      <c r="D138" s="48" t="s">
        <v>1389</v>
      </c>
      <c r="E138" s="48"/>
      <c r="F138" s="48"/>
      <c r="G138" s="48"/>
      <c r="H138" s="48"/>
      <c r="I138" s="48"/>
      <c r="J138" s="60">
        <v>0.67391000000000001</v>
      </c>
    </row>
    <row r="139" spans="1:11">
      <c r="A139" t="s">
        <v>2</v>
      </c>
      <c r="B139" t="s">
        <v>1377</v>
      </c>
      <c r="D139" s="48" t="s">
        <v>1390</v>
      </c>
      <c r="E139" s="48"/>
      <c r="F139" s="48"/>
      <c r="G139" s="48"/>
      <c r="H139" s="48"/>
      <c r="I139" s="48"/>
      <c r="J139" s="48">
        <f>J137*J138</f>
        <v>0.24298199444444443</v>
      </c>
    </row>
    <row r="140" spans="1:11">
      <c r="A140" t="s">
        <v>2</v>
      </c>
      <c r="B140" t="s">
        <v>1377</v>
      </c>
    </row>
    <row r="141" spans="1:11">
      <c r="A141" t="s">
        <v>2</v>
      </c>
      <c r="B141" t="s">
        <v>1377</v>
      </c>
      <c r="C141" t="s">
        <v>226</v>
      </c>
      <c r="D141" t="s">
        <v>1391</v>
      </c>
    </row>
    <row r="142" spans="1:11">
      <c r="A142" t="s">
        <v>2</v>
      </c>
      <c r="B142" t="s">
        <v>1377</v>
      </c>
      <c r="D142" t="s">
        <v>1392</v>
      </c>
    </row>
    <row r="143" spans="1:11" ht="15" thickBot="1">
      <c r="A143" t="s">
        <v>2</v>
      </c>
      <c r="B143" t="s">
        <v>1377</v>
      </c>
      <c r="D143" s="22" t="s">
        <v>1393</v>
      </c>
    </row>
    <row r="144" spans="1:11" ht="42" thickBot="1">
      <c r="A144" t="s">
        <v>2</v>
      </c>
      <c r="B144" t="s">
        <v>1377</v>
      </c>
      <c r="D144" s="21" t="s">
        <v>1394</v>
      </c>
      <c r="E144" s="21" t="s">
        <v>1135</v>
      </c>
      <c r="F144" s="21" t="s">
        <v>1395</v>
      </c>
      <c r="G144" s="21" t="s">
        <v>1396</v>
      </c>
      <c r="H144" s="21" t="s">
        <v>1397</v>
      </c>
      <c r="I144" s="21" t="s">
        <v>1398</v>
      </c>
      <c r="J144" s="21" t="s">
        <v>1399</v>
      </c>
      <c r="K144" s="25" t="s">
        <v>1400</v>
      </c>
    </row>
    <row r="145" spans="1:11">
      <c r="A145" t="s">
        <v>2</v>
      </c>
      <c r="B145" t="s">
        <v>1377</v>
      </c>
      <c r="D145" s="73" t="s">
        <v>1401</v>
      </c>
      <c r="E145" s="74" t="s">
        <v>1402</v>
      </c>
      <c r="F145" s="74" t="s">
        <v>1403</v>
      </c>
      <c r="G145" s="74" t="s">
        <v>1404</v>
      </c>
      <c r="H145" s="74" t="s">
        <v>1405</v>
      </c>
      <c r="I145" s="74" t="s">
        <v>1406</v>
      </c>
      <c r="J145" s="74" t="s">
        <v>1407</v>
      </c>
      <c r="K145" s="74">
        <v>0.40200000000000002</v>
      </c>
    </row>
    <row r="146" spans="1:11">
      <c r="A146" t="s">
        <v>2</v>
      </c>
      <c r="B146" t="s">
        <v>1377</v>
      </c>
      <c r="D146" s="73" t="s">
        <v>1408</v>
      </c>
      <c r="E146" s="74" t="s">
        <v>1409</v>
      </c>
      <c r="F146" s="74" t="s">
        <v>1410</v>
      </c>
      <c r="G146" s="74" t="s">
        <v>1411</v>
      </c>
      <c r="H146" s="74" t="s">
        <v>1412</v>
      </c>
      <c r="I146" s="74" t="s">
        <v>1413</v>
      </c>
      <c r="J146" s="74" t="s">
        <v>1414</v>
      </c>
      <c r="K146" s="74">
        <v>0.41199999999999998</v>
      </c>
    </row>
    <row r="147" spans="1:11">
      <c r="A147" t="s">
        <v>2</v>
      </c>
      <c r="B147" t="s">
        <v>1377</v>
      </c>
      <c r="D147" s="73" t="s">
        <v>1408</v>
      </c>
      <c r="E147" s="74" t="s">
        <v>1415</v>
      </c>
      <c r="F147" s="74" t="s">
        <v>1416</v>
      </c>
      <c r="G147" s="74" t="s">
        <v>1417</v>
      </c>
      <c r="H147" s="74" t="s">
        <v>1418</v>
      </c>
      <c r="I147" s="74" t="s">
        <v>1419</v>
      </c>
      <c r="J147" s="74" t="s">
        <v>1420</v>
      </c>
      <c r="K147" s="74">
        <v>0.41</v>
      </c>
    </row>
    <row r="148" spans="1:11">
      <c r="A148" t="s">
        <v>2</v>
      </c>
      <c r="B148" t="s">
        <v>1377</v>
      </c>
      <c r="D148" s="73" t="s">
        <v>1408</v>
      </c>
      <c r="E148" s="74" t="s">
        <v>1421</v>
      </c>
      <c r="F148" s="74" t="s">
        <v>1422</v>
      </c>
      <c r="G148" s="74" t="s">
        <v>1423</v>
      </c>
      <c r="H148" s="74" t="s">
        <v>1424</v>
      </c>
      <c r="I148" s="74" t="s">
        <v>1425</v>
      </c>
      <c r="J148" s="74" t="s">
        <v>1426</v>
      </c>
      <c r="K148" s="74">
        <v>0.40799999999999997</v>
      </c>
    </row>
    <row r="149" spans="1:11">
      <c r="A149" t="s">
        <v>2</v>
      </c>
      <c r="B149" t="s">
        <v>1377</v>
      </c>
      <c r="D149" s="73" t="s">
        <v>1427</v>
      </c>
      <c r="E149" s="74" t="s">
        <v>1428</v>
      </c>
      <c r="F149" s="74" t="s">
        <v>1429</v>
      </c>
      <c r="G149" s="74" t="s">
        <v>1430</v>
      </c>
      <c r="H149" s="74" t="s">
        <v>1431</v>
      </c>
      <c r="I149" s="74" t="s">
        <v>1432</v>
      </c>
      <c r="J149" s="74" t="s">
        <v>1433</v>
      </c>
      <c r="K149">
        <v>0.44400000000000001</v>
      </c>
    </row>
    <row r="150" spans="1:11">
      <c r="A150" t="s">
        <v>2</v>
      </c>
      <c r="B150" t="s">
        <v>1377</v>
      </c>
      <c r="D150" s="73" t="s">
        <v>1434</v>
      </c>
      <c r="E150" s="74" t="s">
        <v>1435</v>
      </c>
      <c r="F150" s="74" t="s">
        <v>1436</v>
      </c>
      <c r="G150" s="74" t="s">
        <v>1437</v>
      </c>
      <c r="H150" s="74" t="s">
        <v>1438</v>
      </c>
      <c r="I150" s="74" t="s">
        <v>1439</v>
      </c>
      <c r="J150" s="74" t="s">
        <v>1440</v>
      </c>
      <c r="K150" s="74">
        <v>0.374</v>
      </c>
    </row>
    <row r="151" spans="1:11">
      <c r="A151" t="s">
        <v>2</v>
      </c>
      <c r="B151" t="s">
        <v>1377</v>
      </c>
      <c r="D151" s="73" t="s">
        <v>1434</v>
      </c>
      <c r="E151" s="74" t="s">
        <v>1441</v>
      </c>
      <c r="F151" s="74" t="s">
        <v>1442</v>
      </c>
      <c r="G151" s="74" t="s">
        <v>1443</v>
      </c>
      <c r="H151" s="74" t="s">
        <v>1444</v>
      </c>
      <c r="I151" s="74" t="s">
        <v>1445</v>
      </c>
      <c r="J151" s="74" t="s">
        <v>1446</v>
      </c>
      <c r="K151" s="116">
        <v>0.46300000000000002</v>
      </c>
    </row>
    <row r="152" spans="1:11">
      <c r="A152" t="s">
        <v>2</v>
      </c>
      <c r="B152" t="s">
        <v>1377</v>
      </c>
      <c r="D152" s="73" t="s">
        <v>1434</v>
      </c>
      <c r="E152" s="74" t="s">
        <v>1447</v>
      </c>
      <c r="F152" s="74" t="s">
        <v>1448</v>
      </c>
      <c r="G152" s="74" t="s">
        <v>1449</v>
      </c>
      <c r="H152" s="74" t="s">
        <v>1450</v>
      </c>
      <c r="I152" s="74" t="s">
        <v>1451</v>
      </c>
      <c r="J152" s="74" t="s">
        <v>1452</v>
      </c>
      <c r="K152" s="116">
        <v>0.39800000000000002</v>
      </c>
    </row>
    <row r="153" spans="1:11">
      <c r="A153" t="s">
        <v>2</v>
      </c>
      <c r="B153" t="s">
        <v>1377</v>
      </c>
      <c r="D153" s="73" t="s">
        <v>1434</v>
      </c>
      <c r="E153" s="74" t="s">
        <v>1453</v>
      </c>
      <c r="F153" s="74" t="s">
        <v>1454</v>
      </c>
      <c r="G153" s="74" t="s">
        <v>1455</v>
      </c>
      <c r="H153" s="74" t="s">
        <v>1456</v>
      </c>
      <c r="I153" s="74" t="s">
        <v>1457</v>
      </c>
      <c r="J153" s="74" t="s">
        <v>1458</v>
      </c>
      <c r="K153" s="74">
        <v>0.371</v>
      </c>
    </row>
    <row r="154" spans="1:11">
      <c r="A154" t="s">
        <v>2</v>
      </c>
      <c r="B154" t="s">
        <v>1377</v>
      </c>
      <c r="D154" s="73" t="s">
        <v>1459</v>
      </c>
      <c r="E154" s="74" t="s">
        <v>1460</v>
      </c>
      <c r="F154" s="74" t="s">
        <v>1461</v>
      </c>
      <c r="G154" s="74" t="s">
        <v>1462</v>
      </c>
      <c r="H154" s="74" t="s">
        <v>1463</v>
      </c>
      <c r="I154" s="74" t="s">
        <v>1464</v>
      </c>
      <c r="J154" s="74" t="s">
        <v>1464</v>
      </c>
      <c r="K154" s="116" t="s">
        <v>1465</v>
      </c>
    </row>
    <row r="155" spans="1:11">
      <c r="A155" t="s">
        <v>2</v>
      </c>
      <c r="B155" t="s">
        <v>1377</v>
      </c>
      <c r="D155" s="73" t="s">
        <v>1459</v>
      </c>
      <c r="E155" s="74" t="s">
        <v>1466</v>
      </c>
      <c r="F155" s="74" t="s">
        <v>1467</v>
      </c>
      <c r="G155" s="74" t="s">
        <v>1468</v>
      </c>
      <c r="H155" s="74" t="s">
        <v>1469</v>
      </c>
      <c r="I155" s="74" t="s">
        <v>1470</v>
      </c>
      <c r="J155" s="74" t="s">
        <v>1471</v>
      </c>
      <c r="K155" s="74">
        <v>0.39100000000000001</v>
      </c>
    </row>
    <row r="156" spans="1:11" ht="15" thickBot="1">
      <c r="A156" t="s">
        <v>2</v>
      </c>
      <c r="B156" t="s">
        <v>1377</v>
      </c>
      <c r="D156" s="115" t="s">
        <v>1472</v>
      </c>
      <c r="E156" s="78" t="s">
        <v>1473</v>
      </c>
      <c r="F156" s="78" t="s">
        <v>1474</v>
      </c>
      <c r="G156" s="78" t="s">
        <v>1475</v>
      </c>
      <c r="H156" s="78" t="s">
        <v>1476</v>
      </c>
      <c r="I156" s="78" t="s">
        <v>1477</v>
      </c>
      <c r="J156" s="78" t="s">
        <v>1478</v>
      </c>
      <c r="K156" s="74">
        <v>0.34200000000000003</v>
      </c>
    </row>
    <row r="157" spans="1:11">
      <c r="A157" t="s">
        <v>2</v>
      </c>
      <c r="B157" t="s">
        <v>1377</v>
      </c>
      <c r="D157" s="52" t="s">
        <v>510</v>
      </c>
      <c r="E157" s="48"/>
      <c r="F157" s="48"/>
      <c r="G157" s="48"/>
      <c r="H157" s="48"/>
      <c r="I157" s="48"/>
      <c r="J157" s="48"/>
      <c r="K157" s="48">
        <f>AVERAGE(K155:K156, K145:K153)</f>
        <v>0.40136363636363642</v>
      </c>
    </row>
    <row r="158" spans="1:11">
      <c r="A158" t="s">
        <v>2</v>
      </c>
      <c r="B158" t="s">
        <v>1377</v>
      </c>
      <c r="D158" s="48" t="s">
        <v>1389</v>
      </c>
      <c r="E158" s="48"/>
      <c r="F158" s="48"/>
      <c r="G158" s="48"/>
      <c r="H158" s="48"/>
      <c r="I158" s="48"/>
      <c r="J158" s="48"/>
      <c r="K158" s="60">
        <v>0.67391000000000001</v>
      </c>
    </row>
    <row r="159" spans="1:11">
      <c r="A159" t="s">
        <v>2</v>
      </c>
      <c r="B159" t="s">
        <v>1377</v>
      </c>
      <c r="D159" s="48" t="s">
        <v>1390</v>
      </c>
      <c r="E159" s="48"/>
      <c r="F159" s="48"/>
      <c r="G159" s="48"/>
      <c r="H159" s="48"/>
      <c r="I159" s="48"/>
      <c r="J159" s="48"/>
      <c r="K159" s="48">
        <f>K157*K158</f>
        <v>0.27048296818181822</v>
      </c>
    </row>
    <row r="160" spans="1:11">
      <c r="A160" t="s">
        <v>2</v>
      </c>
      <c r="B160" t="s">
        <v>1377</v>
      </c>
    </row>
    <row r="161" spans="1:28">
      <c r="A161" t="s">
        <v>2</v>
      </c>
      <c r="B161" t="s">
        <v>1377</v>
      </c>
      <c r="C161" t="s">
        <v>396</v>
      </c>
      <c r="D161" s="7" t="s">
        <v>1479</v>
      </c>
    </row>
    <row r="162" spans="1:28">
      <c r="A162" t="s">
        <v>2</v>
      </c>
      <c r="B162" t="s">
        <v>1377</v>
      </c>
      <c r="D162" t="s">
        <v>1480</v>
      </c>
    </row>
    <row r="163" spans="1:28" ht="15" thickBot="1">
      <c r="A163" t="s">
        <v>2</v>
      </c>
      <c r="B163" t="s">
        <v>1377</v>
      </c>
      <c r="D163" s="22" t="s">
        <v>1481</v>
      </c>
      <c r="N163" s="22" t="s">
        <v>1482</v>
      </c>
      <c r="AB163" t="s">
        <v>1483</v>
      </c>
    </row>
    <row r="164" spans="1:28" ht="59.25" customHeight="1" thickBot="1">
      <c r="A164" t="s">
        <v>2</v>
      </c>
      <c r="B164" t="s">
        <v>1377</v>
      </c>
      <c r="D164" s="536" t="s">
        <v>1484</v>
      </c>
      <c r="E164" s="536"/>
      <c r="F164" s="536"/>
      <c r="G164" s="536"/>
      <c r="H164" s="532" t="s">
        <v>1485</v>
      </c>
      <c r="I164" s="532" t="s">
        <v>1486</v>
      </c>
      <c r="J164" s="577" t="s">
        <v>1487</v>
      </c>
      <c r="K164" s="575" t="s">
        <v>1487</v>
      </c>
      <c r="L164" s="575" t="s">
        <v>1488</v>
      </c>
      <c r="N164" s="536" t="s">
        <v>1484</v>
      </c>
      <c r="O164" s="536"/>
      <c r="P164" s="536"/>
      <c r="Q164" s="536"/>
      <c r="R164" s="576" t="s">
        <v>1487</v>
      </c>
      <c r="S164" s="576"/>
      <c r="T164" s="576" t="s">
        <v>1489</v>
      </c>
      <c r="U164" s="576"/>
      <c r="V164" s="538" t="s">
        <v>1487</v>
      </c>
      <c r="W164" s="538"/>
    </row>
    <row r="165" spans="1:28" ht="29.4" thickBot="1">
      <c r="A165" t="s">
        <v>2</v>
      </c>
      <c r="B165" t="s">
        <v>1377</v>
      </c>
      <c r="D165" s="13" t="s">
        <v>1490</v>
      </c>
      <c r="E165" s="13" t="s">
        <v>1491</v>
      </c>
      <c r="F165" s="13" t="s">
        <v>1492</v>
      </c>
      <c r="G165" s="13" t="s">
        <v>1493</v>
      </c>
      <c r="H165" s="572"/>
      <c r="I165" s="572"/>
      <c r="J165" s="578"/>
      <c r="K165" s="575"/>
      <c r="L165" s="575"/>
      <c r="N165" s="13" t="s">
        <v>1490</v>
      </c>
      <c r="O165" s="13" t="s">
        <v>1494</v>
      </c>
      <c r="P165" s="13" t="s">
        <v>1492</v>
      </c>
      <c r="Q165" s="13" t="s">
        <v>1493</v>
      </c>
      <c r="R165" s="13" t="s">
        <v>439</v>
      </c>
      <c r="S165" s="13" t="s">
        <v>1495</v>
      </c>
      <c r="T165" s="13" t="s">
        <v>1495</v>
      </c>
      <c r="U165" s="13" t="s">
        <v>439</v>
      </c>
      <c r="V165" s="49" t="s">
        <v>439</v>
      </c>
      <c r="W165" s="49" t="s">
        <v>1495</v>
      </c>
    </row>
    <row r="166" spans="1:28" ht="27.6">
      <c r="A166" t="s">
        <v>2</v>
      </c>
      <c r="B166" t="s">
        <v>1377</v>
      </c>
      <c r="D166" s="574" t="s">
        <v>1496</v>
      </c>
      <c r="E166" s="574"/>
      <c r="F166" s="574"/>
      <c r="G166" s="574"/>
      <c r="H166" s="74" t="s">
        <v>1497</v>
      </c>
      <c r="I166" s="74" t="s">
        <v>1498</v>
      </c>
      <c r="J166" s="74" t="s">
        <v>1499</v>
      </c>
      <c r="K166" s="48">
        <v>64</v>
      </c>
      <c r="L166" s="48">
        <f>K166*0.001</f>
        <v>6.4000000000000001E-2</v>
      </c>
      <c r="N166" s="74">
        <v>100</v>
      </c>
      <c r="O166" s="74">
        <v>30</v>
      </c>
      <c r="P166" s="74">
        <v>50</v>
      </c>
      <c r="Q166" s="74" t="s">
        <v>410</v>
      </c>
      <c r="R166" s="74" t="s">
        <v>1500</v>
      </c>
      <c r="S166" s="74" t="s">
        <v>1501</v>
      </c>
      <c r="T166" s="74" t="s">
        <v>1502</v>
      </c>
      <c r="U166" s="74" t="s">
        <v>1503</v>
      </c>
      <c r="V166" s="48">
        <v>171.7</v>
      </c>
      <c r="W166" s="48">
        <v>66.3</v>
      </c>
    </row>
    <row r="167" spans="1:28" ht="27.6">
      <c r="A167" t="s">
        <v>2</v>
      </c>
      <c r="B167" t="s">
        <v>1377</v>
      </c>
      <c r="D167" s="74">
        <v>100</v>
      </c>
      <c r="E167" s="74">
        <v>30</v>
      </c>
      <c r="F167" s="74">
        <v>50</v>
      </c>
      <c r="G167" s="74" t="s">
        <v>410</v>
      </c>
      <c r="H167" s="74" t="s">
        <v>1504</v>
      </c>
      <c r="I167" s="74" t="s">
        <v>1505</v>
      </c>
      <c r="J167" s="74" t="s">
        <v>1506</v>
      </c>
      <c r="K167" s="48">
        <v>34.1</v>
      </c>
      <c r="L167" s="48">
        <f t="shared" ref="L167:L190" si="0">K167*0.001</f>
        <v>3.4100000000000005E-2</v>
      </c>
      <c r="N167" s="74">
        <v>150</v>
      </c>
      <c r="O167" s="74">
        <v>30</v>
      </c>
      <c r="P167" s="74">
        <v>50</v>
      </c>
      <c r="Q167" s="74" t="s">
        <v>410</v>
      </c>
      <c r="R167" s="74" t="s">
        <v>1507</v>
      </c>
      <c r="S167" s="74" t="s">
        <v>1508</v>
      </c>
      <c r="T167" s="74" t="s">
        <v>1509</v>
      </c>
      <c r="U167" s="74" t="s">
        <v>1510</v>
      </c>
      <c r="V167" s="52">
        <v>114.7</v>
      </c>
      <c r="W167" s="48">
        <v>73.400000000000006</v>
      </c>
    </row>
    <row r="168" spans="1:28" ht="27.6">
      <c r="A168" t="s">
        <v>2</v>
      </c>
      <c r="B168" t="s">
        <v>1377</v>
      </c>
      <c r="D168" s="74">
        <v>150</v>
      </c>
      <c r="E168" s="74">
        <v>30</v>
      </c>
      <c r="F168" s="74">
        <v>50</v>
      </c>
      <c r="G168" s="74" t="s">
        <v>410</v>
      </c>
      <c r="H168" s="74" t="s">
        <v>1511</v>
      </c>
      <c r="I168" s="74" t="s">
        <v>1512</v>
      </c>
      <c r="J168" s="74" t="s">
        <v>1513</v>
      </c>
      <c r="K168" s="48">
        <v>21</v>
      </c>
      <c r="L168" s="48">
        <f t="shared" si="0"/>
        <v>2.1000000000000001E-2</v>
      </c>
      <c r="N168" s="74">
        <v>180</v>
      </c>
      <c r="O168" s="74">
        <v>30</v>
      </c>
      <c r="P168" s="74">
        <v>50</v>
      </c>
      <c r="Q168" s="74" t="s">
        <v>410</v>
      </c>
      <c r="R168" s="74" t="s">
        <v>1514</v>
      </c>
      <c r="S168" s="74" t="s">
        <v>1515</v>
      </c>
      <c r="T168" s="74" t="s">
        <v>1516</v>
      </c>
      <c r="U168" s="74" t="s">
        <v>1517</v>
      </c>
      <c r="V168" s="52">
        <v>1.2</v>
      </c>
      <c r="W168" s="48">
        <v>0.8</v>
      </c>
    </row>
    <row r="169" spans="1:28" ht="27.6">
      <c r="A169" t="s">
        <v>2</v>
      </c>
      <c r="B169" t="s">
        <v>1377</v>
      </c>
      <c r="D169" s="74">
        <v>180</v>
      </c>
      <c r="E169" s="74">
        <v>30</v>
      </c>
      <c r="F169" s="74">
        <v>50</v>
      </c>
      <c r="G169" s="74" t="s">
        <v>410</v>
      </c>
      <c r="H169" s="74" t="s">
        <v>1518</v>
      </c>
      <c r="I169" s="74" t="s">
        <v>1519</v>
      </c>
      <c r="J169" s="74" t="s">
        <v>1520</v>
      </c>
      <c r="K169" s="48">
        <v>17.399999999999999</v>
      </c>
      <c r="L169" s="48">
        <f t="shared" si="0"/>
        <v>1.7399999999999999E-2</v>
      </c>
      <c r="N169" s="74">
        <v>100</v>
      </c>
      <c r="O169" s="74">
        <v>60</v>
      </c>
      <c r="P169" s="74">
        <v>50</v>
      </c>
      <c r="Q169" s="74" t="s">
        <v>410</v>
      </c>
      <c r="R169" s="74" t="s">
        <v>1521</v>
      </c>
      <c r="S169" s="74" t="s">
        <v>1522</v>
      </c>
      <c r="T169" s="74" t="s">
        <v>1523</v>
      </c>
      <c r="U169" s="74" t="s">
        <v>1524</v>
      </c>
      <c r="V169" s="52">
        <v>89</v>
      </c>
      <c r="W169" s="48">
        <v>112.4</v>
      </c>
    </row>
    <row r="170" spans="1:28" ht="27.6">
      <c r="A170" t="s">
        <v>2</v>
      </c>
      <c r="B170" t="s">
        <v>1377</v>
      </c>
      <c r="D170" s="74">
        <v>100</v>
      </c>
      <c r="E170" s="74">
        <v>60</v>
      </c>
      <c r="F170" s="74">
        <v>50</v>
      </c>
      <c r="G170" s="74" t="s">
        <v>410</v>
      </c>
      <c r="H170" s="74" t="s">
        <v>1525</v>
      </c>
      <c r="I170" s="74" t="s">
        <v>1526</v>
      </c>
      <c r="J170" s="74" t="s">
        <v>1527</v>
      </c>
      <c r="K170" s="48">
        <v>36.9</v>
      </c>
      <c r="L170" s="48">
        <f t="shared" si="0"/>
        <v>3.6900000000000002E-2</v>
      </c>
      <c r="N170" s="74">
        <v>150</v>
      </c>
      <c r="O170" s="74">
        <v>60</v>
      </c>
      <c r="P170" s="74">
        <v>50</v>
      </c>
      <c r="Q170" s="74" t="s">
        <v>410</v>
      </c>
      <c r="R170" s="74" t="s">
        <v>1528</v>
      </c>
      <c r="S170" s="74" t="s">
        <v>1529</v>
      </c>
      <c r="T170" s="74" t="s">
        <v>1530</v>
      </c>
      <c r="U170" s="74" t="s">
        <v>1531</v>
      </c>
      <c r="V170" s="48">
        <v>75</v>
      </c>
      <c r="W170" s="48">
        <v>68.8</v>
      </c>
    </row>
    <row r="171" spans="1:28" ht="27.6">
      <c r="A171" t="s">
        <v>2</v>
      </c>
      <c r="B171" t="s">
        <v>1377</v>
      </c>
      <c r="D171" s="74">
        <v>150</v>
      </c>
      <c r="E171" s="74">
        <v>60</v>
      </c>
      <c r="F171" s="74">
        <v>50</v>
      </c>
      <c r="G171" s="74" t="s">
        <v>410</v>
      </c>
      <c r="H171" s="74" t="s">
        <v>1532</v>
      </c>
      <c r="I171" s="74" t="s">
        <v>1533</v>
      </c>
      <c r="J171" s="74" t="s">
        <v>1534</v>
      </c>
      <c r="K171" s="48">
        <v>21.6</v>
      </c>
      <c r="L171" s="48">
        <f t="shared" si="0"/>
        <v>2.1600000000000001E-2</v>
      </c>
      <c r="N171" s="74">
        <v>180</v>
      </c>
      <c r="O171" s="74">
        <v>60</v>
      </c>
      <c r="P171" s="74">
        <v>50</v>
      </c>
      <c r="Q171" s="74" t="s">
        <v>410</v>
      </c>
      <c r="R171" s="74" t="s">
        <v>1535</v>
      </c>
      <c r="S171" s="74" t="s">
        <v>1536</v>
      </c>
      <c r="T171" s="74" t="s">
        <v>1537</v>
      </c>
      <c r="U171" s="74" t="s">
        <v>1538</v>
      </c>
      <c r="V171" s="48">
        <v>2.2000000000000002</v>
      </c>
      <c r="W171" s="48">
        <v>0.2</v>
      </c>
    </row>
    <row r="172" spans="1:28" ht="27.6">
      <c r="A172" t="s">
        <v>2</v>
      </c>
      <c r="B172" t="s">
        <v>1377</v>
      </c>
      <c r="D172" s="74">
        <v>180</v>
      </c>
      <c r="E172" s="74">
        <v>60</v>
      </c>
      <c r="F172" s="74">
        <v>50</v>
      </c>
      <c r="G172" s="74" t="s">
        <v>410</v>
      </c>
      <c r="H172" s="74" t="s">
        <v>1539</v>
      </c>
      <c r="I172" s="74" t="s">
        <v>1540</v>
      </c>
      <c r="J172" s="74" t="s">
        <v>1541</v>
      </c>
      <c r="K172" s="48">
        <v>25</v>
      </c>
      <c r="L172" s="48">
        <f t="shared" si="0"/>
        <v>2.5000000000000001E-2</v>
      </c>
      <c r="N172" s="74">
        <v>100</v>
      </c>
      <c r="O172" s="74">
        <v>30</v>
      </c>
      <c r="P172" s="74">
        <v>85</v>
      </c>
      <c r="Q172" s="74" t="s">
        <v>410</v>
      </c>
      <c r="R172" s="74" t="s">
        <v>1542</v>
      </c>
      <c r="S172" s="74" t="s">
        <v>1543</v>
      </c>
      <c r="T172" s="74" t="s">
        <v>1544</v>
      </c>
      <c r="U172" s="74" t="s">
        <v>1545</v>
      </c>
      <c r="V172" s="52">
        <v>180.4</v>
      </c>
      <c r="W172" s="48">
        <v>113.4</v>
      </c>
    </row>
    <row r="173" spans="1:28" ht="27.6">
      <c r="A173" t="s">
        <v>2</v>
      </c>
      <c r="B173" t="s">
        <v>1377</v>
      </c>
      <c r="D173" s="74">
        <v>100</v>
      </c>
      <c r="E173" s="74">
        <v>30</v>
      </c>
      <c r="F173" s="74">
        <v>85</v>
      </c>
      <c r="G173" s="74" t="s">
        <v>410</v>
      </c>
      <c r="H173" s="74" t="s">
        <v>1546</v>
      </c>
      <c r="I173" s="74" t="s">
        <v>1547</v>
      </c>
      <c r="J173" s="74" t="s">
        <v>1548</v>
      </c>
      <c r="K173" s="48">
        <v>30.7</v>
      </c>
      <c r="L173" s="48">
        <f t="shared" si="0"/>
        <v>3.0700000000000002E-2</v>
      </c>
      <c r="N173" s="74">
        <v>150</v>
      </c>
      <c r="O173" s="74">
        <v>30</v>
      </c>
      <c r="P173" s="74">
        <v>85</v>
      </c>
      <c r="Q173" s="74" t="s">
        <v>410</v>
      </c>
      <c r="R173" s="74" t="s">
        <v>1549</v>
      </c>
      <c r="S173" s="74" t="s">
        <v>1550</v>
      </c>
      <c r="T173" s="74" t="s">
        <v>1551</v>
      </c>
      <c r="U173" s="74" t="s">
        <v>1552</v>
      </c>
      <c r="V173" s="48">
        <v>161.19999999999999</v>
      </c>
      <c r="W173" s="48">
        <v>119.6</v>
      </c>
    </row>
    <row r="174" spans="1:28">
      <c r="A174" t="s">
        <v>2</v>
      </c>
      <c r="B174" t="s">
        <v>1377</v>
      </c>
      <c r="D174" s="74">
        <v>150</v>
      </c>
      <c r="E174" s="74">
        <v>30</v>
      </c>
      <c r="F174" s="74">
        <v>85</v>
      </c>
      <c r="G174" s="74" t="s">
        <v>410</v>
      </c>
      <c r="H174" s="74" t="s">
        <v>1553</v>
      </c>
      <c r="I174" s="74" t="s">
        <v>1554</v>
      </c>
      <c r="J174" s="74" t="s">
        <v>1555</v>
      </c>
      <c r="K174" s="48">
        <v>29.5</v>
      </c>
      <c r="L174" s="48">
        <f t="shared" si="0"/>
        <v>2.9500000000000002E-2</v>
      </c>
      <c r="N174" s="74">
        <v>180</v>
      </c>
      <c r="O174" s="74">
        <v>30</v>
      </c>
      <c r="P174" s="74">
        <v>85</v>
      </c>
      <c r="Q174" s="74" t="s">
        <v>410</v>
      </c>
      <c r="R174" s="74" t="s">
        <v>1556</v>
      </c>
      <c r="S174" s="74" t="s">
        <v>1557</v>
      </c>
      <c r="T174" s="74" t="s">
        <v>1558</v>
      </c>
      <c r="U174" s="74" t="s">
        <v>1559</v>
      </c>
      <c r="V174" s="48">
        <v>4.0999999999999996</v>
      </c>
      <c r="W174" s="48">
        <v>1.4</v>
      </c>
    </row>
    <row r="175" spans="1:28" ht="27.6">
      <c r="A175" t="s">
        <v>2</v>
      </c>
      <c r="B175" t="s">
        <v>1377</v>
      </c>
      <c r="D175" s="74">
        <v>180</v>
      </c>
      <c r="E175" s="74">
        <v>30</v>
      </c>
      <c r="F175" s="74">
        <v>85</v>
      </c>
      <c r="G175" s="74" t="s">
        <v>410</v>
      </c>
      <c r="H175" s="74" t="s">
        <v>1560</v>
      </c>
      <c r="I175" s="74" t="s">
        <v>1561</v>
      </c>
      <c r="J175" s="74" t="s">
        <v>1562</v>
      </c>
      <c r="K175" s="48">
        <v>19.3</v>
      </c>
      <c r="L175" s="48">
        <f t="shared" si="0"/>
        <v>1.9300000000000001E-2</v>
      </c>
      <c r="N175" s="74">
        <v>100</v>
      </c>
      <c r="O175" s="74">
        <v>60</v>
      </c>
      <c r="P175" s="74">
        <v>85</v>
      </c>
      <c r="Q175" s="74" t="s">
        <v>410</v>
      </c>
      <c r="R175" s="74" t="s">
        <v>1563</v>
      </c>
      <c r="S175" s="74" t="s">
        <v>1564</v>
      </c>
      <c r="T175" s="74" t="s">
        <v>1565</v>
      </c>
      <c r="U175" s="74" t="s">
        <v>1566</v>
      </c>
      <c r="V175" s="48">
        <v>92.9</v>
      </c>
      <c r="W175" s="48">
        <v>62.2</v>
      </c>
    </row>
    <row r="176" spans="1:28" ht="27.6">
      <c r="A176" t="s">
        <v>2</v>
      </c>
      <c r="B176" t="s">
        <v>1377</v>
      </c>
      <c r="D176" s="74">
        <v>100</v>
      </c>
      <c r="E176" s="74">
        <v>60</v>
      </c>
      <c r="F176" s="74">
        <v>85</v>
      </c>
      <c r="G176" s="74" t="s">
        <v>410</v>
      </c>
      <c r="H176" s="74" t="s">
        <v>1567</v>
      </c>
      <c r="I176" s="74" t="s">
        <v>1568</v>
      </c>
      <c r="J176" s="74" t="s">
        <v>1569</v>
      </c>
      <c r="K176" s="52">
        <v>31.3</v>
      </c>
      <c r="L176" s="48">
        <f t="shared" si="0"/>
        <v>3.1300000000000001E-2</v>
      </c>
      <c r="N176" s="74">
        <v>150</v>
      </c>
      <c r="O176" s="74">
        <v>60</v>
      </c>
      <c r="P176" s="74">
        <v>85</v>
      </c>
      <c r="Q176" s="74" t="s">
        <v>410</v>
      </c>
      <c r="R176" s="74" t="s">
        <v>1570</v>
      </c>
      <c r="S176" s="74" t="s">
        <v>1571</v>
      </c>
      <c r="T176" s="74" t="s">
        <v>1572</v>
      </c>
      <c r="U176" s="74" t="s">
        <v>1573</v>
      </c>
      <c r="V176" s="48">
        <v>106.5</v>
      </c>
      <c r="W176" s="48">
        <v>91.3</v>
      </c>
    </row>
    <row r="177" spans="1:30" ht="27.6">
      <c r="A177" t="s">
        <v>2</v>
      </c>
      <c r="B177" t="s">
        <v>1377</v>
      </c>
      <c r="D177" s="74">
        <v>150</v>
      </c>
      <c r="E177" s="74">
        <v>60</v>
      </c>
      <c r="F177" s="74">
        <v>85</v>
      </c>
      <c r="G177" s="74" t="s">
        <v>410</v>
      </c>
      <c r="H177" s="74" t="s">
        <v>1574</v>
      </c>
      <c r="I177" s="74" t="s">
        <v>1575</v>
      </c>
      <c r="J177" s="74" t="s">
        <v>1576</v>
      </c>
      <c r="K177" s="48">
        <v>31.2</v>
      </c>
      <c r="L177" s="48">
        <f t="shared" si="0"/>
        <v>3.1199999999999999E-2</v>
      </c>
      <c r="N177" s="74">
        <v>180</v>
      </c>
      <c r="O177" s="74">
        <v>60</v>
      </c>
      <c r="P177" s="74">
        <v>85</v>
      </c>
      <c r="Q177" s="74" t="s">
        <v>410</v>
      </c>
      <c r="R177" s="74" t="s">
        <v>1577</v>
      </c>
      <c r="S177" s="74" t="s">
        <v>1578</v>
      </c>
      <c r="T177" s="74" t="s">
        <v>1579</v>
      </c>
      <c r="U177" s="74" t="s">
        <v>1580</v>
      </c>
      <c r="V177" s="48">
        <v>11.2</v>
      </c>
      <c r="W177" s="48">
        <v>2.6</v>
      </c>
    </row>
    <row r="178" spans="1:30" ht="27.6">
      <c r="A178" t="s">
        <v>2</v>
      </c>
      <c r="B178" t="s">
        <v>1377</v>
      </c>
      <c r="D178" s="74">
        <v>180</v>
      </c>
      <c r="E178" s="74">
        <v>60</v>
      </c>
      <c r="F178" s="74">
        <v>85</v>
      </c>
      <c r="G178" s="74" t="s">
        <v>410</v>
      </c>
      <c r="H178" s="74" t="s">
        <v>1581</v>
      </c>
      <c r="I178" s="74" t="s">
        <v>1582</v>
      </c>
      <c r="J178" s="74" t="s">
        <v>1583</v>
      </c>
      <c r="K178" s="48">
        <v>22.4</v>
      </c>
      <c r="L178" s="48">
        <f t="shared" si="0"/>
        <v>2.24E-2</v>
      </c>
      <c r="N178" s="74">
        <v>100</v>
      </c>
      <c r="O178" s="74">
        <v>30</v>
      </c>
      <c r="P178" s="74">
        <v>50</v>
      </c>
      <c r="Q178" s="74">
        <v>0.5</v>
      </c>
      <c r="R178" s="74" t="s">
        <v>1584</v>
      </c>
      <c r="S178" s="74" t="s">
        <v>1585</v>
      </c>
      <c r="T178" s="74" t="s">
        <v>1586</v>
      </c>
      <c r="U178" s="74" t="s">
        <v>1587</v>
      </c>
      <c r="V178" s="48">
        <v>197.7</v>
      </c>
      <c r="W178" s="48">
        <v>117.5</v>
      </c>
    </row>
    <row r="179" spans="1:30" ht="27.6">
      <c r="A179" t="s">
        <v>2</v>
      </c>
      <c r="B179" t="s">
        <v>1377</v>
      </c>
      <c r="D179" s="74">
        <v>100</v>
      </c>
      <c r="E179" s="74">
        <v>30</v>
      </c>
      <c r="F179" s="74">
        <v>50</v>
      </c>
      <c r="G179" s="74">
        <v>0.5</v>
      </c>
      <c r="H179" s="74" t="s">
        <v>1553</v>
      </c>
      <c r="I179" s="74" t="s">
        <v>1588</v>
      </c>
      <c r="J179" s="74" t="s">
        <v>1589</v>
      </c>
      <c r="K179" s="48">
        <v>47.2</v>
      </c>
      <c r="L179" s="48">
        <f t="shared" si="0"/>
        <v>4.7200000000000006E-2</v>
      </c>
      <c r="N179" s="74">
        <v>150</v>
      </c>
      <c r="O179" s="74">
        <v>30</v>
      </c>
      <c r="P179" s="74">
        <v>50</v>
      </c>
      <c r="Q179" s="74">
        <v>0.5</v>
      </c>
      <c r="R179" s="74" t="s">
        <v>1590</v>
      </c>
      <c r="S179" s="74" t="s">
        <v>1591</v>
      </c>
      <c r="T179" s="74" t="s">
        <v>1592</v>
      </c>
      <c r="U179" s="74" t="s">
        <v>1593</v>
      </c>
      <c r="V179" s="48">
        <v>187.1</v>
      </c>
      <c r="W179" s="48">
        <v>145.6</v>
      </c>
    </row>
    <row r="180" spans="1:30" ht="27.6">
      <c r="A180" t="s">
        <v>2</v>
      </c>
      <c r="B180" t="s">
        <v>1377</v>
      </c>
      <c r="D180" s="74">
        <v>150</v>
      </c>
      <c r="E180" s="74">
        <v>30</v>
      </c>
      <c r="F180" s="74">
        <v>50</v>
      </c>
      <c r="G180" s="74">
        <v>0.5</v>
      </c>
      <c r="H180" s="74" t="s">
        <v>1594</v>
      </c>
      <c r="I180" s="74" t="s">
        <v>1595</v>
      </c>
      <c r="J180" s="74" t="s">
        <v>1596</v>
      </c>
      <c r="K180" s="48">
        <v>31.6</v>
      </c>
      <c r="L180" s="48">
        <f t="shared" si="0"/>
        <v>3.1600000000000003E-2</v>
      </c>
      <c r="N180" s="74">
        <v>180</v>
      </c>
      <c r="O180" s="74">
        <v>30</v>
      </c>
      <c r="P180" s="74">
        <v>50</v>
      </c>
      <c r="Q180" s="74">
        <v>0.5</v>
      </c>
      <c r="R180" s="74" t="s">
        <v>1597</v>
      </c>
      <c r="S180" s="74" t="s">
        <v>1598</v>
      </c>
      <c r="T180" s="74" t="s">
        <v>1599</v>
      </c>
      <c r="U180" s="74" t="s">
        <v>1600</v>
      </c>
      <c r="V180" s="48">
        <v>5</v>
      </c>
      <c r="W180" s="48">
        <v>3.7</v>
      </c>
    </row>
    <row r="181" spans="1:30" ht="27.6">
      <c r="A181" t="s">
        <v>2</v>
      </c>
      <c r="B181" t="s">
        <v>1377</v>
      </c>
      <c r="D181" s="74">
        <v>180</v>
      </c>
      <c r="E181" s="74">
        <v>30</v>
      </c>
      <c r="F181" s="74">
        <v>50</v>
      </c>
      <c r="G181" s="74">
        <v>0.5</v>
      </c>
      <c r="H181" s="74" t="s">
        <v>1601</v>
      </c>
      <c r="I181" s="74" t="s">
        <v>1602</v>
      </c>
      <c r="J181" s="74" t="s">
        <v>1603</v>
      </c>
      <c r="K181" s="48">
        <v>30.3</v>
      </c>
      <c r="L181" s="48">
        <f t="shared" si="0"/>
        <v>3.0300000000000001E-2</v>
      </c>
      <c r="N181" s="74">
        <v>100</v>
      </c>
      <c r="O181" s="74">
        <v>60</v>
      </c>
      <c r="P181" s="74">
        <v>50</v>
      </c>
      <c r="Q181" s="74">
        <v>0.5</v>
      </c>
      <c r="R181" s="74" t="s">
        <v>1604</v>
      </c>
      <c r="S181" s="74" t="s">
        <v>1605</v>
      </c>
      <c r="T181" s="74" t="s">
        <v>1606</v>
      </c>
      <c r="U181" s="74" t="s">
        <v>1607</v>
      </c>
      <c r="V181" s="48">
        <v>101.2</v>
      </c>
      <c r="W181" s="48">
        <v>62.8</v>
      </c>
    </row>
    <row r="182" spans="1:30" ht="27.6">
      <c r="A182" t="s">
        <v>2</v>
      </c>
      <c r="B182" t="s">
        <v>1377</v>
      </c>
      <c r="D182" s="74">
        <v>100</v>
      </c>
      <c r="E182" s="74">
        <v>60</v>
      </c>
      <c r="F182" s="74">
        <v>50</v>
      </c>
      <c r="G182" s="74">
        <v>0.5</v>
      </c>
      <c r="H182" s="74" t="s">
        <v>1608</v>
      </c>
      <c r="I182" s="74" t="s">
        <v>1609</v>
      </c>
      <c r="J182" s="74" t="s">
        <v>1610</v>
      </c>
      <c r="K182" s="48">
        <v>64.5</v>
      </c>
      <c r="L182" s="48">
        <f t="shared" si="0"/>
        <v>6.4500000000000002E-2</v>
      </c>
      <c r="N182" s="74">
        <v>150</v>
      </c>
      <c r="O182" s="74">
        <v>60</v>
      </c>
      <c r="P182" s="74">
        <v>50</v>
      </c>
      <c r="Q182" s="74">
        <v>0.5</v>
      </c>
      <c r="R182" s="74" t="s">
        <v>1611</v>
      </c>
      <c r="S182" s="74" t="s">
        <v>1612</v>
      </c>
      <c r="T182" s="74" t="s">
        <v>1613</v>
      </c>
      <c r="U182" s="74" t="s">
        <v>1614</v>
      </c>
      <c r="V182" s="48">
        <v>82.1</v>
      </c>
      <c r="W182" s="48">
        <v>37.799999999999997</v>
      </c>
    </row>
    <row r="183" spans="1:30" ht="27.6">
      <c r="A183" t="s">
        <v>2</v>
      </c>
      <c r="B183" t="s">
        <v>1377</v>
      </c>
      <c r="D183" s="74">
        <v>150</v>
      </c>
      <c r="E183" s="74">
        <v>60</v>
      </c>
      <c r="F183" s="74">
        <v>50</v>
      </c>
      <c r="G183" s="74">
        <v>0.5</v>
      </c>
      <c r="H183" s="74" t="s">
        <v>1615</v>
      </c>
      <c r="I183" s="74" t="s">
        <v>1616</v>
      </c>
      <c r="J183" s="74" t="s">
        <v>1617</v>
      </c>
      <c r="K183" s="52">
        <v>32.1</v>
      </c>
      <c r="L183" s="48">
        <f t="shared" si="0"/>
        <v>3.2100000000000004E-2</v>
      </c>
      <c r="N183" s="74">
        <v>180</v>
      </c>
      <c r="O183" s="74">
        <v>60</v>
      </c>
      <c r="P183" s="74">
        <v>50</v>
      </c>
      <c r="Q183" s="74">
        <v>0.5</v>
      </c>
      <c r="R183" s="74" t="s">
        <v>1618</v>
      </c>
      <c r="S183" s="74" t="s">
        <v>1619</v>
      </c>
      <c r="T183" s="74" t="s">
        <v>1620</v>
      </c>
      <c r="U183" s="74" t="s">
        <v>1579</v>
      </c>
      <c r="V183" s="48">
        <v>8.6999999999999993</v>
      </c>
      <c r="W183" s="48">
        <v>3.2</v>
      </c>
    </row>
    <row r="184" spans="1:30" ht="27.6">
      <c r="A184" t="s">
        <v>2</v>
      </c>
      <c r="B184" t="s">
        <v>1377</v>
      </c>
      <c r="D184" s="74">
        <v>180</v>
      </c>
      <c r="E184" s="74">
        <v>60</v>
      </c>
      <c r="F184" s="74">
        <v>50</v>
      </c>
      <c r="G184" s="74">
        <v>0.5</v>
      </c>
      <c r="H184" s="74" t="s">
        <v>1621</v>
      </c>
      <c r="I184" s="74" t="s">
        <v>1622</v>
      </c>
      <c r="J184" s="74" t="s">
        <v>1623</v>
      </c>
      <c r="K184" s="48">
        <v>29.1</v>
      </c>
      <c r="L184" s="48">
        <f t="shared" si="0"/>
        <v>2.9100000000000001E-2</v>
      </c>
      <c r="N184" s="74">
        <v>100</v>
      </c>
      <c r="O184" s="74">
        <v>30</v>
      </c>
      <c r="P184" s="74">
        <v>85</v>
      </c>
      <c r="Q184" s="74">
        <v>0.5</v>
      </c>
      <c r="R184" s="74" t="s">
        <v>1624</v>
      </c>
      <c r="S184" s="74" t="s">
        <v>1625</v>
      </c>
      <c r="T184" s="74" t="s">
        <v>1626</v>
      </c>
      <c r="U184" s="74" t="s">
        <v>1627</v>
      </c>
      <c r="V184" s="48">
        <v>147.69999999999999</v>
      </c>
      <c r="W184" s="48">
        <v>97.4</v>
      </c>
    </row>
    <row r="185" spans="1:30" ht="27.6">
      <c r="A185" t="s">
        <v>2</v>
      </c>
      <c r="B185" t="s">
        <v>1377</v>
      </c>
      <c r="D185" s="74">
        <v>100</v>
      </c>
      <c r="E185" s="74">
        <v>30</v>
      </c>
      <c r="F185" s="74">
        <v>85</v>
      </c>
      <c r="G185" s="74">
        <v>0.5</v>
      </c>
      <c r="H185" s="74" t="s">
        <v>1628</v>
      </c>
      <c r="I185" s="74" t="s">
        <v>1629</v>
      </c>
      <c r="J185" s="74" t="s">
        <v>1630</v>
      </c>
      <c r="K185" s="48">
        <v>41</v>
      </c>
      <c r="L185" s="48">
        <f t="shared" si="0"/>
        <v>4.1000000000000002E-2</v>
      </c>
      <c r="N185" s="74">
        <v>150</v>
      </c>
      <c r="O185" s="74">
        <v>30</v>
      </c>
      <c r="P185" s="74">
        <v>85</v>
      </c>
      <c r="Q185" s="74">
        <v>0.5</v>
      </c>
      <c r="R185" s="74" t="s">
        <v>1631</v>
      </c>
      <c r="S185" s="74" t="s">
        <v>1632</v>
      </c>
      <c r="T185" s="74" t="s">
        <v>1633</v>
      </c>
      <c r="U185" s="74" t="s">
        <v>1634</v>
      </c>
      <c r="V185" s="48">
        <v>139.9</v>
      </c>
      <c r="W185" s="48">
        <v>86.9</v>
      </c>
    </row>
    <row r="186" spans="1:30" ht="27.6">
      <c r="A186" t="s">
        <v>2</v>
      </c>
      <c r="B186" t="s">
        <v>1377</v>
      </c>
      <c r="D186" s="74">
        <v>150</v>
      </c>
      <c r="E186" s="74">
        <v>30</v>
      </c>
      <c r="F186" s="74">
        <v>85</v>
      </c>
      <c r="G186" s="74">
        <v>0.5</v>
      </c>
      <c r="H186" s="74" t="s">
        <v>1635</v>
      </c>
      <c r="I186" s="74" t="s">
        <v>1636</v>
      </c>
      <c r="J186" s="74" t="s">
        <v>1637</v>
      </c>
      <c r="K186" s="48">
        <v>37.6</v>
      </c>
      <c r="L186" s="48">
        <f t="shared" si="0"/>
        <v>3.7600000000000001E-2</v>
      </c>
      <c r="N186" s="74">
        <v>180</v>
      </c>
      <c r="O186" s="74">
        <v>30</v>
      </c>
      <c r="P186" s="74">
        <v>85</v>
      </c>
      <c r="Q186" s="74">
        <v>0.5</v>
      </c>
      <c r="R186" s="74" t="s">
        <v>1638</v>
      </c>
      <c r="S186" s="74" t="s">
        <v>1639</v>
      </c>
      <c r="T186" s="74" t="s">
        <v>1640</v>
      </c>
      <c r="U186" s="74" t="s">
        <v>1641</v>
      </c>
      <c r="V186" s="48">
        <v>2.5</v>
      </c>
      <c r="W186" s="48">
        <v>1.6</v>
      </c>
    </row>
    <row r="187" spans="1:30" ht="27.6">
      <c r="A187" t="s">
        <v>2</v>
      </c>
      <c r="B187" t="s">
        <v>1377</v>
      </c>
      <c r="D187" s="74">
        <v>180</v>
      </c>
      <c r="E187" s="74">
        <v>30</v>
      </c>
      <c r="F187" s="74">
        <v>85</v>
      </c>
      <c r="G187" s="74">
        <v>0.5</v>
      </c>
      <c r="H187" s="74" t="s">
        <v>1615</v>
      </c>
      <c r="I187" s="74" t="s">
        <v>1642</v>
      </c>
      <c r="J187" s="74" t="s">
        <v>1643</v>
      </c>
      <c r="K187" s="48">
        <v>32.1</v>
      </c>
      <c r="L187" s="48">
        <f t="shared" si="0"/>
        <v>3.2100000000000004E-2</v>
      </c>
      <c r="N187" s="74">
        <v>100</v>
      </c>
      <c r="O187" s="74">
        <v>60</v>
      </c>
      <c r="P187" s="74">
        <v>85</v>
      </c>
      <c r="Q187" s="74">
        <v>0.5</v>
      </c>
      <c r="R187" s="74" t="s">
        <v>1644</v>
      </c>
      <c r="S187" s="74" t="s">
        <v>1645</v>
      </c>
      <c r="T187" s="74" t="s">
        <v>1646</v>
      </c>
      <c r="U187" s="74" t="s">
        <v>1647</v>
      </c>
      <c r="V187" s="48">
        <v>96.4</v>
      </c>
      <c r="W187" s="48">
        <v>100.7</v>
      </c>
      <c r="AB187" s="48" t="s">
        <v>1648</v>
      </c>
      <c r="AC187" s="48">
        <v>197.7</v>
      </c>
      <c r="AD187" s="48" t="s">
        <v>1649</v>
      </c>
    </row>
    <row r="188" spans="1:30" ht="27.6">
      <c r="A188" t="s">
        <v>2</v>
      </c>
      <c r="B188" t="s">
        <v>1377</v>
      </c>
      <c r="D188" s="74">
        <v>100</v>
      </c>
      <c r="E188" s="74">
        <v>60</v>
      </c>
      <c r="F188" s="74">
        <v>85</v>
      </c>
      <c r="G188" s="74">
        <v>0.5</v>
      </c>
      <c r="H188" s="74" t="s">
        <v>1650</v>
      </c>
      <c r="I188" s="74" t="s">
        <v>1651</v>
      </c>
      <c r="J188" s="74" t="s">
        <v>1652</v>
      </c>
      <c r="K188" s="48">
        <v>52.1</v>
      </c>
      <c r="L188" s="48">
        <f t="shared" si="0"/>
        <v>5.21E-2</v>
      </c>
      <c r="N188" s="74">
        <v>150</v>
      </c>
      <c r="O188" s="74">
        <v>60</v>
      </c>
      <c r="P188" s="74">
        <v>85</v>
      </c>
      <c r="Q188" s="74">
        <v>0.5</v>
      </c>
      <c r="R188" s="74" t="s">
        <v>1653</v>
      </c>
      <c r="S188" s="74" t="s">
        <v>1654</v>
      </c>
      <c r="T188" s="74" t="s">
        <v>1655</v>
      </c>
      <c r="U188" s="74" t="s">
        <v>1656</v>
      </c>
      <c r="V188" s="48">
        <v>111.9</v>
      </c>
      <c r="W188" s="48">
        <v>109.2</v>
      </c>
      <c r="AB188" s="48" t="s">
        <v>1657</v>
      </c>
      <c r="AC188" s="48" t="s">
        <v>1658</v>
      </c>
      <c r="AD188" s="48" t="s">
        <v>1649</v>
      </c>
    </row>
    <row r="189" spans="1:30" ht="28.2" thickBot="1">
      <c r="A189" t="s">
        <v>2</v>
      </c>
      <c r="B189" t="s">
        <v>1377</v>
      </c>
      <c r="D189" s="74">
        <v>150</v>
      </c>
      <c r="E189" s="74">
        <v>60</v>
      </c>
      <c r="F189" s="74">
        <v>85</v>
      </c>
      <c r="G189" s="74">
        <v>0.5</v>
      </c>
      <c r="H189" s="74" t="s">
        <v>1659</v>
      </c>
      <c r="I189" s="74" t="s">
        <v>1660</v>
      </c>
      <c r="J189" s="74" t="s">
        <v>1661</v>
      </c>
      <c r="K189" s="48">
        <v>37.9</v>
      </c>
      <c r="L189" s="48">
        <f t="shared" si="0"/>
        <v>3.7899999999999996E-2</v>
      </c>
      <c r="N189" s="78">
        <v>180</v>
      </c>
      <c r="O189" s="78">
        <v>60</v>
      </c>
      <c r="P189" s="78">
        <v>85</v>
      </c>
      <c r="Q189" s="78">
        <v>0.5</v>
      </c>
      <c r="R189" s="78" t="s">
        <v>1662</v>
      </c>
      <c r="S189" s="78" t="s">
        <v>1663</v>
      </c>
      <c r="T189" s="78" t="s">
        <v>1664</v>
      </c>
      <c r="U189" s="78" t="s">
        <v>1665</v>
      </c>
      <c r="V189" s="48">
        <v>5.9</v>
      </c>
      <c r="W189" s="48">
        <v>2.2000000000000002</v>
      </c>
      <c r="AB189" s="48" t="s">
        <v>1666</v>
      </c>
      <c r="AC189" s="48">
        <v>47.2</v>
      </c>
      <c r="AD189" s="48" t="s">
        <v>1649</v>
      </c>
    </row>
    <row r="190" spans="1:30" ht="15" thickBot="1">
      <c r="A190" t="s">
        <v>2</v>
      </c>
      <c r="B190" t="s">
        <v>1377</v>
      </c>
      <c r="D190" s="78">
        <v>180</v>
      </c>
      <c r="E190" s="78">
        <v>60</v>
      </c>
      <c r="F190" s="78">
        <v>85</v>
      </c>
      <c r="G190" s="78">
        <v>0.5</v>
      </c>
      <c r="H190" s="78" t="s">
        <v>1667</v>
      </c>
      <c r="I190" s="78" t="s">
        <v>1668</v>
      </c>
      <c r="J190" s="78" t="s">
        <v>1669</v>
      </c>
      <c r="K190" s="48">
        <v>35.200000000000003</v>
      </c>
      <c r="L190" s="48">
        <f t="shared" si="0"/>
        <v>3.5200000000000002E-2</v>
      </c>
      <c r="N190" s="117" t="s">
        <v>1177</v>
      </c>
      <c r="R190" s="48"/>
      <c r="S190" s="48"/>
      <c r="T190" s="48"/>
      <c r="U190" s="48"/>
      <c r="V190" s="48">
        <f>AVERAGE(V166:V189)</f>
        <v>87.341666666666683</v>
      </c>
      <c r="W190" s="48">
        <f>AVERAGE(W166:W189)</f>
        <v>61.708333333333343</v>
      </c>
      <c r="AB190" s="48" t="s">
        <v>1670</v>
      </c>
      <c r="AC190" s="48">
        <f>SUM(AC187:AC189)</f>
        <v>244.89999999999998</v>
      </c>
      <c r="AD190" s="48" t="s">
        <v>1671</v>
      </c>
    </row>
    <row r="191" spans="1:30">
      <c r="A191" t="s">
        <v>2</v>
      </c>
      <c r="B191" t="s">
        <v>1377</v>
      </c>
      <c r="D191" s="117" t="s">
        <v>1177</v>
      </c>
      <c r="K191" s="48"/>
      <c r="L191" s="48"/>
      <c r="N191" s="120" t="s">
        <v>1672</v>
      </c>
      <c r="R191" s="48"/>
      <c r="S191" s="48"/>
      <c r="T191" s="48"/>
      <c r="U191" s="48"/>
      <c r="V191" s="48"/>
      <c r="W191" s="48"/>
      <c r="AB191" s="48"/>
      <c r="AC191" s="60">
        <v>0.90210000000000001</v>
      </c>
      <c r="AD191" s="48" t="s">
        <v>1673</v>
      </c>
    </row>
    <row r="192" spans="1:30">
      <c r="A192" t="s">
        <v>2</v>
      </c>
      <c r="B192" t="s">
        <v>1377</v>
      </c>
      <c r="D192" s="118" t="s">
        <v>1674</v>
      </c>
      <c r="K192" s="48"/>
      <c r="L192" s="48"/>
      <c r="Q192" s="48" t="s">
        <v>1675</v>
      </c>
      <c r="R192" s="48" t="s">
        <v>1390</v>
      </c>
      <c r="S192" s="48"/>
      <c r="T192" s="48"/>
      <c r="U192" s="48"/>
      <c r="V192" s="48" t="s">
        <v>510</v>
      </c>
      <c r="W192" s="48">
        <f>AVERAGE(V190:W190)*0.001</f>
        <v>7.4525000000000008E-2</v>
      </c>
      <c r="AB192" s="48"/>
      <c r="AC192" s="48">
        <f>AC190*AC191*0.001</f>
        <v>0.22092429</v>
      </c>
      <c r="AD192" s="48" t="s">
        <v>1390</v>
      </c>
    </row>
    <row r="193" spans="1:30">
      <c r="A193" t="s">
        <v>2</v>
      </c>
      <c r="B193" t="s">
        <v>1377</v>
      </c>
      <c r="F193" s="48" t="s">
        <v>1676</v>
      </c>
      <c r="G193" s="48" t="s">
        <v>1390</v>
      </c>
      <c r="K193" s="48" t="s">
        <v>510</v>
      </c>
      <c r="L193" s="48">
        <f>AVERAGE(L166:L190)</f>
        <v>3.4204000000000005E-2</v>
      </c>
    </row>
    <row r="194" spans="1:30">
      <c r="A194" t="s">
        <v>2</v>
      </c>
      <c r="B194" t="s">
        <v>1377</v>
      </c>
      <c r="G194" s="48" t="s">
        <v>1390</v>
      </c>
      <c r="L194" s="48">
        <f>L193+W192</f>
        <v>0.10872900000000002</v>
      </c>
      <c r="M194" t="s">
        <v>1677</v>
      </c>
    </row>
    <row r="195" spans="1:30">
      <c r="A195" t="s">
        <v>2</v>
      </c>
      <c r="B195" t="s">
        <v>1377</v>
      </c>
    </row>
    <row r="196" spans="1:30">
      <c r="A196" t="s">
        <v>2</v>
      </c>
      <c r="B196" t="s">
        <v>1377</v>
      </c>
    </row>
    <row r="197" spans="1:30">
      <c r="A197" t="s">
        <v>2</v>
      </c>
      <c r="B197" t="s">
        <v>1377</v>
      </c>
    </row>
    <row r="198" spans="1:30">
      <c r="A198" t="s">
        <v>2</v>
      </c>
      <c r="B198" t="s">
        <v>1377</v>
      </c>
    </row>
    <row r="199" spans="1:30">
      <c r="A199" t="s">
        <v>2</v>
      </c>
      <c r="B199" t="s">
        <v>1377</v>
      </c>
      <c r="C199" t="s">
        <v>420</v>
      </c>
      <c r="D199" t="s">
        <v>1678</v>
      </c>
    </row>
    <row r="200" spans="1:30">
      <c r="A200" t="s">
        <v>2</v>
      </c>
      <c r="B200" t="s">
        <v>1377</v>
      </c>
      <c r="D200" t="s">
        <v>1679</v>
      </c>
    </row>
    <row r="201" spans="1:30" ht="16.2" thickBot="1">
      <c r="A201" t="s">
        <v>2</v>
      </c>
      <c r="B201" t="s">
        <v>1377</v>
      </c>
      <c r="D201" s="22" t="s">
        <v>1680</v>
      </c>
      <c r="Q201" s="121" t="s">
        <v>1681</v>
      </c>
    </row>
    <row r="202" spans="1:30" ht="16.8" thickBot="1">
      <c r="A202" t="s">
        <v>2</v>
      </c>
      <c r="B202" t="s">
        <v>1377</v>
      </c>
      <c r="D202" s="536" t="s">
        <v>1484</v>
      </c>
      <c r="E202" s="536"/>
      <c r="F202" s="536"/>
      <c r="G202" s="536"/>
      <c r="H202" s="119" t="s">
        <v>1682</v>
      </c>
      <c r="I202" s="119" t="s">
        <v>1683</v>
      </c>
      <c r="J202" s="573" t="s">
        <v>1684</v>
      </c>
      <c r="K202" s="573"/>
      <c r="L202" s="573" t="s">
        <v>1685</v>
      </c>
      <c r="M202" s="573"/>
      <c r="N202" s="573" t="s">
        <v>1686</v>
      </c>
      <c r="O202" s="573"/>
    </row>
    <row r="203" spans="1:30" ht="15" thickBot="1">
      <c r="A203" t="s">
        <v>2</v>
      </c>
      <c r="B203" t="s">
        <v>1377</v>
      </c>
      <c r="D203" s="13" t="s">
        <v>1687</v>
      </c>
      <c r="E203" s="13" t="s">
        <v>1688</v>
      </c>
      <c r="F203" s="13" t="s">
        <v>1689</v>
      </c>
      <c r="G203" s="13" t="s">
        <v>1494</v>
      </c>
      <c r="H203" s="79" t="s">
        <v>14</v>
      </c>
      <c r="I203" s="79" t="s">
        <v>14</v>
      </c>
      <c r="J203" s="13" t="s">
        <v>1690</v>
      </c>
      <c r="K203" s="13" t="s">
        <v>1691</v>
      </c>
      <c r="L203" s="13" t="s">
        <v>1690</v>
      </c>
      <c r="M203" s="13" t="s">
        <v>1691</v>
      </c>
      <c r="N203" s="13" t="s">
        <v>1690</v>
      </c>
      <c r="O203" s="13" t="s">
        <v>1691</v>
      </c>
    </row>
    <row r="204" spans="1:30">
      <c r="A204" t="s">
        <v>2</v>
      </c>
      <c r="B204" t="s">
        <v>1377</v>
      </c>
      <c r="D204" s="74" t="s">
        <v>1496</v>
      </c>
      <c r="E204" s="74" t="s">
        <v>410</v>
      </c>
      <c r="F204" s="74" t="s">
        <v>1692</v>
      </c>
      <c r="G204" s="74" t="s">
        <v>410</v>
      </c>
      <c r="H204" s="74">
        <v>17.100000000000001</v>
      </c>
      <c r="I204" s="74">
        <v>11.6</v>
      </c>
      <c r="J204" s="74">
        <v>20.100000000000001</v>
      </c>
      <c r="K204" s="74">
        <v>171.1</v>
      </c>
      <c r="L204" s="74">
        <v>14.6</v>
      </c>
      <c r="M204" s="75">
        <v>165.5</v>
      </c>
      <c r="N204" s="75">
        <v>24.5</v>
      </c>
      <c r="O204" s="75">
        <v>24.7</v>
      </c>
    </row>
    <row r="205" spans="1:30">
      <c r="A205" t="s">
        <v>2</v>
      </c>
      <c r="B205" t="s">
        <v>1377</v>
      </c>
      <c r="D205" s="74">
        <v>100</v>
      </c>
      <c r="E205" s="74">
        <v>50</v>
      </c>
      <c r="F205" s="74" t="s">
        <v>410</v>
      </c>
      <c r="G205" s="74">
        <v>30</v>
      </c>
      <c r="H205" s="74">
        <v>59.3</v>
      </c>
      <c r="I205" s="74">
        <v>40.299999999999997</v>
      </c>
      <c r="J205" s="74">
        <v>69.8</v>
      </c>
      <c r="K205" s="74">
        <v>593</v>
      </c>
      <c r="L205" s="74">
        <v>50.8</v>
      </c>
      <c r="M205" s="74">
        <v>574.1</v>
      </c>
      <c r="N205" s="74">
        <v>84.9</v>
      </c>
      <c r="O205" s="74">
        <v>85.6</v>
      </c>
    </row>
    <row r="206" spans="1:30">
      <c r="A206" t="s">
        <v>2</v>
      </c>
      <c r="B206" t="s">
        <v>1377</v>
      </c>
      <c r="D206" s="74">
        <v>150</v>
      </c>
      <c r="E206" s="74">
        <v>50</v>
      </c>
      <c r="F206" s="74" t="s">
        <v>410</v>
      </c>
      <c r="G206" s="74">
        <v>30</v>
      </c>
      <c r="H206" s="74">
        <v>50</v>
      </c>
      <c r="I206" s="74">
        <v>34</v>
      </c>
      <c r="J206" s="74">
        <v>58.8</v>
      </c>
      <c r="K206" s="74">
        <v>499.6</v>
      </c>
      <c r="L206" s="74">
        <v>42.8</v>
      </c>
      <c r="M206" s="74">
        <v>483.6</v>
      </c>
      <c r="N206" s="74">
        <v>71.5</v>
      </c>
      <c r="O206" s="74">
        <v>72.099999999999994</v>
      </c>
    </row>
    <row r="207" spans="1:30">
      <c r="A207" t="s">
        <v>2</v>
      </c>
      <c r="B207" t="s">
        <v>1377</v>
      </c>
      <c r="D207" s="74">
        <v>180</v>
      </c>
      <c r="E207" s="74">
        <v>50</v>
      </c>
      <c r="F207" s="74" t="s">
        <v>410</v>
      </c>
      <c r="G207" s="74">
        <v>30</v>
      </c>
      <c r="H207" s="74">
        <v>14.5</v>
      </c>
      <c r="I207" s="74">
        <v>9.8000000000000007</v>
      </c>
      <c r="J207" s="74">
        <v>17</v>
      </c>
      <c r="K207" s="74">
        <v>144.80000000000001</v>
      </c>
      <c r="L207" s="74">
        <v>12.4</v>
      </c>
      <c r="M207" s="74">
        <v>140.1</v>
      </c>
      <c r="N207" s="74">
        <v>20.7</v>
      </c>
      <c r="O207" s="74">
        <v>20.9</v>
      </c>
    </row>
    <row r="208" spans="1:30">
      <c r="A208" t="s">
        <v>2</v>
      </c>
      <c r="B208" t="s">
        <v>1377</v>
      </c>
      <c r="D208" s="74">
        <v>100</v>
      </c>
      <c r="E208" s="74">
        <v>50</v>
      </c>
      <c r="F208" s="74" t="s">
        <v>410</v>
      </c>
      <c r="G208" s="74">
        <v>60</v>
      </c>
      <c r="H208" s="74">
        <v>49.9</v>
      </c>
      <c r="I208" s="74">
        <v>33.9</v>
      </c>
      <c r="J208" s="74">
        <v>58.7</v>
      </c>
      <c r="K208" s="74">
        <v>499.6</v>
      </c>
      <c r="L208" s="74">
        <v>42.7</v>
      </c>
      <c r="M208" s="74">
        <v>483.5</v>
      </c>
      <c r="N208" s="74">
        <v>71.400000000000006</v>
      </c>
      <c r="O208" s="74">
        <v>72</v>
      </c>
      <c r="AB208" s="48" t="s">
        <v>1648</v>
      </c>
      <c r="AC208" s="48">
        <v>125</v>
      </c>
      <c r="AD208" s="48" t="s">
        <v>1693</v>
      </c>
    </row>
    <row r="209" spans="1:30">
      <c r="A209" t="s">
        <v>2</v>
      </c>
      <c r="B209" t="s">
        <v>1377</v>
      </c>
      <c r="D209" s="74">
        <v>150</v>
      </c>
      <c r="E209" s="74">
        <v>50</v>
      </c>
      <c r="F209" s="74" t="s">
        <v>410</v>
      </c>
      <c r="G209" s="74">
        <v>60</v>
      </c>
      <c r="H209" s="74">
        <v>34.4</v>
      </c>
      <c r="I209" s="74">
        <v>23.4</v>
      </c>
      <c r="J209" s="74">
        <v>40.5</v>
      </c>
      <c r="K209" s="74">
        <v>344.3</v>
      </c>
      <c r="L209" s="74">
        <v>29.5</v>
      </c>
      <c r="M209" s="74">
        <v>333.2</v>
      </c>
      <c r="N209" s="74">
        <v>49.3</v>
      </c>
      <c r="O209" s="74">
        <v>49.6</v>
      </c>
      <c r="AB209" s="48" t="s">
        <v>1657</v>
      </c>
      <c r="AC209" s="48">
        <v>48.3</v>
      </c>
      <c r="AD209" s="48" t="s">
        <v>1694</v>
      </c>
    </row>
    <row r="210" spans="1:30">
      <c r="A210" t="s">
        <v>2</v>
      </c>
      <c r="B210" t="s">
        <v>1377</v>
      </c>
      <c r="D210" s="74">
        <v>180</v>
      </c>
      <c r="E210" s="74">
        <v>50</v>
      </c>
      <c r="F210" s="74" t="s">
        <v>410</v>
      </c>
      <c r="G210" s="74">
        <v>60</v>
      </c>
      <c r="H210" s="74">
        <v>11.5</v>
      </c>
      <c r="I210" s="74">
        <v>7.8</v>
      </c>
      <c r="J210" s="74">
        <v>13.5</v>
      </c>
      <c r="K210" s="74">
        <v>115.3</v>
      </c>
      <c r="L210" s="74">
        <v>9.9</v>
      </c>
      <c r="M210" s="74">
        <v>111.6</v>
      </c>
      <c r="N210" s="74">
        <v>16.5</v>
      </c>
      <c r="O210" s="74">
        <v>16.600000000000001</v>
      </c>
      <c r="AB210" s="48" t="s">
        <v>1670</v>
      </c>
      <c r="AC210" s="48">
        <f>SUM(AC208:AC209)</f>
        <v>173.3</v>
      </c>
      <c r="AD210" s="48" t="s">
        <v>1695</v>
      </c>
    </row>
    <row r="211" spans="1:30">
      <c r="A211" t="s">
        <v>2</v>
      </c>
      <c r="B211" t="s">
        <v>1377</v>
      </c>
      <c r="D211" s="74">
        <v>100</v>
      </c>
      <c r="E211" s="74">
        <v>85</v>
      </c>
      <c r="F211" s="74" t="s">
        <v>410</v>
      </c>
      <c r="G211" s="74">
        <v>30</v>
      </c>
      <c r="H211" s="74">
        <v>42.9</v>
      </c>
      <c r="I211" s="74">
        <v>29.2</v>
      </c>
      <c r="J211" s="74">
        <v>50.5</v>
      </c>
      <c r="K211" s="74">
        <v>429.1</v>
      </c>
      <c r="L211" s="74">
        <v>36.700000000000003</v>
      </c>
      <c r="M211" s="74">
        <v>415.4</v>
      </c>
      <c r="N211" s="74">
        <v>61.4</v>
      </c>
      <c r="O211" s="74">
        <v>61.9</v>
      </c>
      <c r="AB211" s="48"/>
      <c r="AC211" s="48">
        <f>AC210*0.001</f>
        <v>0.17330000000000001</v>
      </c>
      <c r="AD211" s="48" t="s">
        <v>1390</v>
      </c>
    </row>
    <row r="212" spans="1:30">
      <c r="A212" t="s">
        <v>2</v>
      </c>
      <c r="B212" t="s">
        <v>1377</v>
      </c>
      <c r="D212" s="74">
        <v>150</v>
      </c>
      <c r="E212" s="74">
        <v>85</v>
      </c>
      <c r="F212" s="74" t="s">
        <v>410</v>
      </c>
      <c r="G212" s="74">
        <v>30</v>
      </c>
      <c r="H212" s="74">
        <v>38.700000000000003</v>
      </c>
      <c r="I212" s="74">
        <v>26.3</v>
      </c>
      <c r="J212" s="74">
        <v>45.5</v>
      </c>
      <c r="K212" s="74">
        <v>386.7</v>
      </c>
      <c r="L212" s="74">
        <v>33.1</v>
      </c>
      <c r="M212" s="74">
        <v>374.3</v>
      </c>
      <c r="N212" s="74">
        <v>55.3</v>
      </c>
      <c r="O212" s="74">
        <v>55.8</v>
      </c>
    </row>
    <row r="213" spans="1:30">
      <c r="A213" t="s">
        <v>2</v>
      </c>
      <c r="B213" t="s">
        <v>1377</v>
      </c>
      <c r="D213" s="74">
        <v>180</v>
      </c>
      <c r="E213" s="74">
        <v>85</v>
      </c>
      <c r="F213" s="74" t="s">
        <v>410</v>
      </c>
      <c r="G213" s="74">
        <v>30</v>
      </c>
      <c r="H213" s="74">
        <v>17</v>
      </c>
      <c r="I213" s="74">
        <v>11.6</v>
      </c>
      <c r="J213" s="74">
        <v>20</v>
      </c>
      <c r="K213" s="74">
        <v>170.4</v>
      </c>
      <c r="L213" s="74">
        <v>14.6</v>
      </c>
      <c r="M213" s="74">
        <v>164.9</v>
      </c>
      <c r="N213" s="74">
        <v>24.4</v>
      </c>
      <c r="O213" s="74">
        <v>24.6</v>
      </c>
    </row>
    <row r="214" spans="1:30">
      <c r="A214" t="s">
        <v>2</v>
      </c>
      <c r="B214" t="s">
        <v>1377</v>
      </c>
      <c r="D214" s="74">
        <v>100</v>
      </c>
      <c r="E214" s="74">
        <v>85</v>
      </c>
      <c r="F214" s="74" t="s">
        <v>410</v>
      </c>
      <c r="G214" s="74">
        <v>60</v>
      </c>
      <c r="H214" s="74">
        <v>53.4</v>
      </c>
      <c r="I214" s="74">
        <v>36.299999999999997</v>
      </c>
      <c r="J214" s="74">
        <v>62.8</v>
      </c>
      <c r="K214" s="74">
        <v>533.79999999999995</v>
      </c>
      <c r="L214" s="74">
        <v>45.7</v>
      </c>
      <c r="M214" s="74">
        <v>516.79999999999995</v>
      </c>
      <c r="N214" s="74">
        <v>76.400000000000006</v>
      </c>
      <c r="O214" s="74">
        <v>77.099999999999994</v>
      </c>
    </row>
    <row r="215" spans="1:30">
      <c r="A215" t="s">
        <v>2</v>
      </c>
      <c r="B215" t="s">
        <v>1377</v>
      </c>
      <c r="D215" s="74">
        <v>150</v>
      </c>
      <c r="E215" s="74">
        <v>85</v>
      </c>
      <c r="F215" s="74" t="s">
        <v>410</v>
      </c>
      <c r="G215" s="74">
        <v>60</v>
      </c>
      <c r="H215" s="74">
        <v>26.6</v>
      </c>
      <c r="I215" s="74">
        <v>18.100000000000001</v>
      </c>
      <c r="J215" s="74">
        <v>31.2</v>
      </c>
      <c r="K215" s="74">
        <v>265.5</v>
      </c>
      <c r="L215" s="74">
        <v>22.7</v>
      </c>
      <c r="M215" s="74">
        <v>257.10000000000002</v>
      </c>
      <c r="N215" s="74">
        <v>38</v>
      </c>
      <c r="O215" s="74">
        <v>38.299999999999997</v>
      </c>
    </row>
    <row r="216" spans="1:30">
      <c r="A216" t="s">
        <v>2</v>
      </c>
      <c r="B216" t="s">
        <v>1377</v>
      </c>
      <c r="D216" s="74">
        <v>180</v>
      </c>
      <c r="E216" s="74">
        <v>85</v>
      </c>
      <c r="F216" s="74" t="s">
        <v>410</v>
      </c>
      <c r="G216" s="74">
        <v>60</v>
      </c>
      <c r="H216" s="74">
        <v>10.9</v>
      </c>
      <c r="I216" s="74">
        <v>7.4</v>
      </c>
      <c r="J216" s="74">
        <v>12.9</v>
      </c>
      <c r="K216" s="74">
        <v>109.5</v>
      </c>
      <c r="L216" s="74">
        <v>9.4</v>
      </c>
      <c r="M216" s="74">
        <v>106</v>
      </c>
      <c r="N216" s="74">
        <v>15.7</v>
      </c>
      <c r="O216" s="74">
        <v>15.8</v>
      </c>
    </row>
    <row r="217" spans="1:30">
      <c r="A217" t="s">
        <v>2</v>
      </c>
      <c r="B217" t="s">
        <v>1377</v>
      </c>
      <c r="D217" s="74">
        <v>100</v>
      </c>
      <c r="E217" s="74">
        <v>50</v>
      </c>
      <c r="F217" s="74">
        <v>0.5</v>
      </c>
      <c r="G217" s="74">
        <v>30</v>
      </c>
      <c r="H217" s="74">
        <v>45</v>
      </c>
      <c r="I217" s="74">
        <v>30.6</v>
      </c>
      <c r="J217" s="74">
        <v>53</v>
      </c>
      <c r="K217" s="74">
        <v>450.3</v>
      </c>
      <c r="L217" s="74">
        <v>38.6</v>
      </c>
      <c r="M217" s="74">
        <v>435.9</v>
      </c>
      <c r="N217" s="74">
        <v>64.5</v>
      </c>
      <c r="O217" s="74">
        <v>64.900000000000006</v>
      </c>
    </row>
    <row r="218" spans="1:30">
      <c r="A218" t="s">
        <v>2</v>
      </c>
      <c r="B218" t="s">
        <v>1377</v>
      </c>
      <c r="D218" s="74">
        <v>150</v>
      </c>
      <c r="E218" s="74">
        <v>50</v>
      </c>
      <c r="F218" s="74">
        <v>0.5</v>
      </c>
      <c r="G218" s="74">
        <v>30</v>
      </c>
      <c r="H218" s="74">
        <v>35.299999999999997</v>
      </c>
      <c r="I218" s="74">
        <v>24</v>
      </c>
      <c r="J218" s="74">
        <v>41.5</v>
      </c>
      <c r="K218" s="74">
        <v>352.8</v>
      </c>
      <c r="L218" s="74">
        <v>30.2</v>
      </c>
      <c r="M218" s="74">
        <v>341.5</v>
      </c>
      <c r="N218" s="74">
        <v>50.5</v>
      </c>
      <c r="O218" s="74">
        <v>51</v>
      </c>
    </row>
    <row r="219" spans="1:30">
      <c r="A219" t="s">
        <v>2</v>
      </c>
      <c r="B219" t="s">
        <v>1377</v>
      </c>
      <c r="D219" s="74">
        <v>180</v>
      </c>
      <c r="E219" s="74">
        <v>50</v>
      </c>
      <c r="F219" s="74">
        <v>0.5</v>
      </c>
      <c r="G219" s="74">
        <v>30</v>
      </c>
      <c r="H219" s="74">
        <v>18.100000000000001</v>
      </c>
      <c r="I219" s="74">
        <v>12.3</v>
      </c>
      <c r="J219" s="74">
        <v>21.3</v>
      </c>
      <c r="K219" s="74">
        <v>181.4</v>
      </c>
      <c r="L219" s="74">
        <v>15.5</v>
      </c>
      <c r="M219" s="74">
        <v>175.6</v>
      </c>
      <c r="N219" s="74">
        <v>26</v>
      </c>
      <c r="O219" s="74">
        <v>26.1</v>
      </c>
    </row>
    <row r="220" spans="1:30">
      <c r="A220" t="s">
        <v>2</v>
      </c>
      <c r="B220" t="s">
        <v>1377</v>
      </c>
      <c r="D220" s="74">
        <v>100</v>
      </c>
      <c r="E220" s="74">
        <v>50</v>
      </c>
      <c r="F220" s="74">
        <v>0.5</v>
      </c>
      <c r="G220" s="74">
        <v>60</v>
      </c>
      <c r="H220" s="74">
        <v>37.1</v>
      </c>
      <c r="I220" s="74">
        <v>25.2</v>
      </c>
      <c r="J220" s="74">
        <v>43.6</v>
      </c>
      <c r="K220" s="74">
        <v>370.6</v>
      </c>
      <c r="L220" s="74">
        <v>31.7</v>
      </c>
      <c r="M220" s="74">
        <v>358.7</v>
      </c>
      <c r="N220" s="74">
        <v>53.1</v>
      </c>
      <c r="O220" s="74">
        <v>53.5</v>
      </c>
    </row>
    <row r="221" spans="1:30">
      <c r="A221" t="s">
        <v>2</v>
      </c>
      <c r="B221" t="s">
        <v>1377</v>
      </c>
      <c r="D221" s="74">
        <v>150</v>
      </c>
      <c r="E221" s="74">
        <v>50</v>
      </c>
      <c r="F221" s="74">
        <v>0.5</v>
      </c>
      <c r="G221" s="74">
        <v>60</v>
      </c>
      <c r="H221" s="74">
        <v>33.1</v>
      </c>
      <c r="I221" s="74">
        <v>22.5</v>
      </c>
      <c r="J221" s="74">
        <v>38.9</v>
      </c>
      <c r="K221" s="74">
        <v>330.9</v>
      </c>
      <c r="L221" s="74">
        <v>28.3</v>
      </c>
      <c r="M221" s="74">
        <v>320.3</v>
      </c>
      <c r="N221" s="74">
        <v>47.7</v>
      </c>
      <c r="O221" s="74">
        <v>47.7</v>
      </c>
    </row>
    <row r="222" spans="1:30">
      <c r="A222" t="s">
        <v>2</v>
      </c>
      <c r="B222" t="s">
        <v>1377</v>
      </c>
      <c r="D222" s="74">
        <v>180</v>
      </c>
      <c r="E222" s="74">
        <v>50</v>
      </c>
      <c r="F222" s="74">
        <v>0.5</v>
      </c>
      <c r="G222" s="74">
        <v>60</v>
      </c>
      <c r="H222" s="74">
        <v>16.2</v>
      </c>
      <c r="I222" s="74">
        <v>11</v>
      </c>
      <c r="J222" s="74">
        <v>19</v>
      </c>
      <c r="K222" s="74">
        <v>162.19999999999999</v>
      </c>
      <c r="L222" s="74">
        <v>13.9</v>
      </c>
      <c r="M222" s="74">
        <v>157</v>
      </c>
      <c r="N222" s="74">
        <v>23.2</v>
      </c>
      <c r="O222" s="74">
        <v>23.4</v>
      </c>
    </row>
    <row r="223" spans="1:30">
      <c r="A223" t="s">
        <v>2</v>
      </c>
      <c r="B223" t="s">
        <v>1377</v>
      </c>
      <c r="D223" s="74">
        <v>100</v>
      </c>
      <c r="E223" s="74">
        <v>85</v>
      </c>
      <c r="F223" s="74">
        <v>0.5</v>
      </c>
      <c r="G223" s="74">
        <v>30</v>
      </c>
      <c r="H223" s="74">
        <v>40</v>
      </c>
      <c r="I223" s="74">
        <v>27.2</v>
      </c>
      <c r="J223" s="74">
        <v>47</v>
      </c>
      <c r="K223" s="74">
        <v>400</v>
      </c>
      <c r="L223" s="74">
        <v>34.299999999999997</v>
      </c>
      <c r="M223" s="74">
        <v>387.2</v>
      </c>
      <c r="N223" s="74">
        <v>57.3</v>
      </c>
      <c r="O223" s="74">
        <v>57.7</v>
      </c>
    </row>
    <row r="224" spans="1:30">
      <c r="A224" t="s">
        <v>2</v>
      </c>
      <c r="B224" t="s">
        <v>1377</v>
      </c>
      <c r="D224" s="74">
        <v>150</v>
      </c>
      <c r="E224" s="74">
        <v>85</v>
      </c>
      <c r="F224" s="74">
        <v>0.5</v>
      </c>
      <c r="G224" s="74">
        <v>30</v>
      </c>
      <c r="H224" s="74">
        <v>40.1</v>
      </c>
      <c r="I224" s="74">
        <v>27.3</v>
      </c>
      <c r="J224" s="74">
        <v>47.2</v>
      </c>
      <c r="K224" s="74">
        <v>401.1</v>
      </c>
      <c r="L224" s="74">
        <v>34.299999999999997</v>
      </c>
      <c r="M224" s="74">
        <v>388.2</v>
      </c>
      <c r="N224" s="74">
        <v>57.4</v>
      </c>
      <c r="O224" s="74">
        <v>57.8</v>
      </c>
    </row>
    <row r="225" spans="1:15">
      <c r="A225" t="s">
        <v>2</v>
      </c>
      <c r="B225" t="s">
        <v>1377</v>
      </c>
      <c r="D225" s="74">
        <v>180</v>
      </c>
      <c r="E225" s="74">
        <v>85</v>
      </c>
      <c r="F225" s="74">
        <v>0.5</v>
      </c>
      <c r="G225" s="74">
        <v>30</v>
      </c>
      <c r="H225" s="74">
        <v>17.600000000000001</v>
      </c>
      <c r="I225" s="74">
        <v>12</v>
      </c>
      <c r="J225" s="74">
        <v>20.7</v>
      </c>
      <c r="K225" s="74">
        <v>176.2</v>
      </c>
      <c r="L225" s="74">
        <v>15.1</v>
      </c>
      <c r="M225" s="74">
        <v>170.6</v>
      </c>
      <c r="N225" s="74">
        <v>25.2</v>
      </c>
      <c r="O225" s="74">
        <v>25.4</v>
      </c>
    </row>
    <row r="226" spans="1:15">
      <c r="A226" t="s">
        <v>2</v>
      </c>
      <c r="B226" t="s">
        <v>1377</v>
      </c>
      <c r="D226" s="74">
        <v>100</v>
      </c>
      <c r="E226" s="74">
        <v>85</v>
      </c>
      <c r="F226" s="74">
        <v>0.5</v>
      </c>
      <c r="G226" s="74">
        <v>60</v>
      </c>
      <c r="H226" s="74">
        <v>48.3</v>
      </c>
      <c r="I226" s="74">
        <v>32.9</v>
      </c>
      <c r="J226" s="74">
        <v>56.9</v>
      </c>
      <c r="K226" s="74">
        <v>483.5</v>
      </c>
      <c r="L226" s="74">
        <v>41.4</v>
      </c>
      <c r="M226" s="74">
        <v>468.1</v>
      </c>
      <c r="N226" s="74">
        <v>69.2</v>
      </c>
      <c r="O226" s="74">
        <v>69.8</v>
      </c>
    </row>
    <row r="227" spans="1:15">
      <c r="A227" t="s">
        <v>2</v>
      </c>
      <c r="B227" t="s">
        <v>1377</v>
      </c>
      <c r="D227" s="74">
        <v>150</v>
      </c>
      <c r="E227" s="74">
        <v>85</v>
      </c>
      <c r="F227" s="74">
        <v>0.5</v>
      </c>
      <c r="G227" s="74">
        <v>60</v>
      </c>
      <c r="H227" s="74">
        <v>26.1</v>
      </c>
      <c r="I227" s="74">
        <v>17.7</v>
      </c>
      <c r="J227" s="74">
        <v>30.7</v>
      </c>
      <c r="K227" s="74">
        <v>260.8</v>
      </c>
      <c r="L227" s="74">
        <v>22.3</v>
      </c>
      <c r="M227" s="74">
        <v>252.4</v>
      </c>
      <c r="N227" s="74">
        <v>37.299999999999997</v>
      </c>
      <c r="O227" s="74">
        <v>37.6</v>
      </c>
    </row>
    <row r="228" spans="1:15" ht="15" thickBot="1">
      <c r="A228" t="s">
        <v>2</v>
      </c>
      <c r="B228" t="s">
        <v>1377</v>
      </c>
      <c r="D228" s="78">
        <v>180</v>
      </c>
      <c r="E228" s="78">
        <v>85</v>
      </c>
      <c r="F228" s="78">
        <v>0.5</v>
      </c>
      <c r="G228" s="78">
        <v>60</v>
      </c>
      <c r="H228" s="78">
        <v>14.3</v>
      </c>
      <c r="I228" s="78">
        <v>9.6999999999999993</v>
      </c>
      <c r="J228" s="78">
        <v>16.8</v>
      </c>
      <c r="K228" s="78">
        <v>142.69999999999999</v>
      </c>
      <c r="L228" s="78">
        <v>12.2</v>
      </c>
      <c r="M228" s="78">
        <v>138.1</v>
      </c>
      <c r="N228" s="78">
        <v>20.399999999999999</v>
      </c>
      <c r="O228" s="78">
        <v>20.6</v>
      </c>
    </row>
    <row r="229" spans="1:15">
      <c r="A229" t="s">
        <v>2</v>
      </c>
      <c r="B229" t="s">
        <v>1377</v>
      </c>
    </row>
    <row r="230" spans="1:15">
      <c r="A230" t="s">
        <v>2</v>
      </c>
      <c r="B230" t="s">
        <v>1377</v>
      </c>
    </row>
    <row r="231" spans="1:15">
      <c r="A231" t="s">
        <v>2</v>
      </c>
      <c r="B231" t="s">
        <v>1377</v>
      </c>
      <c r="C231" t="s">
        <v>425</v>
      </c>
    </row>
    <row r="232" spans="1:15">
      <c r="A232" t="s">
        <v>2</v>
      </c>
      <c r="B232" t="s">
        <v>1377</v>
      </c>
    </row>
    <row r="233" spans="1:15" ht="15" thickBot="1">
      <c r="A233" t="s">
        <v>2</v>
      </c>
      <c r="B233" t="s">
        <v>1377</v>
      </c>
      <c r="D233" s="22" t="s">
        <v>1696</v>
      </c>
    </row>
    <row r="234" spans="1:15" ht="28.2" thickBot="1">
      <c r="A234" t="s">
        <v>2</v>
      </c>
      <c r="B234" t="s">
        <v>1377</v>
      </c>
      <c r="D234" s="532" t="s">
        <v>1697</v>
      </c>
      <c r="E234" s="21" t="s">
        <v>1698</v>
      </c>
      <c r="F234" s="21" t="s">
        <v>1698</v>
      </c>
      <c r="G234" s="21" t="s">
        <v>1699</v>
      </c>
      <c r="H234" s="21" t="s">
        <v>1700</v>
      </c>
    </row>
    <row r="235" spans="1:15" ht="15" thickBot="1">
      <c r="A235" t="s">
        <v>2</v>
      </c>
      <c r="B235" t="s">
        <v>1377</v>
      </c>
      <c r="D235" s="571"/>
      <c r="E235" s="13" t="s">
        <v>1701</v>
      </c>
      <c r="F235" s="13" t="s">
        <v>1702</v>
      </c>
      <c r="G235" s="13" t="s">
        <v>1702</v>
      </c>
      <c r="H235" s="13" t="s">
        <v>1009</v>
      </c>
    </row>
    <row r="236" spans="1:15" ht="15" thickBot="1">
      <c r="A236" t="s">
        <v>2</v>
      </c>
      <c r="B236" t="s">
        <v>1377</v>
      </c>
      <c r="D236" s="572"/>
      <c r="E236" s="13" t="s">
        <v>1703</v>
      </c>
      <c r="F236" s="13" t="s">
        <v>1704</v>
      </c>
      <c r="G236" s="13" t="s">
        <v>1705</v>
      </c>
      <c r="H236" s="13" t="s">
        <v>1706</v>
      </c>
    </row>
    <row r="237" spans="1:15">
      <c r="A237" t="s">
        <v>2</v>
      </c>
      <c r="B237" t="s">
        <v>1377</v>
      </c>
      <c r="D237" s="75">
        <v>1</v>
      </c>
      <c r="E237" s="75">
        <v>1.0029999999999999</v>
      </c>
      <c r="F237" s="75">
        <v>0.86699999999999999</v>
      </c>
      <c r="G237" s="75">
        <v>0.86399999999999999</v>
      </c>
      <c r="H237" s="75">
        <v>0.09</v>
      </c>
    </row>
    <row r="238" spans="1:15">
      <c r="A238" t="s">
        <v>2</v>
      </c>
      <c r="B238" t="s">
        <v>1377</v>
      </c>
      <c r="D238" s="75">
        <v>2</v>
      </c>
      <c r="E238" s="75">
        <v>0.434</v>
      </c>
      <c r="F238" s="75">
        <v>0.38900000000000001</v>
      </c>
      <c r="G238" s="75">
        <v>0.89600000000000002</v>
      </c>
      <c r="H238" s="75">
        <v>8.5000000000000006E-2</v>
      </c>
    </row>
    <row r="239" spans="1:15">
      <c r="A239" t="s">
        <v>2</v>
      </c>
      <c r="B239" t="s">
        <v>1377</v>
      </c>
      <c r="D239" s="75">
        <v>3</v>
      </c>
      <c r="E239" s="75">
        <v>0.69</v>
      </c>
      <c r="F239" s="75">
        <v>0.60399999999999998</v>
      </c>
      <c r="G239" s="75">
        <v>0.876</v>
      </c>
      <c r="H239" s="75">
        <v>7.5999999999999998E-2</v>
      </c>
    </row>
    <row r="240" spans="1:15">
      <c r="A240" t="s">
        <v>2</v>
      </c>
      <c r="B240" t="s">
        <v>1377</v>
      </c>
      <c r="D240" s="75">
        <v>4</v>
      </c>
      <c r="E240" s="75">
        <v>0.75800000000000001</v>
      </c>
      <c r="F240" s="75">
        <v>0.54100000000000004</v>
      </c>
      <c r="G240" s="75">
        <v>0.71399999999999997</v>
      </c>
      <c r="H240" s="75">
        <v>0.124</v>
      </c>
    </row>
    <row r="241" spans="1:8">
      <c r="A241" t="s">
        <v>2</v>
      </c>
      <c r="B241" t="s">
        <v>1377</v>
      </c>
      <c r="D241" s="75">
        <v>5</v>
      </c>
      <c r="E241" s="75">
        <v>0.41199999999999998</v>
      </c>
      <c r="F241" s="75">
        <v>0.54400000000000004</v>
      </c>
      <c r="G241" s="75">
        <v>1.321</v>
      </c>
      <c r="H241" s="75">
        <v>4.2000000000000003E-2</v>
      </c>
    </row>
    <row r="242" spans="1:8">
      <c r="A242" t="s">
        <v>2</v>
      </c>
      <c r="B242" t="s">
        <v>1377</v>
      </c>
      <c r="D242" s="75">
        <v>6</v>
      </c>
      <c r="E242" s="75">
        <v>1.673</v>
      </c>
      <c r="F242" s="75">
        <v>0.94499999999999995</v>
      </c>
      <c r="G242" s="75">
        <v>0.56499999999999995</v>
      </c>
      <c r="H242" s="75">
        <v>0.121</v>
      </c>
    </row>
    <row r="243" spans="1:8">
      <c r="A243" t="s">
        <v>2</v>
      </c>
      <c r="B243" t="s">
        <v>1377</v>
      </c>
      <c r="D243" s="75">
        <v>7</v>
      </c>
      <c r="E243" s="75">
        <v>0.33200000000000002</v>
      </c>
      <c r="F243" s="75">
        <v>0.68100000000000005</v>
      </c>
      <c r="G243" s="75">
        <v>2.0499999999999998</v>
      </c>
      <c r="H243" s="75">
        <v>6.2E-2</v>
      </c>
    </row>
    <row r="244" spans="1:8">
      <c r="A244" t="s">
        <v>2</v>
      </c>
      <c r="B244" t="s">
        <v>1377</v>
      </c>
      <c r="D244" s="75">
        <v>8</v>
      </c>
      <c r="E244" s="75">
        <v>0.67500000000000004</v>
      </c>
      <c r="F244" s="75">
        <v>0.71399999999999997</v>
      </c>
      <c r="G244" s="75">
        <v>1.0580000000000001</v>
      </c>
      <c r="H244" s="75">
        <v>7.8E-2</v>
      </c>
    </row>
    <row r="245" spans="1:8">
      <c r="A245" t="s">
        <v>2</v>
      </c>
      <c r="B245" t="s">
        <v>1377</v>
      </c>
      <c r="D245" s="75">
        <v>9</v>
      </c>
      <c r="E245" s="75">
        <v>1.1919999999999999</v>
      </c>
      <c r="F245" s="75">
        <v>0.49</v>
      </c>
      <c r="G245" s="75">
        <v>0.41099999999999998</v>
      </c>
      <c r="H245" s="75">
        <v>9.2999999999999999E-2</v>
      </c>
    </row>
    <row r="246" spans="1:8">
      <c r="A246" t="s">
        <v>2</v>
      </c>
      <c r="B246" t="s">
        <v>1377</v>
      </c>
      <c r="D246" s="75">
        <v>10</v>
      </c>
      <c r="E246" s="75">
        <v>1.117</v>
      </c>
      <c r="F246" s="75">
        <v>0.73199999999999998</v>
      </c>
      <c r="G246" s="75">
        <v>0.65500000000000003</v>
      </c>
      <c r="H246" s="75">
        <v>5.1999999999999998E-2</v>
      </c>
    </row>
    <row r="247" spans="1:8">
      <c r="A247" t="s">
        <v>2</v>
      </c>
      <c r="B247" t="s">
        <v>1377</v>
      </c>
      <c r="D247" s="75">
        <v>11</v>
      </c>
      <c r="E247" s="75">
        <v>0.94299999999999995</v>
      </c>
      <c r="F247" s="75">
        <v>0.79100000000000004</v>
      </c>
      <c r="G247" s="75">
        <v>0.83899999999999997</v>
      </c>
      <c r="H247" s="75">
        <v>8.6999999999999994E-2</v>
      </c>
    </row>
    <row r="248" spans="1:8">
      <c r="A248" t="s">
        <v>2</v>
      </c>
      <c r="B248" t="s">
        <v>1377</v>
      </c>
      <c r="D248" s="75">
        <v>12</v>
      </c>
      <c r="E248" s="75">
        <v>0.66500000000000004</v>
      </c>
      <c r="F248" s="75">
        <v>0.51800000000000002</v>
      </c>
      <c r="G248" s="75">
        <v>0.77900000000000003</v>
      </c>
      <c r="H248" s="75">
        <v>0.106</v>
      </c>
    </row>
    <row r="249" spans="1:8">
      <c r="A249" t="s">
        <v>2</v>
      </c>
      <c r="B249" t="s">
        <v>1377</v>
      </c>
      <c r="D249" s="75">
        <v>13</v>
      </c>
      <c r="E249" s="75">
        <v>0.71299999999999997</v>
      </c>
      <c r="F249" s="75">
        <v>0.57599999999999996</v>
      </c>
      <c r="G249" s="75">
        <v>0.80800000000000005</v>
      </c>
      <c r="H249" s="75">
        <v>7.4999999999999997E-2</v>
      </c>
    </row>
    <row r="250" spans="1:8">
      <c r="A250" t="s">
        <v>2</v>
      </c>
      <c r="B250" t="s">
        <v>1377</v>
      </c>
      <c r="D250" s="75">
        <v>14</v>
      </c>
      <c r="E250" s="75">
        <v>0.79700000000000004</v>
      </c>
      <c r="F250" s="75">
        <v>0.55100000000000005</v>
      </c>
      <c r="G250" s="75">
        <v>0.69099999999999995</v>
      </c>
      <c r="H250" s="75">
        <v>8.1000000000000003E-2</v>
      </c>
    </row>
    <row r="251" spans="1:8">
      <c r="A251" t="s">
        <v>2</v>
      </c>
      <c r="B251" t="s">
        <v>1377</v>
      </c>
      <c r="D251" s="75">
        <v>15</v>
      </c>
      <c r="E251" s="75">
        <v>1.276</v>
      </c>
      <c r="F251" s="75">
        <v>0.57699999999999996</v>
      </c>
      <c r="G251" s="75">
        <v>0.45200000000000001</v>
      </c>
      <c r="H251" s="75">
        <v>4.5999999999999999E-2</v>
      </c>
    </row>
    <row r="252" spans="1:8">
      <c r="A252" t="s">
        <v>2</v>
      </c>
      <c r="B252" t="s">
        <v>1377</v>
      </c>
      <c r="D252" s="75">
        <v>16</v>
      </c>
      <c r="E252" s="75">
        <v>0.58899999999999997</v>
      </c>
      <c r="F252" s="75">
        <v>0.45600000000000002</v>
      </c>
      <c r="G252" s="75">
        <v>0.77300000000000002</v>
      </c>
      <c r="H252" s="75">
        <v>6.4000000000000001E-2</v>
      </c>
    </row>
    <row r="253" spans="1:8">
      <c r="A253" t="s">
        <v>2</v>
      </c>
      <c r="B253" t="s">
        <v>1377</v>
      </c>
      <c r="D253" s="75">
        <v>17</v>
      </c>
      <c r="E253" s="75">
        <v>0.58699999999999997</v>
      </c>
      <c r="F253" s="75">
        <v>0.56399999999999995</v>
      </c>
      <c r="G253" s="75">
        <v>0.96099999999999997</v>
      </c>
      <c r="H253" s="75">
        <v>9.2999999999999999E-2</v>
      </c>
    </row>
    <row r="254" spans="1:8">
      <c r="A254" t="s">
        <v>2</v>
      </c>
      <c r="B254" t="s">
        <v>1377</v>
      </c>
      <c r="D254" s="75">
        <v>18</v>
      </c>
      <c r="E254" s="75">
        <v>0.61199999999999999</v>
      </c>
      <c r="F254" s="75">
        <v>0.71199999999999997</v>
      </c>
      <c r="G254" s="75">
        <v>1.1639999999999999</v>
      </c>
      <c r="H254" s="75">
        <v>7.6999999999999999E-2</v>
      </c>
    </row>
    <row r="255" spans="1:8">
      <c r="A255" t="s">
        <v>2</v>
      </c>
      <c r="B255" t="s">
        <v>1377</v>
      </c>
      <c r="D255" s="75">
        <v>19</v>
      </c>
      <c r="E255" s="75">
        <v>1.006</v>
      </c>
      <c r="F255" s="75">
        <v>0.68700000000000006</v>
      </c>
      <c r="G255" s="75">
        <v>0.68300000000000005</v>
      </c>
      <c r="H255" s="75">
        <v>0.105</v>
      </c>
    </row>
    <row r="256" spans="1:8" ht="15" thickBot="1">
      <c r="A256" t="s">
        <v>2</v>
      </c>
      <c r="B256" t="s">
        <v>1377</v>
      </c>
      <c r="D256" s="79">
        <v>20</v>
      </c>
      <c r="E256" s="79">
        <v>0.80100000000000005</v>
      </c>
      <c r="F256" s="79">
        <v>0.58499999999999996</v>
      </c>
      <c r="G256" s="79">
        <v>0.73</v>
      </c>
      <c r="H256" s="79">
        <v>1.1519999999999999</v>
      </c>
    </row>
    <row r="257" spans="1:7">
      <c r="A257" t="s">
        <v>2</v>
      </c>
      <c r="B257" t="s">
        <v>1377</v>
      </c>
      <c r="D257" t="s">
        <v>1707</v>
      </c>
    </row>
    <row r="258" spans="1:7">
      <c r="A258" t="s">
        <v>2</v>
      </c>
      <c r="B258" t="s">
        <v>1377</v>
      </c>
      <c r="D258" s="48" t="s">
        <v>510</v>
      </c>
      <c r="E258" s="48">
        <f>AVERAGE(E237:E256)</f>
        <v>0.81374999999999997</v>
      </c>
      <c r="F258" s="48">
        <f t="shared" ref="F258:G258" si="1">AVERAGE(F237:F256)</f>
        <v>0.62620000000000009</v>
      </c>
      <c r="G258" s="48">
        <f t="shared" si="1"/>
        <v>0.86450000000000016</v>
      </c>
    </row>
    <row r="259" spans="1:7">
      <c r="A259" t="s">
        <v>2</v>
      </c>
      <c r="B259" t="s">
        <v>1377</v>
      </c>
      <c r="D259" s="48" t="s">
        <v>1389</v>
      </c>
      <c r="E259" s="48"/>
      <c r="F259" s="60">
        <v>0.67391000000000001</v>
      </c>
      <c r="G259" s="48"/>
    </row>
    <row r="260" spans="1:7">
      <c r="A260" t="s">
        <v>2</v>
      </c>
      <c r="B260" t="s">
        <v>1377</v>
      </c>
      <c r="D260" s="48" t="s">
        <v>1390</v>
      </c>
      <c r="E260" s="48"/>
      <c r="F260" s="48">
        <f>F258*F259</f>
        <v>0.42200244200000009</v>
      </c>
      <c r="G260" s="48"/>
    </row>
    <row r="261" spans="1:7">
      <c r="A261" t="s">
        <v>2</v>
      </c>
    </row>
    <row r="262" spans="1:7">
      <c r="A262" t="s">
        <v>2</v>
      </c>
    </row>
    <row r="264" spans="1:7">
      <c r="A264" t="s">
        <v>636</v>
      </c>
      <c r="B264" s="154" t="s">
        <v>1279</v>
      </c>
      <c r="C264" t="s">
        <v>638</v>
      </c>
      <c r="D264" t="s">
        <v>639</v>
      </c>
    </row>
    <row r="265" spans="1:7">
      <c r="D265" t="s">
        <v>640</v>
      </c>
    </row>
    <row r="267" spans="1:7">
      <c r="D267" s="48" t="s">
        <v>641</v>
      </c>
      <c r="E267" s="48">
        <v>0.72719999999999996</v>
      </c>
    </row>
    <row r="268" spans="1:7">
      <c r="D268" s="48" t="s">
        <v>642</v>
      </c>
      <c r="E268" s="60">
        <v>2.9999999999999997E-4</v>
      </c>
    </row>
    <row r="269" spans="1:7">
      <c r="D269" s="48" t="s">
        <v>643</v>
      </c>
      <c r="E269" s="48">
        <f>E267*E268</f>
        <v>2.1815999999999996E-4</v>
      </c>
    </row>
    <row r="271" spans="1:7">
      <c r="B271" t="s">
        <v>1377</v>
      </c>
      <c r="C271" t="s">
        <v>638</v>
      </c>
      <c r="D271" t="s">
        <v>639</v>
      </c>
    </row>
    <row r="272" spans="1:7">
      <c r="D272" t="s">
        <v>640</v>
      </c>
    </row>
    <row r="274" spans="1:5">
      <c r="D274" s="48" t="s">
        <v>641</v>
      </c>
      <c r="E274" s="48">
        <v>0.72719999999999996</v>
      </c>
    </row>
    <row r="275" spans="1:5">
      <c r="D275" s="48" t="s">
        <v>642</v>
      </c>
      <c r="E275" s="60">
        <v>0.10251</v>
      </c>
    </row>
    <row r="276" spans="1:5">
      <c r="D276" s="48" t="s">
        <v>643</v>
      </c>
      <c r="E276" s="48">
        <f>E274*E275</f>
        <v>7.4545271999999996E-2</v>
      </c>
    </row>
    <row r="279" spans="1:5">
      <c r="A279" t="s">
        <v>679</v>
      </c>
      <c r="B279" s="154" t="s">
        <v>1279</v>
      </c>
      <c r="C279" t="s">
        <v>638</v>
      </c>
      <c r="D279" t="s">
        <v>680</v>
      </c>
    </row>
    <row r="280" spans="1:5">
      <c r="D280" s="184" t="s">
        <v>681</v>
      </c>
    </row>
    <row r="281" spans="1:5">
      <c r="D281">
        <v>180</v>
      </c>
      <c r="E281">
        <v>126</v>
      </c>
    </row>
    <row r="282" spans="1:5">
      <c r="D282" s="48" t="s">
        <v>809</v>
      </c>
      <c r="E282" s="48">
        <f>1/180*126</f>
        <v>0.70000000000000007</v>
      </c>
    </row>
    <row r="283" spans="1:5">
      <c r="D283" s="48" t="s">
        <v>1708</v>
      </c>
      <c r="E283" s="48">
        <v>13.943882350877193</v>
      </c>
    </row>
    <row r="284" spans="1:5">
      <c r="D284" s="48" t="s">
        <v>6432</v>
      </c>
      <c r="E284" s="48">
        <f>E282*E283%</f>
        <v>9.7607176456140365E-2</v>
      </c>
    </row>
    <row r="287" spans="1:5">
      <c r="B287" t="s">
        <v>1377</v>
      </c>
      <c r="C287" t="s">
        <v>197</v>
      </c>
      <c r="D287" t="s">
        <v>1709</v>
      </c>
    </row>
    <row r="288" spans="1:5">
      <c r="D288" t="s">
        <v>1710</v>
      </c>
    </row>
    <row r="289" spans="1:5" ht="15.6">
      <c r="D289" s="199" t="s">
        <v>1711</v>
      </c>
    </row>
    <row r="290" spans="1:5" ht="15.6">
      <c r="D290" s="199" t="s">
        <v>1712</v>
      </c>
    </row>
    <row r="291" spans="1:5">
      <c r="D291" s="48" t="s">
        <v>1713</v>
      </c>
      <c r="E291" s="60">
        <v>0.44500000000000001</v>
      </c>
    </row>
    <row r="292" spans="1:5">
      <c r="D292" s="48" t="s">
        <v>1713</v>
      </c>
      <c r="E292" s="60">
        <v>0.373</v>
      </c>
    </row>
    <row r="293" spans="1:5">
      <c r="D293" s="48" t="s">
        <v>1714</v>
      </c>
      <c r="E293" s="60">
        <f>AVERAGE(E291:E292)</f>
        <v>0.40900000000000003</v>
      </c>
    </row>
    <row r="294" spans="1:5">
      <c r="D294" s="48" t="s">
        <v>1715</v>
      </c>
      <c r="E294" s="48">
        <v>10.25</v>
      </c>
    </row>
    <row r="295" spans="1:5">
      <c r="D295" s="48" t="s">
        <v>1716</v>
      </c>
      <c r="E295" s="48">
        <f>E294%*E293</f>
        <v>4.1922500000000001E-2</v>
      </c>
    </row>
    <row r="298" spans="1:5">
      <c r="A298" t="s">
        <v>823</v>
      </c>
      <c r="B298" s="154" t="s">
        <v>1279</v>
      </c>
      <c r="C298" t="s">
        <v>638</v>
      </c>
      <c r="D298" t="s">
        <v>824</v>
      </c>
    </row>
    <row r="299" spans="1:5">
      <c r="D299" t="s">
        <v>825</v>
      </c>
    </row>
    <row r="300" spans="1:5">
      <c r="D300" t="s">
        <v>836</v>
      </c>
      <c r="E300">
        <v>0.86699999999999999</v>
      </c>
    </row>
    <row r="301" spans="1:5">
      <c r="D301" s="48" t="s">
        <v>1717</v>
      </c>
      <c r="E301" s="51">
        <v>13.943882350877193</v>
      </c>
    </row>
    <row r="302" spans="1:5">
      <c r="D302" s="48" t="s">
        <v>1718</v>
      </c>
      <c r="E302" s="48">
        <f>E300*E301%</f>
        <v>0.12089345998210527</v>
      </c>
    </row>
    <row r="305" spans="1:5">
      <c r="B305" s="154" t="s">
        <v>1377</v>
      </c>
      <c r="C305" t="s">
        <v>638</v>
      </c>
      <c r="D305" t="s">
        <v>824</v>
      </c>
    </row>
    <row r="306" spans="1:5">
      <c r="D306" t="s">
        <v>825</v>
      </c>
    </row>
    <row r="307" spans="1:5">
      <c r="D307" t="s">
        <v>836</v>
      </c>
      <c r="E307">
        <v>0.86699999999999999</v>
      </c>
    </row>
    <row r="308" spans="1:5">
      <c r="D308" s="48" t="s">
        <v>1717</v>
      </c>
      <c r="E308" s="51">
        <v>57.14</v>
      </c>
    </row>
    <row r="309" spans="1:5">
      <c r="D309" s="48" t="s">
        <v>1718</v>
      </c>
      <c r="E309" s="48">
        <f>E307*E308%</f>
        <v>0.49540380000000001</v>
      </c>
    </row>
    <row r="313" spans="1:5">
      <c r="A313" t="s">
        <v>843</v>
      </c>
      <c r="B313" s="154" t="s">
        <v>1279</v>
      </c>
      <c r="C313" t="s">
        <v>638</v>
      </c>
      <c r="D313" t="s">
        <v>1719</v>
      </c>
      <c r="E313" s="142">
        <v>4.4591455087719298</v>
      </c>
    </row>
    <row r="314" spans="1:5">
      <c r="D314" s="48" t="s">
        <v>1720</v>
      </c>
      <c r="E314" s="48">
        <f>E313%*17%</f>
        <v>7.5805473649122818E-3</v>
      </c>
    </row>
    <row r="317" spans="1:5">
      <c r="B317" s="154" t="s">
        <v>1377</v>
      </c>
      <c r="C317" t="s">
        <v>638</v>
      </c>
      <c r="D317" t="s">
        <v>1721</v>
      </c>
      <c r="E317" s="142">
        <v>37.56</v>
      </c>
    </row>
    <row r="318" spans="1:5">
      <c r="D318" s="48" t="s">
        <v>1722</v>
      </c>
      <c r="E318" s="48">
        <f>E317%*17%</f>
        <v>6.3852000000000006E-2</v>
      </c>
    </row>
    <row r="320" spans="1:5">
      <c r="A320" t="s">
        <v>876</v>
      </c>
      <c r="B320" t="s">
        <v>1279</v>
      </c>
      <c r="C320" t="s">
        <v>638</v>
      </c>
      <c r="D320" t="s">
        <v>883</v>
      </c>
      <c r="E320">
        <v>0.66714285714285715</v>
      </c>
    </row>
    <row r="321" spans="1:5">
      <c r="D321" s="48" t="s">
        <v>1723</v>
      </c>
      <c r="E321" s="48">
        <v>13.969307350877193</v>
      </c>
    </row>
    <row r="322" spans="1:5">
      <c r="D322" s="48" t="s">
        <v>1724</v>
      </c>
      <c r="E322" s="48">
        <f>E320*E321%</f>
        <v>9.3195236183709257E-2</v>
      </c>
    </row>
    <row r="326" spans="1:5">
      <c r="B326" s="154" t="s">
        <v>1377</v>
      </c>
      <c r="C326" t="s">
        <v>638</v>
      </c>
      <c r="D326" t="s">
        <v>883</v>
      </c>
      <c r="E326">
        <v>0.66714285714285715</v>
      </c>
    </row>
    <row r="327" spans="1:5">
      <c r="D327" s="48" t="s">
        <v>1723</v>
      </c>
      <c r="E327" s="48">
        <v>67.391000000000005</v>
      </c>
    </row>
    <row r="328" spans="1:5">
      <c r="D328" s="48" t="s">
        <v>1724</v>
      </c>
      <c r="E328" s="48">
        <f>E326*E327%</f>
        <v>0.44959424285714289</v>
      </c>
    </row>
    <row r="330" spans="1:5">
      <c r="A330" t="s">
        <v>892</v>
      </c>
      <c r="B330" t="s">
        <v>1279</v>
      </c>
      <c r="C330" t="s">
        <v>638</v>
      </c>
      <c r="D330" t="s">
        <v>883</v>
      </c>
      <c r="E330">
        <v>0.23649999999999999</v>
      </c>
    </row>
    <row r="331" spans="1:5">
      <c r="D331" t="s">
        <v>1719</v>
      </c>
      <c r="E331" s="142">
        <v>4.4591455087719298</v>
      </c>
    </row>
    <row r="332" spans="1:5">
      <c r="D332" s="48" t="s">
        <v>1725</v>
      </c>
      <c r="E332" s="48">
        <f>E331%*E330</f>
        <v>1.0545879128245613E-2</v>
      </c>
    </row>
    <row r="334" spans="1:5">
      <c r="B334" s="154" t="s">
        <v>1377</v>
      </c>
      <c r="C334" t="s">
        <v>638</v>
      </c>
      <c r="D334" t="s">
        <v>883</v>
      </c>
      <c r="E334">
        <v>0.23649999999999999</v>
      </c>
    </row>
    <row r="335" spans="1:5">
      <c r="D335" t="s">
        <v>1721</v>
      </c>
      <c r="E335" s="142">
        <v>37.56</v>
      </c>
    </row>
    <row r="336" spans="1:5">
      <c r="D336" s="48" t="s">
        <v>1726</v>
      </c>
      <c r="E336" s="48">
        <f>E335%*E334</f>
        <v>8.8829400000000003E-2</v>
      </c>
    </row>
    <row r="340" spans="1:5">
      <c r="A340" t="s">
        <v>931</v>
      </c>
      <c r="B340" t="s">
        <v>1279</v>
      </c>
      <c r="C340" t="s">
        <v>638</v>
      </c>
      <c r="D340" t="s">
        <v>940</v>
      </c>
      <c r="E340">
        <v>0.52103333333333335</v>
      </c>
    </row>
    <row r="341" spans="1:5">
      <c r="D341" t="s">
        <v>1727</v>
      </c>
      <c r="E341">
        <v>13.943882350877193</v>
      </c>
    </row>
    <row r="342" spans="1:5">
      <c r="D342" s="48" t="s">
        <v>1728</v>
      </c>
      <c r="E342" s="48">
        <f>E340*E341%</f>
        <v>7.2652275008853809E-2</v>
      </c>
    </row>
    <row r="344" spans="1:5">
      <c r="B344" s="154" t="s">
        <v>1377</v>
      </c>
      <c r="C344" t="s">
        <v>638</v>
      </c>
      <c r="D344" t="s">
        <v>940</v>
      </c>
      <c r="E344">
        <v>0.52103333333333335</v>
      </c>
    </row>
    <row r="345" spans="1:5">
      <c r="D345" t="s">
        <v>1729</v>
      </c>
      <c r="E345">
        <v>57.14</v>
      </c>
    </row>
    <row r="346" spans="1:5">
      <c r="D346" s="48" t="s">
        <v>1730</v>
      </c>
      <c r="E346" s="48">
        <f>E344*E345%</f>
        <v>0.29771844666666669</v>
      </c>
    </row>
    <row r="350" spans="1:5">
      <c r="B350" t="s">
        <v>1279</v>
      </c>
      <c r="C350" t="s">
        <v>638</v>
      </c>
      <c r="D350" t="s">
        <v>984</v>
      </c>
    </row>
    <row r="351" spans="1:5">
      <c r="D351" t="s">
        <v>985</v>
      </c>
    </row>
    <row r="352" spans="1:5" ht="15.6">
      <c r="D352" s="199" t="s">
        <v>986</v>
      </c>
    </row>
    <row r="353" spans="1:12">
      <c r="D353" t="s">
        <v>987</v>
      </c>
      <c r="E353">
        <v>0.76</v>
      </c>
    </row>
    <row r="354" spans="1:12">
      <c r="D354" t="s">
        <v>988</v>
      </c>
      <c r="E354">
        <v>82.666666666666671</v>
      </c>
    </row>
    <row r="355" spans="1:12">
      <c r="D355" s="48" t="s">
        <v>989</v>
      </c>
      <c r="E355" s="48">
        <f>E353*E354%</f>
        <v>0.62826666666666664</v>
      </c>
    </row>
    <row r="358" spans="1:12">
      <c r="A358" t="s">
        <v>1731</v>
      </c>
      <c r="B358" t="s">
        <v>1279</v>
      </c>
      <c r="C358" t="s">
        <v>197</v>
      </c>
      <c r="D358" t="s">
        <v>1732</v>
      </c>
    </row>
    <row r="359" spans="1:12">
      <c r="D359" t="s">
        <v>1733</v>
      </c>
    </row>
    <row r="360" spans="1:12" ht="15" thickBot="1">
      <c r="D360" s="22" t="s">
        <v>1734</v>
      </c>
    </row>
    <row r="361" spans="1:12" ht="43.8" thickBot="1">
      <c r="D361" s="21" t="s">
        <v>1735</v>
      </c>
      <c r="E361" s="21" t="s">
        <v>1736</v>
      </c>
      <c r="F361" s="122" t="s">
        <v>1737</v>
      </c>
      <c r="G361" s="122" t="s">
        <v>1738</v>
      </c>
      <c r="H361" s="122" t="s">
        <v>1739</v>
      </c>
      <c r="I361" s="21" t="s">
        <v>1740</v>
      </c>
      <c r="J361" s="122" t="s">
        <v>1741</v>
      </c>
      <c r="K361" s="233" t="s">
        <v>1742</v>
      </c>
      <c r="L361" s="122" t="s">
        <v>1743</v>
      </c>
    </row>
    <row r="362" spans="1:12">
      <c r="D362" s="75">
        <v>30</v>
      </c>
      <c r="E362" s="75" t="s">
        <v>1744</v>
      </c>
      <c r="F362" s="75">
        <v>107</v>
      </c>
      <c r="G362" s="75">
        <v>17.100000000000001</v>
      </c>
      <c r="H362" s="75">
        <v>1.1000000000000001</v>
      </c>
      <c r="I362" s="75">
        <v>2.5</v>
      </c>
      <c r="J362" s="75">
        <v>3.9</v>
      </c>
      <c r="K362" s="234">
        <v>34.1</v>
      </c>
      <c r="L362" s="75">
        <v>95.2</v>
      </c>
    </row>
    <row r="363" spans="1:12">
      <c r="D363" s="75">
        <v>37</v>
      </c>
      <c r="E363" s="75" t="s">
        <v>1745</v>
      </c>
      <c r="F363" s="75">
        <v>87</v>
      </c>
      <c r="G363" s="75">
        <v>24.5</v>
      </c>
      <c r="H363" s="75">
        <v>0.7</v>
      </c>
      <c r="I363" s="75">
        <v>2.6</v>
      </c>
      <c r="J363" s="75">
        <v>6.8</v>
      </c>
      <c r="K363" s="234">
        <v>49</v>
      </c>
      <c r="L363" s="75">
        <v>94.6</v>
      </c>
    </row>
    <row r="364" spans="1:12" ht="15" thickBot="1">
      <c r="D364" s="79">
        <v>45</v>
      </c>
      <c r="E364" s="79" t="s">
        <v>1746</v>
      </c>
      <c r="F364" s="79">
        <v>63</v>
      </c>
      <c r="G364" s="79">
        <v>31.3</v>
      </c>
      <c r="H364" s="79">
        <v>0.7</v>
      </c>
      <c r="I364" s="79">
        <v>3.1</v>
      </c>
      <c r="J364" s="79">
        <v>12</v>
      </c>
      <c r="K364" s="214">
        <v>62.7</v>
      </c>
      <c r="L364" s="79">
        <v>93.8</v>
      </c>
    </row>
    <row r="365" spans="1:12">
      <c r="D365" s="117" t="s">
        <v>1177</v>
      </c>
    </row>
    <row r="366" spans="1:12">
      <c r="D366" s="118" t="s">
        <v>1747</v>
      </c>
    </row>
    <row r="367" spans="1:12">
      <c r="D367" s="117" t="s">
        <v>1179</v>
      </c>
    </row>
    <row r="368" spans="1:12">
      <c r="D368" s="120" t="s">
        <v>1748</v>
      </c>
    </row>
    <row r="370" spans="3:13">
      <c r="D370" s="48" t="s">
        <v>1749</v>
      </c>
      <c r="E370" s="48">
        <f>AVERAGE(K362:K364)</f>
        <v>48.6</v>
      </c>
    </row>
    <row r="371" spans="3:13">
      <c r="D371" s="48" t="s">
        <v>1750</v>
      </c>
      <c r="E371" s="48">
        <f>E370/100</f>
        <v>0.48599999999999999</v>
      </c>
    </row>
    <row r="372" spans="3:13">
      <c r="D372" s="48" t="s">
        <v>1751</v>
      </c>
      <c r="E372" s="48">
        <v>13.969307350877193</v>
      </c>
    </row>
    <row r="373" spans="3:13">
      <c r="D373" s="48" t="s">
        <v>1752</v>
      </c>
      <c r="E373" s="48">
        <f>E371*E372%</f>
        <v>6.7890833725263153E-2</v>
      </c>
    </row>
    <row r="376" spans="3:13">
      <c r="C376" t="s">
        <v>226</v>
      </c>
      <c r="D376" t="s">
        <v>1753</v>
      </c>
    </row>
    <row r="377" spans="3:13">
      <c r="D377" t="s">
        <v>1754</v>
      </c>
    </row>
    <row r="378" spans="3:13" ht="15" thickBot="1"/>
    <row r="379" spans="3:13" ht="42" thickBot="1">
      <c r="D379" s="235" t="s">
        <v>1755</v>
      </c>
      <c r="E379" s="235" t="s">
        <v>1735</v>
      </c>
      <c r="F379" s="235" t="s">
        <v>1756</v>
      </c>
      <c r="G379" s="235" t="s">
        <v>1757</v>
      </c>
      <c r="H379" s="235" t="s">
        <v>1758</v>
      </c>
      <c r="I379" s="235" t="s">
        <v>1759</v>
      </c>
      <c r="J379" s="235" t="s">
        <v>1760</v>
      </c>
      <c r="K379" s="235" t="s">
        <v>1761</v>
      </c>
      <c r="L379" s="235" t="s">
        <v>1762</v>
      </c>
      <c r="M379" s="235" t="s">
        <v>1763</v>
      </c>
    </row>
    <row r="380" spans="3:13">
      <c r="D380" s="137" t="s">
        <v>1279</v>
      </c>
      <c r="E380" s="137">
        <v>30</v>
      </c>
      <c r="F380" s="137">
        <v>1</v>
      </c>
      <c r="G380" s="137">
        <v>118</v>
      </c>
      <c r="H380" s="137">
        <v>15.1</v>
      </c>
      <c r="I380" s="137">
        <v>1.6</v>
      </c>
      <c r="J380" s="137" t="s">
        <v>1764</v>
      </c>
      <c r="K380" s="234">
        <v>30.2</v>
      </c>
      <c r="L380" s="137">
        <v>3.1</v>
      </c>
      <c r="M380" s="137">
        <v>100</v>
      </c>
    </row>
    <row r="381" spans="3:13">
      <c r="D381" s="137"/>
      <c r="E381" s="137"/>
      <c r="F381" s="137">
        <v>2</v>
      </c>
      <c r="G381" s="137">
        <v>122</v>
      </c>
      <c r="H381" s="137">
        <v>19.3</v>
      </c>
      <c r="I381" s="137">
        <v>1.1000000000000001</v>
      </c>
      <c r="J381" s="137" t="s">
        <v>1764</v>
      </c>
      <c r="K381" s="234">
        <v>38.6</v>
      </c>
      <c r="L381" s="137">
        <v>3.8</v>
      </c>
      <c r="M381" s="137">
        <v>100</v>
      </c>
    </row>
    <row r="382" spans="3:13">
      <c r="D382" s="137"/>
      <c r="E382" s="137"/>
      <c r="F382" s="137">
        <v>3</v>
      </c>
      <c r="G382" s="137">
        <v>107</v>
      </c>
      <c r="H382" s="137">
        <v>18.2</v>
      </c>
      <c r="I382" s="137">
        <v>0.8</v>
      </c>
      <c r="J382" s="137">
        <v>2.9</v>
      </c>
      <c r="K382" s="234">
        <v>36.4</v>
      </c>
      <c r="L382" s="137">
        <v>4.0999999999999996</v>
      </c>
      <c r="M382" s="137">
        <v>94</v>
      </c>
    </row>
    <row r="383" spans="3:13">
      <c r="D383" s="137"/>
      <c r="E383" s="137"/>
      <c r="F383" s="137">
        <v>4</v>
      </c>
      <c r="G383" s="137">
        <v>88</v>
      </c>
      <c r="H383" s="137">
        <v>15.3</v>
      </c>
      <c r="I383" s="137">
        <v>1.2</v>
      </c>
      <c r="J383" s="137">
        <v>6.7</v>
      </c>
      <c r="K383" s="234">
        <v>30.6</v>
      </c>
      <c r="L383" s="137">
        <v>4.2</v>
      </c>
      <c r="M383" s="137">
        <v>87</v>
      </c>
    </row>
    <row r="384" spans="3:13">
      <c r="D384" s="137"/>
      <c r="E384" s="137"/>
      <c r="F384" s="137">
        <v>5</v>
      </c>
      <c r="G384" s="137">
        <v>101</v>
      </c>
      <c r="H384" s="137">
        <v>17.399999999999999</v>
      </c>
      <c r="I384" s="137">
        <v>0.9</v>
      </c>
      <c r="J384" s="137">
        <v>2.7</v>
      </c>
      <c r="K384" s="234">
        <v>34.799999999999997</v>
      </c>
      <c r="L384" s="137">
        <v>4.0999999999999996</v>
      </c>
      <c r="M384" s="137">
        <v>95</v>
      </c>
    </row>
    <row r="385" spans="4:13">
      <c r="D385" s="137"/>
      <c r="E385" s="137">
        <v>37</v>
      </c>
      <c r="F385" s="137">
        <v>6</v>
      </c>
      <c r="G385" s="137">
        <v>89</v>
      </c>
      <c r="H385" s="137">
        <v>25.4</v>
      </c>
      <c r="I385" s="137">
        <v>0.7</v>
      </c>
      <c r="J385" s="137">
        <v>2.5</v>
      </c>
      <c r="K385" s="234">
        <v>50.8</v>
      </c>
      <c r="L385" s="137">
        <v>6.8</v>
      </c>
      <c r="M385" s="137">
        <v>95</v>
      </c>
    </row>
    <row r="386" spans="4:13">
      <c r="D386" s="137"/>
      <c r="E386" s="137"/>
      <c r="F386" s="137">
        <v>7</v>
      </c>
      <c r="G386" s="137">
        <v>102</v>
      </c>
      <c r="H386" s="137">
        <v>24.7</v>
      </c>
      <c r="I386" s="137">
        <v>0.9</v>
      </c>
      <c r="J386" s="137">
        <v>0.3</v>
      </c>
      <c r="K386" s="234">
        <v>49.4</v>
      </c>
      <c r="L386" s="137">
        <v>5.8</v>
      </c>
      <c r="M386" s="137">
        <v>99</v>
      </c>
    </row>
    <row r="387" spans="4:13">
      <c r="D387" s="137"/>
      <c r="E387" s="137"/>
      <c r="F387" s="137">
        <v>8</v>
      </c>
      <c r="G387" s="137">
        <v>69</v>
      </c>
      <c r="H387" s="137">
        <v>21.4</v>
      </c>
      <c r="I387" s="137">
        <v>0.8</v>
      </c>
      <c r="J387" s="137">
        <v>7.8</v>
      </c>
      <c r="K387" s="234">
        <v>42.8</v>
      </c>
      <c r="L387" s="137">
        <v>7.4</v>
      </c>
      <c r="M387" s="137">
        <v>84</v>
      </c>
    </row>
    <row r="388" spans="4:13">
      <c r="D388" s="137"/>
      <c r="E388" s="137"/>
      <c r="F388" s="137">
        <v>9</v>
      </c>
      <c r="G388" s="137">
        <v>91</v>
      </c>
      <c r="H388" s="137">
        <v>25.5</v>
      </c>
      <c r="I388" s="137">
        <v>0.7</v>
      </c>
      <c r="J388" s="137">
        <v>1.1000000000000001</v>
      </c>
      <c r="K388" s="234">
        <v>51</v>
      </c>
      <c r="L388" s="137">
        <v>6.7</v>
      </c>
      <c r="M388" s="137">
        <v>98</v>
      </c>
    </row>
    <row r="389" spans="4:13">
      <c r="D389" s="137"/>
      <c r="E389" s="137"/>
      <c r="F389" s="137">
        <v>10</v>
      </c>
      <c r="G389" s="137">
        <v>86</v>
      </c>
      <c r="H389" s="137">
        <v>25.4</v>
      </c>
      <c r="I389" s="137">
        <v>0.6</v>
      </c>
      <c r="J389" s="137">
        <v>1.5</v>
      </c>
      <c r="K389" s="234">
        <v>50.8</v>
      </c>
      <c r="L389" s="137">
        <v>7.1</v>
      </c>
      <c r="M389" s="137">
        <v>97</v>
      </c>
    </row>
    <row r="390" spans="4:13">
      <c r="D390" s="137"/>
      <c r="E390" s="137">
        <v>45</v>
      </c>
      <c r="F390" s="137">
        <v>11</v>
      </c>
      <c r="G390" s="137">
        <v>72</v>
      </c>
      <c r="H390" s="137">
        <v>32.9</v>
      </c>
      <c r="I390" s="137">
        <v>0.6</v>
      </c>
      <c r="J390" s="137">
        <v>2.6</v>
      </c>
      <c r="K390" s="234">
        <v>65.8</v>
      </c>
      <c r="L390" s="137">
        <v>11</v>
      </c>
      <c r="M390" s="137">
        <v>95</v>
      </c>
    </row>
    <row r="391" spans="4:13">
      <c r="D391" s="137"/>
      <c r="E391" s="137"/>
      <c r="F391" s="137">
        <v>12</v>
      </c>
      <c r="G391" s="137">
        <v>63</v>
      </c>
      <c r="H391" s="137">
        <v>32</v>
      </c>
      <c r="I391" s="137">
        <v>0.7</v>
      </c>
      <c r="J391" s="137">
        <v>9</v>
      </c>
      <c r="K391" s="234">
        <v>64</v>
      </c>
      <c r="L391" s="137">
        <v>12.1</v>
      </c>
      <c r="M391" s="137">
        <v>82</v>
      </c>
    </row>
    <row r="392" spans="4:13">
      <c r="D392" s="137"/>
      <c r="E392" s="137"/>
      <c r="F392" s="137">
        <v>13</v>
      </c>
      <c r="G392" s="137">
        <v>56</v>
      </c>
      <c r="H392" s="137">
        <v>30.3</v>
      </c>
      <c r="I392" s="137">
        <v>0.7</v>
      </c>
      <c r="J392" s="137">
        <v>0.7</v>
      </c>
      <c r="K392" s="234">
        <v>60.6</v>
      </c>
      <c r="L392" s="137">
        <v>13</v>
      </c>
      <c r="M392" s="137">
        <v>99</v>
      </c>
    </row>
    <row r="393" spans="4:13">
      <c r="D393" s="137"/>
      <c r="E393" s="137"/>
      <c r="F393" s="137">
        <v>14</v>
      </c>
      <c r="G393" s="137">
        <v>65</v>
      </c>
      <c r="H393" s="137">
        <v>31.7</v>
      </c>
      <c r="I393" s="137">
        <v>0.7</v>
      </c>
      <c r="J393" s="137">
        <v>2.8</v>
      </c>
      <c r="K393" s="234">
        <v>63.4</v>
      </c>
      <c r="L393" s="137">
        <v>11.7</v>
      </c>
      <c r="M393" s="137">
        <v>94</v>
      </c>
    </row>
    <row r="394" spans="4:13" ht="15" thickBot="1">
      <c r="D394" s="236"/>
      <c r="E394" s="236"/>
      <c r="F394" s="236">
        <v>15</v>
      </c>
      <c r="G394" s="236">
        <v>59</v>
      </c>
      <c r="H394" s="236">
        <v>29.8</v>
      </c>
      <c r="I394" s="236">
        <v>0.8</v>
      </c>
      <c r="J394" s="236">
        <v>0.6</v>
      </c>
      <c r="K394" s="214">
        <v>59.6</v>
      </c>
      <c r="L394" s="236">
        <v>12.1</v>
      </c>
      <c r="M394" s="236">
        <v>99</v>
      </c>
    </row>
    <row r="395" spans="4:13" ht="15.6">
      <c r="D395" s="121" t="s">
        <v>1765</v>
      </c>
    </row>
    <row r="396" spans="4:13">
      <c r="D396" s="48" t="s">
        <v>1766</v>
      </c>
      <c r="E396" s="48">
        <v>48.586666666666673</v>
      </c>
      <c r="K396">
        <f>AVERAGE(K380:K394)</f>
        <v>48.586666666666673</v>
      </c>
    </row>
    <row r="397" spans="4:13">
      <c r="D397" s="48" t="s">
        <v>1751</v>
      </c>
      <c r="E397" s="48">
        <v>13.969307350877193</v>
      </c>
    </row>
    <row r="398" spans="4:13">
      <c r="D398" s="48" t="s">
        <v>1752</v>
      </c>
      <c r="E398" s="48">
        <f>E396%*E397%</f>
        <v>6.787220798212866E-2</v>
      </c>
    </row>
    <row r="401" spans="3:18">
      <c r="C401" t="s">
        <v>396</v>
      </c>
      <c r="D401" t="s">
        <v>1767</v>
      </c>
    </row>
    <row r="402" spans="3:18">
      <c r="D402" t="s">
        <v>1768</v>
      </c>
    </row>
    <row r="403" spans="3:18" ht="15" thickBot="1">
      <c r="D403" s="22" t="s">
        <v>1769</v>
      </c>
    </row>
    <row r="404" spans="3:18" ht="15" thickBot="1">
      <c r="D404" s="76" t="s">
        <v>1770</v>
      </c>
      <c r="E404" s="76" t="s">
        <v>1771</v>
      </c>
      <c r="F404" s="76" t="s">
        <v>1772</v>
      </c>
      <c r="G404" s="76" t="s">
        <v>703</v>
      </c>
      <c r="H404" s="531" t="s">
        <v>1773</v>
      </c>
      <c r="I404" s="531"/>
      <c r="J404" s="531"/>
      <c r="L404" s="22" t="s">
        <v>1774</v>
      </c>
    </row>
    <row r="405" spans="3:18" ht="28.2" thickBot="1">
      <c r="D405" s="78" t="s">
        <v>14</v>
      </c>
      <c r="E405" s="12" t="s">
        <v>1775</v>
      </c>
      <c r="F405" s="12" t="s">
        <v>1775</v>
      </c>
      <c r="G405" s="12" t="s">
        <v>1775</v>
      </c>
      <c r="H405" s="12" t="s">
        <v>588</v>
      </c>
      <c r="I405" s="12" t="s">
        <v>1776</v>
      </c>
      <c r="J405" t="s">
        <v>1777</v>
      </c>
      <c r="L405" s="531" t="s">
        <v>1778</v>
      </c>
      <c r="M405" s="531"/>
      <c r="N405" s="76" t="s">
        <v>1779</v>
      </c>
      <c r="O405" s="76" t="s">
        <v>1780</v>
      </c>
      <c r="P405" s="76" t="s">
        <v>1781</v>
      </c>
      <c r="Q405" s="76" t="s">
        <v>1782</v>
      </c>
      <c r="R405" s="76" t="s">
        <v>1783</v>
      </c>
    </row>
    <row r="406" spans="3:18" ht="15" thickBot="1">
      <c r="D406" s="74" t="s">
        <v>1784</v>
      </c>
      <c r="E406" s="74" t="s">
        <v>1785</v>
      </c>
      <c r="F406" s="74" t="s">
        <v>1786</v>
      </c>
      <c r="G406" s="74" t="s">
        <v>1787</v>
      </c>
      <c r="H406" s="74" t="s">
        <v>1788</v>
      </c>
      <c r="I406" s="74" t="s">
        <v>1789</v>
      </c>
      <c r="J406" t="s">
        <v>1790</v>
      </c>
      <c r="L406" s="12" t="s">
        <v>1791</v>
      </c>
      <c r="M406" s="12" t="s">
        <v>1792</v>
      </c>
      <c r="N406" s="12" t="s">
        <v>1784</v>
      </c>
      <c r="O406" s="12">
        <v>32.700000000000003</v>
      </c>
      <c r="P406" s="12">
        <v>224.1</v>
      </c>
      <c r="Q406" s="12">
        <v>54</v>
      </c>
      <c r="R406" s="13">
        <v>34.299999999999997</v>
      </c>
    </row>
    <row r="407" spans="3:18">
      <c r="D407" s="74" t="s">
        <v>1793</v>
      </c>
      <c r="E407" s="74" t="s">
        <v>1794</v>
      </c>
      <c r="F407" s="74" t="s">
        <v>1795</v>
      </c>
      <c r="G407" s="74" t="s">
        <v>1787</v>
      </c>
      <c r="H407" s="74" t="s">
        <v>1796</v>
      </c>
      <c r="I407" s="74" t="s">
        <v>1797</v>
      </c>
      <c r="J407" t="s">
        <v>1798</v>
      </c>
      <c r="L407" s="74" t="s">
        <v>1799</v>
      </c>
      <c r="M407" s="74" t="s">
        <v>1800</v>
      </c>
      <c r="N407" s="74" t="s">
        <v>1793</v>
      </c>
      <c r="O407" s="74">
        <v>13.1</v>
      </c>
      <c r="P407" s="74">
        <v>268.89999999999998</v>
      </c>
      <c r="Q407" s="74">
        <v>54</v>
      </c>
      <c r="R407" s="75">
        <v>57.3</v>
      </c>
    </row>
    <row r="408" spans="3:18">
      <c r="D408" s="74" t="s">
        <v>1801</v>
      </c>
      <c r="E408" s="74" t="s">
        <v>1802</v>
      </c>
      <c r="F408" s="74" t="s">
        <v>97</v>
      </c>
      <c r="G408" s="74" t="s">
        <v>96</v>
      </c>
      <c r="H408" s="74" t="s">
        <v>1803</v>
      </c>
      <c r="I408" s="74" t="s">
        <v>1804</v>
      </c>
      <c r="J408" s="229" t="s">
        <v>1805</v>
      </c>
      <c r="L408" s="74" t="s">
        <v>1806</v>
      </c>
      <c r="M408" s="74" t="s">
        <v>1807</v>
      </c>
      <c r="N408" s="74" t="s">
        <v>1808</v>
      </c>
      <c r="O408" s="74">
        <v>32.700000000000003</v>
      </c>
      <c r="P408" s="74">
        <v>173.5</v>
      </c>
      <c r="Q408" s="74">
        <v>54</v>
      </c>
      <c r="R408" s="75">
        <v>24.4</v>
      </c>
    </row>
    <row r="409" spans="3:18">
      <c r="D409" s="74" t="s">
        <v>1808</v>
      </c>
      <c r="E409" s="74" t="s">
        <v>1809</v>
      </c>
      <c r="F409" s="74" t="s">
        <v>1810</v>
      </c>
      <c r="G409" s="74" t="s">
        <v>1811</v>
      </c>
      <c r="H409" s="74" t="s">
        <v>1812</v>
      </c>
      <c r="I409" s="74" t="s">
        <v>1813</v>
      </c>
      <c r="J409" t="s">
        <v>1814</v>
      </c>
      <c r="L409" s="74" t="s">
        <v>1815</v>
      </c>
      <c r="M409" s="74" t="s">
        <v>1816</v>
      </c>
      <c r="N409" s="74" t="s">
        <v>1817</v>
      </c>
      <c r="O409" s="74">
        <v>13.1</v>
      </c>
      <c r="P409" s="74">
        <v>208.3</v>
      </c>
      <c r="Q409" s="74">
        <v>54</v>
      </c>
      <c r="R409" s="75">
        <v>33.6</v>
      </c>
    </row>
    <row r="410" spans="3:18">
      <c r="D410" s="74" t="s">
        <v>1817</v>
      </c>
      <c r="E410" s="74" t="s">
        <v>1818</v>
      </c>
      <c r="F410" s="74" t="s">
        <v>1810</v>
      </c>
      <c r="G410" s="74" t="s">
        <v>1819</v>
      </c>
      <c r="H410" s="74" t="s">
        <v>1820</v>
      </c>
      <c r="I410" s="74" t="s">
        <v>1821</v>
      </c>
      <c r="J410" t="s">
        <v>96</v>
      </c>
      <c r="L410" s="229" t="s">
        <v>1822</v>
      </c>
      <c r="M410" s="229" t="s">
        <v>1823</v>
      </c>
      <c r="N410" s="229" t="s">
        <v>1801</v>
      </c>
      <c r="O410" s="229">
        <v>0</v>
      </c>
      <c r="P410" s="229">
        <v>298.8</v>
      </c>
      <c r="Q410" s="229">
        <v>54</v>
      </c>
      <c r="R410" s="75">
        <v>100.2</v>
      </c>
    </row>
    <row r="411" spans="3:18">
      <c r="D411" s="74" t="s">
        <v>1824</v>
      </c>
      <c r="E411" s="74" t="s">
        <v>1825</v>
      </c>
      <c r="F411" s="74" t="s">
        <v>1826</v>
      </c>
      <c r="G411" s="74" t="s">
        <v>1827</v>
      </c>
      <c r="H411" s="74" t="s">
        <v>1828</v>
      </c>
      <c r="I411" s="74" t="s">
        <v>1829</v>
      </c>
      <c r="J411" t="s">
        <v>89</v>
      </c>
      <c r="L411" s="74" t="s">
        <v>1830</v>
      </c>
      <c r="M411" s="74" t="s">
        <v>1831</v>
      </c>
      <c r="N411" s="74" t="s">
        <v>1824</v>
      </c>
      <c r="O411" s="74">
        <v>0</v>
      </c>
      <c r="P411" s="74">
        <v>231.4</v>
      </c>
      <c r="Q411" s="74">
        <v>54</v>
      </c>
      <c r="R411" s="75">
        <v>44.7</v>
      </c>
    </row>
    <row r="412" spans="3:18" ht="15" thickBot="1">
      <c r="D412" s="78" t="s">
        <v>1832</v>
      </c>
      <c r="E412" s="78" t="s">
        <v>1833</v>
      </c>
      <c r="F412" s="78" t="s">
        <v>1834</v>
      </c>
      <c r="G412" s="78" t="s">
        <v>1835</v>
      </c>
      <c r="H412" s="78" t="s">
        <v>1836</v>
      </c>
      <c r="I412" s="78" t="s">
        <v>1837</v>
      </c>
      <c r="J412" t="s">
        <v>89</v>
      </c>
      <c r="L412" s="74" t="s">
        <v>1838</v>
      </c>
      <c r="M412" s="74" t="s">
        <v>1839</v>
      </c>
      <c r="N412" s="74" t="s">
        <v>1832</v>
      </c>
      <c r="O412" s="74">
        <v>130.80000000000001</v>
      </c>
      <c r="P412" s="74">
        <v>0</v>
      </c>
      <c r="Q412" s="74">
        <v>54</v>
      </c>
      <c r="R412" s="75">
        <v>10</v>
      </c>
    </row>
    <row r="413" spans="3:18" ht="15" thickBot="1">
      <c r="L413" s="78" t="s">
        <v>1840</v>
      </c>
      <c r="M413" s="78" t="s">
        <v>1841</v>
      </c>
      <c r="N413" s="78" t="s">
        <v>1842</v>
      </c>
      <c r="O413" s="78">
        <v>130.80000000000001</v>
      </c>
      <c r="P413" s="78">
        <v>0</v>
      </c>
      <c r="Q413" s="78">
        <v>0</v>
      </c>
      <c r="R413" s="79">
        <v>10</v>
      </c>
    </row>
    <row r="414" spans="3:18">
      <c r="D414" t="s">
        <v>1843</v>
      </c>
      <c r="E414">
        <v>0.4</v>
      </c>
    </row>
    <row r="415" spans="3:18">
      <c r="D415" s="74" t="s">
        <v>1844</v>
      </c>
      <c r="E415">
        <v>12.05</v>
      </c>
    </row>
    <row r="416" spans="3:18" ht="28.2" thickBot="1">
      <c r="D416" s="48" t="s">
        <v>1845</v>
      </c>
      <c r="E416" s="48">
        <f>E414*E415%</f>
        <v>4.8200000000000007E-2</v>
      </c>
      <c r="L416" s="137" t="s">
        <v>1846</v>
      </c>
    </row>
    <row r="417" spans="2:16" ht="15" thickBot="1">
      <c r="L417" s="228" t="s">
        <v>1847</v>
      </c>
      <c r="M417" s="18" t="s">
        <v>1848</v>
      </c>
      <c r="N417" s="18" t="s">
        <v>1839</v>
      </c>
      <c r="O417" s="18" t="s">
        <v>1823</v>
      </c>
      <c r="P417" s="18" t="s">
        <v>1831</v>
      </c>
    </row>
    <row r="418" spans="2:16" ht="28.8">
      <c r="L418" s="176" t="s">
        <v>1849</v>
      </c>
      <c r="M418" s="176" t="s">
        <v>1850</v>
      </c>
      <c r="N418" s="176" t="s">
        <v>1851</v>
      </c>
      <c r="O418" s="74" t="s">
        <v>1852</v>
      </c>
      <c r="P418" s="74" t="s">
        <v>1853</v>
      </c>
    </row>
    <row r="419" spans="2:16" ht="28.2" thickBot="1">
      <c r="L419" s="227" t="s">
        <v>1854</v>
      </c>
      <c r="M419" s="78" t="s">
        <v>1855</v>
      </c>
      <c r="N419" s="78" t="s">
        <v>1856</v>
      </c>
      <c r="O419" s="78" t="s">
        <v>1857</v>
      </c>
      <c r="P419" s="78" t="s">
        <v>1858</v>
      </c>
    </row>
    <row r="421" spans="2:16">
      <c r="L421" s="137" t="s">
        <v>1177</v>
      </c>
    </row>
    <row r="422" spans="2:16">
      <c r="L422" s="117" t="s">
        <v>1859</v>
      </c>
    </row>
    <row r="423" spans="2:16">
      <c r="L423" s="137" t="s">
        <v>1179</v>
      </c>
    </row>
    <row r="424" spans="2:16">
      <c r="L424" s="237" t="s">
        <v>1860</v>
      </c>
    </row>
    <row r="425" spans="2:16">
      <c r="L425" s="137" t="s">
        <v>1861</v>
      </c>
    </row>
    <row r="426" spans="2:16">
      <c r="L426" s="117" t="s">
        <v>1862</v>
      </c>
    </row>
    <row r="429" spans="2:16">
      <c r="B429" t="s">
        <v>1863</v>
      </c>
      <c r="C429" t="s">
        <v>197</v>
      </c>
      <c r="D429" t="s">
        <v>1864</v>
      </c>
    </row>
    <row r="430" spans="2:16">
      <c r="D430" t="s">
        <v>1865</v>
      </c>
    </row>
    <row r="431" spans="2:16" ht="17.399999999999999">
      <c r="D431" s="67" t="s">
        <v>1866</v>
      </c>
    </row>
    <row r="432" spans="2:16">
      <c r="D432" s="48" t="s">
        <v>1867</v>
      </c>
      <c r="E432" s="48">
        <v>35.5</v>
      </c>
      <c r="F432" t="s">
        <v>1868</v>
      </c>
    </row>
    <row r="433" spans="3:5">
      <c r="D433" s="48" t="s">
        <v>1869</v>
      </c>
      <c r="E433" s="48">
        <v>9.9700000000000006</v>
      </c>
    </row>
    <row r="434" spans="3:5">
      <c r="D434" s="48" t="s">
        <v>1870</v>
      </c>
      <c r="E434" s="48">
        <f>E432%*(100-E433)%</f>
        <v>0.31960649999999996</v>
      </c>
    </row>
    <row r="437" spans="3:5">
      <c r="C437" t="s">
        <v>1871</v>
      </c>
      <c r="D437" s="7" t="s">
        <v>1872</v>
      </c>
    </row>
    <row r="438" spans="3:5">
      <c r="D438" t="s">
        <v>1873</v>
      </c>
    </row>
    <row r="439" spans="3:5" ht="15.6">
      <c r="D439" s="121" t="s">
        <v>1874</v>
      </c>
    </row>
    <row r="440" spans="3:5">
      <c r="D440" s="48" t="s">
        <v>1867</v>
      </c>
      <c r="E440" s="48">
        <v>46.5</v>
      </c>
    </row>
    <row r="441" spans="3:5">
      <c r="D441" s="48" t="s">
        <v>1869</v>
      </c>
      <c r="E441" s="48">
        <v>9.9700000000000006</v>
      </c>
    </row>
    <row r="442" spans="3:5">
      <c r="D442" s="48" t="s">
        <v>1870</v>
      </c>
      <c r="E442" s="48">
        <f>E440%*(100-E441)%</f>
        <v>0.4186395</v>
      </c>
    </row>
    <row r="445" spans="3:5">
      <c r="C445" t="s">
        <v>396</v>
      </c>
      <c r="D445" t="s">
        <v>1875</v>
      </c>
    </row>
    <row r="446" spans="3:5">
      <c r="D446" t="s">
        <v>1876</v>
      </c>
    </row>
    <row r="447" spans="3:5">
      <c r="D447" t="s">
        <v>1877</v>
      </c>
    </row>
    <row r="448" spans="3:5">
      <c r="D448" s="48" t="s">
        <v>1867</v>
      </c>
      <c r="E448" s="48">
        <v>36.6</v>
      </c>
    </row>
    <row r="449" spans="1:5">
      <c r="D449" s="48" t="s">
        <v>1869</v>
      </c>
      <c r="E449" s="48">
        <v>9.9700000000000006</v>
      </c>
    </row>
    <row r="450" spans="1:5">
      <c r="D450" s="48" t="s">
        <v>1870</v>
      </c>
      <c r="E450" s="48">
        <f>E448%*(100-E449)%</f>
        <v>0.32950979999999996</v>
      </c>
    </row>
    <row r="452" spans="1:5">
      <c r="A452" t="s">
        <v>1186</v>
      </c>
      <c r="B452" t="s">
        <v>1878</v>
      </c>
      <c r="C452" t="s">
        <v>638</v>
      </c>
      <c r="D452" t="s">
        <v>1187</v>
      </c>
    </row>
    <row r="453" spans="1:5">
      <c r="D453" t="s">
        <v>1188</v>
      </c>
    </row>
    <row r="454" spans="1:5">
      <c r="D454" t="s">
        <v>1194</v>
      </c>
      <c r="E454">
        <v>95.2</v>
      </c>
    </row>
    <row r="455" spans="1:5">
      <c r="D455" t="s">
        <v>1193</v>
      </c>
      <c r="E455">
        <v>0.96257777777777775</v>
      </c>
    </row>
    <row r="456" spans="1:5">
      <c r="D456" s="48" t="s">
        <v>1879</v>
      </c>
      <c r="E456" s="48">
        <v>13.943882350877193</v>
      </c>
    </row>
    <row r="457" spans="1:5">
      <c r="D457" s="48" t="s">
        <v>1752</v>
      </c>
      <c r="E457" s="48">
        <f>E455*E456%</f>
        <v>0.13422071286902143</v>
      </c>
    </row>
    <row r="459" spans="1:5">
      <c r="B459" t="s">
        <v>1880</v>
      </c>
      <c r="C459" t="s">
        <v>638</v>
      </c>
      <c r="D459" t="s">
        <v>1187</v>
      </c>
    </row>
    <row r="460" spans="1:5">
      <c r="D460" t="s">
        <v>1188</v>
      </c>
    </row>
    <row r="461" spans="1:5">
      <c r="D461" t="s">
        <v>1194</v>
      </c>
      <c r="E461">
        <v>95.2</v>
      </c>
    </row>
    <row r="462" spans="1:5">
      <c r="D462" t="s">
        <v>1193</v>
      </c>
      <c r="E462">
        <v>0.96257777777777775</v>
      </c>
    </row>
    <row r="463" spans="1:5">
      <c r="D463" s="48" t="s">
        <v>1881</v>
      </c>
      <c r="E463" s="48">
        <v>57.14</v>
      </c>
    </row>
    <row r="464" spans="1:5">
      <c r="D464" s="48" t="s">
        <v>1882</v>
      </c>
      <c r="E464" s="48">
        <f>E462*E463%</f>
        <v>0.55001694222222219</v>
      </c>
    </row>
    <row r="466" spans="1:5">
      <c r="A466" t="s">
        <v>1201</v>
      </c>
      <c r="B466" t="s">
        <v>1878</v>
      </c>
      <c r="C466" t="s">
        <v>638</v>
      </c>
      <c r="D466" t="s">
        <v>1202</v>
      </c>
    </row>
    <row r="467" spans="1:5">
      <c r="D467" t="s">
        <v>1203</v>
      </c>
    </row>
    <row r="468" spans="1:5">
      <c r="D468" t="s">
        <v>1205</v>
      </c>
      <c r="E468">
        <v>0.48590909090909096</v>
      </c>
    </row>
    <row r="469" spans="1:5">
      <c r="D469" s="48" t="s">
        <v>1883</v>
      </c>
      <c r="E469" s="48">
        <v>2.5425E-2</v>
      </c>
    </row>
    <row r="470" spans="1:5">
      <c r="D470" s="48" t="s">
        <v>1884</v>
      </c>
      <c r="E470" s="48">
        <f>E468*E469%</f>
        <v>1.2354238636363637E-4</v>
      </c>
    </row>
    <row r="473" spans="1:5">
      <c r="A473" t="s">
        <v>1201</v>
      </c>
      <c r="B473" t="s">
        <v>1880</v>
      </c>
      <c r="C473" t="s">
        <v>638</v>
      </c>
      <c r="D473" t="s">
        <v>1202</v>
      </c>
    </row>
    <row r="474" spans="1:5">
      <c r="D474" t="s">
        <v>1203</v>
      </c>
    </row>
    <row r="475" spans="1:5">
      <c r="D475" t="s">
        <v>1205</v>
      </c>
      <c r="E475">
        <v>0.48590909090909096</v>
      </c>
    </row>
    <row r="476" spans="1:5">
      <c r="D476" s="48" t="s">
        <v>1885</v>
      </c>
      <c r="E476" s="48">
        <v>10.250999999999999</v>
      </c>
    </row>
    <row r="477" spans="1:5">
      <c r="D477" s="48" t="s">
        <v>1886</v>
      </c>
      <c r="E477" s="48">
        <f>E475*E476%</f>
        <v>4.9810540909090907E-2</v>
      </c>
    </row>
  </sheetData>
  <mergeCells count="31">
    <mergeCell ref="V164:W164"/>
    <mergeCell ref="D202:G202"/>
    <mergeCell ref="J202:K202"/>
    <mergeCell ref="L202:M202"/>
    <mergeCell ref="N202:O202"/>
    <mergeCell ref="D166:G166"/>
    <mergeCell ref="L164:L165"/>
    <mergeCell ref="K164:K165"/>
    <mergeCell ref="R164:S164"/>
    <mergeCell ref="T164:U164"/>
    <mergeCell ref="N164:Q164"/>
    <mergeCell ref="D164:G164"/>
    <mergeCell ref="H164:H165"/>
    <mergeCell ref="I164:I165"/>
    <mergeCell ref="J164:J165"/>
    <mergeCell ref="H404:J404"/>
    <mergeCell ref="L405:M405"/>
    <mergeCell ref="D18:G18"/>
    <mergeCell ref="D6:D7"/>
    <mergeCell ref="E6:G6"/>
    <mergeCell ref="D8:G8"/>
    <mergeCell ref="D10:G10"/>
    <mergeCell ref="D14:G14"/>
    <mergeCell ref="D118:E118"/>
    <mergeCell ref="D119:D127"/>
    <mergeCell ref="E120:E127"/>
    <mergeCell ref="F122:F126"/>
    <mergeCell ref="D128:D136"/>
    <mergeCell ref="E129:E136"/>
    <mergeCell ref="F131:F135"/>
    <mergeCell ref="D234:D236"/>
  </mergeCells>
  <phoneticPr fontId="77" type="noConversion"/>
  <hyperlinks>
    <hyperlink ref="D5" r:id="rId1" display="https://link.springer.com/article/10.1007/s12155-023-10627-1" xr:uid="{C2B717FC-3A49-4D3C-8600-E73C76153F40}"/>
    <hyperlink ref="D31" r:id="rId2" display="https://link.springer.com/article/10.1007/s12010-009-8781-y" xr:uid="{2B85EDF2-2BD3-4231-B87E-7568589F61F8}"/>
    <hyperlink ref="D117" r:id="rId3" tooltip="Learn more about Kinetic parameters from ScienceDirect's AI-generated Topic Pages" display="https://www.sciencedirect.com/topics/engineering/kinetic-parameter" xr:uid="{2C341AD6-7092-48C2-A35D-7B460601DAAD}"/>
    <hyperlink ref="J164" r:id="rId4" location="tbl4fna" display="https://www.sciencedirect.com/science/article/pii/S0360544221027183?via%3Dihub - tbl4fna" xr:uid="{E5708B97-77B8-434C-BC7D-B4DCDE6665AF}"/>
    <hyperlink ref="D161" r:id="rId5" location="tbl4" xr:uid="{C3420F66-2BE1-4E0C-9A39-D06F58D2E530}"/>
    <hyperlink ref="R164" r:id="rId6" location="tbl5fna" display="https://www.sciencedirect.com/science/article/pii/S0360544221027183?via%3Dihub - tbl5fna" xr:uid="{8C56EEDE-BE36-4BAE-8360-CE03CCF6E779}"/>
    <hyperlink ref="T164" r:id="rId7" location="tbl5fna" display="https://www.sciencedirect.com/science/article/pii/S0360544221027183?via%3Dihub - tbl5fna" xr:uid="{84C0C9B5-8EC1-47F0-9A38-C75C56FF51C1}"/>
    <hyperlink ref="V164" r:id="rId8" location="tbl5fna" display="https://www.sciencedirect.com/science/article/pii/S0360544221027183?via%3Dihub - tbl5fna" xr:uid="{FFF0CEF0-ACB3-4D94-AEDE-6F4A8DAB3288}"/>
    <hyperlink ref="F361" r:id="rId9" location="tblfn4a" display="https://www.sciencedirect.com/science/article/pii/S0023643806000326?via%3Dihub - tblfn4a" xr:uid="{6AB799F5-71A6-4709-A704-199097A9DA78}"/>
    <hyperlink ref="G361" r:id="rId10" location="tblfn4a" display="https://www.sciencedirect.com/science/article/pii/S0023643806000326?via%3Dihub - tblfn4a" xr:uid="{FA363951-3BF3-41C5-92EC-CA839267D491}"/>
    <hyperlink ref="H361" r:id="rId11" location="tblfn4a" display="https://www.sciencedirect.com/science/article/pii/S0023643806000326?via%3Dihub - tblfn4a" xr:uid="{5C453174-3753-4F50-88D6-FA455155766B}"/>
    <hyperlink ref="J361" r:id="rId12" location="tblfn4a" display="https://www.sciencedirect.com/science/article/pii/S0023643806000326?via%3Dihub - tblfn4a" xr:uid="{6245B840-9BB2-4F31-9973-9431ACA850C1}"/>
    <hyperlink ref="K361" r:id="rId13" location="tblfn4a" display="https://www.sciencedirect.com/science/article/pii/S0023643806000326?via%3Dihub - tblfn4a" xr:uid="{4D544C45-2965-4087-A2D4-9755A343FFA2}"/>
    <hyperlink ref="L361" r:id="rId14" location="tblfn4a" display="https://www.sciencedirect.com/science/article/pii/S0023643806000326?via%3Dihub - tblfn4a" xr:uid="{D0C1F2F3-4574-41C1-87AA-4E549D477F7B}"/>
    <hyperlink ref="L417" r:id="rId15" location="tblfn6" display="https://www.sciencedirect.com/science/article/pii/S096085242031511X?via%3Dihub - tblfn6" xr:uid="{DDFAD948-EA0B-463E-B5D4-3D948B0C93E7}"/>
    <hyperlink ref="L418" r:id="rId16" location="tblfn1" display="https://www.sciencedirect.com/science/article/pii/S096085242031511X?via%3Dihub - tblfn1" xr:uid="{EC1F94B2-BEF1-4B89-9193-B3D51455A790}"/>
    <hyperlink ref="M418" r:id="rId17" location="tblfn3" display="https://www.sciencedirect.com/science/article/pii/S096085242031511X?via%3Dihub - tblfn3" xr:uid="{FD5BD251-45D8-4211-B092-5F1CF59F129D}"/>
    <hyperlink ref="N418" r:id="rId18" location="tblfn4" display="https://www.sciencedirect.com/science/article/pii/S096085242031511X?via%3Dihub - tblfn4" xr:uid="{EEB11274-C6FC-48A3-B57B-F757AD6356CE}"/>
    <hyperlink ref="L419" r:id="rId19" location="tblfn2" display="https://www.sciencedirect.com/science/article/pii/S096085242031511X?via%3Dihub - tblfn2" xr:uid="{726EA83D-EA3D-45E5-B5C5-2088A7679641}"/>
    <hyperlink ref="D437" r:id="rId20" xr:uid="{2EDB1BBD-FEBF-458C-839C-26B3A3B0D395}"/>
  </hyperlinks>
  <pageMargins left="0.7" right="0.7" top="0.75" bottom="0.75" header="0.3" footer="0.3"/>
  <pageSetup paperSize="9" orientation="portrait" r:id="rId21"/>
  <drawing r:id="rId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CBFAB-FD5F-47C2-AAF9-044B1E1D6B8B}">
  <dimension ref="A2:CY479"/>
  <sheetViews>
    <sheetView topLeftCell="C115" zoomScaleNormal="100" workbookViewId="0">
      <selection activeCell="E131" sqref="E131"/>
    </sheetView>
  </sheetViews>
  <sheetFormatPr defaultRowHeight="14.4"/>
  <cols>
    <col min="1" max="1" width="14.6640625" customWidth="1"/>
    <col min="2" max="2" width="17.109375" customWidth="1"/>
    <col min="3" max="3" width="26.33203125" customWidth="1"/>
    <col min="4" max="4" width="34.109375" customWidth="1"/>
    <col min="5" max="5" width="22" customWidth="1"/>
    <col min="6" max="6" width="22.33203125" customWidth="1"/>
    <col min="7" max="7" width="16.5546875" customWidth="1"/>
    <col min="8" max="8" width="10.6640625" customWidth="1"/>
    <col min="9" max="9" width="11.6640625" customWidth="1"/>
    <col min="11" max="13" width="9.5546875" bestFit="1" customWidth="1"/>
  </cols>
  <sheetData>
    <row r="2" spans="1:103">
      <c r="A2" t="s">
        <v>2</v>
      </c>
      <c r="B2" t="s">
        <v>1887</v>
      </c>
      <c r="C2" t="s">
        <v>444</v>
      </c>
      <c r="D2" t="s">
        <v>1888</v>
      </c>
    </row>
    <row r="3" spans="1:103">
      <c r="A3" t="s">
        <v>2</v>
      </c>
      <c r="D3" t="s">
        <v>1889</v>
      </c>
    </row>
    <row r="4" spans="1:103">
      <c r="A4" t="s">
        <v>2</v>
      </c>
      <c r="D4" t="s">
        <v>1890</v>
      </c>
    </row>
    <row r="5" spans="1:103" ht="37.200000000000003" customHeight="1" thickBot="1">
      <c r="A5" t="s">
        <v>2</v>
      </c>
      <c r="D5" s="123" t="s">
        <v>1135</v>
      </c>
      <c r="E5" s="123" t="s">
        <v>1891</v>
      </c>
      <c r="F5" s="125" t="s">
        <v>1892</v>
      </c>
      <c r="G5" s="123" t="s">
        <v>1893</v>
      </c>
      <c r="H5" s="123" t="s">
        <v>1894</v>
      </c>
      <c r="I5" s="123" t="s">
        <v>1895</v>
      </c>
    </row>
    <row r="6" spans="1:103">
      <c r="A6" t="s">
        <v>2</v>
      </c>
      <c r="D6" s="124">
        <v>1</v>
      </c>
      <c r="E6" s="124" t="s">
        <v>1896</v>
      </c>
      <c r="F6" s="124" t="s">
        <v>1897</v>
      </c>
      <c r="G6" s="124" t="s">
        <v>1898</v>
      </c>
      <c r="H6" s="124" t="s">
        <v>1899</v>
      </c>
      <c r="I6" s="124">
        <v>24</v>
      </c>
      <c r="J6" s="48">
        <v>4.7</v>
      </c>
    </row>
    <row r="7" spans="1:103">
      <c r="A7" t="s">
        <v>2</v>
      </c>
      <c r="D7" s="124">
        <v>2</v>
      </c>
      <c r="E7" s="124" t="s">
        <v>1900</v>
      </c>
      <c r="F7" s="124" t="s">
        <v>1901</v>
      </c>
      <c r="G7" s="124" t="s">
        <v>1902</v>
      </c>
      <c r="H7" s="124" t="s">
        <v>1903</v>
      </c>
      <c r="I7" s="124">
        <v>12</v>
      </c>
      <c r="J7" s="48">
        <v>4.8</v>
      </c>
    </row>
    <row r="8" spans="1:103">
      <c r="A8" t="s">
        <v>2</v>
      </c>
      <c r="D8" s="124">
        <v>3</v>
      </c>
      <c r="E8" s="124" t="s">
        <v>1904</v>
      </c>
      <c r="F8" s="124" t="s">
        <v>1905</v>
      </c>
      <c r="G8" s="124" t="s">
        <v>1906</v>
      </c>
      <c r="H8" s="124" t="s">
        <v>1907</v>
      </c>
      <c r="I8" s="124">
        <v>24</v>
      </c>
      <c r="J8" s="48">
        <v>4.3</v>
      </c>
    </row>
    <row r="9" spans="1:103">
      <c r="A9" t="s">
        <v>2</v>
      </c>
      <c r="D9" s="124" t="s">
        <v>1908</v>
      </c>
      <c r="E9" s="124" t="s">
        <v>1909</v>
      </c>
      <c r="F9" s="124" t="s">
        <v>1910</v>
      </c>
      <c r="G9" s="124" t="s">
        <v>1911</v>
      </c>
      <c r="H9" s="124" t="s">
        <v>1912</v>
      </c>
      <c r="I9" s="124">
        <v>6</v>
      </c>
      <c r="J9" s="48">
        <v>4.9000000000000004</v>
      </c>
    </row>
    <row r="10" spans="1:103">
      <c r="A10" t="s">
        <v>2</v>
      </c>
      <c r="D10" s="124" t="s">
        <v>1913</v>
      </c>
      <c r="E10" s="124" t="s">
        <v>1914</v>
      </c>
      <c r="F10" s="124" t="s">
        <v>1915</v>
      </c>
      <c r="G10" s="124" t="s">
        <v>1916</v>
      </c>
      <c r="H10" s="124" t="s">
        <v>1917</v>
      </c>
      <c r="I10" s="124">
        <v>6</v>
      </c>
      <c r="J10" s="48">
        <v>5.4</v>
      </c>
    </row>
    <row r="11" spans="1:103">
      <c r="A11" t="s">
        <v>2</v>
      </c>
      <c r="D11" s="124" t="s">
        <v>1918</v>
      </c>
      <c r="E11" s="124" t="s">
        <v>1919</v>
      </c>
      <c r="F11" s="124" t="s">
        <v>1920</v>
      </c>
      <c r="G11" s="124" t="s">
        <v>1921</v>
      </c>
      <c r="H11" s="124" t="s">
        <v>1922</v>
      </c>
      <c r="I11" s="124">
        <v>12</v>
      </c>
      <c r="J11" s="48">
        <v>3.7</v>
      </c>
    </row>
    <row r="12" spans="1:103" ht="15" thickBot="1">
      <c r="A12" t="s">
        <v>2</v>
      </c>
      <c r="D12" s="579" t="s">
        <v>1923</v>
      </c>
      <c r="E12" s="579"/>
      <c r="F12" s="579"/>
      <c r="G12" s="579"/>
      <c r="H12" s="579"/>
      <c r="I12" s="579"/>
      <c r="J12" s="579"/>
      <c r="K12" s="579"/>
      <c r="L12" s="579"/>
      <c r="M12" s="579"/>
      <c r="N12" s="579"/>
      <c r="O12" s="579"/>
      <c r="P12" s="579"/>
      <c r="Q12" s="579"/>
      <c r="R12" s="579"/>
      <c r="S12" s="579"/>
      <c r="T12" s="579"/>
      <c r="U12" s="579"/>
      <c r="V12" s="579"/>
      <c r="W12" s="579"/>
      <c r="X12" s="579"/>
      <c r="Y12" s="579"/>
      <c r="Z12" s="579"/>
      <c r="AA12" s="579"/>
      <c r="AB12" s="579"/>
      <c r="AC12" s="579"/>
      <c r="AD12" s="579"/>
      <c r="AE12" s="579"/>
      <c r="AF12" s="579"/>
      <c r="AG12" s="579"/>
      <c r="AH12" s="579"/>
      <c r="AI12" s="579"/>
      <c r="AJ12" s="579"/>
      <c r="AK12" s="579"/>
      <c r="AL12" s="579"/>
      <c r="AM12" s="579"/>
      <c r="AN12" s="579"/>
      <c r="AO12" s="579"/>
      <c r="AP12" s="579"/>
      <c r="AQ12" s="579"/>
      <c r="AR12" s="579"/>
      <c r="AS12" s="579"/>
      <c r="AT12" s="579"/>
      <c r="AU12" s="579"/>
      <c r="AV12" s="579"/>
      <c r="AW12" s="579"/>
      <c r="AX12" s="579"/>
      <c r="AY12" s="579"/>
      <c r="AZ12" s="579"/>
      <c r="BA12" s="579"/>
      <c r="BB12" s="579"/>
      <c r="BC12" s="579"/>
      <c r="BD12" s="579"/>
      <c r="BE12" s="579"/>
      <c r="BF12" s="579"/>
      <c r="BG12" s="579"/>
      <c r="BH12" s="579"/>
      <c r="BI12" s="579"/>
      <c r="BJ12" s="579"/>
      <c r="BK12" s="579"/>
      <c r="BL12" s="579"/>
      <c r="BM12" s="579"/>
      <c r="BN12" s="579"/>
      <c r="BO12" s="579"/>
      <c r="BP12" s="579"/>
      <c r="BQ12" s="579"/>
      <c r="BR12" s="579"/>
      <c r="BS12" s="579"/>
      <c r="BT12" s="579"/>
      <c r="BU12" s="579"/>
      <c r="BV12" s="579"/>
      <c r="BW12" s="579"/>
      <c r="BX12" s="579"/>
      <c r="BY12" s="579"/>
      <c r="BZ12" s="579"/>
      <c r="CA12" s="579"/>
      <c r="CB12" s="579"/>
      <c r="CC12" s="579"/>
      <c r="CD12" s="579"/>
      <c r="CE12" s="579"/>
      <c r="CF12" s="579"/>
      <c r="CG12" s="579"/>
      <c r="CH12" s="579"/>
      <c r="CI12" s="579"/>
      <c r="CJ12" s="579"/>
      <c r="CK12" s="579"/>
      <c r="CL12" s="579"/>
      <c r="CM12" s="579"/>
      <c r="CN12" s="579"/>
      <c r="CO12" s="579"/>
      <c r="CP12" s="579"/>
      <c r="CQ12" s="579"/>
      <c r="CR12" s="579"/>
      <c r="CS12" s="579"/>
      <c r="CT12" s="579"/>
      <c r="CU12" s="579"/>
      <c r="CV12" s="579"/>
      <c r="CW12" s="579"/>
      <c r="CX12" s="579"/>
      <c r="CY12" s="579"/>
    </row>
    <row r="13" spans="1:103">
      <c r="A13" t="s">
        <v>2</v>
      </c>
      <c r="D13" s="126" t="s">
        <v>510</v>
      </c>
      <c r="E13" s="48"/>
      <c r="F13" s="48"/>
      <c r="G13" s="48"/>
      <c r="H13" s="48"/>
      <c r="I13" s="48"/>
      <c r="J13" s="48">
        <f>AVERAGE(J6:J11)</f>
        <v>4.6333333333333337</v>
      </c>
    </row>
    <row r="14" spans="1:103">
      <c r="A14" t="s">
        <v>2</v>
      </c>
      <c r="D14" s="127" t="s">
        <v>1924</v>
      </c>
      <c r="E14" s="48"/>
      <c r="F14" s="48"/>
      <c r="G14" s="48"/>
      <c r="H14" s="48"/>
      <c r="I14" s="48"/>
      <c r="J14" s="48">
        <f>J13*0.01</f>
        <v>4.6333333333333337E-2</v>
      </c>
    </row>
    <row r="15" spans="1:103">
      <c r="A15" t="s">
        <v>2</v>
      </c>
    </row>
    <row r="16" spans="1:103">
      <c r="A16" t="s">
        <v>2</v>
      </c>
    </row>
    <row r="17" spans="1:4">
      <c r="A17" t="s">
        <v>2</v>
      </c>
      <c r="C17" t="s">
        <v>226</v>
      </c>
      <c r="D17" t="s">
        <v>1925</v>
      </c>
    </row>
    <row r="18" spans="1:4">
      <c r="A18" t="s">
        <v>2</v>
      </c>
      <c r="D18" t="s">
        <v>1926</v>
      </c>
    </row>
    <row r="19" spans="1:4">
      <c r="A19" t="s">
        <v>2</v>
      </c>
      <c r="D19" t="s">
        <v>1927</v>
      </c>
    </row>
    <row r="20" spans="1:4">
      <c r="A20" t="s">
        <v>2</v>
      </c>
    </row>
    <row r="21" spans="1:4">
      <c r="A21" t="s">
        <v>2</v>
      </c>
    </row>
    <row r="22" spans="1:4">
      <c r="A22" t="s">
        <v>2</v>
      </c>
    </row>
    <row r="23" spans="1:4">
      <c r="A23" t="s">
        <v>2</v>
      </c>
    </row>
    <row r="24" spans="1:4">
      <c r="A24" t="s">
        <v>2</v>
      </c>
    </row>
    <row r="25" spans="1:4">
      <c r="A25" t="s">
        <v>2</v>
      </c>
    </row>
    <row r="26" spans="1:4">
      <c r="A26" t="s">
        <v>2</v>
      </c>
    </row>
    <row r="27" spans="1:4">
      <c r="A27" t="s">
        <v>2</v>
      </c>
    </row>
    <row r="28" spans="1:4">
      <c r="A28" t="s">
        <v>2</v>
      </c>
    </row>
    <row r="29" spans="1:4">
      <c r="A29" t="s">
        <v>2</v>
      </c>
    </row>
    <row r="30" spans="1:4">
      <c r="A30" t="s">
        <v>2</v>
      </c>
    </row>
    <row r="31" spans="1:4">
      <c r="A31" t="s">
        <v>2</v>
      </c>
    </row>
    <row r="32" spans="1:4">
      <c r="A32" t="s">
        <v>2</v>
      </c>
    </row>
    <row r="33" spans="1:7">
      <c r="A33" t="s">
        <v>2</v>
      </c>
    </row>
    <row r="34" spans="1:7">
      <c r="A34" t="s">
        <v>2</v>
      </c>
      <c r="F34" s="48"/>
      <c r="G34" s="48" t="s">
        <v>1887</v>
      </c>
    </row>
    <row r="35" spans="1:7">
      <c r="A35" t="s">
        <v>2</v>
      </c>
      <c r="F35" s="48"/>
      <c r="G35" s="48" t="s">
        <v>1928</v>
      </c>
    </row>
    <row r="36" spans="1:7">
      <c r="A36" t="s">
        <v>2</v>
      </c>
      <c r="F36" s="48"/>
      <c r="G36" s="51">
        <v>1.03</v>
      </c>
    </row>
    <row r="37" spans="1:7">
      <c r="A37" t="s">
        <v>2</v>
      </c>
      <c r="F37" s="48"/>
      <c r="G37" s="51">
        <v>0.57999999999999996</v>
      </c>
    </row>
    <row r="38" spans="1:7">
      <c r="A38" t="s">
        <v>2</v>
      </c>
      <c r="F38" s="48"/>
      <c r="G38" s="51">
        <v>1.4</v>
      </c>
    </row>
    <row r="39" spans="1:7">
      <c r="A39" t="s">
        <v>2</v>
      </c>
      <c r="F39" s="48"/>
      <c r="G39" s="51">
        <v>0.73</v>
      </c>
    </row>
    <row r="40" spans="1:7">
      <c r="A40" t="s">
        <v>2</v>
      </c>
      <c r="F40" s="48"/>
      <c r="G40" s="51">
        <v>0.6</v>
      </c>
    </row>
    <row r="41" spans="1:7">
      <c r="A41" t="s">
        <v>2</v>
      </c>
      <c r="F41" s="48"/>
      <c r="G41" s="51">
        <v>0.64</v>
      </c>
    </row>
    <row r="42" spans="1:7">
      <c r="A42" t="s">
        <v>2</v>
      </c>
      <c r="F42" s="48" t="s">
        <v>1929</v>
      </c>
      <c r="G42" s="51">
        <f>AVERAGE(G36:G41)</f>
        <v>0.83</v>
      </c>
    </row>
    <row r="43" spans="1:7">
      <c r="A43" t="s">
        <v>2</v>
      </c>
      <c r="F43" s="48" t="s">
        <v>1930</v>
      </c>
      <c r="G43" s="51">
        <v>0.116405263157895</v>
      </c>
    </row>
    <row r="44" spans="1:7">
      <c r="A44" t="s">
        <v>2</v>
      </c>
      <c r="F44" s="48" t="s">
        <v>1931</v>
      </c>
      <c r="G44" s="51">
        <f>G42*G43</f>
        <v>9.661636842105284E-2</v>
      </c>
    </row>
    <row r="45" spans="1:7">
      <c r="A45" t="s">
        <v>2</v>
      </c>
    </row>
    <row r="46" spans="1:7">
      <c r="A46" t="s">
        <v>2</v>
      </c>
    </row>
    <row r="47" spans="1:7">
      <c r="A47" t="s">
        <v>2</v>
      </c>
      <c r="C47" t="s">
        <v>396</v>
      </c>
      <c r="D47" t="s">
        <v>1932</v>
      </c>
    </row>
    <row r="48" spans="1:7">
      <c r="A48" t="s">
        <v>2</v>
      </c>
      <c r="D48" t="s">
        <v>1933</v>
      </c>
    </row>
    <row r="49" spans="1:12">
      <c r="A49" t="s">
        <v>2</v>
      </c>
      <c r="D49" t="s">
        <v>1934</v>
      </c>
    </row>
    <row r="50" spans="1:12">
      <c r="A50" t="s">
        <v>2</v>
      </c>
    </row>
    <row r="51" spans="1:12">
      <c r="A51" t="s">
        <v>2</v>
      </c>
    </row>
    <row r="52" spans="1:12">
      <c r="A52" t="s">
        <v>2</v>
      </c>
    </row>
    <row r="53" spans="1:12">
      <c r="A53" t="s">
        <v>2</v>
      </c>
    </row>
    <row r="54" spans="1:12">
      <c r="A54" t="s">
        <v>2</v>
      </c>
    </row>
    <row r="55" spans="1:12">
      <c r="A55" t="s">
        <v>2</v>
      </c>
    </row>
    <row r="56" spans="1:12">
      <c r="A56" t="s">
        <v>2</v>
      </c>
    </row>
    <row r="57" spans="1:12">
      <c r="A57" t="s">
        <v>2</v>
      </c>
    </row>
    <row r="58" spans="1:12">
      <c r="A58" t="s">
        <v>2</v>
      </c>
    </row>
    <row r="59" spans="1:12">
      <c r="A59" t="s">
        <v>2</v>
      </c>
    </row>
    <row r="60" spans="1:12">
      <c r="A60" t="s">
        <v>2</v>
      </c>
    </row>
    <row r="61" spans="1:12">
      <c r="A61" t="s">
        <v>2</v>
      </c>
      <c r="E61" s="48" t="s">
        <v>1935</v>
      </c>
      <c r="F61" s="48"/>
      <c r="G61" s="48">
        <v>0.45</v>
      </c>
      <c r="H61" s="48">
        <v>0.31</v>
      </c>
      <c r="I61" s="48">
        <v>0.35</v>
      </c>
      <c r="J61" s="48">
        <v>0.35</v>
      </c>
      <c r="K61" s="48">
        <v>0.37</v>
      </c>
      <c r="L61" s="48">
        <v>0.35</v>
      </c>
    </row>
    <row r="62" spans="1:12">
      <c r="A62" t="s">
        <v>2</v>
      </c>
      <c r="E62" s="48" t="s">
        <v>510</v>
      </c>
      <c r="F62" s="48"/>
      <c r="G62" s="48">
        <f>AVERAGE(G61:L61)</f>
        <v>0.36333333333333334</v>
      </c>
      <c r="H62" s="48"/>
      <c r="I62" s="48"/>
      <c r="J62" s="48"/>
      <c r="K62" s="48"/>
      <c r="L62" s="48"/>
    </row>
    <row r="63" spans="1:12">
      <c r="A63" t="s">
        <v>2</v>
      </c>
      <c r="E63" s="48" t="s">
        <v>1936</v>
      </c>
      <c r="F63" s="48"/>
      <c r="G63" s="48">
        <f>G62/4.2</f>
        <v>8.6507936507936506E-2</v>
      </c>
      <c r="H63" s="48"/>
      <c r="I63" s="48"/>
      <c r="J63" s="48"/>
      <c r="K63" s="48"/>
      <c r="L63" s="48"/>
    </row>
    <row r="64" spans="1:12">
      <c r="A64" t="s">
        <v>2</v>
      </c>
      <c r="E64" s="48" t="s">
        <v>1937</v>
      </c>
      <c r="F64" s="48"/>
      <c r="G64" s="60">
        <v>0.77669999999999995</v>
      </c>
      <c r="H64" s="48"/>
      <c r="I64" s="48"/>
      <c r="J64" s="48"/>
      <c r="K64" s="48"/>
      <c r="L64" s="48"/>
    </row>
    <row r="65" spans="1:12">
      <c r="A65" t="s">
        <v>2</v>
      </c>
      <c r="E65" s="48" t="s">
        <v>1938</v>
      </c>
      <c r="F65" s="48"/>
      <c r="G65" s="48">
        <f>G63*(1-G64)</f>
        <v>1.9317222222222225E-2</v>
      </c>
      <c r="H65" s="48"/>
      <c r="I65" s="48"/>
      <c r="J65" s="48"/>
      <c r="K65" s="48"/>
      <c r="L65" s="48"/>
    </row>
    <row r="66" spans="1:12">
      <c r="A66" t="s">
        <v>2</v>
      </c>
    </row>
    <row r="67" spans="1:12">
      <c r="A67" t="s">
        <v>2</v>
      </c>
      <c r="D67" t="s">
        <v>1939</v>
      </c>
    </row>
    <row r="68" spans="1:12">
      <c r="A68" t="s">
        <v>2</v>
      </c>
    </row>
    <row r="69" spans="1:12">
      <c r="A69" t="s">
        <v>2</v>
      </c>
    </row>
    <row r="70" spans="1:12">
      <c r="A70" t="s">
        <v>2</v>
      </c>
    </row>
    <row r="71" spans="1:12">
      <c r="A71" t="s">
        <v>2</v>
      </c>
    </row>
    <row r="72" spans="1:12">
      <c r="A72" t="s">
        <v>2</v>
      </c>
    </row>
    <row r="73" spans="1:12">
      <c r="A73" t="s">
        <v>2</v>
      </c>
    </row>
    <row r="74" spans="1:12">
      <c r="A74" t="s">
        <v>2</v>
      </c>
    </row>
    <row r="75" spans="1:12">
      <c r="A75" t="s">
        <v>2</v>
      </c>
    </row>
    <row r="76" spans="1:12">
      <c r="A76" t="s">
        <v>2</v>
      </c>
    </row>
    <row r="77" spans="1:12">
      <c r="A77" t="s">
        <v>2</v>
      </c>
      <c r="E77" s="48" t="s">
        <v>1935</v>
      </c>
      <c r="F77" s="48"/>
      <c r="G77" s="48">
        <v>0.75</v>
      </c>
      <c r="H77" s="48">
        <v>0.85</v>
      </c>
      <c r="I77" s="48">
        <v>0.76</v>
      </c>
    </row>
    <row r="78" spans="1:12">
      <c r="A78" t="s">
        <v>2</v>
      </c>
      <c r="E78" s="48" t="s">
        <v>510</v>
      </c>
      <c r="F78" s="48"/>
      <c r="G78" s="48">
        <f>AVERAGE(G77:I77)</f>
        <v>0.78666666666666674</v>
      </c>
      <c r="H78" s="48"/>
      <c r="I78" s="48"/>
    </row>
    <row r="79" spans="1:12">
      <c r="A79" t="s">
        <v>2</v>
      </c>
      <c r="E79" s="48" t="s">
        <v>1936</v>
      </c>
      <c r="F79" s="48"/>
      <c r="G79" s="48">
        <f>G78/4.2</f>
        <v>0.1873015873015873</v>
      </c>
      <c r="H79" s="48"/>
      <c r="I79" s="48"/>
    </row>
    <row r="80" spans="1:12">
      <c r="A80" t="s">
        <v>2</v>
      </c>
      <c r="E80" s="48" t="s">
        <v>1937</v>
      </c>
      <c r="F80" s="48"/>
      <c r="G80" s="60">
        <v>0.77669999999999995</v>
      </c>
      <c r="H80" s="48"/>
      <c r="I80" s="48"/>
    </row>
    <row r="81" spans="1:9">
      <c r="A81" t="s">
        <v>2</v>
      </c>
      <c r="E81" s="48" t="s">
        <v>1938</v>
      </c>
      <c r="F81" s="48"/>
      <c r="G81" s="48">
        <f>G79*(1-G80)</f>
        <v>4.1824444444444456E-2</v>
      </c>
      <c r="H81" s="48"/>
      <c r="I81" s="48"/>
    </row>
    <row r="82" spans="1:9">
      <c r="A82" t="s">
        <v>2</v>
      </c>
    </row>
    <row r="83" spans="1:9">
      <c r="A83" t="s">
        <v>2</v>
      </c>
      <c r="D83" s="48" t="s">
        <v>1940</v>
      </c>
      <c r="E83" s="48"/>
      <c r="F83" s="48">
        <f>AVERAGE(G65,G81)</f>
        <v>3.0570833333333339E-2</v>
      </c>
    </row>
    <row r="84" spans="1:9">
      <c r="A84" t="s">
        <v>2</v>
      </c>
    </row>
    <row r="85" spans="1:9">
      <c r="A85" t="s">
        <v>2</v>
      </c>
    </row>
    <row r="86" spans="1:9">
      <c r="A86" t="s">
        <v>2</v>
      </c>
      <c r="C86" t="s">
        <v>420</v>
      </c>
      <c r="D86" t="s">
        <v>1941</v>
      </c>
    </row>
    <row r="87" spans="1:9">
      <c r="A87" t="s">
        <v>2</v>
      </c>
      <c r="D87" t="s">
        <v>1942</v>
      </c>
    </row>
    <row r="88" spans="1:9">
      <c r="A88" t="s">
        <v>2</v>
      </c>
      <c r="D88" t="s">
        <v>1943</v>
      </c>
    </row>
    <row r="89" spans="1:9">
      <c r="A89" t="s">
        <v>2</v>
      </c>
    </row>
    <row r="90" spans="1:9">
      <c r="A90" t="s">
        <v>2</v>
      </c>
    </row>
    <row r="91" spans="1:9">
      <c r="A91" t="s">
        <v>2</v>
      </c>
    </row>
    <row r="92" spans="1:9">
      <c r="A92" t="s">
        <v>2</v>
      </c>
    </row>
    <row r="93" spans="1:9">
      <c r="A93" t="s">
        <v>2</v>
      </c>
    </row>
    <row r="94" spans="1:9">
      <c r="A94" t="s">
        <v>2</v>
      </c>
    </row>
    <row r="95" spans="1:9">
      <c r="A95" t="s">
        <v>2</v>
      </c>
    </row>
    <row r="96" spans="1:9">
      <c r="A96" t="s">
        <v>2</v>
      </c>
    </row>
    <row r="97" spans="1:13">
      <c r="A97" t="s">
        <v>2</v>
      </c>
      <c r="D97" s="48"/>
      <c r="E97" s="48"/>
      <c r="F97" s="48"/>
      <c r="G97" s="48"/>
      <c r="H97" s="48" t="s">
        <v>1944</v>
      </c>
    </row>
    <row r="98" spans="1:13">
      <c r="A98" t="s">
        <v>2</v>
      </c>
      <c r="D98" s="48" t="s">
        <v>1945</v>
      </c>
      <c r="E98" s="48"/>
      <c r="F98" s="48" t="s">
        <v>1946</v>
      </c>
      <c r="G98" s="48"/>
      <c r="H98" s="48">
        <v>13</v>
      </c>
    </row>
    <row r="99" spans="1:13">
      <c r="A99" t="s">
        <v>2</v>
      </c>
      <c r="D99" s="48"/>
      <c r="E99" s="48"/>
      <c r="F99" s="48" t="s">
        <v>1947</v>
      </c>
      <c r="G99" s="48"/>
      <c r="H99" s="48">
        <f>H98*3.78541</f>
        <v>49.210329999999999</v>
      </c>
    </row>
    <row r="100" spans="1:13">
      <c r="A100" t="s">
        <v>2</v>
      </c>
      <c r="D100" s="48"/>
      <c r="E100" s="48"/>
      <c r="F100" s="48" t="s">
        <v>1948</v>
      </c>
      <c r="G100" s="48"/>
      <c r="H100" s="48">
        <f>789*H99/1000000</f>
        <v>3.8826950370000002E-2</v>
      </c>
    </row>
    <row r="101" spans="1:13">
      <c r="A101" t="s">
        <v>2</v>
      </c>
    </row>
    <row r="102" spans="1:13">
      <c r="A102" t="s">
        <v>2</v>
      </c>
    </row>
    <row r="103" spans="1:13">
      <c r="A103" t="s">
        <v>2</v>
      </c>
      <c r="C103" t="s">
        <v>425</v>
      </c>
      <c r="D103" t="s">
        <v>1949</v>
      </c>
    </row>
    <row r="104" spans="1:13">
      <c r="A104" t="s">
        <v>2</v>
      </c>
      <c r="D104" t="s">
        <v>1950</v>
      </c>
    </row>
    <row r="105" spans="1:13" ht="15.6">
      <c r="A105" t="s">
        <v>2</v>
      </c>
      <c r="D105" t="s">
        <v>1951</v>
      </c>
    </row>
    <row r="106" spans="1:13">
      <c r="A106" t="s">
        <v>2</v>
      </c>
      <c r="D106" t="s">
        <v>1952</v>
      </c>
    </row>
    <row r="107" spans="1:13">
      <c r="A107" t="s">
        <v>2</v>
      </c>
    </row>
    <row r="108" spans="1:13">
      <c r="A108" t="s">
        <v>2</v>
      </c>
    </row>
    <row r="109" spans="1:13">
      <c r="A109" t="s">
        <v>2</v>
      </c>
    </row>
    <row r="110" spans="1:13">
      <c r="A110" t="s">
        <v>2</v>
      </c>
    </row>
    <row r="111" spans="1:13">
      <c r="A111" t="s">
        <v>2</v>
      </c>
      <c r="M111" s="48" t="s">
        <v>1953</v>
      </c>
    </row>
    <row r="112" spans="1:13">
      <c r="A112" t="s">
        <v>2</v>
      </c>
      <c r="M112" s="48"/>
    </row>
    <row r="113" spans="1:13">
      <c r="A113" t="s">
        <v>2</v>
      </c>
      <c r="M113" s="48">
        <v>73.5</v>
      </c>
    </row>
    <row r="114" spans="1:13">
      <c r="A114" t="s">
        <v>2</v>
      </c>
      <c r="M114" s="48">
        <v>76.2</v>
      </c>
    </row>
    <row r="115" spans="1:13">
      <c r="A115" t="s">
        <v>2</v>
      </c>
      <c r="M115" s="48">
        <v>78.2</v>
      </c>
    </row>
    <row r="116" spans="1:13">
      <c r="A116" t="s">
        <v>2</v>
      </c>
      <c r="M116" s="48">
        <v>85.1</v>
      </c>
    </row>
    <row r="117" spans="1:13">
      <c r="A117" t="s">
        <v>2</v>
      </c>
      <c r="M117" s="48">
        <v>85.9</v>
      </c>
    </row>
    <row r="118" spans="1:13">
      <c r="A118" t="s">
        <v>2</v>
      </c>
    </row>
    <row r="119" spans="1:13">
      <c r="A119" t="s">
        <v>2</v>
      </c>
    </row>
    <row r="120" spans="1:13">
      <c r="A120" t="s">
        <v>2</v>
      </c>
      <c r="F120" s="128"/>
      <c r="G120" s="51" t="s">
        <v>1954</v>
      </c>
      <c r="H120" s="51" t="s">
        <v>1955</v>
      </c>
      <c r="I120" s="51" t="s">
        <v>1956</v>
      </c>
    </row>
    <row r="121" spans="1:13">
      <c r="A121" t="s">
        <v>2</v>
      </c>
      <c r="F121" s="52" t="s">
        <v>1887</v>
      </c>
      <c r="G121" s="51">
        <v>2.02</v>
      </c>
      <c r="H121" s="51">
        <v>2.36</v>
      </c>
      <c r="I121" s="51">
        <v>4.1900000000000004</v>
      </c>
    </row>
    <row r="122" spans="1:13">
      <c r="A122" t="s">
        <v>2</v>
      </c>
      <c r="F122" s="48" t="s">
        <v>1957</v>
      </c>
      <c r="G122" s="48">
        <f>AVERAGE(M113:M117)</f>
        <v>79.78</v>
      </c>
      <c r="H122" s="48"/>
      <c r="I122" s="48"/>
    </row>
    <row r="123" spans="1:13">
      <c r="A123" t="s">
        <v>2</v>
      </c>
      <c r="F123" s="48" t="s">
        <v>1958</v>
      </c>
      <c r="G123" s="48">
        <f>G122%*(0.511*(G121+H121)+0.583*I121)</f>
        <v>3.7344619099999998</v>
      </c>
      <c r="H123" s="48"/>
      <c r="I123" s="48"/>
    </row>
    <row r="124" spans="1:13">
      <c r="A124" t="s">
        <v>2</v>
      </c>
      <c r="F124" s="48" t="s">
        <v>1959</v>
      </c>
      <c r="G124" s="48">
        <f>G123/100</f>
        <v>3.7344619099999997E-2</v>
      </c>
      <c r="H124" s="48"/>
      <c r="I124" s="48"/>
    </row>
    <row r="125" spans="1:13">
      <c r="A125" t="s">
        <v>2</v>
      </c>
    </row>
    <row r="126" spans="1:13">
      <c r="A126" t="s">
        <v>2</v>
      </c>
    </row>
    <row r="127" spans="1:13">
      <c r="A127" t="s">
        <v>2</v>
      </c>
      <c r="B127" t="s">
        <v>1960</v>
      </c>
      <c r="C127" t="s">
        <v>197</v>
      </c>
      <c r="E127" t="s">
        <v>1961</v>
      </c>
    </row>
    <row r="128" spans="1:13">
      <c r="A128" t="s">
        <v>2</v>
      </c>
      <c r="B128" t="s">
        <v>1960</v>
      </c>
      <c r="E128" t="s">
        <v>1962</v>
      </c>
    </row>
    <row r="129" spans="1:15">
      <c r="A129" t="s">
        <v>2</v>
      </c>
      <c r="B129" t="s">
        <v>1960</v>
      </c>
      <c r="E129" t="s">
        <v>1963</v>
      </c>
    </row>
    <row r="130" spans="1:15">
      <c r="A130" t="s">
        <v>2</v>
      </c>
      <c r="B130" t="s">
        <v>1960</v>
      </c>
      <c r="E130" t="s">
        <v>1964</v>
      </c>
    </row>
    <row r="131" spans="1:15">
      <c r="A131" t="s">
        <v>2</v>
      </c>
      <c r="B131" t="s">
        <v>1960</v>
      </c>
      <c r="E131" t="s">
        <v>1965</v>
      </c>
    </row>
    <row r="132" spans="1:15" ht="15" thickBot="1">
      <c r="A132" t="s">
        <v>2</v>
      </c>
      <c r="B132" t="s">
        <v>1960</v>
      </c>
      <c r="E132" t="s">
        <v>1966</v>
      </c>
    </row>
    <row r="133" spans="1:15">
      <c r="A133" t="s">
        <v>2</v>
      </c>
      <c r="B133" t="s">
        <v>1960</v>
      </c>
      <c r="F133" s="48"/>
      <c r="G133" s="51" t="s">
        <v>1967</v>
      </c>
      <c r="H133" s="51" t="s">
        <v>1955</v>
      </c>
      <c r="I133" s="51" t="s">
        <v>1956</v>
      </c>
      <c r="J133" s="51" t="s">
        <v>1968</v>
      </c>
      <c r="K133" s="51" t="s">
        <v>1969</v>
      </c>
      <c r="L133" s="129" t="s">
        <v>1970</v>
      </c>
      <c r="M133" s="130" t="s">
        <v>1971</v>
      </c>
      <c r="N133" s="131" t="s">
        <v>1972</v>
      </c>
      <c r="O133" s="132" t="s">
        <v>1973</v>
      </c>
    </row>
    <row r="134" spans="1:15" ht="15" thickBot="1">
      <c r="A134" t="s">
        <v>2</v>
      </c>
      <c r="B134" t="s">
        <v>1960</v>
      </c>
      <c r="F134" s="51" t="s">
        <v>1960</v>
      </c>
      <c r="G134" s="51">
        <f>16*24%</f>
        <v>3.84</v>
      </c>
      <c r="H134" s="51">
        <f>16*0.24</f>
        <v>3.84</v>
      </c>
      <c r="I134" s="51">
        <f>11*0.24</f>
        <v>2.6399999999999997</v>
      </c>
      <c r="J134" s="51">
        <f>14.17*0.24</f>
        <v>3.4007999999999998</v>
      </c>
      <c r="K134" s="51">
        <v>0</v>
      </c>
      <c r="L134" s="129">
        <f>5.7*0.24</f>
        <v>1.3679999999999999</v>
      </c>
      <c r="M134" s="133">
        <f>G134+I134*180/342+J134*180/162+L134*100%*180/162</f>
        <v>10.528140350877193</v>
      </c>
      <c r="N134" s="134">
        <f t="shared" ref="N134" si="0">H134+I134*180/342</f>
        <v>5.2294736842105261</v>
      </c>
      <c r="O134" s="135">
        <f>K134+0*L134*150/132</f>
        <v>0</v>
      </c>
    </row>
    <row r="135" spans="1:15">
      <c r="A135" t="s">
        <v>2</v>
      </c>
      <c r="B135" t="s">
        <v>1960</v>
      </c>
      <c r="F135" s="48" t="s">
        <v>1974</v>
      </c>
      <c r="G135" s="50">
        <v>0.8</v>
      </c>
    </row>
    <row r="136" spans="1:15">
      <c r="A136" t="s">
        <v>2</v>
      </c>
      <c r="B136" t="s">
        <v>1960</v>
      </c>
      <c r="F136" s="48" t="s">
        <v>1958</v>
      </c>
      <c r="G136" s="48">
        <f>G135*(0.511*(M134+N134)+0.583*0)</f>
        <v>6.4417126175438604</v>
      </c>
    </row>
    <row r="137" spans="1:15">
      <c r="A137" t="s">
        <v>2</v>
      </c>
      <c r="B137" t="s">
        <v>1960</v>
      </c>
      <c r="F137" s="48" t="s">
        <v>1959</v>
      </c>
      <c r="G137" s="48">
        <f>G136/100</f>
        <v>6.4417126175438599E-2</v>
      </c>
    </row>
    <row r="138" spans="1:15">
      <c r="A138" t="s">
        <v>2</v>
      </c>
      <c r="B138" t="s">
        <v>1960</v>
      </c>
    </row>
    <row r="139" spans="1:15">
      <c r="A139" t="s">
        <v>2</v>
      </c>
      <c r="B139" t="s">
        <v>1960</v>
      </c>
    </row>
    <row r="140" spans="1:15">
      <c r="A140" t="s">
        <v>2</v>
      </c>
      <c r="B140" t="s">
        <v>1960</v>
      </c>
    </row>
    <row r="141" spans="1:15">
      <c r="A141" t="s">
        <v>2</v>
      </c>
      <c r="B141" t="s">
        <v>1960</v>
      </c>
      <c r="C141" t="s">
        <v>226</v>
      </c>
      <c r="E141" t="s">
        <v>1975</v>
      </c>
    </row>
    <row r="142" spans="1:15">
      <c r="A142" t="s">
        <v>2</v>
      </c>
      <c r="B142" t="s">
        <v>1960</v>
      </c>
      <c r="E142" t="s">
        <v>1976</v>
      </c>
    </row>
    <row r="143" spans="1:15">
      <c r="A143" t="s">
        <v>2</v>
      </c>
      <c r="B143" t="s">
        <v>1960</v>
      </c>
      <c r="E143" t="s">
        <v>1977</v>
      </c>
    </row>
    <row r="144" spans="1:15">
      <c r="A144" t="s">
        <v>2</v>
      </c>
      <c r="B144" t="s">
        <v>1960</v>
      </c>
    </row>
    <row r="145" spans="1:11">
      <c r="A145" t="s">
        <v>2</v>
      </c>
      <c r="B145" t="s">
        <v>1960</v>
      </c>
    </row>
    <row r="146" spans="1:11">
      <c r="A146" t="s">
        <v>2</v>
      </c>
      <c r="B146" t="s">
        <v>1960</v>
      </c>
    </row>
    <row r="147" spans="1:11">
      <c r="A147" t="s">
        <v>2</v>
      </c>
      <c r="B147" t="s">
        <v>1960</v>
      </c>
    </row>
    <row r="148" spans="1:11">
      <c r="A148" t="s">
        <v>2</v>
      </c>
      <c r="B148" t="s">
        <v>1960</v>
      </c>
    </row>
    <row r="149" spans="1:11">
      <c r="A149" t="s">
        <v>2</v>
      </c>
      <c r="B149" t="s">
        <v>1960</v>
      </c>
    </row>
    <row r="150" spans="1:11">
      <c r="A150" t="s">
        <v>2</v>
      </c>
      <c r="B150" t="s">
        <v>1960</v>
      </c>
    </row>
    <row r="151" spans="1:11">
      <c r="A151" t="s">
        <v>2</v>
      </c>
      <c r="B151" t="s">
        <v>1960</v>
      </c>
    </row>
    <row r="152" spans="1:11">
      <c r="A152" t="s">
        <v>2</v>
      </c>
      <c r="B152" t="s">
        <v>1960</v>
      </c>
    </row>
    <row r="153" spans="1:11">
      <c r="A153" t="s">
        <v>2</v>
      </c>
      <c r="B153" t="s">
        <v>1960</v>
      </c>
    </row>
    <row r="154" spans="1:11">
      <c r="A154" t="s">
        <v>2</v>
      </c>
      <c r="B154" t="s">
        <v>1960</v>
      </c>
      <c r="E154" t="s">
        <v>1978</v>
      </c>
    </row>
    <row r="155" spans="1:11">
      <c r="A155" t="s">
        <v>2</v>
      </c>
      <c r="B155" t="s">
        <v>1960</v>
      </c>
    </row>
    <row r="156" spans="1:11">
      <c r="A156" t="s">
        <v>2</v>
      </c>
      <c r="B156" t="s">
        <v>1960</v>
      </c>
      <c r="E156" s="48" t="s">
        <v>1979</v>
      </c>
      <c r="F156" s="48"/>
      <c r="G156" s="48">
        <v>0.4</v>
      </c>
      <c r="H156" s="48">
        <v>0.42</v>
      </c>
      <c r="I156" s="48">
        <v>0.46</v>
      </c>
      <c r="J156" s="48">
        <v>0.46</v>
      </c>
      <c r="K156" s="48">
        <v>0.46</v>
      </c>
    </row>
    <row r="157" spans="1:11">
      <c r="A157" t="s">
        <v>2</v>
      </c>
      <c r="B157" t="s">
        <v>1960</v>
      </c>
      <c r="E157" s="48" t="s">
        <v>510</v>
      </c>
      <c r="F157" s="48"/>
      <c r="G157" s="48">
        <f>AVERAGE(G156:K156)</f>
        <v>0.44000000000000006</v>
      </c>
      <c r="H157" s="48"/>
      <c r="I157" s="48"/>
      <c r="J157" s="48"/>
      <c r="K157" s="48"/>
    </row>
    <row r="158" spans="1:11">
      <c r="A158" t="s">
        <v>2</v>
      </c>
      <c r="B158" t="s">
        <v>1960</v>
      </c>
      <c r="E158" s="48" t="s">
        <v>1980</v>
      </c>
      <c r="F158" s="48"/>
      <c r="G158" s="51">
        <v>0.157576140350877</v>
      </c>
    </row>
    <row r="159" spans="1:11">
      <c r="A159" t="s">
        <v>2</v>
      </c>
      <c r="B159" t="s">
        <v>1960</v>
      </c>
      <c r="E159" s="48" t="s">
        <v>1981</v>
      </c>
      <c r="F159" s="48"/>
      <c r="G159" s="48">
        <f>G157*G158</f>
        <v>6.9333501754385893E-2</v>
      </c>
    </row>
    <row r="160" spans="1:11">
      <c r="A160" t="s">
        <v>2</v>
      </c>
      <c r="B160" t="s">
        <v>1960</v>
      </c>
    </row>
    <row r="161" spans="1:20">
      <c r="A161" t="s">
        <v>2</v>
      </c>
      <c r="B161" t="s">
        <v>1960</v>
      </c>
      <c r="C161" t="s">
        <v>396</v>
      </c>
      <c r="E161" t="s">
        <v>1982</v>
      </c>
    </row>
    <row r="162" spans="1:20">
      <c r="A162" t="s">
        <v>2</v>
      </c>
      <c r="B162" t="s">
        <v>1960</v>
      </c>
      <c r="E162" t="s">
        <v>1983</v>
      </c>
    </row>
    <row r="163" spans="1:20">
      <c r="A163" t="s">
        <v>2</v>
      </c>
      <c r="B163" t="s">
        <v>1960</v>
      </c>
      <c r="E163" t="s">
        <v>1984</v>
      </c>
    </row>
    <row r="164" spans="1:20" ht="43.2" customHeight="1">
      <c r="A164" t="s">
        <v>2</v>
      </c>
      <c r="B164" t="s">
        <v>1960</v>
      </c>
      <c r="G164" s="136" t="s">
        <v>1985</v>
      </c>
      <c r="H164" s="136" t="s">
        <v>1985</v>
      </c>
      <c r="I164" s="136" t="s">
        <v>1986</v>
      </c>
      <c r="J164" t="s">
        <v>1987</v>
      </c>
      <c r="K164" s="136" t="s">
        <v>1988</v>
      </c>
      <c r="L164" s="136" t="s">
        <v>1989</v>
      </c>
      <c r="M164" s="136" t="s">
        <v>1990</v>
      </c>
      <c r="N164" s="136" t="s">
        <v>1991</v>
      </c>
      <c r="O164" s="136" t="s">
        <v>1992</v>
      </c>
      <c r="P164" s="580" t="s">
        <v>1993</v>
      </c>
      <c r="Q164" s="580"/>
      <c r="R164" s="580"/>
      <c r="S164" s="580"/>
      <c r="T164" s="580"/>
    </row>
    <row r="165" spans="1:20">
      <c r="A165" t="s">
        <v>2</v>
      </c>
      <c r="B165" t="s">
        <v>1960</v>
      </c>
      <c r="E165" t="s">
        <v>1994</v>
      </c>
      <c r="G165">
        <v>0.44</v>
      </c>
      <c r="H165">
        <v>0.45</v>
      </c>
      <c r="I165">
        <v>0.43</v>
      </c>
      <c r="J165">
        <v>0.48</v>
      </c>
      <c r="K165">
        <v>0.42</v>
      </c>
      <c r="L165">
        <v>0.46</v>
      </c>
      <c r="M165">
        <v>0.48</v>
      </c>
      <c r="N165">
        <v>0.43</v>
      </c>
      <c r="O165">
        <v>0.67</v>
      </c>
      <c r="P165">
        <v>0.37</v>
      </c>
      <c r="Q165">
        <v>0.39</v>
      </c>
      <c r="R165">
        <v>0.43</v>
      </c>
      <c r="S165">
        <v>0.41</v>
      </c>
      <c r="T165">
        <v>0.39</v>
      </c>
    </row>
    <row r="166" spans="1:20">
      <c r="A166" t="s">
        <v>2</v>
      </c>
      <c r="B166" t="s">
        <v>1960</v>
      </c>
      <c r="E166" s="48" t="s">
        <v>995</v>
      </c>
      <c r="F166" s="48"/>
      <c r="G166" s="48">
        <f>AVERAGE(G165:T165)</f>
        <v>0.44642857142857145</v>
      </c>
    </row>
    <row r="167" spans="1:20">
      <c r="A167" t="s">
        <v>2</v>
      </c>
      <c r="B167" t="s">
        <v>1960</v>
      </c>
      <c r="E167" s="48" t="s">
        <v>1980</v>
      </c>
      <c r="F167" s="48"/>
      <c r="G167" s="51">
        <v>0.157576140350877</v>
      </c>
    </row>
    <row r="168" spans="1:20">
      <c r="A168" t="s">
        <v>2</v>
      </c>
      <c r="B168" t="s">
        <v>1960</v>
      </c>
      <c r="E168" s="48" t="s">
        <v>1981</v>
      </c>
      <c r="F168" s="48"/>
      <c r="G168" s="48">
        <f>G166*G167</f>
        <v>7.0346491228070088E-2</v>
      </c>
    </row>
    <row r="169" spans="1:20">
      <c r="A169" t="s">
        <v>2</v>
      </c>
    </row>
    <row r="170" spans="1:20">
      <c r="A170" t="s">
        <v>2</v>
      </c>
    </row>
    <row r="171" spans="1:20">
      <c r="A171" t="s">
        <v>2</v>
      </c>
    </row>
    <row r="173" spans="1:20">
      <c r="A173" t="s">
        <v>1995</v>
      </c>
      <c r="B173" t="s">
        <v>1887</v>
      </c>
      <c r="C173" t="s">
        <v>638</v>
      </c>
      <c r="D173" t="s">
        <v>639</v>
      </c>
    </row>
    <row r="174" spans="1:20">
      <c r="D174" t="s">
        <v>640</v>
      </c>
    </row>
    <row r="176" spans="1:20">
      <c r="D176" s="48" t="s">
        <v>641</v>
      </c>
      <c r="E176" s="48">
        <v>0.72719999999999996</v>
      </c>
    </row>
    <row r="177" spans="1:5">
      <c r="D177" s="48" t="s">
        <v>642</v>
      </c>
      <c r="E177" s="60">
        <v>2.8500000000000001E-2</v>
      </c>
    </row>
    <row r="178" spans="1:5">
      <c r="D178" s="48" t="s">
        <v>643</v>
      </c>
      <c r="E178" s="48">
        <f>E176*E177</f>
        <v>2.0725199999999999E-2</v>
      </c>
    </row>
    <row r="181" spans="1:5">
      <c r="B181" t="s">
        <v>1960</v>
      </c>
      <c r="C181" t="s">
        <v>638</v>
      </c>
      <c r="D181" t="s">
        <v>639</v>
      </c>
    </row>
    <row r="182" spans="1:5">
      <c r="D182" t="s">
        <v>640</v>
      </c>
    </row>
    <row r="184" spans="1:5">
      <c r="D184" s="48" t="s">
        <v>641</v>
      </c>
      <c r="E184" s="48">
        <v>0.72719999999999996</v>
      </c>
    </row>
    <row r="185" spans="1:5">
      <c r="D185" s="48" t="s">
        <v>642</v>
      </c>
      <c r="E185" s="60">
        <v>0</v>
      </c>
    </row>
    <row r="186" spans="1:5">
      <c r="D186" s="48" t="s">
        <v>643</v>
      </c>
      <c r="E186" s="48">
        <f>E184*E185</f>
        <v>0</v>
      </c>
    </row>
    <row r="189" spans="1:5">
      <c r="A189" t="s">
        <v>679</v>
      </c>
      <c r="B189" t="s">
        <v>1887</v>
      </c>
      <c r="C189" t="s">
        <v>638</v>
      </c>
      <c r="D189" t="s">
        <v>680</v>
      </c>
    </row>
    <row r="190" spans="1:5">
      <c r="D190" s="184" t="s">
        <v>681</v>
      </c>
    </row>
    <row r="191" spans="1:5">
      <c r="D191">
        <v>180</v>
      </c>
      <c r="E191">
        <v>126</v>
      </c>
    </row>
    <row r="192" spans="1:5">
      <c r="D192" t="s">
        <v>809</v>
      </c>
      <c r="E192">
        <f>1/180*126</f>
        <v>0.70000000000000007</v>
      </c>
    </row>
    <row r="193" spans="1:5">
      <c r="D193" s="48" t="s">
        <v>1996</v>
      </c>
      <c r="E193" s="48">
        <v>8.7905263157894744</v>
      </c>
    </row>
    <row r="194" spans="1:5">
      <c r="D194" s="48" t="s">
        <v>1997</v>
      </c>
      <c r="E194" s="48">
        <f>E192*E193%</f>
        <v>6.1533684210526331E-2</v>
      </c>
    </row>
    <row r="197" spans="1:5">
      <c r="B197" t="s">
        <v>1960</v>
      </c>
      <c r="C197" t="s">
        <v>638</v>
      </c>
      <c r="D197" t="s">
        <v>680</v>
      </c>
    </row>
    <row r="198" spans="1:5">
      <c r="D198" s="184" t="s">
        <v>681</v>
      </c>
    </row>
    <row r="199" spans="1:5">
      <c r="D199">
        <v>180</v>
      </c>
      <c r="E199">
        <v>126</v>
      </c>
    </row>
    <row r="200" spans="1:5">
      <c r="D200" t="s">
        <v>809</v>
      </c>
      <c r="E200">
        <f>1/180*126</f>
        <v>0.70000000000000007</v>
      </c>
    </row>
    <row r="201" spans="1:5">
      <c r="D201" s="48" t="s">
        <v>1998</v>
      </c>
      <c r="E201" s="48">
        <v>15.75761403508772</v>
      </c>
    </row>
    <row r="202" spans="1:5">
      <c r="D202" s="48" t="s">
        <v>1997</v>
      </c>
      <c r="E202" s="48">
        <f>E200*E201%</f>
        <v>0.11030329824561405</v>
      </c>
    </row>
    <row r="205" spans="1:5">
      <c r="A205" t="s">
        <v>823</v>
      </c>
      <c r="B205" t="s">
        <v>1887</v>
      </c>
      <c r="C205" t="s">
        <v>638</v>
      </c>
      <c r="D205" t="s">
        <v>824</v>
      </c>
    </row>
    <row r="206" spans="1:5">
      <c r="D206" t="s">
        <v>825</v>
      </c>
    </row>
    <row r="207" spans="1:5">
      <c r="D207" t="s">
        <v>836</v>
      </c>
      <c r="E207">
        <v>0.86699999999999999</v>
      </c>
    </row>
    <row r="208" spans="1:5">
      <c r="D208" s="48" t="s">
        <v>1999</v>
      </c>
      <c r="E208" s="51">
        <v>8.7905263157894744</v>
      </c>
    </row>
    <row r="209" spans="1:5">
      <c r="D209" s="48" t="s">
        <v>2000</v>
      </c>
      <c r="E209" s="48">
        <f>E207*E208%</f>
        <v>7.6213863157894746E-2</v>
      </c>
    </row>
    <row r="212" spans="1:5">
      <c r="B212" t="s">
        <v>1960</v>
      </c>
      <c r="C212" t="s">
        <v>638</v>
      </c>
      <c r="D212" t="s">
        <v>824</v>
      </c>
    </row>
    <row r="213" spans="1:5">
      <c r="D213" t="s">
        <v>825</v>
      </c>
    </row>
    <row r="214" spans="1:5">
      <c r="D214" t="s">
        <v>836</v>
      </c>
      <c r="E214">
        <v>0.86699999999999999</v>
      </c>
    </row>
    <row r="215" spans="1:5">
      <c r="D215" s="48" t="s">
        <v>2001</v>
      </c>
      <c r="E215" s="51">
        <v>15.75761403508772</v>
      </c>
    </row>
    <row r="216" spans="1:5">
      <c r="D216" s="48" t="s">
        <v>2002</v>
      </c>
      <c r="E216" s="48">
        <f>E214*E215%</f>
        <v>0.13661851368421052</v>
      </c>
    </row>
    <row r="219" spans="1:5">
      <c r="A219" t="s">
        <v>843</v>
      </c>
      <c r="B219" s="154" t="s">
        <v>1887</v>
      </c>
      <c r="C219" t="s">
        <v>638</v>
      </c>
      <c r="D219" t="s">
        <v>2003</v>
      </c>
      <c r="E219" s="142">
        <v>4.2252631578947373</v>
      </c>
    </row>
    <row r="220" spans="1:5">
      <c r="D220" t="s">
        <v>2004</v>
      </c>
      <c r="E220">
        <f>E219%*17%</f>
        <v>7.1829473684210544E-3</v>
      </c>
    </row>
    <row r="223" spans="1:5">
      <c r="B223" s="154" t="s">
        <v>1960</v>
      </c>
      <c r="C223" t="s">
        <v>638</v>
      </c>
      <c r="D223" t="s">
        <v>2005</v>
      </c>
      <c r="E223" s="142">
        <v>10.528140350877193</v>
      </c>
    </row>
    <row r="224" spans="1:5">
      <c r="D224" t="s">
        <v>2006</v>
      </c>
      <c r="E224">
        <f>E223%*17%</f>
        <v>1.7897838596491227E-2</v>
      </c>
    </row>
    <row r="226" spans="1:5">
      <c r="A226" t="s">
        <v>876</v>
      </c>
      <c r="B226" s="154" t="s">
        <v>1887</v>
      </c>
      <c r="C226" t="s">
        <v>638</v>
      </c>
      <c r="D226" t="s">
        <v>883</v>
      </c>
      <c r="E226">
        <v>0.66714285714285715</v>
      </c>
    </row>
    <row r="227" spans="1:5">
      <c r="D227" s="48" t="s">
        <v>2007</v>
      </c>
      <c r="E227" s="48">
        <v>11.640526315789474</v>
      </c>
    </row>
    <row r="228" spans="1:5">
      <c r="D228" s="48" t="s">
        <v>2008</v>
      </c>
      <c r="E228" s="48">
        <f>E226*E227%</f>
        <v>7.7658939849624062E-2</v>
      </c>
    </row>
    <row r="230" spans="1:5">
      <c r="B230" s="154" t="s">
        <v>1960</v>
      </c>
      <c r="C230" t="s">
        <v>197</v>
      </c>
      <c r="D230" t="s">
        <v>2009</v>
      </c>
    </row>
    <row r="231" spans="1:5">
      <c r="D231" t="s">
        <v>2010</v>
      </c>
    </row>
    <row r="233" spans="1:5">
      <c r="D233" t="s">
        <v>2011</v>
      </c>
      <c r="E233">
        <v>0.122</v>
      </c>
    </row>
    <row r="244" spans="3:6">
      <c r="C244" t="s">
        <v>226</v>
      </c>
      <c r="D244" t="s">
        <v>2012</v>
      </c>
    </row>
    <row r="245" spans="3:6">
      <c r="D245" t="s">
        <v>2013</v>
      </c>
    </row>
    <row r="247" spans="3:6">
      <c r="D247" t="s">
        <v>2014</v>
      </c>
    </row>
    <row r="249" spans="3:6">
      <c r="D249" s="48" t="s">
        <v>2015</v>
      </c>
      <c r="E249" s="48">
        <v>10</v>
      </c>
      <c r="F249" s="48">
        <v>0</v>
      </c>
    </row>
    <row r="250" spans="3:6">
      <c r="D250" s="48" t="s">
        <v>2016</v>
      </c>
      <c r="E250" s="48">
        <v>4.4800000000000004</v>
      </c>
      <c r="F250" s="48">
        <v>0</v>
      </c>
    </row>
    <row r="251" spans="3:6">
      <c r="D251" s="48" t="s">
        <v>2017</v>
      </c>
      <c r="E251" s="48">
        <v>0.3</v>
      </c>
      <c r="F251" s="48">
        <v>5</v>
      </c>
    </row>
    <row r="252" spans="3:6">
      <c r="D252" s="48" t="s">
        <v>2018</v>
      </c>
      <c r="E252" s="48">
        <f>E250/(F251-E251)</f>
        <v>0.95319148936170217</v>
      </c>
      <c r="F252" s="48"/>
    </row>
    <row r="253" spans="3:6">
      <c r="D253" s="48" t="s">
        <v>2019</v>
      </c>
      <c r="E253" s="48">
        <v>15.75761403508772</v>
      </c>
      <c r="F253" s="48"/>
    </row>
    <row r="254" spans="3:6">
      <c r="D254" s="48" t="s">
        <v>2020</v>
      </c>
      <c r="E254" s="48">
        <f>E252*E253%</f>
        <v>0.15020023590892123</v>
      </c>
      <c r="F254" s="48"/>
    </row>
    <row r="260" spans="3:11">
      <c r="C260" t="s">
        <v>396</v>
      </c>
      <c r="D260" s="7" t="s">
        <v>2021</v>
      </c>
    </row>
    <row r="261" spans="3:11">
      <c r="D261" t="s">
        <v>2022</v>
      </c>
    </row>
    <row r="263" spans="3:11" ht="15" thickBot="1">
      <c r="D263" s="22" t="s">
        <v>2023</v>
      </c>
    </row>
    <row r="264" spans="3:11" ht="15" thickBot="1">
      <c r="D264" s="532" t="s">
        <v>2024</v>
      </c>
      <c r="E264" s="536" t="s">
        <v>1142</v>
      </c>
      <c r="F264" s="536"/>
      <c r="G264" s="536"/>
      <c r="H264" s="536" t="s">
        <v>2025</v>
      </c>
      <c r="I264" s="536"/>
      <c r="J264" s="536"/>
      <c r="K264" s="532" t="s">
        <v>207</v>
      </c>
    </row>
    <row r="265" spans="3:11" ht="42" thickBot="1">
      <c r="D265" s="572"/>
      <c r="E265" s="13" t="s">
        <v>2026</v>
      </c>
      <c r="F265" s="13" t="s">
        <v>2027</v>
      </c>
      <c r="G265" s="13" t="s">
        <v>2028</v>
      </c>
      <c r="H265" s="13" t="s">
        <v>2026</v>
      </c>
      <c r="I265" s="13" t="s">
        <v>2027</v>
      </c>
      <c r="J265" s="13" t="s">
        <v>2028</v>
      </c>
      <c r="K265" s="572"/>
    </row>
    <row r="266" spans="3:11" ht="28.8">
      <c r="D266" s="25" t="s">
        <v>84</v>
      </c>
      <c r="E266" s="16">
        <v>19</v>
      </c>
      <c r="F266" s="16">
        <v>0.76</v>
      </c>
      <c r="G266" s="16">
        <v>1.4</v>
      </c>
      <c r="H266" s="16">
        <v>60.2</v>
      </c>
      <c r="I266" s="16">
        <v>0.75</v>
      </c>
      <c r="J266" s="16">
        <v>1.3</v>
      </c>
      <c r="K266" s="208" t="s">
        <v>2029</v>
      </c>
    </row>
    <row r="267" spans="3:11" ht="43.2">
      <c r="D267" s="25" t="s">
        <v>103</v>
      </c>
      <c r="E267" s="16">
        <v>24.4</v>
      </c>
      <c r="F267" s="16">
        <v>0.95</v>
      </c>
      <c r="G267" s="16">
        <v>2.13</v>
      </c>
      <c r="H267" s="16">
        <v>49.6</v>
      </c>
      <c r="I267" s="16">
        <v>0.64</v>
      </c>
      <c r="J267" s="16">
        <v>0.96</v>
      </c>
      <c r="K267" s="208" t="s">
        <v>2030</v>
      </c>
    </row>
    <row r="268" spans="3:11" ht="28.8">
      <c r="D268" s="25" t="s">
        <v>2031</v>
      </c>
      <c r="E268" s="16">
        <v>57.1</v>
      </c>
      <c r="F268" s="16">
        <v>0.72</v>
      </c>
      <c r="G268" s="16" t="s">
        <v>2032</v>
      </c>
      <c r="H268" s="16">
        <v>60.5</v>
      </c>
      <c r="I268" s="16">
        <v>0.83</v>
      </c>
      <c r="J268" s="16">
        <v>2.16</v>
      </c>
      <c r="K268" s="208" t="s">
        <v>2033</v>
      </c>
    </row>
    <row r="269" spans="3:11" ht="28.8">
      <c r="D269" s="25" t="s">
        <v>2034</v>
      </c>
      <c r="E269" s="16">
        <v>45.5</v>
      </c>
      <c r="F269" s="16">
        <v>0.8</v>
      </c>
      <c r="G269" s="16">
        <v>0.95</v>
      </c>
      <c r="H269" s="16">
        <v>53.2</v>
      </c>
      <c r="I269" s="16">
        <v>0.82</v>
      </c>
      <c r="J269" s="16">
        <v>1.21</v>
      </c>
      <c r="K269" s="208" t="s">
        <v>2035</v>
      </c>
    </row>
    <row r="270" spans="3:11" ht="28.8">
      <c r="D270" s="25" t="s">
        <v>2036</v>
      </c>
      <c r="E270" s="16">
        <v>46.4</v>
      </c>
      <c r="F270" s="16">
        <v>0.79</v>
      </c>
      <c r="G270" s="16">
        <v>0.97</v>
      </c>
      <c r="H270" s="16">
        <v>55.2</v>
      </c>
      <c r="I270" s="16">
        <v>0.8</v>
      </c>
      <c r="J270" s="16">
        <v>1.1499999999999999</v>
      </c>
      <c r="K270" s="208" t="s">
        <v>2037</v>
      </c>
    </row>
    <row r="271" spans="3:11" ht="28.2" thickBot="1">
      <c r="D271" s="13" t="s">
        <v>2038</v>
      </c>
      <c r="E271" s="20">
        <v>18.5</v>
      </c>
      <c r="F271" s="210">
        <v>0.62</v>
      </c>
      <c r="G271" s="20">
        <v>0.69</v>
      </c>
      <c r="H271" s="20">
        <v>22.4</v>
      </c>
      <c r="I271" s="210">
        <v>0.73</v>
      </c>
      <c r="J271" s="20">
        <v>0.45</v>
      </c>
      <c r="K271" s="20" t="s">
        <v>2039</v>
      </c>
    </row>
    <row r="272" spans="3:11">
      <c r="D272" t="s">
        <v>2040</v>
      </c>
    </row>
    <row r="273" spans="3:9" ht="15.6">
      <c r="D273" s="121" t="s">
        <v>2041</v>
      </c>
    </row>
    <row r="274" spans="3:9" ht="15.6">
      <c r="D274" s="209"/>
    </row>
    <row r="275" spans="3:9">
      <c r="D275" s="48" t="s">
        <v>2042</v>
      </c>
      <c r="E275" s="48">
        <f>AVERAGE(F271,I271)</f>
        <v>0.67500000000000004</v>
      </c>
    </row>
    <row r="276" spans="3:9">
      <c r="D276" s="48" t="s">
        <v>2043</v>
      </c>
      <c r="E276" s="48">
        <v>15.75761403508772</v>
      </c>
    </row>
    <row r="277" spans="3:9">
      <c r="D277" s="48" t="s">
        <v>2044</v>
      </c>
      <c r="E277" s="48">
        <f>E276%*E275</f>
        <v>0.10636389473684212</v>
      </c>
    </row>
    <row r="279" spans="3:9">
      <c r="C279" t="s">
        <v>420</v>
      </c>
      <c r="D279" t="s">
        <v>2045</v>
      </c>
    </row>
    <row r="280" spans="3:9">
      <c r="D280" t="s">
        <v>2046</v>
      </c>
    </row>
    <row r="281" spans="3:9" ht="15" thickBot="1">
      <c r="D281" s="213" t="s">
        <v>2047</v>
      </c>
    </row>
    <row r="282" spans="3:9" ht="42" thickBot="1">
      <c r="D282" s="21" t="s">
        <v>666</v>
      </c>
      <c r="E282" s="21" t="s">
        <v>2048</v>
      </c>
      <c r="F282" s="21" t="s">
        <v>2049</v>
      </c>
      <c r="G282" s="21" t="s">
        <v>2026</v>
      </c>
      <c r="H282" s="21" t="s">
        <v>2027</v>
      </c>
      <c r="I282" s="21" t="s">
        <v>207</v>
      </c>
    </row>
    <row r="283" spans="3:9" ht="28.8">
      <c r="D283" s="75" t="s">
        <v>103</v>
      </c>
      <c r="E283" s="75" t="s">
        <v>2050</v>
      </c>
      <c r="F283" s="75" t="s">
        <v>2051</v>
      </c>
      <c r="G283" s="75">
        <v>49.6</v>
      </c>
      <c r="H283" s="75">
        <v>0.64</v>
      </c>
      <c r="I283" s="211" t="s">
        <v>2052</v>
      </c>
    </row>
    <row r="284" spans="3:9" ht="28.8">
      <c r="D284" s="75" t="s">
        <v>2053</v>
      </c>
      <c r="E284" s="75" t="s">
        <v>2054</v>
      </c>
      <c r="F284" s="75" t="s">
        <v>2055</v>
      </c>
      <c r="G284" s="75">
        <v>62.1</v>
      </c>
      <c r="H284" s="75">
        <v>1.02</v>
      </c>
      <c r="I284" s="211" t="s">
        <v>2056</v>
      </c>
    </row>
    <row r="285" spans="3:9" ht="28.8">
      <c r="D285" s="75" t="s">
        <v>2057</v>
      </c>
      <c r="E285" s="75" t="s">
        <v>2058</v>
      </c>
      <c r="F285" s="75" t="s">
        <v>2055</v>
      </c>
      <c r="G285" s="75">
        <v>47.3</v>
      </c>
      <c r="H285" s="75" t="s">
        <v>2059</v>
      </c>
      <c r="I285" s="211" t="s">
        <v>2060</v>
      </c>
    </row>
    <row r="286" spans="3:9" ht="28.8">
      <c r="D286" s="75" t="s">
        <v>2061</v>
      </c>
      <c r="E286" s="75" t="s">
        <v>2062</v>
      </c>
      <c r="F286" s="211" t="s">
        <v>2063</v>
      </c>
      <c r="G286" s="75">
        <v>63</v>
      </c>
      <c r="H286" s="75">
        <v>0.64</v>
      </c>
      <c r="I286" s="211" t="s">
        <v>2064</v>
      </c>
    </row>
    <row r="287" spans="3:9" ht="28.8">
      <c r="D287" s="75" t="s">
        <v>2065</v>
      </c>
      <c r="E287" s="75" t="s">
        <v>2066</v>
      </c>
      <c r="F287" s="75" t="s">
        <v>2055</v>
      </c>
      <c r="G287" s="75">
        <v>33.799999999999997</v>
      </c>
      <c r="H287" s="75">
        <v>0.63</v>
      </c>
      <c r="I287" s="211" t="s">
        <v>2067</v>
      </c>
    </row>
    <row r="288" spans="3:9" ht="28.8">
      <c r="D288" s="75" t="s">
        <v>2068</v>
      </c>
      <c r="E288" s="75" t="s">
        <v>2069</v>
      </c>
      <c r="F288" s="211" t="s">
        <v>2070</v>
      </c>
      <c r="G288" s="75">
        <v>23.4</v>
      </c>
      <c r="H288" s="75">
        <v>0.115</v>
      </c>
      <c r="I288" s="211" t="s">
        <v>2071</v>
      </c>
    </row>
    <row r="289" spans="1:9" ht="28.8">
      <c r="D289" s="75" t="s">
        <v>2072</v>
      </c>
      <c r="E289" s="75" t="s">
        <v>2073</v>
      </c>
      <c r="F289" s="75" t="s">
        <v>2055</v>
      </c>
      <c r="G289" s="75">
        <v>22.2</v>
      </c>
      <c r="H289" s="75">
        <v>0.56999999999999995</v>
      </c>
      <c r="I289" s="211" t="s">
        <v>2074</v>
      </c>
    </row>
    <row r="290" spans="1:9" ht="28.2" thickBot="1">
      <c r="D290" s="79" t="s">
        <v>2075</v>
      </c>
      <c r="E290" s="79" t="s">
        <v>2076</v>
      </c>
      <c r="F290" s="79" t="s">
        <v>2077</v>
      </c>
      <c r="G290" s="79">
        <v>8.3000000000000007</v>
      </c>
      <c r="H290" s="214">
        <v>0.7</v>
      </c>
      <c r="I290" s="79" t="s">
        <v>2039</v>
      </c>
    </row>
    <row r="292" spans="1:9">
      <c r="D292" t="s">
        <v>2078</v>
      </c>
    </row>
    <row r="293" spans="1:9">
      <c r="D293" s="212"/>
    </row>
    <row r="294" spans="1:9">
      <c r="D294" s="117" t="s">
        <v>1177</v>
      </c>
      <c r="E294" s="120" t="s">
        <v>2079</v>
      </c>
    </row>
    <row r="296" spans="1:9">
      <c r="D296" s="215" t="s">
        <v>2080</v>
      </c>
      <c r="E296" s="48">
        <v>0.7</v>
      </c>
    </row>
    <row r="297" spans="1:9">
      <c r="D297" s="215" t="s">
        <v>2043</v>
      </c>
      <c r="E297" s="48">
        <v>15.75761403508772</v>
      </c>
    </row>
    <row r="298" spans="1:9">
      <c r="D298" s="215" t="s">
        <v>2044</v>
      </c>
      <c r="E298" s="48">
        <f>E297%*E296</f>
        <v>0.11030329824561402</v>
      </c>
    </row>
    <row r="299" spans="1:9">
      <c r="D299" s="120"/>
    </row>
    <row r="301" spans="1:9">
      <c r="A301" t="s">
        <v>892</v>
      </c>
      <c r="B301" s="154" t="s">
        <v>1887</v>
      </c>
      <c r="C301" t="s">
        <v>638</v>
      </c>
      <c r="D301" t="s">
        <v>883</v>
      </c>
      <c r="E301">
        <v>0.23649999999999999</v>
      </c>
    </row>
    <row r="302" spans="1:9">
      <c r="D302" t="s">
        <v>2003</v>
      </c>
      <c r="E302" s="142">
        <v>4.2252631578947399</v>
      </c>
    </row>
    <row r="303" spans="1:9">
      <c r="D303" s="48" t="s">
        <v>2081</v>
      </c>
      <c r="E303" s="48">
        <f>E302%*E301</f>
        <v>9.9927473684210608E-3</v>
      </c>
    </row>
    <row r="305" spans="1:5">
      <c r="B305" s="154" t="s">
        <v>1960</v>
      </c>
      <c r="C305" t="s">
        <v>638</v>
      </c>
      <c r="D305" t="s">
        <v>883</v>
      </c>
      <c r="E305">
        <v>0.23649999999999999</v>
      </c>
    </row>
    <row r="306" spans="1:5">
      <c r="D306" t="s">
        <v>2005</v>
      </c>
      <c r="E306" s="142">
        <v>10.528140350877193</v>
      </c>
    </row>
    <row r="307" spans="1:5">
      <c r="D307" s="48" t="s">
        <v>2082</v>
      </c>
      <c r="E307" s="48">
        <f>E306%*E305</f>
        <v>2.489905192982456E-2</v>
      </c>
    </row>
    <row r="310" spans="1:5">
      <c r="A310" t="s">
        <v>931</v>
      </c>
      <c r="B310" s="154" t="s">
        <v>1887</v>
      </c>
      <c r="C310" t="s">
        <v>638</v>
      </c>
      <c r="D310" t="s">
        <v>940</v>
      </c>
      <c r="E310">
        <v>0.52103333333333335</v>
      </c>
    </row>
    <row r="311" spans="1:5">
      <c r="D311" t="s">
        <v>2083</v>
      </c>
      <c r="E311">
        <v>8.7905263157894744</v>
      </c>
    </row>
    <row r="312" spans="1:5">
      <c r="D312" s="48" t="s">
        <v>2084</v>
      </c>
      <c r="E312" s="48">
        <f>E310*E311%</f>
        <v>4.5801572280701766E-2</v>
      </c>
    </row>
    <row r="315" spans="1:5">
      <c r="B315" s="154" t="s">
        <v>1960</v>
      </c>
      <c r="C315" t="s">
        <v>638</v>
      </c>
      <c r="D315" t="s">
        <v>940</v>
      </c>
      <c r="E315">
        <v>0.52103333333333335</v>
      </c>
    </row>
    <row r="316" spans="1:5">
      <c r="D316" t="s">
        <v>2085</v>
      </c>
      <c r="E316">
        <v>15.75761403508772</v>
      </c>
    </row>
    <row r="317" spans="1:5">
      <c r="D317" s="48" t="s">
        <v>2086</v>
      </c>
      <c r="E317" s="48">
        <f>E315*E316%</f>
        <v>8.2102421660818714E-2</v>
      </c>
    </row>
    <row r="319" spans="1:5">
      <c r="B319" s="154" t="s">
        <v>1960</v>
      </c>
      <c r="C319" t="s">
        <v>197</v>
      </c>
      <c r="D319" t="s">
        <v>2087</v>
      </c>
    </row>
    <row r="320" spans="1:5">
      <c r="D320" t="s">
        <v>2088</v>
      </c>
    </row>
    <row r="321" spans="1:6">
      <c r="E321" t="s">
        <v>2089</v>
      </c>
    </row>
    <row r="322" spans="1:6">
      <c r="D322" t="s">
        <v>2090</v>
      </c>
    </row>
    <row r="323" spans="1:6">
      <c r="D323" t="s">
        <v>2091</v>
      </c>
      <c r="E323" s="48">
        <f>46.94/1000</f>
        <v>4.6939999999999996E-2</v>
      </c>
    </row>
    <row r="326" spans="1:6">
      <c r="C326" t="s">
        <v>226</v>
      </c>
      <c r="D326" t="s">
        <v>2092</v>
      </c>
    </row>
    <row r="327" spans="1:6">
      <c r="D327" t="s">
        <v>2093</v>
      </c>
    </row>
    <row r="328" spans="1:6">
      <c r="D328" t="s">
        <v>2094</v>
      </c>
      <c r="E328">
        <v>86.7</v>
      </c>
      <c r="F328" t="s">
        <v>2095</v>
      </c>
    </row>
    <row r="329" spans="1:6">
      <c r="D329" t="s">
        <v>2096</v>
      </c>
      <c r="E329" s="142">
        <f>14.17*0.24</f>
        <v>3.4007999999999998</v>
      </c>
    </row>
    <row r="330" spans="1:6">
      <c r="D330" s="48" t="s">
        <v>2097</v>
      </c>
      <c r="E330" s="48">
        <f>E328%*E329%</f>
        <v>2.9484935999999996E-2</v>
      </c>
    </row>
    <row r="333" spans="1:6">
      <c r="A333" t="s">
        <v>1731</v>
      </c>
      <c r="B333" t="s">
        <v>1887</v>
      </c>
      <c r="C333" t="s">
        <v>638</v>
      </c>
      <c r="D333" t="s">
        <v>984</v>
      </c>
    </row>
    <row r="334" spans="1:6">
      <c r="D334" t="s">
        <v>985</v>
      </c>
    </row>
    <row r="335" spans="1:6" ht="15.6">
      <c r="D335" s="199" t="s">
        <v>986</v>
      </c>
    </row>
    <row r="336" spans="1:6">
      <c r="D336" t="s">
        <v>987</v>
      </c>
      <c r="E336">
        <v>0.76</v>
      </c>
    </row>
    <row r="337" spans="2:13">
      <c r="D337" t="s">
        <v>2098</v>
      </c>
      <c r="E337">
        <v>11.640526315789474</v>
      </c>
    </row>
    <row r="338" spans="2:13">
      <c r="D338" s="48" t="s">
        <v>2099</v>
      </c>
      <c r="E338" s="48">
        <f>E336*E337%</f>
        <v>8.8468000000000005E-2</v>
      </c>
    </row>
    <row r="341" spans="2:13">
      <c r="B341" t="s">
        <v>1960</v>
      </c>
      <c r="C341" t="s">
        <v>197</v>
      </c>
      <c r="D341" t="s">
        <v>2100</v>
      </c>
    </row>
    <row r="342" spans="2:13">
      <c r="D342" t="s">
        <v>2101</v>
      </c>
    </row>
    <row r="343" spans="2:13" ht="15" thickBot="1">
      <c r="D343" s="22" t="s">
        <v>2102</v>
      </c>
    </row>
    <row r="344" spans="2:13" ht="48.75" customHeight="1">
      <c r="D344" s="531" t="s">
        <v>2103</v>
      </c>
      <c r="E344" s="531" t="s">
        <v>2104</v>
      </c>
      <c r="F344" s="76" t="s">
        <v>2105</v>
      </c>
      <c r="G344" s="581" t="s">
        <v>2106</v>
      </c>
      <c r="H344" s="238" t="s">
        <v>2107</v>
      </c>
      <c r="I344" s="238" t="s">
        <v>2108</v>
      </c>
      <c r="J344" s="531" t="s">
        <v>2109</v>
      </c>
      <c r="K344" s="581" t="s">
        <v>2110</v>
      </c>
      <c r="L344" s="581" t="s">
        <v>2111</v>
      </c>
      <c r="M344" s="531" t="s">
        <v>2112</v>
      </c>
    </row>
    <row r="345" spans="2:13" ht="15" thickBot="1">
      <c r="D345" s="544"/>
      <c r="E345" s="544"/>
      <c r="F345" s="12" t="s">
        <v>588</v>
      </c>
      <c r="G345" s="582"/>
      <c r="H345" s="12" t="s">
        <v>589</v>
      </c>
      <c r="I345" s="12" t="s">
        <v>2113</v>
      </c>
      <c r="J345" s="544"/>
      <c r="K345" s="582"/>
      <c r="L345" s="582"/>
      <c r="M345" s="544"/>
    </row>
    <row r="346" spans="2:13">
      <c r="D346" s="15">
        <v>1</v>
      </c>
      <c r="E346" s="74">
        <v>200</v>
      </c>
      <c r="F346" s="74">
        <v>3</v>
      </c>
      <c r="G346" s="74">
        <v>59.4</v>
      </c>
      <c r="H346" s="74">
        <v>0.96</v>
      </c>
      <c r="I346" s="74">
        <v>1.05</v>
      </c>
      <c r="J346" s="74">
        <v>28.3</v>
      </c>
      <c r="K346" s="74">
        <v>1.38</v>
      </c>
      <c r="L346" s="74">
        <v>0.55000000000000004</v>
      </c>
      <c r="M346" s="74">
        <v>98</v>
      </c>
    </row>
    <row r="347" spans="2:13">
      <c r="D347" s="15">
        <v>2</v>
      </c>
      <c r="E347" s="74">
        <v>200</v>
      </c>
      <c r="F347" s="74">
        <v>5</v>
      </c>
      <c r="G347" s="74">
        <v>61.7</v>
      </c>
      <c r="H347" s="74">
        <v>0.91</v>
      </c>
      <c r="I347" s="74">
        <v>1.19</v>
      </c>
      <c r="J347" s="74">
        <v>41.4</v>
      </c>
      <c r="K347" s="74">
        <v>1.95</v>
      </c>
      <c r="L347" s="74">
        <v>0.62</v>
      </c>
      <c r="M347" s="74">
        <v>97</v>
      </c>
    </row>
    <row r="348" spans="2:13">
      <c r="D348" s="15">
        <v>3</v>
      </c>
      <c r="E348" s="74">
        <v>200</v>
      </c>
      <c r="F348" s="74">
        <v>8</v>
      </c>
      <c r="G348" s="74">
        <v>77.7</v>
      </c>
      <c r="H348" s="74">
        <v>0.93</v>
      </c>
      <c r="I348" s="74">
        <v>1.66</v>
      </c>
      <c r="J348" s="74">
        <v>77.3</v>
      </c>
      <c r="K348" s="74">
        <v>2.72</v>
      </c>
      <c r="L348" s="74">
        <v>0.91</v>
      </c>
      <c r="M348" s="74">
        <v>98</v>
      </c>
    </row>
    <row r="349" spans="2:13">
      <c r="D349" s="15">
        <v>4</v>
      </c>
      <c r="E349" s="74">
        <v>200</v>
      </c>
      <c r="F349" s="74">
        <v>10</v>
      </c>
      <c r="G349" s="74">
        <v>80.8</v>
      </c>
      <c r="H349" s="74">
        <v>0.94</v>
      </c>
      <c r="I349" s="74">
        <v>1.73</v>
      </c>
      <c r="J349" s="74">
        <v>85.8</v>
      </c>
      <c r="K349" s="74">
        <v>4.7</v>
      </c>
      <c r="L349" s="74">
        <v>1.02</v>
      </c>
      <c r="M349" s="74">
        <v>97</v>
      </c>
    </row>
    <row r="350" spans="2:13">
      <c r="D350" s="15">
        <v>5</v>
      </c>
      <c r="E350" s="74">
        <v>400</v>
      </c>
      <c r="F350" s="74">
        <v>10</v>
      </c>
      <c r="G350" s="74">
        <v>84</v>
      </c>
      <c r="H350" s="74">
        <v>0.95</v>
      </c>
      <c r="I350" s="74">
        <v>2</v>
      </c>
      <c r="J350" s="74">
        <v>91.2</v>
      </c>
      <c r="K350" s="74">
        <v>7</v>
      </c>
      <c r="L350" s="74">
        <v>1.25</v>
      </c>
      <c r="M350" s="74">
        <v>98</v>
      </c>
    </row>
    <row r="351" spans="2:13">
      <c r="D351" s="15">
        <v>6</v>
      </c>
      <c r="E351" s="74">
        <v>600</v>
      </c>
      <c r="F351" s="74">
        <v>10</v>
      </c>
      <c r="G351" s="74">
        <v>87.3</v>
      </c>
      <c r="H351" s="74">
        <v>0.95</v>
      </c>
      <c r="I351" s="74">
        <v>2.31</v>
      </c>
      <c r="J351" s="74">
        <v>96.1</v>
      </c>
      <c r="K351" s="74">
        <v>7.04</v>
      </c>
      <c r="L351" s="74">
        <v>1.31</v>
      </c>
      <c r="M351" s="74">
        <v>97</v>
      </c>
    </row>
    <row r="352" spans="2:13" ht="15" thickBot="1">
      <c r="D352" s="12">
        <v>7</v>
      </c>
      <c r="E352" s="78">
        <v>800</v>
      </c>
      <c r="F352" s="78">
        <v>10</v>
      </c>
      <c r="G352" s="78">
        <v>86.7</v>
      </c>
      <c r="H352" s="78">
        <v>0.94</v>
      </c>
      <c r="I352" s="78">
        <v>2.3199999999999998</v>
      </c>
      <c r="J352" s="78">
        <v>99.3</v>
      </c>
      <c r="K352" s="78">
        <v>7.29</v>
      </c>
      <c r="L352" s="78">
        <v>1.5</v>
      </c>
      <c r="M352" s="78">
        <v>97</v>
      </c>
    </row>
    <row r="357" spans="3:5">
      <c r="D357" t="s">
        <v>1181</v>
      </c>
      <c r="E357">
        <f>AVERAGE(G346:G352)</f>
        <v>76.8</v>
      </c>
    </row>
    <row r="358" spans="3:5">
      <c r="D358" t="s">
        <v>2043</v>
      </c>
      <c r="E358">
        <v>15.75761403508772</v>
      </c>
    </row>
    <row r="359" spans="3:5">
      <c r="D359" s="48" t="s">
        <v>2114</v>
      </c>
      <c r="E359" s="48">
        <f>E358%*E357%</f>
        <v>0.12101847578947368</v>
      </c>
    </row>
    <row r="361" spans="3:5">
      <c r="C361" t="s">
        <v>226</v>
      </c>
      <c r="D361" t="s">
        <v>2115</v>
      </c>
    </row>
    <row r="362" spans="3:5">
      <c r="D362" t="s">
        <v>2116</v>
      </c>
    </row>
    <row r="363" spans="3:5">
      <c r="D363" t="s">
        <v>2117</v>
      </c>
    </row>
    <row r="364" spans="3:5">
      <c r="D364" t="s">
        <v>2118</v>
      </c>
    </row>
    <row r="365" spans="3:5">
      <c r="D365" t="s">
        <v>1181</v>
      </c>
      <c r="E365">
        <v>88</v>
      </c>
    </row>
    <row r="366" spans="3:5">
      <c r="D366" t="s">
        <v>2043</v>
      </c>
      <c r="E366">
        <v>15.75761403508772</v>
      </c>
    </row>
    <row r="367" spans="3:5">
      <c r="D367" s="48" t="s">
        <v>2114</v>
      </c>
      <c r="E367" s="48">
        <f>E366%*E365%</f>
        <v>0.13866700350877192</v>
      </c>
    </row>
    <row r="369" spans="3:13">
      <c r="C369" t="s">
        <v>396</v>
      </c>
      <c r="D369" t="s">
        <v>2119</v>
      </c>
    </row>
    <row r="370" spans="3:13">
      <c r="D370" t="s">
        <v>2120</v>
      </c>
    </row>
    <row r="377" spans="3:13" ht="15" thickBot="1">
      <c r="D377" s="61" t="s">
        <v>2121</v>
      </c>
    </row>
    <row r="378" spans="3:13" ht="16.5" customHeight="1">
      <c r="D378" s="540" t="s">
        <v>2122</v>
      </c>
      <c r="E378" s="542" t="s">
        <v>2123</v>
      </c>
      <c r="F378" s="542"/>
      <c r="G378" s="542" t="s">
        <v>2124</v>
      </c>
      <c r="H378" s="542"/>
      <c r="I378" s="542" t="s">
        <v>2125</v>
      </c>
      <c r="J378" s="543"/>
    </row>
    <row r="379" spans="3:13" ht="31.2">
      <c r="D379" s="541"/>
      <c r="E379" s="283" t="s">
        <v>2126</v>
      </c>
      <c r="F379" s="283" t="s">
        <v>156</v>
      </c>
      <c r="G379" s="283" t="s">
        <v>2126</v>
      </c>
      <c r="H379" s="283" t="s">
        <v>156</v>
      </c>
      <c r="I379" s="283" t="s">
        <v>2126</v>
      </c>
      <c r="J379" s="64" t="s">
        <v>156</v>
      </c>
    </row>
    <row r="380" spans="3:13" ht="31.2">
      <c r="D380" s="181">
        <v>2246</v>
      </c>
      <c r="E380" s="185" t="s">
        <v>2127</v>
      </c>
      <c r="F380" t="s">
        <v>2128</v>
      </c>
      <c r="G380" s="185" t="s">
        <v>2129</v>
      </c>
      <c r="H380" t="s">
        <v>2130</v>
      </c>
      <c r="I380" s="185" t="s">
        <v>2131</v>
      </c>
      <c r="J380" s="242" t="s">
        <v>2132</v>
      </c>
      <c r="K380" s="239">
        <v>37.061</v>
      </c>
    </row>
    <row r="381" spans="3:13" ht="31.2">
      <c r="D381" s="181">
        <v>2240</v>
      </c>
      <c r="E381" s="185" t="s">
        <v>2133</v>
      </c>
      <c r="F381" t="s">
        <v>2134</v>
      </c>
      <c r="G381" s="185" t="s">
        <v>2135</v>
      </c>
      <c r="H381" t="s">
        <v>2136</v>
      </c>
      <c r="I381" s="185" t="s">
        <v>2137</v>
      </c>
      <c r="J381" s="242" t="s">
        <v>2138</v>
      </c>
      <c r="K381" s="239">
        <v>34.58</v>
      </c>
    </row>
    <row r="382" spans="3:13" ht="31.2">
      <c r="D382" s="181">
        <v>1019</v>
      </c>
      <c r="E382" s="185" t="s">
        <v>2139</v>
      </c>
      <c r="F382" t="s">
        <v>2140</v>
      </c>
      <c r="G382" s="185" t="s">
        <v>2141</v>
      </c>
      <c r="H382" t="s">
        <v>2142</v>
      </c>
      <c r="I382" s="185" t="s">
        <v>2143</v>
      </c>
      <c r="J382" s="242" t="s">
        <v>2144</v>
      </c>
      <c r="K382" s="239">
        <v>34.58</v>
      </c>
    </row>
    <row r="383" spans="3:13" ht="31.2">
      <c r="D383" s="181" t="s">
        <v>2145</v>
      </c>
      <c r="E383" s="185" t="s">
        <v>2146</v>
      </c>
      <c r="F383" s="185" t="s">
        <v>2146</v>
      </c>
      <c r="G383" s="185" t="s">
        <v>2146</v>
      </c>
      <c r="H383" s="185" t="s">
        <v>2146</v>
      </c>
      <c r="I383" s="185" t="s">
        <v>2147</v>
      </c>
      <c r="J383" s="256" t="s">
        <v>2148</v>
      </c>
      <c r="K383" s="185">
        <v>39.555</v>
      </c>
      <c r="M383" s="185"/>
    </row>
    <row r="384" spans="3:13" ht="31.2">
      <c r="D384" s="181" t="s">
        <v>2149</v>
      </c>
      <c r="E384" s="185" t="s">
        <v>2146</v>
      </c>
      <c r="F384" s="185" t="s">
        <v>2146</v>
      </c>
      <c r="G384" s="185" t="s">
        <v>2146</v>
      </c>
      <c r="H384" s="185" t="s">
        <v>2146</v>
      </c>
      <c r="I384" s="185" t="s">
        <v>2150</v>
      </c>
      <c r="J384" s="256" t="s">
        <v>2151</v>
      </c>
      <c r="K384" s="185">
        <v>39.807000000000002</v>
      </c>
      <c r="M384" s="185"/>
    </row>
    <row r="385" spans="3:13" ht="31.2">
      <c r="D385" s="181" t="s">
        <v>2152</v>
      </c>
      <c r="E385" s="185" t="s">
        <v>2146</v>
      </c>
      <c r="F385" s="185" t="s">
        <v>2146</v>
      </c>
      <c r="G385" s="185" t="s">
        <v>2146</v>
      </c>
      <c r="H385" s="185" t="s">
        <v>2146</v>
      </c>
      <c r="I385" s="185" t="s">
        <v>2153</v>
      </c>
      <c r="J385" s="256" t="s">
        <v>2154</v>
      </c>
      <c r="K385" s="185">
        <v>37.795000000000002</v>
      </c>
      <c r="M385" s="185"/>
    </row>
    <row r="386" spans="3:13" ht="31.2">
      <c r="D386" s="181" t="s">
        <v>2155</v>
      </c>
      <c r="E386" s="583" t="s">
        <v>2156</v>
      </c>
      <c r="F386" s="583"/>
      <c r="G386" s="583"/>
      <c r="H386" s="583"/>
      <c r="I386" s="185" t="s">
        <v>2157</v>
      </c>
      <c r="J386" s="256" t="s">
        <v>2158</v>
      </c>
      <c r="K386" s="185">
        <v>38.523000000000003</v>
      </c>
      <c r="M386" s="185"/>
    </row>
    <row r="387" spans="3:13" ht="31.2">
      <c r="D387" s="181" t="s">
        <v>2159</v>
      </c>
      <c r="E387" s="583" t="s">
        <v>2160</v>
      </c>
      <c r="F387" s="583"/>
      <c r="G387" s="583"/>
      <c r="H387" s="583"/>
      <c r="I387" s="185" t="s">
        <v>2157</v>
      </c>
      <c r="J387" s="256" t="s">
        <v>2158</v>
      </c>
      <c r="K387" s="185">
        <v>38.523000000000003</v>
      </c>
      <c r="M387" s="185"/>
    </row>
    <row r="388" spans="3:13" ht="31.8" thickBot="1">
      <c r="D388" s="240" t="s">
        <v>2161</v>
      </c>
      <c r="E388" s="584" t="s">
        <v>2160</v>
      </c>
      <c r="F388" s="584"/>
      <c r="G388" s="584"/>
      <c r="H388" s="584"/>
      <c r="I388" s="241" t="s">
        <v>2162</v>
      </c>
      <c r="J388" s="257" t="s">
        <v>2163</v>
      </c>
      <c r="K388" s="241">
        <v>38.631</v>
      </c>
      <c r="M388" s="185"/>
    </row>
    <row r="389" spans="3:13" ht="15.6">
      <c r="D389" s="65" t="s">
        <v>2164</v>
      </c>
    </row>
    <row r="390" spans="3:13" ht="15.6">
      <c r="D390" s="185" t="s">
        <v>1181</v>
      </c>
      <c r="E390">
        <f>AVERAGE(K380:K388)</f>
        <v>37.672777777777782</v>
      </c>
    </row>
    <row r="391" spans="3:13">
      <c r="D391" t="s">
        <v>2043</v>
      </c>
      <c r="E391">
        <v>15.75761403508772</v>
      </c>
    </row>
    <row r="392" spans="3:13">
      <c r="D392" s="48" t="s">
        <v>2114</v>
      </c>
      <c r="E392" s="48">
        <f>E391%*E390%</f>
        <v>5.936330918518519E-2</v>
      </c>
    </row>
    <row r="395" spans="3:13">
      <c r="C395" t="s">
        <v>420</v>
      </c>
      <c r="D395" t="s">
        <v>2165</v>
      </c>
    </row>
    <row r="396" spans="3:13">
      <c r="D396" t="s">
        <v>2166</v>
      </c>
    </row>
    <row r="402" spans="4:11">
      <c r="D402" t="s">
        <v>2167</v>
      </c>
    </row>
    <row r="403" spans="4:11">
      <c r="D403" t="s">
        <v>2168</v>
      </c>
    </row>
    <row r="404" spans="4:11">
      <c r="D404" t="s">
        <v>2103</v>
      </c>
      <c r="E404" t="s">
        <v>1490</v>
      </c>
      <c r="F404" t="s">
        <v>2169</v>
      </c>
      <c r="G404" s="204" t="s">
        <v>2170</v>
      </c>
      <c r="H404" t="s">
        <v>2171</v>
      </c>
      <c r="I404" t="s">
        <v>2172</v>
      </c>
      <c r="J404" t="s">
        <v>2173</v>
      </c>
      <c r="K404" t="s">
        <v>2174</v>
      </c>
    </row>
    <row r="405" spans="4:11">
      <c r="D405">
        <v>1</v>
      </c>
      <c r="E405">
        <v>35</v>
      </c>
      <c r="F405" t="s">
        <v>2175</v>
      </c>
      <c r="G405" t="s">
        <v>2176</v>
      </c>
      <c r="H405" t="s">
        <v>2177</v>
      </c>
      <c r="I405" t="s">
        <v>2178</v>
      </c>
      <c r="J405" t="s">
        <v>2179</v>
      </c>
      <c r="K405" t="s">
        <v>2180</v>
      </c>
    </row>
    <row r="406" spans="4:11">
      <c r="D406">
        <v>2</v>
      </c>
      <c r="E406">
        <v>37</v>
      </c>
      <c r="F406" t="s">
        <v>2181</v>
      </c>
      <c r="G406" t="s">
        <v>2182</v>
      </c>
      <c r="H406" t="s">
        <v>2183</v>
      </c>
      <c r="I406" t="s">
        <v>2184</v>
      </c>
      <c r="J406" t="s">
        <v>2185</v>
      </c>
      <c r="K406" t="s">
        <v>2186</v>
      </c>
    </row>
    <row r="407" spans="4:11">
      <c r="D407">
        <v>3</v>
      </c>
      <c r="E407">
        <v>40</v>
      </c>
      <c r="F407" t="s">
        <v>2187</v>
      </c>
      <c r="G407" t="s">
        <v>2188</v>
      </c>
      <c r="H407" t="s">
        <v>2189</v>
      </c>
      <c r="I407" t="s">
        <v>2190</v>
      </c>
      <c r="J407" t="s">
        <v>2185</v>
      </c>
      <c r="K407" t="s">
        <v>2191</v>
      </c>
    </row>
    <row r="408" spans="4:11">
      <c r="D408">
        <v>4</v>
      </c>
      <c r="E408">
        <v>43</v>
      </c>
      <c r="F408" t="s">
        <v>2192</v>
      </c>
      <c r="G408" t="s">
        <v>2176</v>
      </c>
      <c r="H408" t="s">
        <v>2193</v>
      </c>
      <c r="I408" t="s">
        <v>2194</v>
      </c>
      <c r="J408" t="s">
        <v>2195</v>
      </c>
      <c r="K408" t="s">
        <v>2196</v>
      </c>
    </row>
    <row r="409" spans="4:11">
      <c r="D409">
        <v>5</v>
      </c>
      <c r="E409">
        <v>47</v>
      </c>
      <c r="F409" t="s">
        <v>2197</v>
      </c>
      <c r="G409" t="s">
        <v>2198</v>
      </c>
      <c r="H409" t="s">
        <v>2199</v>
      </c>
      <c r="I409" t="s">
        <v>2200</v>
      </c>
      <c r="J409" t="s">
        <v>2201</v>
      </c>
      <c r="K409" t="s">
        <v>2202</v>
      </c>
    </row>
    <row r="410" spans="4:11">
      <c r="E410" t="s">
        <v>2203</v>
      </c>
      <c r="F410" t="s">
        <v>2169</v>
      </c>
      <c r="G410" t="s">
        <v>2204</v>
      </c>
      <c r="H410" t="s">
        <v>2171</v>
      </c>
      <c r="I410" t="s">
        <v>2172</v>
      </c>
      <c r="J410" t="s">
        <v>2173</v>
      </c>
      <c r="K410" t="s">
        <v>2205</v>
      </c>
    </row>
    <row r="411" spans="4:11">
      <c r="D411">
        <v>6</v>
      </c>
      <c r="E411">
        <v>5</v>
      </c>
      <c r="F411" t="s">
        <v>2206</v>
      </c>
      <c r="G411" t="s">
        <v>2207</v>
      </c>
      <c r="H411" t="s">
        <v>2208</v>
      </c>
      <c r="I411" t="s">
        <v>2209</v>
      </c>
      <c r="J411" t="s">
        <v>2210</v>
      </c>
      <c r="K411" t="s">
        <v>2211</v>
      </c>
    </row>
    <row r="412" spans="4:11">
      <c r="D412">
        <v>7</v>
      </c>
      <c r="E412">
        <v>5.2</v>
      </c>
      <c r="F412" t="s">
        <v>2212</v>
      </c>
      <c r="G412" t="s">
        <v>2213</v>
      </c>
      <c r="H412" t="s">
        <v>2214</v>
      </c>
      <c r="I412" t="s">
        <v>2215</v>
      </c>
      <c r="J412" t="s">
        <v>2216</v>
      </c>
      <c r="K412" t="s">
        <v>2217</v>
      </c>
    </row>
    <row r="413" spans="4:11">
      <c r="D413">
        <v>8</v>
      </c>
      <c r="E413">
        <v>5.5</v>
      </c>
      <c r="F413" t="s">
        <v>2218</v>
      </c>
      <c r="G413" t="s">
        <v>2219</v>
      </c>
      <c r="H413" t="s">
        <v>2220</v>
      </c>
      <c r="I413" t="s">
        <v>2221</v>
      </c>
      <c r="J413" t="s">
        <v>2222</v>
      </c>
      <c r="K413" t="s">
        <v>2223</v>
      </c>
    </row>
    <row r="414" spans="4:11">
      <c r="D414">
        <v>9</v>
      </c>
      <c r="E414">
        <v>5.8</v>
      </c>
      <c r="F414" t="s">
        <v>2224</v>
      </c>
      <c r="G414" t="s">
        <v>2225</v>
      </c>
      <c r="H414" t="s">
        <v>2226</v>
      </c>
      <c r="I414" t="s">
        <v>2227</v>
      </c>
      <c r="J414" t="s">
        <v>2228</v>
      </c>
      <c r="K414" t="s">
        <v>2229</v>
      </c>
    </row>
    <row r="415" spans="4:11">
      <c r="D415">
        <v>10</v>
      </c>
      <c r="E415">
        <v>6</v>
      </c>
      <c r="F415" t="s">
        <v>2230</v>
      </c>
      <c r="G415" t="s">
        <v>2231</v>
      </c>
      <c r="H415" t="s">
        <v>2232</v>
      </c>
      <c r="I415" t="s">
        <v>2233</v>
      </c>
      <c r="J415" t="s">
        <v>2234</v>
      </c>
      <c r="K415" t="s">
        <v>2235</v>
      </c>
    </row>
    <row r="416" spans="4:11">
      <c r="D416">
        <v>11</v>
      </c>
      <c r="E416">
        <v>6.2</v>
      </c>
      <c r="F416" t="s">
        <v>2236</v>
      </c>
      <c r="G416" t="s">
        <v>2237</v>
      </c>
      <c r="H416" t="s">
        <v>2238</v>
      </c>
      <c r="I416" t="s">
        <v>2239</v>
      </c>
      <c r="J416" t="s">
        <v>2240</v>
      </c>
      <c r="K416" t="s">
        <v>2241</v>
      </c>
    </row>
    <row r="417" spans="4:11">
      <c r="D417">
        <v>12</v>
      </c>
      <c r="E417" t="s">
        <v>2242</v>
      </c>
      <c r="F417" t="s">
        <v>2243</v>
      </c>
      <c r="G417" t="s">
        <v>2244</v>
      </c>
      <c r="H417" t="s">
        <v>2245</v>
      </c>
      <c r="I417" t="s">
        <v>2246</v>
      </c>
      <c r="J417" t="s">
        <v>2247</v>
      </c>
      <c r="K417" t="s">
        <v>2248</v>
      </c>
    </row>
    <row r="418" spans="4:11">
      <c r="D418">
        <v>13</v>
      </c>
      <c r="E418" t="s">
        <v>2249</v>
      </c>
      <c r="F418" t="s">
        <v>2250</v>
      </c>
      <c r="G418" t="s">
        <v>2251</v>
      </c>
      <c r="H418" t="s">
        <v>2252</v>
      </c>
      <c r="I418" t="s">
        <v>2253</v>
      </c>
      <c r="J418" t="s">
        <v>2179</v>
      </c>
      <c r="K418" t="s">
        <v>2254</v>
      </c>
    </row>
    <row r="419" spans="4:11">
      <c r="D419" t="s">
        <v>2255</v>
      </c>
    </row>
    <row r="420" spans="4:11">
      <c r="D420" t="s">
        <v>2256</v>
      </c>
    </row>
    <row r="421" spans="4:11">
      <c r="E421" s="204" t="s">
        <v>2170</v>
      </c>
    </row>
    <row r="422" spans="4:11">
      <c r="E422">
        <v>0.84</v>
      </c>
    </row>
    <row r="423" spans="4:11">
      <c r="E423">
        <v>0.85</v>
      </c>
    </row>
    <row r="424" spans="4:11">
      <c r="E424">
        <v>0.88</v>
      </c>
    </row>
    <row r="425" spans="4:11">
      <c r="E425">
        <v>0.84</v>
      </c>
    </row>
    <row r="426" spans="4:11">
      <c r="E426">
        <v>0.82</v>
      </c>
    </row>
    <row r="427" spans="4:11">
      <c r="E427">
        <v>0.75</v>
      </c>
    </row>
    <row r="428" spans="4:11">
      <c r="E428">
        <v>0.75</v>
      </c>
    </row>
    <row r="429" spans="4:11">
      <c r="E429">
        <v>0.87</v>
      </c>
    </row>
    <row r="430" spans="4:11">
      <c r="E430">
        <v>0.88</v>
      </c>
    </row>
    <row r="431" spans="4:11">
      <c r="E431">
        <v>0.87</v>
      </c>
    </row>
    <row r="432" spans="4:11">
      <c r="E432">
        <v>0.87</v>
      </c>
    </row>
    <row r="433" spans="3:5">
      <c r="E433">
        <v>0.86</v>
      </c>
    </row>
    <row r="434" spans="3:5">
      <c r="E434">
        <v>0.83</v>
      </c>
    </row>
    <row r="435" spans="3:5">
      <c r="D435" t="s">
        <v>510</v>
      </c>
      <c r="E435">
        <f>AVERAGE(E422:E434)</f>
        <v>0.83923076923076911</v>
      </c>
    </row>
    <row r="436" spans="3:5">
      <c r="D436" t="s">
        <v>2043</v>
      </c>
      <c r="E436">
        <v>15.75761403508772</v>
      </c>
    </row>
    <row r="437" spans="3:5">
      <c r="D437" s="48" t="s">
        <v>2114</v>
      </c>
      <c r="E437" s="48">
        <f>E436%*E435</f>
        <v>0.1322427454790823</v>
      </c>
    </row>
    <row r="440" spans="3:5">
      <c r="C440" t="s">
        <v>425</v>
      </c>
      <c r="D440" t="s">
        <v>2257</v>
      </c>
    </row>
    <row r="441" spans="3:5">
      <c r="D441" t="s">
        <v>2258</v>
      </c>
    </row>
    <row r="446" spans="3:5" ht="19.2">
      <c r="D446" s="103" t="s">
        <v>2259</v>
      </c>
    </row>
    <row r="448" spans="3:5" ht="15.6">
      <c r="D448" s="185" t="s">
        <v>2260</v>
      </c>
      <c r="E448">
        <f>88</f>
        <v>88</v>
      </c>
    </row>
    <row r="449" spans="1:5">
      <c r="D449" t="s">
        <v>2043</v>
      </c>
      <c r="E449">
        <v>15.75761403508772</v>
      </c>
    </row>
    <row r="450" spans="1:5">
      <c r="D450" s="48" t="s">
        <v>2114</v>
      </c>
      <c r="E450" s="48">
        <f>E449%*E448%</f>
        <v>0.13866700350877192</v>
      </c>
    </row>
    <row r="453" spans="1:5">
      <c r="A453" t="s">
        <v>1186</v>
      </c>
      <c r="B453" t="s">
        <v>1887</v>
      </c>
      <c r="C453" t="s">
        <v>638</v>
      </c>
      <c r="D453" t="s">
        <v>1187</v>
      </c>
    </row>
    <row r="454" spans="1:5">
      <c r="D454" t="s">
        <v>1188</v>
      </c>
    </row>
    <row r="455" spans="1:5">
      <c r="D455" t="s">
        <v>1194</v>
      </c>
      <c r="E455">
        <v>95.2</v>
      </c>
    </row>
    <row r="456" spans="1:5">
      <c r="D456" t="s">
        <v>1193</v>
      </c>
      <c r="E456">
        <v>0.96257777777777775</v>
      </c>
    </row>
    <row r="457" spans="1:5">
      <c r="D457" s="48" t="s">
        <v>2261</v>
      </c>
      <c r="E457" s="48">
        <v>8.7905263157894744</v>
      </c>
    </row>
    <row r="458" spans="1:5">
      <c r="D458" s="48" t="s">
        <v>2262</v>
      </c>
      <c r="E458" s="48">
        <f>E456*E457%</f>
        <v>8.461565286549709E-2</v>
      </c>
    </row>
    <row r="461" spans="1:5">
      <c r="A461" t="s">
        <v>1186</v>
      </c>
      <c r="B461" t="s">
        <v>1960</v>
      </c>
      <c r="C461" t="s">
        <v>638</v>
      </c>
      <c r="D461" t="s">
        <v>1187</v>
      </c>
    </row>
    <row r="462" spans="1:5">
      <c r="D462" t="s">
        <v>1188</v>
      </c>
    </row>
    <row r="463" spans="1:5">
      <c r="D463" t="s">
        <v>1194</v>
      </c>
      <c r="E463">
        <v>95.2</v>
      </c>
    </row>
    <row r="464" spans="1:5">
      <c r="D464" t="s">
        <v>1193</v>
      </c>
      <c r="E464">
        <v>0.96257777777777775</v>
      </c>
    </row>
    <row r="465" spans="1:5">
      <c r="D465" s="48" t="s">
        <v>2263</v>
      </c>
      <c r="E465" s="48">
        <v>15.75761403508772</v>
      </c>
    </row>
    <row r="466" spans="1:5">
      <c r="D466" s="48" t="s">
        <v>2264</v>
      </c>
      <c r="E466" s="48">
        <f>E464*E465%</f>
        <v>0.15167929100974659</v>
      </c>
    </row>
    <row r="469" spans="1:5">
      <c r="A469" t="s">
        <v>1201</v>
      </c>
      <c r="B469" t="s">
        <v>1887</v>
      </c>
      <c r="C469" t="s">
        <v>638</v>
      </c>
      <c r="D469" t="s">
        <v>1202</v>
      </c>
    </row>
    <row r="470" spans="1:5">
      <c r="D470" t="s">
        <v>1203</v>
      </c>
    </row>
    <row r="471" spans="1:5">
      <c r="D471" t="s">
        <v>1205</v>
      </c>
      <c r="E471">
        <v>0.48590909090909096</v>
      </c>
    </row>
    <row r="472" spans="1:5">
      <c r="D472" s="48" t="s">
        <v>2265</v>
      </c>
      <c r="E472" s="48">
        <v>2.85</v>
      </c>
    </row>
    <row r="473" spans="1:5">
      <c r="D473" s="48" t="s">
        <v>2266</v>
      </c>
      <c r="E473" s="48">
        <f>E471*E472%</f>
        <v>1.3848409090909094E-2</v>
      </c>
    </row>
    <row r="475" spans="1:5">
      <c r="A475" t="s">
        <v>1201</v>
      </c>
      <c r="B475" t="s">
        <v>1960</v>
      </c>
      <c r="C475" t="s">
        <v>638</v>
      </c>
      <c r="D475" t="s">
        <v>1202</v>
      </c>
    </row>
    <row r="476" spans="1:5">
      <c r="D476" t="s">
        <v>1203</v>
      </c>
    </row>
    <row r="477" spans="1:5">
      <c r="D477" t="s">
        <v>1205</v>
      </c>
      <c r="E477">
        <v>0.48590909090909096</v>
      </c>
    </row>
    <row r="478" spans="1:5">
      <c r="D478" s="48" t="s">
        <v>2267</v>
      </c>
      <c r="E478" s="48">
        <v>0</v>
      </c>
    </row>
    <row r="479" spans="1:5">
      <c r="D479" s="48" t="s">
        <v>2268</v>
      </c>
      <c r="E479" s="48">
        <f>E477*E478%</f>
        <v>0</v>
      </c>
    </row>
  </sheetData>
  <mergeCells count="20">
    <mergeCell ref="E386:H386"/>
    <mergeCell ref="E387:H387"/>
    <mergeCell ref="E388:H388"/>
    <mergeCell ref="L344:L345"/>
    <mergeCell ref="M344:M345"/>
    <mergeCell ref="K344:K345"/>
    <mergeCell ref="D378:D379"/>
    <mergeCell ref="E378:F378"/>
    <mergeCell ref="G378:H378"/>
    <mergeCell ref="I378:J378"/>
    <mergeCell ref="D344:D345"/>
    <mergeCell ref="E344:E345"/>
    <mergeCell ref="G344:G345"/>
    <mergeCell ref="J344:J345"/>
    <mergeCell ref="D12:CY12"/>
    <mergeCell ref="P164:T164"/>
    <mergeCell ref="D264:D265"/>
    <mergeCell ref="E264:G264"/>
    <mergeCell ref="H264:J264"/>
    <mergeCell ref="K264:K265"/>
  </mergeCells>
  <hyperlinks>
    <hyperlink ref="D260" r:id="rId1" location="t0010" xr:uid="{22352F4E-D4BB-4A14-893A-D1698576B91B}"/>
    <hyperlink ref="K266" r:id="rId2" location="b0130" display="https://www.sciencedirect.com/science/article/pii/S0956053X20303305 - b0130" xr:uid="{95E3C7F0-EE5D-48E9-8907-45645FFA4F21}"/>
    <hyperlink ref="K267" r:id="rId3" location="b0030" display="https://www.sciencedirect.com/science/article/pii/S0956053X20303305 - b0030" xr:uid="{73B728DF-DEFA-46A0-8740-FBD403604A72}"/>
    <hyperlink ref="K268" r:id="rId4" location="b0085" display="https://www.sciencedirect.com/science/article/pii/S0956053X20303305 - b0085" xr:uid="{E27C511C-2F26-4430-8404-6CEB3EFEA6FA}"/>
    <hyperlink ref="K269" r:id="rId5" location="b0210" display="https://www.sciencedirect.com/science/article/pii/S0956053X20303305 - b0210" xr:uid="{3255E70A-EBE2-490C-81F5-26940EF3A6C1}"/>
    <hyperlink ref="K270" r:id="rId6" location="b0125" display="https://www.sciencedirect.com/science/article/pii/S0956053X20303305 - b0125" xr:uid="{43904E80-36EF-4DC0-8AED-7C5D73CC17FB}"/>
    <hyperlink ref="I283" r:id="rId7" location="bib4" display="https://www.sciencedirect.com/science/article/pii/S0959652617317560 - bib4" xr:uid="{8D1A8C71-9328-4EA6-9654-7563646A9D63}"/>
    <hyperlink ref="I284" r:id="rId8" location="bib9" display="https://www.sciencedirect.com/science/article/pii/S0959652617317560 - bib9" xr:uid="{78C8AC83-E7B4-411C-B2CB-E773816D9D14}"/>
    <hyperlink ref="I285" r:id="rId9" location="bib27" display="https://www.sciencedirect.com/science/article/pii/S0959652617317560 - bib27" xr:uid="{EBBEBFBA-5B7C-4344-AA32-320C325D4894}"/>
    <hyperlink ref="F286" r:id="rId10" location="tbl5fna" display="https://www.sciencedirect.com/science/article/pii/S0959652617317560 - tbl5fna" xr:uid="{57784066-1BD7-41B8-A932-A8256135E150}"/>
    <hyperlink ref="I286" r:id="rId11" location="bib30" display="https://www.sciencedirect.com/science/article/pii/S0959652617317560 - bib30" xr:uid="{4A99D97A-7BAC-4325-B807-2E4CBDC986A4}"/>
    <hyperlink ref="I287" r:id="rId12" location="bib34" display="https://www.sciencedirect.com/science/article/pii/S0959652617317560 - bib34" xr:uid="{1C55FCE8-84F6-42EF-B3FC-12C71823DFE2}"/>
    <hyperlink ref="F288" r:id="rId13" location="tbl5fna" display="https://www.sciencedirect.com/science/article/pii/S0959652617317560 - tbl5fna" xr:uid="{7FBAEDFE-966F-45A3-9FF1-738CA75A44EE}"/>
    <hyperlink ref="I288" r:id="rId14" location="bib5" display="https://www.sciencedirect.com/science/article/pii/S0959652617317560 - bib5" xr:uid="{4A0727B3-F73F-4B96-8164-1B3AFA85362B}"/>
    <hyperlink ref="I289" r:id="rId15" location="bib52" display="https://www.sciencedirect.com/science/article/pii/S0959652617317560 - bib52" xr:uid="{724206ED-6EBF-4C07-8F2B-42A1F54F84A2}"/>
    <hyperlink ref="G344" r:id="rId16" location="tblfn0015" display="https://www.sciencedirect.com/science/article/pii/S1369703X1930052X?via%3Dihub - tblfn0015" xr:uid="{BD2B97BE-F4F0-4E32-9EDA-B588FDC9A9B2}"/>
    <hyperlink ref="H344" r:id="rId17" location="tblfn0020" display="https://www.sciencedirect.com/science/article/pii/S1369703X1930052X?via%3Dihub - tblfn0020" xr:uid="{25023892-3F2E-422B-94F3-7C393B8CC5C2}"/>
    <hyperlink ref="I344" r:id="rId18" location="tblfn0025" display="https://www.sciencedirect.com/science/article/pii/S1369703X1930052X?via%3Dihub - tblfn0025" xr:uid="{109114B1-D3DF-43CB-88FD-085C6FBE9C04}"/>
    <hyperlink ref="K344" r:id="rId19" location="tblfn0030" display="https://www.sciencedirect.com/science/article/pii/S1369703X1930052X?via%3Dihub - tblfn0030" xr:uid="{F94DE8FA-B8D8-4067-B3C9-DAE3D904EFF6}"/>
    <hyperlink ref="L344" r:id="rId20" location="tblfn0030" display="https://www.sciencedirect.com/science/article/pii/S1369703X1930052X?via%3Dihub - tblfn0030" xr:uid="{56E6D585-5C99-49A8-B075-C89AFEA2DF3F}"/>
  </hyperlinks>
  <pageMargins left="0.7" right="0.7" top="0.75" bottom="0.75" header="0.3" footer="0.3"/>
  <pageSetup paperSize="9" orientation="portrait" r:id="rId21"/>
  <drawing r:id="rId2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3E6AE-57BC-4D29-8256-64FA70F70815}">
  <dimension ref="A2:X431"/>
  <sheetViews>
    <sheetView topLeftCell="A11" zoomScale="115" zoomScaleNormal="115" workbookViewId="0">
      <selection activeCell="C113" sqref="C113"/>
    </sheetView>
  </sheetViews>
  <sheetFormatPr defaultRowHeight="14.4"/>
  <cols>
    <col min="1" max="1" width="11.88671875" customWidth="1"/>
    <col min="2" max="2" width="19.33203125" style="278" customWidth="1"/>
    <col min="3" max="3" width="17" customWidth="1"/>
    <col min="4" max="4" width="33.88671875" customWidth="1"/>
    <col min="5" max="5" width="32.44140625" customWidth="1"/>
    <col min="6" max="6" width="15.6640625" customWidth="1"/>
    <col min="7" max="7" width="18.88671875" customWidth="1"/>
    <col min="11" max="11" width="13.88671875" customWidth="1"/>
    <col min="14" max="14" width="19.6640625" customWidth="1"/>
    <col min="18" max="18" width="10.109375" bestFit="1" customWidth="1"/>
    <col min="20" max="20" width="12" bestFit="1" customWidth="1"/>
    <col min="21" max="21" width="21.33203125" customWidth="1"/>
  </cols>
  <sheetData>
    <row r="2" spans="1:7">
      <c r="A2" t="s">
        <v>2269</v>
      </c>
      <c r="B2" s="278" t="s">
        <v>2270</v>
      </c>
      <c r="C2" t="s">
        <v>197</v>
      </c>
      <c r="D2" t="s">
        <v>2271</v>
      </c>
    </row>
    <row r="3" spans="1:7">
      <c r="D3" t="s">
        <v>2272</v>
      </c>
    </row>
    <row r="4" spans="1:7" ht="15" thickBot="1">
      <c r="D4" s="22" t="s">
        <v>2273</v>
      </c>
    </row>
    <row r="5" spans="1:7" ht="28.2" thickBot="1">
      <c r="D5" s="138" t="s">
        <v>14</v>
      </c>
      <c r="E5" s="536" t="s">
        <v>2274</v>
      </c>
      <c r="F5" s="536"/>
      <c r="G5" s="21" t="s">
        <v>2275</v>
      </c>
    </row>
    <row r="6" spans="1:7">
      <c r="D6" s="75" t="s">
        <v>2276</v>
      </c>
      <c r="E6" s="585">
        <v>31.3</v>
      </c>
      <c r="F6" s="585"/>
      <c r="G6" s="75">
        <v>2.7</v>
      </c>
    </row>
    <row r="7" spans="1:7">
      <c r="D7" s="75" t="s">
        <v>2277</v>
      </c>
      <c r="E7" s="75" t="s">
        <v>2278</v>
      </c>
      <c r="F7" s="75" t="s">
        <v>2279</v>
      </c>
      <c r="G7" s="75" t="s">
        <v>2280</v>
      </c>
    </row>
    <row r="8" spans="1:7" ht="27.6">
      <c r="D8" s="75" t="s">
        <v>2281</v>
      </c>
      <c r="E8" s="75">
        <v>13.3</v>
      </c>
      <c r="F8" s="75">
        <v>6.7</v>
      </c>
      <c r="G8" s="75">
        <v>2.5</v>
      </c>
    </row>
    <row r="9" spans="1:7">
      <c r="D9" s="75" t="s">
        <v>2282</v>
      </c>
      <c r="E9" s="75">
        <v>1112</v>
      </c>
      <c r="F9" s="75">
        <v>625</v>
      </c>
      <c r="G9" s="75">
        <v>1216</v>
      </c>
    </row>
    <row r="10" spans="1:7">
      <c r="D10" s="75" t="s">
        <v>2283</v>
      </c>
      <c r="E10" s="75">
        <v>13.5</v>
      </c>
      <c r="F10" s="75">
        <v>16.2</v>
      </c>
      <c r="G10" s="75">
        <v>28</v>
      </c>
    </row>
    <row r="11" spans="1:7">
      <c r="D11" s="75" t="s">
        <v>2284</v>
      </c>
      <c r="E11" s="75">
        <v>9</v>
      </c>
      <c r="F11" s="75">
        <v>11</v>
      </c>
      <c r="G11" s="75">
        <v>10</v>
      </c>
    </row>
    <row r="12" spans="1:7">
      <c r="D12" s="75" t="s">
        <v>2285</v>
      </c>
      <c r="E12" s="75">
        <v>19.5</v>
      </c>
      <c r="F12" s="75">
        <v>11.1</v>
      </c>
      <c r="G12" s="75">
        <v>40.9</v>
      </c>
    </row>
    <row r="13" spans="1:7">
      <c r="D13" s="75" t="s">
        <v>2286</v>
      </c>
      <c r="E13" s="75">
        <v>8.3000000000000007</v>
      </c>
      <c r="F13" s="75">
        <v>8.3000000000000007</v>
      </c>
      <c r="G13" s="75">
        <v>8.3000000000000007</v>
      </c>
    </row>
    <row r="14" spans="1:7">
      <c r="D14" s="75" t="s">
        <v>2287</v>
      </c>
      <c r="E14" s="75">
        <v>1.6</v>
      </c>
      <c r="F14" s="75">
        <v>0.9</v>
      </c>
      <c r="G14" s="75">
        <v>3.4</v>
      </c>
    </row>
    <row r="15" spans="1:7" ht="27.6">
      <c r="D15" s="75" t="s">
        <v>2288</v>
      </c>
      <c r="E15" s="75">
        <v>0.96</v>
      </c>
      <c r="F15" s="75">
        <v>0.61</v>
      </c>
      <c r="G15" s="75">
        <v>2.1</v>
      </c>
    </row>
    <row r="16" spans="1:7" ht="27.6">
      <c r="D16" s="75" t="s">
        <v>2289</v>
      </c>
      <c r="E16" s="75">
        <v>331.2</v>
      </c>
      <c r="F16" s="75">
        <v>163.6</v>
      </c>
      <c r="G16" s="75">
        <v>695.9</v>
      </c>
    </row>
    <row r="17" spans="3:9" ht="27.6">
      <c r="D17" s="75" t="s">
        <v>2290</v>
      </c>
      <c r="E17" s="75">
        <v>548.6</v>
      </c>
      <c r="F17" s="75">
        <v>533.29999999999995</v>
      </c>
      <c r="G17" s="75">
        <v>458.7</v>
      </c>
    </row>
    <row r="18" spans="3:9">
      <c r="D18" s="75" t="s">
        <v>2291</v>
      </c>
      <c r="E18" s="75">
        <v>157.19999999999999</v>
      </c>
      <c r="F18" s="75">
        <v>131.1</v>
      </c>
      <c r="G18" s="75">
        <v>111.5</v>
      </c>
    </row>
    <row r="19" spans="3:9">
      <c r="D19" s="75" t="s">
        <v>2292</v>
      </c>
      <c r="E19" s="75">
        <v>2.1</v>
      </c>
      <c r="F19" s="75">
        <v>2.1</v>
      </c>
      <c r="G19" s="75">
        <v>3.1</v>
      </c>
    </row>
    <row r="20" spans="3:9">
      <c r="D20" s="75" t="s">
        <v>2293</v>
      </c>
      <c r="E20" s="75">
        <v>139.80000000000001</v>
      </c>
      <c r="F20" s="75">
        <v>74.5</v>
      </c>
      <c r="G20" s="75">
        <v>266</v>
      </c>
    </row>
    <row r="21" spans="3:9" ht="15" thickBot="1">
      <c r="D21" s="79" t="s">
        <v>2294</v>
      </c>
      <c r="E21" s="586">
        <v>2358</v>
      </c>
      <c r="F21" s="586"/>
      <c r="G21" s="79">
        <v>665</v>
      </c>
    </row>
    <row r="23" spans="3:9" ht="28.8">
      <c r="D23" s="82" t="s">
        <v>2295</v>
      </c>
      <c r="E23" s="48">
        <f>AVERAGE(E18:G18)</f>
        <v>133.26666666666665</v>
      </c>
    </row>
    <row r="24" spans="3:9">
      <c r="D24" s="82" t="s">
        <v>2296</v>
      </c>
      <c r="E24" s="48">
        <v>789</v>
      </c>
    </row>
    <row r="25" spans="3:9">
      <c r="D25" s="82" t="s">
        <v>2297</v>
      </c>
      <c r="E25" s="48">
        <f>E23*E24/1000000</f>
        <v>0.10514739999999999</v>
      </c>
    </row>
    <row r="28" spans="3:9">
      <c r="C28" t="s">
        <v>226</v>
      </c>
      <c r="D28" t="s">
        <v>2298</v>
      </c>
    </row>
    <row r="29" spans="3:9">
      <c r="D29" t="s">
        <v>2299</v>
      </c>
    </row>
    <row r="30" spans="3:9" ht="15" thickBot="1">
      <c r="D30" s="137" t="s">
        <v>2300</v>
      </c>
    </row>
    <row r="31" spans="3:9" ht="28.5" customHeight="1" thickBot="1">
      <c r="D31" s="532" t="s">
        <v>2301</v>
      </c>
      <c r="E31" s="532" t="s">
        <v>1848</v>
      </c>
      <c r="F31" s="536" t="s">
        <v>2302</v>
      </c>
      <c r="G31" s="536"/>
      <c r="H31" s="536" t="s">
        <v>2303</v>
      </c>
      <c r="I31" s="536"/>
    </row>
    <row r="32" spans="3:9" ht="28.2" thickBot="1">
      <c r="D32" s="572"/>
      <c r="E32" s="572"/>
      <c r="F32" s="13" t="s">
        <v>2304</v>
      </c>
      <c r="G32" s="13" t="s">
        <v>2305</v>
      </c>
      <c r="H32" s="13" t="s">
        <v>2306</v>
      </c>
      <c r="I32" s="13" t="s">
        <v>2307</v>
      </c>
    </row>
    <row r="33" spans="3:9" ht="41.4">
      <c r="D33" s="139" t="s">
        <v>2308</v>
      </c>
      <c r="E33" s="75" t="s">
        <v>2309</v>
      </c>
      <c r="F33" s="75">
        <v>388.7</v>
      </c>
      <c r="G33" s="75">
        <v>346.5</v>
      </c>
      <c r="H33" s="75">
        <v>123.5</v>
      </c>
      <c r="I33" s="75">
        <v>86.1</v>
      </c>
    </row>
    <row r="34" spans="3:9">
      <c r="D34" s="139" t="s">
        <v>2310</v>
      </c>
      <c r="E34" s="75" t="s">
        <v>2311</v>
      </c>
      <c r="F34" s="75">
        <v>3696</v>
      </c>
      <c r="G34" s="75">
        <v>4495</v>
      </c>
      <c r="H34" s="75">
        <v>46</v>
      </c>
      <c r="I34" s="75">
        <v>298.10000000000002</v>
      </c>
    </row>
    <row r="35" spans="3:9">
      <c r="D35" s="139" t="s">
        <v>2312</v>
      </c>
      <c r="E35" s="75" t="s">
        <v>2313</v>
      </c>
      <c r="F35" s="75">
        <v>77850</v>
      </c>
      <c r="G35" s="75">
        <v>94670</v>
      </c>
      <c r="H35" s="75">
        <v>963.3</v>
      </c>
      <c r="I35" s="75">
        <v>627.9</v>
      </c>
    </row>
    <row r="36" spans="3:9">
      <c r="D36" s="75" t="s">
        <v>2314</v>
      </c>
      <c r="E36" s="75" t="s">
        <v>2315</v>
      </c>
      <c r="F36" s="75">
        <v>9.86</v>
      </c>
      <c r="G36" s="75">
        <v>9.94</v>
      </c>
      <c r="H36" s="75">
        <v>8.7899999999999991</v>
      </c>
      <c r="I36" s="75">
        <v>5.24</v>
      </c>
    </row>
    <row r="37" spans="3:9">
      <c r="D37" s="587"/>
      <c r="E37" s="587"/>
      <c r="F37" s="587"/>
      <c r="G37" s="587"/>
      <c r="H37" s="587"/>
      <c r="I37" s="587"/>
    </row>
    <row r="38" spans="3:9" ht="15" thickBot="1">
      <c r="D38" s="79" t="s">
        <v>2316</v>
      </c>
      <c r="E38" s="79" t="s">
        <v>2317</v>
      </c>
      <c r="F38" s="79">
        <v>1.9</v>
      </c>
      <c r="G38" s="79">
        <v>1.9</v>
      </c>
      <c r="H38" s="79">
        <v>1.6</v>
      </c>
      <c r="I38" s="79">
        <v>1.3</v>
      </c>
    </row>
    <row r="40" spans="3:9">
      <c r="D40" t="s">
        <v>2318</v>
      </c>
      <c r="E40" s="140">
        <v>0.219</v>
      </c>
    </row>
    <row r="41" spans="3:9">
      <c r="D41" s="82" t="s">
        <v>2296</v>
      </c>
      <c r="E41" s="48">
        <v>789</v>
      </c>
    </row>
    <row r="42" spans="3:9">
      <c r="D42" t="s">
        <v>2319</v>
      </c>
      <c r="E42">
        <f>G33*E40</f>
        <v>75.883499999999998</v>
      </c>
    </row>
    <row r="43" spans="3:9">
      <c r="D43" s="82" t="s">
        <v>2320</v>
      </c>
      <c r="E43" s="48">
        <f>E41*E42/1000000</f>
        <v>5.98720815E-2</v>
      </c>
    </row>
    <row r="46" spans="3:9">
      <c r="C46" t="s">
        <v>396</v>
      </c>
      <c r="D46" t="s">
        <v>2321</v>
      </c>
    </row>
    <row r="47" spans="3:9">
      <c r="D47" t="s">
        <v>2322</v>
      </c>
    </row>
    <row r="49" spans="3:5">
      <c r="D49" t="s">
        <v>2323</v>
      </c>
    </row>
    <row r="53" spans="3:5">
      <c r="E53" t="s">
        <v>2324</v>
      </c>
    </row>
    <row r="54" spans="3:5">
      <c r="E54" t="s">
        <v>2325</v>
      </c>
    </row>
    <row r="58" spans="3:5">
      <c r="D58" s="48" t="s">
        <v>2326</v>
      </c>
      <c r="E58" s="48">
        <v>7.5999999999999998E-2</v>
      </c>
    </row>
    <row r="59" spans="3:5">
      <c r="D59" s="48" t="s">
        <v>2327</v>
      </c>
      <c r="E59" s="48">
        <v>3.66</v>
      </c>
    </row>
    <row r="60" spans="3:5">
      <c r="D60" s="48" t="s">
        <v>2328</v>
      </c>
      <c r="E60" s="48">
        <f>E58*E59</f>
        <v>0.27816000000000002</v>
      </c>
    </row>
    <row r="61" spans="3:5">
      <c r="D61" s="48" t="s">
        <v>2329</v>
      </c>
      <c r="E61" s="60">
        <v>0.16370526315789499</v>
      </c>
    </row>
    <row r="62" spans="3:5">
      <c r="D62" s="48" t="s">
        <v>2330</v>
      </c>
      <c r="E62" s="48">
        <f>E60*E61</f>
        <v>4.5536256000000074E-2</v>
      </c>
    </row>
    <row r="64" spans="3:5">
      <c r="C64" t="s">
        <v>420</v>
      </c>
      <c r="D64" t="s">
        <v>2331</v>
      </c>
    </row>
    <row r="65" spans="4:4">
      <c r="D65" t="s">
        <v>2332</v>
      </c>
    </row>
    <row r="66" spans="4:4" ht="15.6">
      <c r="D66" s="141" t="s">
        <v>2333</v>
      </c>
    </row>
    <row r="67" spans="4:4" ht="15.6">
      <c r="D67" s="141"/>
    </row>
    <row r="68" spans="4:4" ht="15.6">
      <c r="D68" s="141"/>
    </row>
    <row r="69" spans="4:4" ht="15.6">
      <c r="D69" s="141"/>
    </row>
    <row r="81" spans="3:10">
      <c r="D81" t="s">
        <v>2334</v>
      </c>
      <c r="E81" s="142">
        <v>0.45200000000000001</v>
      </c>
      <c r="F81" s="142"/>
    </row>
    <row r="82" spans="3:10">
      <c r="D82" s="48" t="s">
        <v>2335</v>
      </c>
      <c r="E82" s="60">
        <v>8.5652631578947397E-2</v>
      </c>
      <c r="F82" s="142"/>
    </row>
    <row r="83" spans="3:10">
      <c r="D83" s="48" t="s">
        <v>2330</v>
      </c>
      <c r="E83" s="48">
        <f>E81*E82</f>
        <v>3.8714989473684222E-2</v>
      </c>
      <c r="F83" s="142"/>
    </row>
    <row r="84" spans="3:10">
      <c r="E84" s="142"/>
      <c r="F84" s="142"/>
    </row>
    <row r="85" spans="3:10">
      <c r="C85" t="s">
        <v>425</v>
      </c>
      <c r="D85" t="s">
        <v>2336</v>
      </c>
      <c r="E85" s="142"/>
      <c r="F85" s="142"/>
    </row>
    <row r="86" spans="3:10">
      <c r="D86" s="7" t="s">
        <v>2337</v>
      </c>
      <c r="E86" s="142"/>
      <c r="F86" s="142"/>
    </row>
    <row r="87" spans="3:10">
      <c r="D87" t="s">
        <v>2338</v>
      </c>
      <c r="E87" s="142"/>
      <c r="F87" s="142"/>
    </row>
    <row r="88" spans="3:10">
      <c r="I88" t="s">
        <v>2339</v>
      </c>
      <c r="J88" t="s">
        <v>2340</v>
      </c>
    </row>
    <row r="90" spans="3:10">
      <c r="I90">
        <v>0.159</v>
      </c>
    </row>
    <row r="95" spans="3:10">
      <c r="I95">
        <v>0.182</v>
      </c>
    </row>
    <row r="100" spans="2:16">
      <c r="D100" s="48" t="s">
        <v>2341</v>
      </c>
      <c r="E100" s="48">
        <f>AVERAGE(I90,I95)</f>
        <v>0.17049999999999998</v>
      </c>
    </row>
    <row r="101" spans="2:16">
      <c r="D101" s="48" t="s">
        <v>2329</v>
      </c>
      <c r="E101" s="60">
        <v>0.16370526315789499</v>
      </c>
    </row>
    <row r="102" spans="2:16">
      <c r="D102" s="48" t="s">
        <v>2330</v>
      </c>
      <c r="E102" s="48">
        <f>E100*E101</f>
        <v>2.7911747368421093E-2</v>
      </c>
    </row>
    <row r="105" spans="2:16">
      <c r="B105" s="278" t="s">
        <v>2342</v>
      </c>
      <c r="D105" t="s">
        <v>2343</v>
      </c>
    </row>
    <row r="106" spans="2:16">
      <c r="D106" t="s">
        <v>417</v>
      </c>
    </row>
    <row r="107" spans="2:16">
      <c r="D107" t="s">
        <v>2344</v>
      </c>
    </row>
    <row r="111" spans="2:16">
      <c r="H111" s="48" t="s">
        <v>2345</v>
      </c>
      <c r="I111" s="48" t="s">
        <v>2346</v>
      </c>
      <c r="J111" s="48" t="s">
        <v>2347</v>
      </c>
      <c r="K111" s="48" t="s">
        <v>2348</v>
      </c>
      <c r="L111" s="48"/>
      <c r="M111" s="48" t="s">
        <v>2349</v>
      </c>
      <c r="N111" s="48" t="s">
        <v>2350</v>
      </c>
      <c r="O111" s="48" t="s">
        <v>2351</v>
      </c>
      <c r="P111" s="48" t="s">
        <v>2352</v>
      </c>
    </row>
    <row r="112" spans="2:16">
      <c r="H112" s="48">
        <v>48.8</v>
      </c>
      <c r="I112" s="48">
        <v>348.5</v>
      </c>
      <c r="J112" s="48">
        <v>7.1</v>
      </c>
      <c r="K112" s="48">
        <v>17.3</v>
      </c>
      <c r="L112" s="48"/>
      <c r="M112" s="60">
        <v>0.1157</v>
      </c>
      <c r="N112" s="60">
        <v>0.82609999999999995</v>
      </c>
      <c r="O112" s="60">
        <v>1.6799999999999999E-2</v>
      </c>
      <c r="P112" s="60">
        <v>4.1000000000000002E-2</v>
      </c>
    </row>
    <row r="113" spans="3:16">
      <c r="H113" s="48">
        <v>68.599999999999994</v>
      </c>
      <c r="I113" s="48">
        <v>159.69999999999999</v>
      </c>
      <c r="J113" s="48">
        <v>125.8</v>
      </c>
      <c r="K113" s="48">
        <v>27.1</v>
      </c>
      <c r="L113" s="48"/>
      <c r="M113" s="60">
        <v>0.17979999999999999</v>
      </c>
      <c r="N113" s="60">
        <v>0.41880000000000001</v>
      </c>
      <c r="O113" s="60">
        <v>0.3301</v>
      </c>
      <c r="P113" s="60">
        <v>7.1199999999999999E-2</v>
      </c>
    </row>
    <row r="114" spans="3:16">
      <c r="H114" s="48">
        <v>38.6</v>
      </c>
      <c r="I114" s="48">
        <v>225.3</v>
      </c>
      <c r="J114" s="48">
        <v>174</v>
      </c>
      <c r="K114" s="48">
        <v>26.4</v>
      </c>
      <c r="L114" s="48"/>
      <c r="M114" s="60">
        <v>8.3099999999999993E-2</v>
      </c>
      <c r="N114" s="60">
        <v>0.48530000000000001</v>
      </c>
      <c r="O114" s="60">
        <v>0.37480000000000002</v>
      </c>
      <c r="P114" s="60">
        <v>5.6800000000000003E-2</v>
      </c>
    </row>
    <row r="115" spans="3:16">
      <c r="H115" s="48"/>
      <c r="I115" s="48"/>
      <c r="J115" s="48"/>
      <c r="K115" s="48"/>
      <c r="L115" s="48" t="s">
        <v>510</v>
      </c>
      <c r="M115" s="60">
        <f>AVERAGE(M112:M114)</f>
        <v>0.12620000000000001</v>
      </c>
      <c r="N115" s="60">
        <f t="shared" ref="N115:P115" si="0">AVERAGE(N112:N114)</f>
        <v>0.57673333333333332</v>
      </c>
      <c r="O115" s="60">
        <f t="shared" si="0"/>
        <v>0.24056666666666668</v>
      </c>
      <c r="P115" s="60">
        <f t="shared" si="0"/>
        <v>5.6333333333333326E-2</v>
      </c>
    </row>
    <row r="120" spans="3:16">
      <c r="C120" t="s">
        <v>197</v>
      </c>
      <c r="D120" t="s">
        <v>2353</v>
      </c>
    </row>
    <row r="121" spans="3:16">
      <c r="D121" t="s">
        <v>2354</v>
      </c>
    </row>
    <row r="126" spans="3:16" ht="15" thickBot="1">
      <c r="D126" s="22" t="s">
        <v>2355</v>
      </c>
    </row>
    <row r="127" spans="3:16" ht="43.8" thickBot="1">
      <c r="D127" s="21" t="s">
        <v>2356</v>
      </c>
      <c r="E127" s="21" t="s">
        <v>2357</v>
      </c>
      <c r="F127" s="21" t="s">
        <v>2358</v>
      </c>
      <c r="G127" s="21" t="s">
        <v>2359</v>
      </c>
      <c r="H127" s="21" t="s">
        <v>2360</v>
      </c>
      <c r="I127" s="21" t="s">
        <v>2361</v>
      </c>
      <c r="J127" s="21" t="s">
        <v>2362</v>
      </c>
      <c r="K127" s="49" t="s">
        <v>2363</v>
      </c>
      <c r="L127" s="49" t="s">
        <v>2364</v>
      </c>
    </row>
    <row r="128" spans="3:16" ht="27.6">
      <c r="D128" s="74" t="s">
        <v>2365</v>
      </c>
      <c r="E128" s="74" t="s">
        <v>2366</v>
      </c>
      <c r="F128" s="74" t="s">
        <v>2367</v>
      </c>
      <c r="G128" s="74" t="s">
        <v>2368</v>
      </c>
      <c r="H128" s="74" t="s">
        <v>2369</v>
      </c>
      <c r="I128" s="74" t="s">
        <v>2370</v>
      </c>
      <c r="J128" s="74" t="s">
        <v>2371</v>
      </c>
      <c r="K128" s="48">
        <v>161.69999999999999</v>
      </c>
      <c r="L128" s="48">
        <f>K128*0.001</f>
        <v>0.16169999999999998</v>
      </c>
    </row>
    <row r="129" spans="3:21" ht="27.6">
      <c r="D129" s="74" t="s">
        <v>2372</v>
      </c>
      <c r="E129" s="74" t="s">
        <v>2373</v>
      </c>
      <c r="F129" s="74" t="s">
        <v>2374</v>
      </c>
      <c r="G129" s="74" t="s">
        <v>2368</v>
      </c>
      <c r="H129" s="74" t="s">
        <v>2375</v>
      </c>
      <c r="I129" s="74" t="s">
        <v>2370</v>
      </c>
      <c r="J129" s="74" t="s">
        <v>2376</v>
      </c>
      <c r="K129" s="48">
        <v>144.80000000000001</v>
      </c>
      <c r="L129" s="48">
        <f>K129*0.001</f>
        <v>0.14480000000000001</v>
      </c>
    </row>
    <row r="130" spans="3:21" ht="27.6">
      <c r="D130" s="74" t="s">
        <v>2377</v>
      </c>
      <c r="E130" s="74" t="s">
        <v>2378</v>
      </c>
      <c r="F130" s="74" t="s">
        <v>2379</v>
      </c>
      <c r="G130" s="74" t="s">
        <v>2368</v>
      </c>
      <c r="H130" s="74" t="s">
        <v>2380</v>
      </c>
      <c r="I130" s="74" t="s">
        <v>2370</v>
      </c>
      <c r="J130" s="74" t="s">
        <v>2381</v>
      </c>
      <c r="K130" s="48">
        <v>147.5</v>
      </c>
      <c r="L130" s="48">
        <f>K130*0.001</f>
        <v>0.14749999999999999</v>
      </c>
    </row>
    <row r="131" spans="3:21" ht="28.2" thickBot="1">
      <c r="D131" s="115" t="s">
        <v>2382</v>
      </c>
      <c r="E131" s="78" t="s">
        <v>2383</v>
      </c>
      <c r="F131" s="78" t="s">
        <v>2384</v>
      </c>
      <c r="G131" s="78" t="s">
        <v>2385</v>
      </c>
      <c r="H131" s="78" t="s">
        <v>2386</v>
      </c>
      <c r="I131" s="78" t="s">
        <v>2370</v>
      </c>
      <c r="J131" s="78" t="s">
        <v>2387</v>
      </c>
      <c r="K131" s="48">
        <v>217.9</v>
      </c>
      <c r="L131" s="48">
        <f>K131*0.001</f>
        <v>0.21790000000000001</v>
      </c>
    </row>
    <row r="132" spans="3:21">
      <c r="D132" s="153" t="s">
        <v>2388</v>
      </c>
    </row>
    <row r="134" spans="3:21">
      <c r="D134" s="48" t="s">
        <v>2389</v>
      </c>
      <c r="E134" s="48">
        <f>AVERAGE(L128:L131)</f>
        <v>0.16797499999999999</v>
      </c>
    </row>
    <row r="135" spans="3:21">
      <c r="D135" s="48" t="s">
        <v>2390</v>
      </c>
      <c r="E135" s="48">
        <v>15.4</v>
      </c>
    </row>
    <row r="136" spans="3:21">
      <c r="D136" s="48" t="s">
        <v>2391</v>
      </c>
      <c r="E136" s="48">
        <f>E134*E135%</f>
        <v>2.5868149999999996E-2</v>
      </c>
    </row>
    <row r="142" spans="3:21">
      <c r="C142" t="s">
        <v>226</v>
      </c>
      <c r="D142" t="s">
        <v>2392</v>
      </c>
    </row>
    <row r="143" spans="3:21" ht="31.2">
      <c r="D143" s="145" t="s">
        <v>2393</v>
      </c>
      <c r="U143" s="143" t="s">
        <v>2394</v>
      </c>
    </row>
    <row r="144" spans="3:21" ht="15" thickBot="1">
      <c r="D144" s="26" t="s">
        <v>2395</v>
      </c>
      <c r="U144" s="26" t="s">
        <v>2395</v>
      </c>
    </row>
    <row r="145" spans="4:24" ht="106.2" thickTop="1" thickBot="1">
      <c r="D145" s="588" t="s">
        <v>2396</v>
      </c>
      <c r="E145" s="146" t="s">
        <v>2397</v>
      </c>
      <c r="F145" s="146" t="s">
        <v>2398</v>
      </c>
      <c r="G145" s="146" t="s">
        <v>2399</v>
      </c>
      <c r="H145" s="591" t="s">
        <v>2400</v>
      </c>
      <c r="I145" s="592"/>
      <c r="J145" s="591" t="s">
        <v>2401</v>
      </c>
      <c r="K145" s="597"/>
      <c r="L145" s="597"/>
      <c r="M145" s="592"/>
      <c r="N145" s="600" t="s">
        <v>2402</v>
      </c>
      <c r="U145" s="106" t="s">
        <v>2403</v>
      </c>
      <c r="V145" s="107" t="s">
        <v>2404</v>
      </c>
      <c r="W145" s="107" t="s">
        <v>2405</v>
      </c>
      <c r="X145" s="98" t="s">
        <v>2406</v>
      </c>
    </row>
    <row r="146" spans="4:24" ht="22.2" thickTop="1" thickBot="1">
      <c r="D146" s="589"/>
      <c r="E146" s="147"/>
      <c r="F146" s="147"/>
      <c r="G146" s="147"/>
      <c r="H146" s="593"/>
      <c r="I146" s="594"/>
      <c r="J146" s="593"/>
      <c r="K146" s="598"/>
      <c r="L146" s="598"/>
      <c r="M146" s="594"/>
      <c r="N146" s="601"/>
      <c r="U146" s="92" t="s">
        <v>2407</v>
      </c>
      <c r="V146" s="88">
        <v>648.70000000000005</v>
      </c>
      <c r="W146" s="88">
        <v>128.9</v>
      </c>
      <c r="X146" s="109">
        <v>25.1</v>
      </c>
    </row>
    <row r="147" spans="4:24" ht="22.2" thickTop="1" thickBot="1">
      <c r="D147" s="589"/>
      <c r="E147" s="148" t="s">
        <v>2408</v>
      </c>
      <c r="F147" s="148" t="s">
        <v>2408</v>
      </c>
      <c r="G147" s="148" t="s">
        <v>2409</v>
      </c>
      <c r="H147" s="595"/>
      <c r="I147" s="596"/>
      <c r="J147" s="595"/>
      <c r="K147" s="599"/>
      <c r="L147" s="599"/>
      <c r="M147" s="596"/>
      <c r="N147" s="601"/>
      <c r="U147" s="94" t="s">
        <v>2410</v>
      </c>
      <c r="V147" s="96" t="s">
        <v>2411</v>
      </c>
      <c r="W147" s="96" t="s">
        <v>2412</v>
      </c>
      <c r="X147" s="110" t="s">
        <v>2413</v>
      </c>
    </row>
    <row r="148" spans="4:24" ht="47.4" thickTop="1">
      <c r="D148" s="589"/>
      <c r="E148" s="147"/>
      <c r="F148" s="147"/>
      <c r="G148" s="147"/>
      <c r="H148" s="148" t="s">
        <v>2414</v>
      </c>
      <c r="I148" s="148" t="s">
        <v>2415</v>
      </c>
      <c r="J148" s="603" t="s">
        <v>2416</v>
      </c>
      <c r="K148" s="604"/>
      <c r="L148" s="603" t="s">
        <v>2417</v>
      </c>
      <c r="M148" s="604"/>
      <c r="N148" s="601"/>
      <c r="U148" t="s">
        <v>2418</v>
      </c>
      <c r="V148">
        <f>X146/W146</f>
        <v>0.19472459270752521</v>
      </c>
    </row>
    <row r="149" spans="4:24" ht="15.6">
      <c r="D149" s="589"/>
      <c r="E149" s="147"/>
      <c r="F149" s="147"/>
      <c r="G149" s="148" t="s">
        <v>2408</v>
      </c>
      <c r="H149" s="147"/>
      <c r="I149" s="147"/>
      <c r="J149" s="605"/>
      <c r="K149" s="606"/>
      <c r="L149" s="593"/>
      <c r="M149" s="594"/>
      <c r="N149" s="601"/>
    </row>
    <row r="150" spans="4:24" ht="46.8">
      <c r="D150" s="589"/>
      <c r="E150" s="147"/>
      <c r="F150" s="147"/>
      <c r="G150" s="147"/>
      <c r="H150" s="148" t="s">
        <v>2419</v>
      </c>
      <c r="I150" s="148" t="s">
        <v>2420</v>
      </c>
      <c r="J150" s="593" t="s">
        <v>2408</v>
      </c>
      <c r="K150" s="594"/>
      <c r="L150" s="593"/>
      <c r="M150" s="594"/>
      <c r="N150" s="601"/>
    </row>
    <row r="151" spans="4:24" ht="15" thickBot="1">
      <c r="D151" s="589"/>
      <c r="E151" s="147"/>
      <c r="F151" s="147"/>
      <c r="G151" s="147"/>
      <c r="H151" s="147"/>
      <c r="I151" s="147"/>
      <c r="J151" s="607"/>
      <c r="K151" s="608"/>
      <c r="L151" s="595"/>
      <c r="M151" s="596"/>
      <c r="N151" s="601"/>
    </row>
    <row r="152" spans="4:24" ht="47.4" thickTop="1">
      <c r="D152" s="589"/>
      <c r="E152" s="147"/>
      <c r="F152" s="147"/>
      <c r="G152" s="147"/>
      <c r="H152" s="148" t="s">
        <v>2408</v>
      </c>
      <c r="I152" s="148" t="s">
        <v>2408</v>
      </c>
      <c r="J152" s="148" t="s">
        <v>2421</v>
      </c>
      <c r="K152" s="148" t="s">
        <v>2422</v>
      </c>
      <c r="L152" s="148" t="s">
        <v>2421</v>
      </c>
      <c r="M152" s="148" t="s">
        <v>2422</v>
      </c>
      <c r="N152" s="601"/>
    </row>
    <row r="153" spans="4:24">
      <c r="D153" s="589"/>
      <c r="E153" s="147"/>
      <c r="F153" s="147"/>
      <c r="G153" s="147"/>
      <c r="H153" s="147"/>
      <c r="I153" s="147"/>
      <c r="J153" s="147"/>
      <c r="K153" s="147"/>
      <c r="L153" s="147"/>
      <c r="M153" s="147"/>
      <c r="N153" s="601"/>
    </row>
    <row r="154" spans="4:24" ht="94.2" thickBot="1">
      <c r="D154" s="590"/>
      <c r="E154" s="149"/>
      <c r="F154" s="149"/>
      <c r="G154" s="149"/>
      <c r="H154" s="149"/>
      <c r="I154" s="149"/>
      <c r="J154" s="150" t="s">
        <v>2423</v>
      </c>
      <c r="K154" s="150" t="s">
        <v>2424</v>
      </c>
      <c r="L154" s="150" t="s">
        <v>2425</v>
      </c>
      <c r="M154" s="150" t="s">
        <v>2426</v>
      </c>
      <c r="N154" s="602"/>
      <c r="P154" s="151" t="s">
        <v>2427</v>
      </c>
      <c r="Q154" s="151" t="s">
        <v>2428</v>
      </c>
      <c r="R154" s="151" t="s">
        <v>2429</v>
      </c>
      <c r="S154" s="151" t="s">
        <v>2430</v>
      </c>
      <c r="T154" s="151" t="s">
        <v>2431</v>
      </c>
      <c r="U154" s="151" t="s">
        <v>2432</v>
      </c>
    </row>
    <row r="155" spans="4:24" ht="27.75" customHeight="1" thickTop="1">
      <c r="D155" s="609" t="s">
        <v>2433</v>
      </c>
      <c r="E155" s="514">
        <v>648.70000000000005</v>
      </c>
      <c r="F155" s="514">
        <v>25.1</v>
      </c>
      <c r="G155" s="514">
        <v>8.0299999999999994</v>
      </c>
      <c r="H155" s="514">
        <v>0.79</v>
      </c>
      <c r="I155" s="514">
        <v>2.7</v>
      </c>
      <c r="J155" s="514">
        <v>1.51</v>
      </c>
      <c r="K155" s="514">
        <v>5.17</v>
      </c>
      <c r="L155" s="514">
        <v>1.01</v>
      </c>
      <c r="M155" s="514">
        <v>3.45</v>
      </c>
      <c r="N155" s="612" t="s">
        <v>2434</v>
      </c>
      <c r="P155" s="611">
        <f>F155/$V$148</f>
        <v>128.9</v>
      </c>
      <c r="Q155" s="48"/>
      <c r="R155" s="48"/>
      <c r="S155" s="48"/>
      <c r="T155" s="48"/>
      <c r="U155" s="48"/>
    </row>
    <row r="156" spans="4:24">
      <c r="D156" s="610"/>
      <c r="E156" s="515"/>
      <c r="F156" s="515"/>
      <c r="G156" s="515"/>
      <c r="H156" s="515"/>
      <c r="I156" s="515"/>
      <c r="J156" s="515"/>
      <c r="K156" s="515"/>
      <c r="L156" s="515"/>
      <c r="M156" s="515"/>
      <c r="N156" s="613"/>
      <c r="P156" s="611"/>
      <c r="Q156" s="48"/>
      <c r="R156" s="48"/>
      <c r="S156" s="48"/>
      <c r="T156" s="48"/>
      <c r="U156" s="48"/>
    </row>
    <row r="157" spans="4:24" ht="42.6" thickBot="1">
      <c r="D157" s="92" t="s">
        <v>2435</v>
      </c>
      <c r="E157" s="516"/>
      <c r="F157" s="516"/>
      <c r="G157" s="516"/>
      <c r="H157" s="516"/>
      <c r="I157" s="516"/>
      <c r="J157" s="516"/>
      <c r="K157" s="516"/>
      <c r="L157" s="516"/>
      <c r="M157" s="516"/>
      <c r="N157" s="614"/>
      <c r="P157" s="611"/>
      <c r="Q157" s="48">
        <v>1E-3</v>
      </c>
      <c r="R157" s="48">
        <v>6.0000000000000001E-3</v>
      </c>
      <c r="S157" s="48">
        <f>AVERAGE(Q157:R157)</f>
        <v>3.5000000000000001E-3</v>
      </c>
      <c r="T157" s="48">
        <f>S157/P155</f>
        <v>2.7152831652443753E-5</v>
      </c>
      <c r="U157" s="48">
        <f>T157*789/1000000</f>
        <v>2.1423584173778123E-8</v>
      </c>
    </row>
    <row r="158" spans="4:24" ht="43.2" thickTop="1" thickBot="1">
      <c r="D158" s="92" t="s">
        <v>2436</v>
      </c>
      <c r="E158" s="88">
        <v>5003.07</v>
      </c>
      <c r="F158" s="88">
        <v>193.58</v>
      </c>
      <c r="G158" s="88">
        <v>61.93</v>
      </c>
      <c r="H158" s="88">
        <v>6.11</v>
      </c>
      <c r="I158" s="88">
        <v>20.83</v>
      </c>
      <c r="J158" s="88">
        <v>11.71</v>
      </c>
      <c r="K158" s="88">
        <v>39.979999999999997</v>
      </c>
      <c r="L158" s="88">
        <v>7.8</v>
      </c>
      <c r="M158" s="88">
        <v>26.61</v>
      </c>
      <c r="N158" s="109" t="s">
        <v>2437</v>
      </c>
      <c r="P158" s="48">
        <f>F158/$V$148</f>
        <v>994.12199203187265</v>
      </c>
      <c r="Q158" s="48">
        <v>9885.93</v>
      </c>
      <c r="R158" s="152">
        <v>50671.73</v>
      </c>
      <c r="S158" s="48">
        <f t="shared" ref="S158:S161" si="1">AVERAGE(Q158:R158)</f>
        <v>30278.83</v>
      </c>
      <c r="T158" s="48">
        <f>S158/P158</f>
        <v>30.457861552900066</v>
      </c>
      <c r="U158" s="48">
        <f>T158*789/1000000</f>
        <v>2.4031252765238154E-2</v>
      </c>
    </row>
    <row r="159" spans="4:24" ht="88.5" customHeight="1" thickTop="1" thickBot="1">
      <c r="D159" s="92" t="s">
        <v>2438</v>
      </c>
      <c r="E159" s="88">
        <v>4209.2700000000004</v>
      </c>
      <c r="F159" s="88">
        <v>162.87</v>
      </c>
      <c r="G159" s="88">
        <v>52.1</v>
      </c>
      <c r="H159" s="88">
        <v>5.14</v>
      </c>
      <c r="I159" s="88">
        <v>17.54</v>
      </c>
      <c r="J159" s="88">
        <v>9.85</v>
      </c>
      <c r="K159" s="88">
        <v>33.619999999999997</v>
      </c>
      <c r="L159" s="88">
        <v>6.56</v>
      </c>
      <c r="M159" s="88">
        <v>22.41</v>
      </c>
      <c r="N159" s="109" t="s">
        <v>2439</v>
      </c>
      <c r="P159" s="48">
        <f>F159/$V$148</f>
        <v>836.4120717131475</v>
      </c>
      <c r="Q159" s="48">
        <v>8314.32</v>
      </c>
      <c r="R159" s="152">
        <v>42610.89</v>
      </c>
      <c r="S159" s="48">
        <f t="shared" si="1"/>
        <v>25462.605</v>
      </c>
      <c r="T159" s="48">
        <f t="shared" ref="T159:T161" si="2">S159/P159</f>
        <v>30.442656031789738</v>
      </c>
      <c r="U159" s="48">
        <f t="shared" ref="U159:U161" si="3">T159*789/1000000</f>
        <v>2.40192556090821E-2</v>
      </c>
    </row>
    <row r="160" spans="4:24" ht="88.5" customHeight="1" thickTop="1" thickBot="1">
      <c r="D160" s="92" t="s">
        <v>2440</v>
      </c>
      <c r="E160" s="88">
        <v>3205.04</v>
      </c>
      <c r="F160" s="88">
        <v>124.01</v>
      </c>
      <c r="G160" s="88">
        <v>39.67</v>
      </c>
      <c r="H160" s="88">
        <v>3.91</v>
      </c>
      <c r="I160" s="88">
        <v>13.35</v>
      </c>
      <c r="J160" s="88">
        <v>7.5</v>
      </c>
      <c r="K160" s="88">
        <v>25.59</v>
      </c>
      <c r="L160" s="88">
        <v>4.99</v>
      </c>
      <c r="M160" s="88">
        <v>17.05</v>
      </c>
      <c r="N160" s="109" t="s">
        <v>2441</v>
      </c>
      <c r="P160" s="48">
        <f>F160/$V$148</f>
        <v>636.84816733067737</v>
      </c>
      <c r="Q160" s="48">
        <v>6324.46</v>
      </c>
      <c r="R160" s="152">
        <v>32433.46</v>
      </c>
      <c r="S160" s="48">
        <f t="shared" si="1"/>
        <v>19378.96</v>
      </c>
      <c r="T160" s="48">
        <f t="shared" si="2"/>
        <v>30.429482244136942</v>
      </c>
      <c r="U160" s="48">
        <f t="shared" si="3"/>
        <v>2.4008861490624048E-2</v>
      </c>
    </row>
    <row r="161" spans="3:21" ht="88.5" customHeight="1" thickTop="1" thickBot="1">
      <c r="D161" s="94" t="s">
        <v>2442</v>
      </c>
      <c r="E161" s="144">
        <v>30807.5</v>
      </c>
      <c r="F161" s="96">
        <v>1192.03</v>
      </c>
      <c r="G161" s="96">
        <v>381.33</v>
      </c>
      <c r="H161" s="96">
        <v>37.64</v>
      </c>
      <c r="I161" s="96">
        <v>128.31</v>
      </c>
      <c r="J161" s="96">
        <v>72.14</v>
      </c>
      <c r="K161" s="96">
        <v>245.92</v>
      </c>
      <c r="L161" s="96">
        <v>48.1</v>
      </c>
      <c r="M161" s="96">
        <v>163.95</v>
      </c>
      <c r="N161" s="110" t="s">
        <v>2443</v>
      </c>
      <c r="P161" s="48">
        <f>F161/$V$148</f>
        <v>6121.6201992031874</v>
      </c>
      <c r="Q161" s="152">
        <v>60963.24</v>
      </c>
      <c r="R161" s="152">
        <v>311685.67</v>
      </c>
      <c r="S161" s="48">
        <f t="shared" si="1"/>
        <v>186324.45499999999</v>
      </c>
      <c r="T161" s="48">
        <f t="shared" si="2"/>
        <v>30.437114511653739</v>
      </c>
      <c r="U161" s="48">
        <f t="shared" si="3"/>
        <v>2.4014883349694798E-2</v>
      </c>
    </row>
    <row r="162" spans="3:21" ht="15" thickTop="1">
      <c r="P162" s="48"/>
      <c r="Q162" s="48"/>
      <c r="R162" s="48"/>
      <c r="S162" s="48"/>
      <c r="T162" s="48" t="s">
        <v>510</v>
      </c>
      <c r="U162" s="48">
        <f>AVERAGE(U158:U161)</f>
        <v>2.4018563303659774E-2</v>
      </c>
    </row>
    <row r="165" spans="3:21">
      <c r="C165" t="s">
        <v>396</v>
      </c>
      <c r="D165" t="s">
        <v>2444</v>
      </c>
    </row>
    <row r="166" spans="3:21">
      <c r="D166" t="s">
        <v>2445</v>
      </c>
    </row>
    <row r="167" spans="3:21" ht="15" thickBot="1">
      <c r="D167" s="22" t="s">
        <v>2446</v>
      </c>
    </row>
    <row r="168" spans="3:21" ht="15" thickBot="1">
      <c r="D168" s="21" t="s">
        <v>1350</v>
      </c>
      <c r="E168" s="21" t="s">
        <v>2447</v>
      </c>
      <c r="F168" s="21" t="s">
        <v>518</v>
      </c>
    </row>
    <row r="169" spans="3:21">
      <c r="D169" s="74" t="s">
        <v>2448</v>
      </c>
      <c r="E169" s="74" t="s">
        <v>2449</v>
      </c>
      <c r="F169" s="74" t="s">
        <v>2450</v>
      </c>
    </row>
    <row r="170" spans="3:21">
      <c r="D170" s="74" t="s">
        <v>2451</v>
      </c>
      <c r="E170" s="74" t="s">
        <v>2452</v>
      </c>
      <c r="F170" s="74" t="s">
        <v>2453</v>
      </c>
    </row>
    <row r="171" spans="3:21">
      <c r="D171" s="74" t="s">
        <v>2454</v>
      </c>
      <c r="E171" s="74" t="s">
        <v>2455</v>
      </c>
      <c r="F171" s="74" t="s">
        <v>2456</v>
      </c>
    </row>
    <row r="172" spans="3:21">
      <c r="D172" s="74" t="s">
        <v>2457</v>
      </c>
      <c r="E172" s="74" t="s">
        <v>2458</v>
      </c>
      <c r="F172" s="74" t="s">
        <v>2459</v>
      </c>
    </row>
    <row r="173" spans="3:21">
      <c r="D173" s="74" t="s">
        <v>2460</v>
      </c>
      <c r="E173" s="74" t="s">
        <v>2461</v>
      </c>
      <c r="F173" s="74" t="s">
        <v>2462</v>
      </c>
    </row>
    <row r="174" spans="3:21">
      <c r="D174" s="74" t="s">
        <v>2463</v>
      </c>
      <c r="E174" s="74" t="s">
        <v>2464</v>
      </c>
      <c r="F174" s="74" t="s">
        <v>2465</v>
      </c>
    </row>
    <row r="175" spans="3:21">
      <c r="D175" s="74" t="s">
        <v>2466</v>
      </c>
      <c r="E175" s="74" t="s">
        <v>2467</v>
      </c>
      <c r="F175" s="74" t="s">
        <v>2468</v>
      </c>
      <c r="G175">
        <v>0.23599999999999999</v>
      </c>
    </row>
    <row r="176" spans="3:21" ht="15" thickBot="1">
      <c r="D176" s="78" t="s">
        <v>2469</v>
      </c>
      <c r="E176" s="78" t="s">
        <v>2470</v>
      </c>
      <c r="F176" s="78" t="s">
        <v>2471</v>
      </c>
    </row>
    <row r="178" spans="3:8">
      <c r="D178" s="52" t="s">
        <v>2472</v>
      </c>
      <c r="E178" s="48">
        <v>0.23599999999999999</v>
      </c>
    </row>
    <row r="179" spans="3:8">
      <c r="D179" s="52" t="s">
        <v>2473</v>
      </c>
      <c r="E179" s="60">
        <v>0.255</v>
      </c>
    </row>
    <row r="180" spans="3:8">
      <c r="D180" s="52" t="s">
        <v>2474</v>
      </c>
      <c r="E180" s="48">
        <f>E178*E179</f>
        <v>6.0179999999999997E-2</v>
      </c>
    </row>
    <row r="183" spans="3:8">
      <c r="C183" t="s">
        <v>420</v>
      </c>
      <c r="D183" t="s">
        <v>2475</v>
      </c>
    </row>
    <row r="184" spans="3:8">
      <c r="D184" t="s">
        <v>2476</v>
      </c>
    </row>
    <row r="185" spans="3:8" ht="15" thickBot="1">
      <c r="D185" s="22" t="s">
        <v>2477</v>
      </c>
    </row>
    <row r="186" spans="3:8" ht="69.599999999999994" thickBot="1">
      <c r="D186" s="21" t="s">
        <v>2478</v>
      </c>
      <c r="E186" s="21" t="s">
        <v>2479</v>
      </c>
      <c r="F186" s="21" t="s">
        <v>2480</v>
      </c>
      <c r="G186" s="122" t="s">
        <v>2481</v>
      </c>
      <c r="H186" s="21" t="s">
        <v>2482</v>
      </c>
    </row>
    <row r="187" spans="3:8">
      <c r="D187" s="75">
        <v>3</v>
      </c>
      <c r="E187" s="75">
        <v>0.06</v>
      </c>
      <c r="F187" s="75">
        <v>0.08</v>
      </c>
      <c r="G187" s="75">
        <v>0.14000000000000001</v>
      </c>
      <c r="H187" s="75">
        <v>2</v>
      </c>
    </row>
    <row r="188" spans="3:8">
      <c r="D188" s="75">
        <v>6</v>
      </c>
      <c r="E188" s="75">
        <v>0.19</v>
      </c>
      <c r="F188" s="75">
        <v>0.26</v>
      </c>
      <c r="G188" s="75">
        <v>0.33</v>
      </c>
      <c r="H188" s="75">
        <v>3.2</v>
      </c>
    </row>
    <row r="189" spans="3:8">
      <c r="D189" s="75">
        <v>9</v>
      </c>
      <c r="E189" s="75">
        <v>0.24</v>
      </c>
      <c r="F189" s="75">
        <v>0.33</v>
      </c>
      <c r="G189" s="75">
        <v>0.38</v>
      </c>
      <c r="H189" s="75">
        <v>2.6</v>
      </c>
    </row>
    <row r="190" spans="3:8">
      <c r="D190" s="75">
        <v>12</v>
      </c>
      <c r="E190" s="75">
        <v>0.28000000000000003</v>
      </c>
      <c r="F190" s="75">
        <v>0.38</v>
      </c>
      <c r="G190" s="75">
        <v>0.42</v>
      </c>
      <c r="H190" s="75">
        <v>2.2999999999999998</v>
      </c>
    </row>
    <row r="191" spans="3:8" ht="15" thickBot="1">
      <c r="D191" s="79">
        <v>15</v>
      </c>
      <c r="E191" s="79">
        <v>0.28999999999999998</v>
      </c>
      <c r="F191" s="79">
        <v>0.38</v>
      </c>
      <c r="G191" s="79">
        <v>0.43</v>
      </c>
      <c r="H191" s="79">
        <v>1.9</v>
      </c>
    </row>
    <row r="192" spans="3:8">
      <c r="D192" s="117" t="s">
        <v>1177</v>
      </c>
    </row>
    <row r="193" spans="3:7">
      <c r="D193" s="120" t="s">
        <v>2483</v>
      </c>
    </row>
    <row r="195" spans="3:7">
      <c r="D195" s="48" t="s">
        <v>2484</v>
      </c>
      <c r="E195" s="48">
        <f>AVERAGE(F187:F191)</f>
        <v>0.28600000000000003</v>
      </c>
    </row>
    <row r="196" spans="3:7">
      <c r="D196" s="48" t="s">
        <v>2485</v>
      </c>
      <c r="E196" s="48">
        <v>49.201161616161613</v>
      </c>
    </row>
    <row r="197" spans="3:7">
      <c r="D197" s="48" t="s">
        <v>2486</v>
      </c>
      <c r="E197" s="48">
        <f>E195*E196%</f>
        <v>0.14071532222222224</v>
      </c>
    </row>
    <row r="200" spans="3:7">
      <c r="C200" t="s">
        <v>425</v>
      </c>
      <c r="D200" t="s">
        <v>2487</v>
      </c>
    </row>
    <row r="201" spans="3:7">
      <c r="D201" t="s">
        <v>2488</v>
      </c>
    </row>
    <row r="203" spans="3:7">
      <c r="G203" t="s">
        <v>2489</v>
      </c>
    </row>
    <row r="205" spans="3:7">
      <c r="G205">
        <v>0.22600000000000001</v>
      </c>
    </row>
    <row r="206" spans="3:7">
      <c r="G206">
        <v>0.28299999999999997</v>
      </c>
    </row>
    <row r="207" spans="3:7">
      <c r="G207">
        <v>0.371</v>
      </c>
    </row>
    <row r="208" spans="3:7">
      <c r="G208">
        <v>0.378</v>
      </c>
    </row>
    <row r="209" spans="1:7">
      <c r="G209">
        <v>0.35899999999999999</v>
      </c>
    </row>
    <row r="210" spans="1:7">
      <c r="G210">
        <v>0.32</v>
      </c>
    </row>
    <row r="214" spans="1:7">
      <c r="D214" t="s">
        <v>1979</v>
      </c>
      <c r="E214">
        <f>AVERAGE(G205:G210)</f>
        <v>0.32283333333333336</v>
      </c>
    </row>
    <row r="215" spans="1:7">
      <c r="D215" s="48" t="s">
        <v>2485</v>
      </c>
      <c r="E215" s="48">
        <v>49.201161616161613</v>
      </c>
    </row>
    <row r="216" spans="1:7">
      <c r="D216" s="48" t="s">
        <v>2486</v>
      </c>
      <c r="E216" s="48">
        <f>E214*E215%</f>
        <v>0.15883775008417508</v>
      </c>
    </row>
    <row r="218" spans="1:7">
      <c r="A218" t="s">
        <v>636</v>
      </c>
      <c r="B218" s="278" t="s">
        <v>2270</v>
      </c>
      <c r="C218" t="s">
        <v>638</v>
      </c>
      <c r="D218" t="s">
        <v>639</v>
      </c>
    </row>
    <row r="219" spans="1:7">
      <c r="D219" t="s">
        <v>640</v>
      </c>
    </row>
    <row r="221" spans="1:7">
      <c r="D221" s="48" t="s">
        <v>641</v>
      </c>
      <c r="E221" s="48">
        <v>0.72719999999999996</v>
      </c>
    </row>
    <row r="222" spans="1:7">
      <c r="D222" s="48" t="s">
        <v>642</v>
      </c>
      <c r="E222" s="60">
        <v>0</v>
      </c>
    </row>
    <row r="223" spans="1:7">
      <c r="D223" s="48" t="s">
        <v>643</v>
      </c>
      <c r="E223" s="48">
        <f>E221*E222</f>
        <v>0</v>
      </c>
    </row>
    <row r="226" spans="1:5">
      <c r="A226" t="s">
        <v>636</v>
      </c>
      <c r="B226" s="278" t="s">
        <v>2342</v>
      </c>
      <c r="C226" t="s">
        <v>638</v>
      </c>
      <c r="D226" t="s">
        <v>639</v>
      </c>
    </row>
    <row r="227" spans="1:5">
      <c r="D227" t="s">
        <v>640</v>
      </c>
    </row>
    <row r="229" spans="1:5">
      <c r="D229" s="48" t="s">
        <v>641</v>
      </c>
      <c r="E229" s="48">
        <v>0.72719999999999996</v>
      </c>
    </row>
    <row r="230" spans="1:5">
      <c r="D230" s="48" t="s">
        <v>642</v>
      </c>
      <c r="E230" s="60">
        <v>0.237022727272727</v>
      </c>
    </row>
    <row r="231" spans="1:5">
      <c r="D231" s="48" t="s">
        <v>643</v>
      </c>
      <c r="E231" s="48">
        <f>E229*E230</f>
        <v>0.17236292727272706</v>
      </c>
    </row>
    <row r="234" spans="1:5">
      <c r="A234" t="s">
        <v>679</v>
      </c>
      <c r="B234" s="278" t="s">
        <v>2270</v>
      </c>
      <c r="C234" t="s">
        <v>638</v>
      </c>
      <c r="D234" t="s">
        <v>680</v>
      </c>
    </row>
    <row r="235" spans="1:5">
      <c r="D235" s="184" t="s">
        <v>681</v>
      </c>
    </row>
    <row r="236" spans="1:5">
      <c r="D236">
        <v>180</v>
      </c>
      <c r="E236">
        <v>126</v>
      </c>
    </row>
    <row r="237" spans="1:5">
      <c r="D237" t="s">
        <v>809</v>
      </c>
      <c r="E237">
        <f>1/180*126</f>
        <v>0.70000000000000007</v>
      </c>
    </row>
    <row r="238" spans="1:5">
      <c r="D238" s="48" t="s">
        <v>2490</v>
      </c>
      <c r="E238" s="48">
        <v>16.370526315789476</v>
      </c>
    </row>
    <row r="239" spans="1:5">
      <c r="D239" s="48" t="s">
        <v>2491</v>
      </c>
      <c r="E239" s="48">
        <f>E237*E238%</f>
        <v>0.11459368421052635</v>
      </c>
    </row>
    <row r="241" spans="1:5">
      <c r="A241" t="s">
        <v>679</v>
      </c>
      <c r="B241" s="278" t="s">
        <v>2342</v>
      </c>
      <c r="C241" t="s">
        <v>638</v>
      </c>
      <c r="D241" t="s">
        <v>680</v>
      </c>
    </row>
    <row r="242" spans="1:5">
      <c r="D242" s="184" t="s">
        <v>681</v>
      </c>
    </row>
    <row r="243" spans="1:5">
      <c r="D243">
        <v>180</v>
      </c>
      <c r="E243">
        <v>126</v>
      </c>
    </row>
    <row r="244" spans="1:5">
      <c r="D244" t="s">
        <v>809</v>
      </c>
      <c r="E244">
        <f>1/180*126</f>
        <v>0.70000000000000007</v>
      </c>
    </row>
    <row r="245" spans="1:5">
      <c r="D245" s="48" t="s">
        <v>2490</v>
      </c>
      <c r="E245" s="48">
        <v>25.498888888888889</v>
      </c>
    </row>
    <row r="246" spans="1:5">
      <c r="D246" s="48" t="s">
        <v>2491</v>
      </c>
      <c r="E246" s="48">
        <f>E244*E245%</f>
        <v>0.17849222222222222</v>
      </c>
    </row>
    <row r="248" spans="1:5">
      <c r="A248" t="s">
        <v>679</v>
      </c>
      <c r="B248" s="278" t="s">
        <v>2342</v>
      </c>
      <c r="C248" t="s">
        <v>197</v>
      </c>
      <c r="D248" t="s">
        <v>2492</v>
      </c>
    </row>
    <row r="249" spans="1:5">
      <c r="D249" t="s">
        <v>2493</v>
      </c>
    </row>
    <row r="250" spans="1:5">
      <c r="D250" s="186" t="s">
        <v>2494</v>
      </c>
    </row>
    <row r="260" spans="4:7" ht="15" thickBot="1">
      <c r="D260" s="160" t="s">
        <v>2495</v>
      </c>
    </row>
    <row r="261" spans="4:7">
      <c r="D261" s="200" t="s">
        <v>2496</v>
      </c>
      <c r="E261" s="200" t="s">
        <v>2497</v>
      </c>
      <c r="F261" s="200" t="s">
        <v>156</v>
      </c>
      <c r="G261" s="200" t="s">
        <v>2498</v>
      </c>
    </row>
    <row r="262" spans="4:7" ht="20.399999999999999">
      <c r="D262" s="175" t="s">
        <v>2499</v>
      </c>
      <c r="E262" s="175" t="s">
        <v>2500</v>
      </c>
      <c r="F262" s="175">
        <v>3</v>
      </c>
      <c r="G262" s="176" t="s">
        <v>2501</v>
      </c>
    </row>
    <row r="263" spans="4:7" ht="20.399999999999999">
      <c r="D263" s="175" t="s">
        <v>715</v>
      </c>
      <c r="E263" s="175" t="s">
        <v>2502</v>
      </c>
      <c r="F263" s="175">
        <v>20</v>
      </c>
      <c r="G263" s="176" t="s">
        <v>1229</v>
      </c>
    </row>
    <row r="264" spans="4:7" ht="20.399999999999999">
      <c r="D264" s="175" t="s">
        <v>2503</v>
      </c>
      <c r="E264" s="175" t="s">
        <v>2504</v>
      </c>
      <c r="F264" s="175">
        <v>8</v>
      </c>
      <c r="G264" s="176" t="s">
        <v>2505</v>
      </c>
    </row>
    <row r="265" spans="4:7" ht="20.399999999999999">
      <c r="D265" s="175" t="s">
        <v>2506</v>
      </c>
      <c r="E265" s="175" t="s">
        <v>2507</v>
      </c>
      <c r="F265" s="175">
        <v>52</v>
      </c>
      <c r="G265" s="176" t="s">
        <v>2508</v>
      </c>
    </row>
    <row r="266" spans="4:7" ht="20.399999999999999">
      <c r="D266" s="175" t="s">
        <v>2509</v>
      </c>
      <c r="E266" s="175" t="s">
        <v>2510</v>
      </c>
      <c r="F266" s="175">
        <v>22</v>
      </c>
      <c r="G266" s="176" t="s">
        <v>2511</v>
      </c>
    </row>
    <row r="267" spans="4:7" ht="20.399999999999999">
      <c r="D267" s="175" t="s">
        <v>2512</v>
      </c>
      <c r="E267" s="175" t="s">
        <v>2513</v>
      </c>
      <c r="F267" s="175" t="s">
        <v>2514</v>
      </c>
      <c r="G267" s="176" t="s">
        <v>2515</v>
      </c>
    </row>
    <row r="268" spans="4:7" ht="15" thickBot="1">
      <c r="D268" s="201" t="s">
        <v>2516</v>
      </c>
      <c r="E268" s="201" t="s">
        <v>2517</v>
      </c>
      <c r="F268" s="201">
        <v>42</v>
      </c>
      <c r="G268" s="201" t="s">
        <v>410</v>
      </c>
    </row>
    <row r="270" spans="4:7">
      <c r="D270" s="52" t="s">
        <v>2518</v>
      </c>
      <c r="E270" s="48">
        <v>0.42</v>
      </c>
    </row>
    <row r="273" spans="3:5">
      <c r="C273" t="s">
        <v>226</v>
      </c>
      <c r="D273" t="s">
        <v>2519</v>
      </c>
    </row>
    <row r="274" spans="3:5">
      <c r="D274" t="s">
        <v>2520</v>
      </c>
    </row>
    <row r="275" spans="3:5">
      <c r="D275" s="186" t="s">
        <v>2521</v>
      </c>
    </row>
    <row r="276" spans="3:5">
      <c r="D276" t="s">
        <v>2522</v>
      </c>
      <c r="E276" t="s">
        <v>2523</v>
      </c>
    </row>
    <row r="277" spans="3:5">
      <c r="D277" s="186" t="s">
        <v>2524</v>
      </c>
    </row>
    <row r="278" spans="3:5">
      <c r="D278" t="s">
        <v>2522</v>
      </c>
      <c r="E278" t="s">
        <v>2525</v>
      </c>
    </row>
    <row r="287" spans="3:5">
      <c r="D287" s="48" t="s">
        <v>2522</v>
      </c>
      <c r="E287" s="51">
        <v>22.7</v>
      </c>
    </row>
    <row r="288" spans="3:5">
      <c r="D288" s="48" t="s">
        <v>2522</v>
      </c>
      <c r="E288" s="51">
        <v>71.900000000000006</v>
      </c>
    </row>
    <row r="289" spans="1:5">
      <c r="D289" s="48" t="s">
        <v>2526</v>
      </c>
      <c r="E289" s="51">
        <f>AVERAGE(E287:E288)</f>
        <v>47.300000000000004</v>
      </c>
    </row>
    <row r="290" spans="1:5">
      <c r="D290" s="48" t="s">
        <v>2527</v>
      </c>
      <c r="E290" s="48">
        <v>0.25498888888888899</v>
      </c>
    </row>
    <row r="291" spans="1:5">
      <c r="D291" s="48" t="s">
        <v>2528</v>
      </c>
      <c r="E291" s="48">
        <f>E290/180</f>
        <v>1.4166049382716055E-3</v>
      </c>
    </row>
    <row r="292" spans="1:5">
      <c r="D292" s="48" t="s">
        <v>807</v>
      </c>
      <c r="E292" s="48">
        <f>E291*E289%</f>
        <v>6.7005413580246943E-4</v>
      </c>
    </row>
    <row r="293" spans="1:5">
      <c r="D293" s="48" t="s">
        <v>695</v>
      </c>
      <c r="E293" s="48">
        <f>E292*126</f>
        <v>8.4426821111111147E-2</v>
      </c>
    </row>
    <row r="296" spans="1:5">
      <c r="A296" t="s">
        <v>823</v>
      </c>
      <c r="B296" s="278" t="s">
        <v>2270</v>
      </c>
      <c r="C296" t="s">
        <v>638</v>
      </c>
      <c r="D296" t="s">
        <v>824</v>
      </c>
    </row>
    <row r="297" spans="1:5">
      <c r="D297" t="s">
        <v>825</v>
      </c>
    </row>
    <row r="298" spans="1:5">
      <c r="D298" t="s">
        <v>836</v>
      </c>
      <c r="E298">
        <v>0.86699999999999999</v>
      </c>
    </row>
    <row r="299" spans="1:5">
      <c r="D299" s="48" t="s">
        <v>2529</v>
      </c>
      <c r="E299" s="51">
        <v>16.370526315789476</v>
      </c>
    </row>
    <row r="300" spans="1:5">
      <c r="D300" s="48" t="s">
        <v>2530</v>
      </c>
      <c r="E300" s="48">
        <f>E298*E299%</f>
        <v>0.14193246315789476</v>
      </c>
    </row>
    <row r="303" spans="1:5">
      <c r="B303" s="278" t="s">
        <v>2342</v>
      </c>
      <c r="C303" t="s">
        <v>638</v>
      </c>
      <c r="D303" t="s">
        <v>824</v>
      </c>
    </row>
    <row r="304" spans="1:5">
      <c r="D304" t="s">
        <v>825</v>
      </c>
    </row>
    <row r="305" spans="1:5">
      <c r="D305" t="s">
        <v>836</v>
      </c>
      <c r="E305">
        <v>0.86699999999999999</v>
      </c>
    </row>
    <row r="306" spans="1:5">
      <c r="D306" s="48" t="s">
        <v>2531</v>
      </c>
      <c r="E306" s="51">
        <v>25.498888888888889</v>
      </c>
    </row>
    <row r="307" spans="1:5">
      <c r="D307" s="48" t="s">
        <v>2532</v>
      </c>
      <c r="E307" s="48">
        <f>E305*E306%</f>
        <v>0.22107536666666666</v>
      </c>
    </row>
    <row r="310" spans="1:5">
      <c r="A310" t="s">
        <v>843</v>
      </c>
      <c r="B310" s="217" t="s">
        <v>2270</v>
      </c>
      <c r="C310" t="s">
        <v>638</v>
      </c>
      <c r="D310" t="s">
        <v>2335</v>
      </c>
      <c r="E310" s="142">
        <v>8.5652631578947371</v>
      </c>
    </row>
    <row r="311" spans="1:5">
      <c r="D311" t="s">
        <v>2533</v>
      </c>
      <c r="E311">
        <f>E310%*17%</f>
        <v>1.4560947368421054E-2</v>
      </c>
    </row>
    <row r="313" spans="1:5">
      <c r="B313" s="217" t="s">
        <v>2342</v>
      </c>
      <c r="C313" t="s">
        <v>638</v>
      </c>
      <c r="D313" t="s">
        <v>2534</v>
      </c>
      <c r="E313" s="142">
        <v>25.498888888888889</v>
      </c>
    </row>
    <row r="314" spans="1:5">
      <c r="D314" t="s">
        <v>2535</v>
      </c>
      <c r="E314">
        <f>E313%*17%</f>
        <v>4.3348111111111115E-2</v>
      </c>
    </row>
    <row r="316" spans="1:5">
      <c r="A316" t="s">
        <v>876</v>
      </c>
      <c r="B316" s="217" t="s">
        <v>2270</v>
      </c>
      <c r="C316" t="s">
        <v>638</v>
      </c>
      <c r="D316" t="s">
        <v>883</v>
      </c>
      <c r="E316">
        <v>0.66714285714285715</v>
      </c>
    </row>
    <row r="317" spans="1:5">
      <c r="D317" s="48" t="s">
        <v>2536</v>
      </c>
      <c r="E317" s="48">
        <v>16.370526315789476</v>
      </c>
    </row>
    <row r="318" spans="1:5">
      <c r="D318" s="48" t="s">
        <v>2537</v>
      </c>
      <c r="E318" s="48">
        <f>E316*E317%</f>
        <v>0.10921479699248123</v>
      </c>
    </row>
    <row r="320" spans="1:5">
      <c r="B320" s="217" t="s">
        <v>2342</v>
      </c>
      <c r="C320" t="s">
        <v>638</v>
      </c>
      <c r="D320" t="s">
        <v>883</v>
      </c>
      <c r="E320">
        <v>0.66714285714285715</v>
      </c>
    </row>
    <row r="321" spans="1:5">
      <c r="D321" s="48" t="s">
        <v>2538</v>
      </c>
      <c r="E321" s="48">
        <v>49.201161616161613</v>
      </c>
    </row>
    <row r="322" spans="1:5">
      <c r="D322" s="48" t="s">
        <v>2539</v>
      </c>
      <c r="E322" s="48">
        <f>E320*E321%</f>
        <v>0.32824203535353536</v>
      </c>
    </row>
    <row r="325" spans="1:5">
      <c r="A325" t="s">
        <v>892</v>
      </c>
      <c r="B325" s="217" t="s">
        <v>2270</v>
      </c>
      <c r="C325" t="s">
        <v>638</v>
      </c>
      <c r="D325" t="s">
        <v>883</v>
      </c>
      <c r="E325">
        <v>0.23649999999999999</v>
      </c>
    </row>
    <row r="326" spans="1:5">
      <c r="D326" t="s">
        <v>2335</v>
      </c>
      <c r="E326" s="142">
        <v>8.5652631578947371</v>
      </c>
    </row>
    <row r="327" spans="1:5">
      <c r="D327" s="48" t="s">
        <v>2540</v>
      </c>
      <c r="E327" s="48">
        <f>E326%*E325</f>
        <v>2.0256847368421052E-2</v>
      </c>
    </row>
    <row r="329" spans="1:5">
      <c r="B329" s="217" t="s">
        <v>2342</v>
      </c>
      <c r="C329" t="s">
        <v>638</v>
      </c>
      <c r="D329" t="s">
        <v>883</v>
      </c>
      <c r="E329">
        <v>0.23649999999999999</v>
      </c>
    </row>
    <row r="330" spans="1:5">
      <c r="D330" t="s">
        <v>2534</v>
      </c>
      <c r="E330" s="142">
        <v>25.498888888888889</v>
      </c>
    </row>
    <row r="331" spans="1:5">
      <c r="D331" s="48" t="s">
        <v>2541</v>
      </c>
      <c r="E331" s="48">
        <f>E330%*E329</f>
        <v>6.0304872222222215E-2</v>
      </c>
    </row>
    <row r="333" spans="1:5">
      <c r="A333" t="s">
        <v>931</v>
      </c>
      <c r="B333" s="217" t="s">
        <v>2270</v>
      </c>
      <c r="C333" t="s">
        <v>638</v>
      </c>
      <c r="D333" t="s">
        <v>940</v>
      </c>
      <c r="E333">
        <v>0.52103333333333335</v>
      </c>
    </row>
    <row r="334" spans="1:5">
      <c r="D334" t="s">
        <v>2542</v>
      </c>
      <c r="E334">
        <v>16.370526315789476</v>
      </c>
    </row>
    <row r="335" spans="1:5">
      <c r="D335" s="48" t="s">
        <v>2543</v>
      </c>
      <c r="E335" s="48">
        <f>E333*E334%</f>
        <v>8.5295898947368443E-2</v>
      </c>
    </row>
    <row r="337" spans="1:10">
      <c r="A337" t="s">
        <v>931</v>
      </c>
      <c r="B337" s="217" t="s">
        <v>2342</v>
      </c>
      <c r="C337" t="s">
        <v>638</v>
      </c>
      <c r="D337" t="s">
        <v>940</v>
      </c>
      <c r="E337">
        <v>0.52103333333333335</v>
      </c>
    </row>
    <row r="338" spans="1:10">
      <c r="D338" t="s">
        <v>2544</v>
      </c>
      <c r="E338">
        <v>25.498888888888889</v>
      </c>
    </row>
    <row r="339" spans="1:10">
      <c r="D339" s="48" t="s">
        <v>2545</v>
      </c>
      <c r="E339" s="48">
        <f>E337*E338%</f>
        <v>0.13285771074074074</v>
      </c>
    </row>
    <row r="341" spans="1:10">
      <c r="A341" t="s">
        <v>1731</v>
      </c>
      <c r="B341" s="278" t="s">
        <v>2270</v>
      </c>
      <c r="C341" t="s">
        <v>638</v>
      </c>
      <c r="D341" t="s">
        <v>984</v>
      </c>
    </row>
    <row r="342" spans="1:10">
      <c r="D342" t="s">
        <v>985</v>
      </c>
    </row>
    <row r="343" spans="1:10" ht="15.6">
      <c r="D343" s="199" t="s">
        <v>986</v>
      </c>
    </row>
    <row r="344" spans="1:10">
      <c r="D344" t="s">
        <v>987</v>
      </c>
      <c r="E344">
        <v>0.76</v>
      </c>
    </row>
    <row r="345" spans="1:10">
      <c r="D345" t="s">
        <v>2546</v>
      </c>
      <c r="E345">
        <v>16.370526315789476</v>
      </c>
    </row>
    <row r="346" spans="1:10">
      <c r="D346" t="s">
        <v>2547</v>
      </c>
      <c r="E346">
        <f>E344*E345%</f>
        <v>0.12441600000000003</v>
      </c>
    </row>
    <row r="348" spans="1:10">
      <c r="B348" s="278" t="s">
        <v>2342</v>
      </c>
      <c r="C348" t="s">
        <v>197</v>
      </c>
      <c r="D348" t="s">
        <v>2548</v>
      </c>
    </row>
    <row r="349" spans="1:10">
      <c r="D349" t="s">
        <v>2549</v>
      </c>
    </row>
    <row r="350" spans="1:10" ht="15" thickBot="1">
      <c r="D350" s="22" t="s">
        <v>2550</v>
      </c>
    </row>
    <row r="351" spans="1:10" ht="43.8" thickBot="1">
      <c r="D351" s="21" t="s">
        <v>2551</v>
      </c>
      <c r="E351" s="21" t="s">
        <v>2552</v>
      </c>
      <c r="F351" s="21" t="s">
        <v>2553</v>
      </c>
      <c r="G351" s="122" t="s">
        <v>2554</v>
      </c>
      <c r="H351" s="122" t="s">
        <v>2555</v>
      </c>
      <c r="I351" s="122" t="s">
        <v>2556</v>
      </c>
      <c r="J351" s="122" t="s">
        <v>2557</v>
      </c>
    </row>
    <row r="352" spans="1:10" ht="27.6">
      <c r="D352" s="243">
        <v>4.5138888888888888E-2</v>
      </c>
      <c r="E352" s="75" t="s">
        <v>2558</v>
      </c>
      <c r="F352" s="75" t="s">
        <v>2559</v>
      </c>
      <c r="G352" s="75" t="s">
        <v>2560</v>
      </c>
      <c r="H352" s="75">
        <v>0.75</v>
      </c>
      <c r="I352" s="75">
        <v>0.13</v>
      </c>
      <c r="J352" s="75" t="s">
        <v>2561</v>
      </c>
    </row>
    <row r="353" spans="3:10" ht="27.6">
      <c r="D353" s="243">
        <v>4.5833333333333337E-2</v>
      </c>
      <c r="E353" s="75" t="s">
        <v>2562</v>
      </c>
      <c r="F353" s="75" t="s">
        <v>2563</v>
      </c>
      <c r="G353" s="75" t="s">
        <v>2564</v>
      </c>
      <c r="H353" s="75">
        <v>0.77</v>
      </c>
      <c r="I353" s="75">
        <v>0.13</v>
      </c>
      <c r="J353" s="75" t="s">
        <v>2561</v>
      </c>
    </row>
    <row r="354" spans="3:10" ht="27.6">
      <c r="D354" s="243">
        <v>4.6527777777777779E-2</v>
      </c>
      <c r="E354" s="75" t="s">
        <v>2565</v>
      </c>
      <c r="F354" s="75" t="s">
        <v>2566</v>
      </c>
      <c r="G354" s="75" t="s">
        <v>2567</v>
      </c>
      <c r="H354" s="75">
        <v>0.72</v>
      </c>
      <c r="I354" s="75">
        <v>0.2</v>
      </c>
      <c r="J354" s="75" t="s">
        <v>2568</v>
      </c>
    </row>
    <row r="355" spans="3:10" ht="27.6">
      <c r="D355" s="243">
        <v>4.7222222222222221E-2</v>
      </c>
      <c r="E355" s="75" t="s">
        <v>2569</v>
      </c>
      <c r="F355" s="75" t="s">
        <v>2570</v>
      </c>
      <c r="G355" s="75" t="s">
        <v>2571</v>
      </c>
      <c r="H355" s="75">
        <v>0.88</v>
      </c>
      <c r="I355" s="75">
        <v>0.25</v>
      </c>
      <c r="J355" s="75" t="s">
        <v>2572</v>
      </c>
    </row>
    <row r="356" spans="3:10" ht="27.6">
      <c r="D356" s="243">
        <v>4.7916666666666663E-2</v>
      </c>
      <c r="E356" s="75" t="s">
        <v>2573</v>
      </c>
      <c r="F356" s="75" t="s">
        <v>2574</v>
      </c>
      <c r="G356" s="75" t="s">
        <v>2575</v>
      </c>
      <c r="H356" s="75">
        <v>0.88</v>
      </c>
      <c r="I356" s="75">
        <v>0.3</v>
      </c>
      <c r="J356" s="75" t="s">
        <v>2576</v>
      </c>
    </row>
    <row r="357" spans="3:10" ht="27.6">
      <c r="D357" s="243">
        <v>4.8611111111111112E-2</v>
      </c>
      <c r="E357" s="75" t="s">
        <v>2577</v>
      </c>
      <c r="F357" s="75" t="s">
        <v>2578</v>
      </c>
      <c r="G357" s="75" t="s">
        <v>2579</v>
      </c>
      <c r="H357" s="75">
        <v>0.89</v>
      </c>
      <c r="I357" s="75">
        <v>0.33</v>
      </c>
      <c r="J357" s="75" t="s">
        <v>2580</v>
      </c>
    </row>
    <row r="358" spans="3:10" ht="27.6">
      <c r="D358" s="243">
        <v>5.2083333333333336E-2</v>
      </c>
      <c r="E358" s="75" t="s">
        <v>2581</v>
      </c>
      <c r="F358" s="75" t="s">
        <v>2582</v>
      </c>
      <c r="G358" s="75" t="s">
        <v>2583</v>
      </c>
      <c r="H358" s="75">
        <v>0.83</v>
      </c>
      <c r="I358" s="75">
        <v>0.23</v>
      </c>
      <c r="J358" s="75" t="s">
        <v>2584</v>
      </c>
    </row>
    <row r="359" spans="3:10" ht="27.6">
      <c r="D359" s="243">
        <v>5.5555555555555552E-2</v>
      </c>
      <c r="E359" s="75" t="s">
        <v>2585</v>
      </c>
      <c r="F359" s="75" t="s">
        <v>2582</v>
      </c>
      <c r="G359" s="75" t="s">
        <v>2586</v>
      </c>
      <c r="H359" s="75">
        <v>0.84</v>
      </c>
      <c r="I359" s="75">
        <v>0.23</v>
      </c>
      <c r="J359" s="75" t="s">
        <v>2584</v>
      </c>
    </row>
    <row r="360" spans="3:10" ht="28.2" thickBot="1">
      <c r="D360" s="244">
        <v>5.9027777777777783E-2</v>
      </c>
      <c r="E360" s="79" t="s">
        <v>2587</v>
      </c>
      <c r="F360" s="79" t="s">
        <v>2588</v>
      </c>
      <c r="G360" s="79" t="s">
        <v>2589</v>
      </c>
      <c r="H360" s="79">
        <v>0.83</v>
      </c>
      <c r="I360" s="79">
        <v>0.24</v>
      </c>
      <c r="J360" s="79" t="s">
        <v>2590</v>
      </c>
    </row>
    <row r="361" spans="3:10">
      <c r="D361" t="s">
        <v>2591</v>
      </c>
      <c r="E361">
        <f>AVERAGE(H352:H360)</f>
        <v>0.82111111111111112</v>
      </c>
    </row>
    <row r="362" spans="3:10">
      <c r="D362" s="48" t="s">
        <v>2592</v>
      </c>
      <c r="E362" s="48">
        <v>49.201161616161613</v>
      </c>
    </row>
    <row r="363" spans="3:10">
      <c r="D363" s="48" t="s">
        <v>2593</v>
      </c>
      <c r="E363" s="48">
        <f>E361*E362%</f>
        <v>0.40399620482603815</v>
      </c>
    </row>
    <row r="365" spans="3:10">
      <c r="C365" t="s">
        <v>226</v>
      </c>
      <c r="D365" t="s">
        <v>2594</v>
      </c>
    </row>
    <row r="366" spans="3:10">
      <c r="D366" t="s">
        <v>2595</v>
      </c>
    </row>
    <row r="367" spans="3:10">
      <c r="D367" t="s">
        <v>2596</v>
      </c>
    </row>
    <row r="368" spans="3:10">
      <c r="D368" t="s">
        <v>2597</v>
      </c>
      <c r="E368" t="s">
        <v>2598</v>
      </c>
      <c r="F368" t="s">
        <v>2599</v>
      </c>
      <c r="G368" t="s">
        <v>2600</v>
      </c>
      <c r="H368" t="s">
        <v>2601</v>
      </c>
      <c r="I368" t="s">
        <v>2602</v>
      </c>
      <c r="J368" t="s">
        <v>2603</v>
      </c>
    </row>
    <row r="369" spans="4:10">
      <c r="D369">
        <v>4</v>
      </c>
      <c r="E369" t="s">
        <v>2604</v>
      </c>
      <c r="F369" t="s">
        <v>2605</v>
      </c>
      <c r="G369" t="s">
        <v>2606</v>
      </c>
      <c r="H369">
        <v>0.8</v>
      </c>
      <c r="I369">
        <v>0.23</v>
      </c>
      <c r="J369" t="s">
        <v>2607</v>
      </c>
    </row>
    <row r="370" spans="4:10">
      <c r="D370">
        <v>5</v>
      </c>
      <c r="E370" t="s">
        <v>2608</v>
      </c>
      <c r="F370" t="s">
        <v>2609</v>
      </c>
      <c r="G370" t="s">
        <v>2610</v>
      </c>
      <c r="H370">
        <v>0.77</v>
      </c>
      <c r="I370">
        <v>0.27</v>
      </c>
      <c r="J370" t="s">
        <v>2611</v>
      </c>
    </row>
    <row r="371" spans="4:10">
      <c r="D371">
        <v>6.7</v>
      </c>
      <c r="E371" t="s">
        <v>2612</v>
      </c>
      <c r="F371" t="s">
        <v>2613</v>
      </c>
      <c r="G371" t="s">
        <v>2614</v>
      </c>
      <c r="H371">
        <v>0.9</v>
      </c>
      <c r="I371">
        <v>0.4</v>
      </c>
      <c r="J371" t="s">
        <v>2615</v>
      </c>
    </row>
    <row r="372" spans="4:10">
      <c r="D372">
        <v>10</v>
      </c>
      <c r="E372" t="s">
        <v>2616</v>
      </c>
      <c r="F372" t="s">
        <v>2617</v>
      </c>
      <c r="G372" t="s">
        <v>2618</v>
      </c>
      <c r="H372">
        <v>0.86</v>
      </c>
      <c r="I372">
        <v>0.39</v>
      </c>
      <c r="J372" t="s">
        <v>2619</v>
      </c>
    </row>
    <row r="373" spans="4:10">
      <c r="D373">
        <v>11.1</v>
      </c>
      <c r="E373" t="s">
        <v>2620</v>
      </c>
      <c r="F373" t="s">
        <v>2621</v>
      </c>
      <c r="G373" t="s">
        <v>2574</v>
      </c>
      <c r="H373">
        <v>0.84</v>
      </c>
      <c r="I373">
        <v>0.34</v>
      </c>
      <c r="J373" t="s">
        <v>2622</v>
      </c>
    </row>
    <row r="374" spans="4:10">
      <c r="D374">
        <v>12.5</v>
      </c>
      <c r="E374" t="s">
        <v>2623</v>
      </c>
      <c r="F374" t="s">
        <v>2624</v>
      </c>
      <c r="G374" t="s">
        <v>2625</v>
      </c>
      <c r="H374">
        <v>0.87</v>
      </c>
      <c r="I374">
        <v>0.24</v>
      </c>
      <c r="J374" t="s">
        <v>2626</v>
      </c>
    </row>
    <row r="375" spans="4:10">
      <c r="D375">
        <v>14.3</v>
      </c>
      <c r="E375" t="s">
        <v>2627</v>
      </c>
      <c r="F375" t="s">
        <v>2628</v>
      </c>
      <c r="G375" t="s">
        <v>2629</v>
      </c>
      <c r="H375">
        <v>0.75</v>
      </c>
      <c r="I375">
        <v>0.17</v>
      </c>
      <c r="J375" t="s">
        <v>2630</v>
      </c>
    </row>
    <row r="376" spans="4:10">
      <c r="D376">
        <v>16.7</v>
      </c>
      <c r="E376" t="s">
        <v>2631</v>
      </c>
      <c r="F376" t="s">
        <v>2632</v>
      </c>
      <c r="G376" t="s">
        <v>2633</v>
      </c>
      <c r="H376">
        <v>0.82</v>
      </c>
      <c r="I376">
        <v>0.13</v>
      </c>
      <c r="J376" t="s">
        <v>2634</v>
      </c>
    </row>
    <row r="377" spans="4:10">
      <c r="D377">
        <v>20</v>
      </c>
      <c r="E377" t="s">
        <v>2635</v>
      </c>
      <c r="F377" t="s">
        <v>2636</v>
      </c>
      <c r="G377" t="s">
        <v>2637</v>
      </c>
      <c r="H377">
        <v>0.62</v>
      </c>
      <c r="I377">
        <v>7.0000000000000007E-2</v>
      </c>
      <c r="J377" t="s">
        <v>2638</v>
      </c>
    </row>
    <row r="379" spans="4:10">
      <c r="D379" t="s">
        <v>995</v>
      </c>
      <c r="E379">
        <f>AVERAGE(H369:H377)</f>
        <v>0.80333333333333334</v>
      </c>
    </row>
    <row r="380" spans="4:10">
      <c r="D380" s="48" t="s">
        <v>2592</v>
      </c>
      <c r="E380" s="48">
        <v>49.201161616161613</v>
      </c>
    </row>
    <row r="381" spans="4:10">
      <c r="D381" s="48" t="s">
        <v>2593</v>
      </c>
      <c r="E381" s="48">
        <f>E379*E380%</f>
        <v>0.39524933164983167</v>
      </c>
    </row>
    <row r="385" spans="1:5">
      <c r="A385" t="s">
        <v>1186</v>
      </c>
      <c r="B385" s="278" t="s">
        <v>2270</v>
      </c>
      <c r="C385" t="s">
        <v>638</v>
      </c>
      <c r="D385" t="s">
        <v>1187</v>
      </c>
    </row>
    <row r="386" spans="1:5">
      <c r="D386" t="s">
        <v>1188</v>
      </c>
    </row>
    <row r="387" spans="1:5">
      <c r="D387" t="s">
        <v>1194</v>
      </c>
      <c r="E387">
        <v>95.2</v>
      </c>
    </row>
    <row r="388" spans="1:5">
      <c r="D388" t="s">
        <v>1193</v>
      </c>
      <c r="E388">
        <v>0.96257777777777775</v>
      </c>
    </row>
    <row r="389" spans="1:5">
      <c r="D389" s="48" t="s">
        <v>2639</v>
      </c>
      <c r="E389" s="48">
        <v>16.370526315789476</v>
      </c>
    </row>
    <row r="390" spans="1:5">
      <c r="D390" s="48" t="s">
        <v>2640</v>
      </c>
      <c r="E390" s="48">
        <f>E388*E389%</f>
        <v>0.15757904842105266</v>
      </c>
    </row>
    <row r="392" spans="1:5">
      <c r="A392" t="s">
        <v>1186</v>
      </c>
      <c r="B392" s="278" t="s">
        <v>2342</v>
      </c>
      <c r="C392" t="s">
        <v>638</v>
      </c>
      <c r="D392" t="s">
        <v>1187</v>
      </c>
    </row>
    <row r="393" spans="1:5">
      <c r="D393" t="s">
        <v>1188</v>
      </c>
    </row>
    <row r="394" spans="1:5">
      <c r="D394" t="s">
        <v>1194</v>
      </c>
      <c r="E394">
        <v>95.2</v>
      </c>
    </row>
    <row r="395" spans="1:5">
      <c r="D395" t="s">
        <v>1193</v>
      </c>
      <c r="E395">
        <v>0.96257777777777775</v>
      </c>
    </row>
    <row r="396" spans="1:5">
      <c r="D396" s="48" t="s">
        <v>2641</v>
      </c>
      <c r="E396" s="48">
        <v>25.498888888888889</v>
      </c>
    </row>
    <row r="397" spans="1:5">
      <c r="D397" s="48" t="s">
        <v>2642</v>
      </c>
      <c r="E397" s="48">
        <f>E395*E396%</f>
        <v>0.24544663802469133</v>
      </c>
    </row>
    <row r="402" spans="1:10">
      <c r="A402" t="s">
        <v>401</v>
      </c>
      <c r="B402" s="278" t="s">
        <v>2270</v>
      </c>
      <c r="C402" t="s">
        <v>638</v>
      </c>
      <c r="D402" t="s">
        <v>1202</v>
      </c>
    </row>
    <row r="403" spans="1:10">
      <c r="D403" t="s">
        <v>1203</v>
      </c>
    </row>
    <row r="404" spans="1:10">
      <c r="D404" t="s">
        <v>1205</v>
      </c>
      <c r="E404">
        <v>0.48590909090909096</v>
      </c>
    </row>
    <row r="405" spans="1:10">
      <c r="D405" s="48" t="s">
        <v>2643</v>
      </c>
      <c r="E405" s="48">
        <v>0</v>
      </c>
    </row>
    <row r="406" spans="1:10">
      <c r="D406" s="48" t="s">
        <v>2644</v>
      </c>
      <c r="E406" s="48">
        <f>E404*E405%</f>
        <v>0</v>
      </c>
    </row>
    <row r="409" spans="1:10">
      <c r="B409" s="278" t="s">
        <v>2342</v>
      </c>
      <c r="C409" t="s">
        <v>197</v>
      </c>
      <c r="D409" t="s">
        <v>2645</v>
      </c>
    </row>
    <row r="410" spans="1:10">
      <c r="D410" t="s">
        <v>2646</v>
      </c>
    </row>
    <row r="411" spans="1:10">
      <c r="D411" t="s">
        <v>2647</v>
      </c>
    </row>
    <row r="412" spans="1:10" ht="24">
      <c r="D412" s="269" t="s">
        <v>2648</v>
      </c>
      <c r="E412" s="269" t="s">
        <v>2649</v>
      </c>
      <c r="F412" s="269" t="s">
        <v>2650</v>
      </c>
      <c r="G412" s="269" t="s">
        <v>2651</v>
      </c>
      <c r="H412" s="269" t="s">
        <v>2652</v>
      </c>
      <c r="I412" s="269" t="s">
        <v>2653</v>
      </c>
      <c r="J412" s="269" t="s">
        <v>2654</v>
      </c>
    </row>
    <row r="413" spans="1:10">
      <c r="D413" s="270" t="s">
        <v>2655</v>
      </c>
      <c r="E413" s="270" t="s">
        <v>2656</v>
      </c>
      <c r="F413" s="270" t="s">
        <v>2657</v>
      </c>
      <c r="G413" s="270" t="s">
        <v>2658</v>
      </c>
      <c r="H413" s="270" t="s">
        <v>2659</v>
      </c>
      <c r="I413" s="270" t="s">
        <v>2660</v>
      </c>
      <c r="J413" s="270" t="s">
        <v>2661</v>
      </c>
    </row>
    <row r="414" spans="1:10">
      <c r="D414" s="271" t="s">
        <v>2662</v>
      </c>
      <c r="E414" s="271" t="s">
        <v>2663</v>
      </c>
      <c r="F414" s="271" t="s">
        <v>2664</v>
      </c>
      <c r="G414" s="271" t="s">
        <v>2665</v>
      </c>
      <c r="H414" s="271" t="s">
        <v>2666</v>
      </c>
      <c r="I414" s="271" t="s">
        <v>2667</v>
      </c>
      <c r="J414" s="271" t="s">
        <v>2668</v>
      </c>
    </row>
    <row r="415" spans="1:10">
      <c r="D415" s="270" t="s">
        <v>2669</v>
      </c>
      <c r="E415" s="270" t="s">
        <v>2670</v>
      </c>
      <c r="F415" s="270" t="s">
        <v>2671</v>
      </c>
      <c r="G415" s="270" t="s">
        <v>2663</v>
      </c>
      <c r="H415" s="270" t="s">
        <v>2672</v>
      </c>
      <c r="I415" s="270" t="s">
        <v>2673</v>
      </c>
      <c r="J415" s="270" t="s">
        <v>2674</v>
      </c>
    </row>
    <row r="416" spans="1:10">
      <c r="D416" s="271" t="s">
        <v>2675</v>
      </c>
      <c r="E416" s="273" t="s">
        <v>2676</v>
      </c>
      <c r="F416" s="271" t="s">
        <v>2677</v>
      </c>
      <c r="G416" s="271" t="s">
        <v>2678</v>
      </c>
      <c r="H416" s="271" t="s">
        <v>2679</v>
      </c>
      <c r="I416" s="271" t="s">
        <v>2680</v>
      </c>
      <c r="J416" s="271" t="s">
        <v>2681</v>
      </c>
    </row>
    <row r="417" spans="3:10">
      <c r="D417" s="270" t="s">
        <v>2682</v>
      </c>
      <c r="E417" s="270" t="s">
        <v>2683</v>
      </c>
      <c r="F417" s="270" t="s">
        <v>2684</v>
      </c>
      <c r="G417" s="270" t="s">
        <v>2685</v>
      </c>
      <c r="H417" s="270" t="s">
        <v>2686</v>
      </c>
      <c r="I417" s="270" t="s">
        <v>2687</v>
      </c>
      <c r="J417" s="270" t="s">
        <v>2688</v>
      </c>
    </row>
    <row r="418" spans="3:10">
      <c r="D418" s="271" t="s">
        <v>2689</v>
      </c>
      <c r="E418" s="271" t="s">
        <v>2688</v>
      </c>
      <c r="F418" s="271" t="s">
        <v>2688</v>
      </c>
      <c r="G418" s="271" t="s">
        <v>2668</v>
      </c>
      <c r="H418" s="271" t="s">
        <v>2690</v>
      </c>
      <c r="I418" s="271" t="s">
        <v>2688</v>
      </c>
      <c r="J418" s="271" t="s">
        <v>2668</v>
      </c>
    </row>
    <row r="419" spans="3:10" ht="22.8">
      <c r="D419" s="270" t="s">
        <v>2691</v>
      </c>
      <c r="E419" s="270" t="s">
        <v>2692</v>
      </c>
      <c r="F419" s="270" t="s">
        <v>2693</v>
      </c>
      <c r="G419" s="270" t="s">
        <v>2694</v>
      </c>
      <c r="H419" s="270" t="s">
        <v>2695</v>
      </c>
      <c r="I419" s="270" t="s">
        <v>2696</v>
      </c>
      <c r="J419" s="270" t="s">
        <v>2697</v>
      </c>
    </row>
    <row r="420" spans="3:10">
      <c r="D420" s="271" t="s">
        <v>1213</v>
      </c>
      <c r="E420" s="273" t="s">
        <v>2698</v>
      </c>
      <c r="F420" s="271" t="s">
        <v>2699</v>
      </c>
      <c r="G420" s="271" t="s">
        <v>2700</v>
      </c>
      <c r="H420" s="271" t="s">
        <v>2701</v>
      </c>
      <c r="I420" s="271" t="s">
        <v>2702</v>
      </c>
      <c r="J420" s="271" t="s">
        <v>2703</v>
      </c>
    </row>
    <row r="421" spans="3:10">
      <c r="D421" s="272" t="s">
        <v>2704</v>
      </c>
      <c r="E421" s="272" t="s">
        <v>2703</v>
      </c>
      <c r="F421" s="272" t="s">
        <v>2705</v>
      </c>
      <c r="G421" s="272" t="s">
        <v>2706</v>
      </c>
      <c r="H421" s="272" t="s">
        <v>2707</v>
      </c>
      <c r="I421" s="272" t="s">
        <v>2708</v>
      </c>
      <c r="J421" s="272" t="s">
        <v>2709</v>
      </c>
    </row>
    <row r="423" spans="3:10">
      <c r="D423" t="s">
        <v>2710</v>
      </c>
      <c r="E423">
        <f>0.06/1</f>
        <v>0.06</v>
      </c>
    </row>
    <row r="424" spans="3:10">
      <c r="D424" s="48" t="s">
        <v>2711</v>
      </c>
      <c r="E424" s="48">
        <v>23.702272727272728</v>
      </c>
    </row>
    <row r="425" spans="3:10">
      <c r="D425" s="48" t="s">
        <v>2712</v>
      </c>
      <c r="E425" s="48">
        <f>E423*E424%</f>
        <v>1.4221363636363636E-2</v>
      </c>
    </row>
    <row r="427" spans="3:10">
      <c r="C427" t="s">
        <v>638</v>
      </c>
      <c r="D427" t="s">
        <v>1202</v>
      </c>
    </row>
    <row r="428" spans="3:10">
      <c r="D428" t="s">
        <v>1203</v>
      </c>
    </row>
    <row r="429" spans="3:10">
      <c r="D429" t="s">
        <v>1205</v>
      </c>
      <c r="E429">
        <v>0.48590909090909096</v>
      </c>
    </row>
    <row r="430" spans="3:10">
      <c r="D430" s="48" t="s">
        <v>2713</v>
      </c>
      <c r="E430" s="48">
        <v>23.702272727272728</v>
      </c>
    </row>
    <row r="431" spans="3:10">
      <c r="D431" s="48" t="s">
        <v>2714</v>
      </c>
      <c r="E431" s="48">
        <f>E429*E430%</f>
        <v>0.11517149793388431</v>
      </c>
    </row>
  </sheetData>
  <mergeCells count="29">
    <mergeCell ref="D155:D156"/>
    <mergeCell ref="P155:P157"/>
    <mergeCell ref="E155:E157"/>
    <mergeCell ref="F155:F157"/>
    <mergeCell ref="G155:G157"/>
    <mergeCell ref="H155:H157"/>
    <mergeCell ref="I155:I157"/>
    <mergeCell ref="J155:J157"/>
    <mergeCell ref="K155:K157"/>
    <mergeCell ref="L155:L157"/>
    <mergeCell ref="M155:M157"/>
    <mergeCell ref="N155:N157"/>
    <mergeCell ref="D37:I37"/>
    <mergeCell ref="D145:D154"/>
    <mergeCell ref="H145:I147"/>
    <mergeCell ref="J145:M147"/>
    <mergeCell ref="N145:N154"/>
    <mergeCell ref="J148:K148"/>
    <mergeCell ref="J149:K149"/>
    <mergeCell ref="J150:K150"/>
    <mergeCell ref="J151:K151"/>
    <mergeCell ref="L148:M151"/>
    <mergeCell ref="D31:D32"/>
    <mergeCell ref="E31:E32"/>
    <mergeCell ref="F31:G31"/>
    <mergeCell ref="H31:I31"/>
    <mergeCell ref="E5:F5"/>
    <mergeCell ref="E6:F6"/>
    <mergeCell ref="E21:F21"/>
  </mergeCells>
  <hyperlinks>
    <hyperlink ref="D86" r:id="rId1" display="https://link.springer.com/article/10.1007/s11274-023-03588-2" xr:uid="{D0194D27-A93D-4BCC-A166-C03598F873E5}"/>
    <hyperlink ref="D144" r:id="rId2" display="https://link.springer.com/article/10.1007/s13399-020-00880-1" xr:uid="{AF16460C-811D-4569-B710-CFD16F1E5F85}"/>
    <hyperlink ref="U144" r:id="rId3" display="https://link.springer.com/article/10.1007/s13399-020-00880-1" xr:uid="{CF59522F-E730-4F02-97F2-70DF4F88234A}"/>
    <hyperlink ref="G186" r:id="rId4" location="tblfn2" display="https://www.sciencedirect.com/science/article/pii/S0956053X11000742?via%3Dihub - tblfn2" xr:uid="{A6B93BE5-A2D3-4BCF-AED2-5F43A14487C6}"/>
    <hyperlink ref="G262" r:id="rId5" location="bib0345" display="https://www.sciencedirect.com/science/article/pii/S1226086X14006996?via%3Dihub - bib0345" xr:uid="{5C87363C-07C9-4093-B51C-D7F540C99D7A}"/>
    <hyperlink ref="G263" r:id="rId6" location="bib0350" display="https://www.sciencedirect.com/science/article/pii/S1226086X14006996?via%3Dihub - bib0350" xr:uid="{8B8E4662-C710-4160-BC8B-4E2FF394ED82}"/>
    <hyperlink ref="G264" r:id="rId7" location="bib0355" display="https://www.sciencedirect.com/science/article/pii/S1226086X14006996?via%3Dihub - bib0355" xr:uid="{9915006E-0B69-4A24-88E4-3FD2EC2158CB}"/>
    <hyperlink ref="G265" r:id="rId8" location="bib0360" display="https://www.sciencedirect.com/science/article/pii/S1226086X14006996?via%3Dihub - bib0360" xr:uid="{E60A3782-3BD9-43C2-879E-F190E227A51F}"/>
    <hyperlink ref="G266" r:id="rId9" location="bib0365" display="https://www.sciencedirect.com/science/article/pii/S1226086X14006996?via%3Dihub - bib0365" xr:uid="{485E2814-8F8C-4023-B11A-2C4BA35D587E}"/>
    <hyperlink ref="G267" r:id="rId10" location="bib0370" display="https://www.sciencedirect.com/science/article/pii/S1226086X14006996?via%3Dihub - bib0370" xr:uid="{9B4339F2-2F24-4C64-8932-35350C59CC5C}"/>
    <hyperlink ref="G351" r:id="rId11" location="tf0005" display="https://www.sciencedirect.com/science/article/pii/S2589014X1930146X?via%3Dihub - tf0005" xr:uid="{934E61B5-B767-4157-8C5C-D4F1A04D15CE}"/>
    <hyperlink ref="H351" r:id="rId12" location="tf0010" display="https://www.sciencedirect.com/science/article/pii/S2589014X1930146X?via%3Dihub - tf0010" xr:uid="{6D5B9774-6E0A-4951-A60B-77B0B10A3263}"/>
    <hyperlink ref="I351" r:id="rId13" location="tf0015" display="https://www.sciencedirect.com/science/article/pii/S2589014X1930146X?via%3Dihub - tf0015" xr:uid="{C5860045-C342-4366-A797-5F60063139DE}"/>
    <hyperlink ref="J351" r:id="rId14" location="tf0020" display="https://www.sciencedirect.com/science/article/pii/S2589014X1930146X?via%3Dihub - tf0020" xr:uid="{2815E1A4-653A-4802-9431-2DE92B83F4DE}"/>
  </hyperlinks>
  <pageMargins left="0.7" right="0.7" top="0.75" bottom="0.75" header="0.3" footer="0.3"/>
  <pageSetup paperSize="9" orientation="portrait" r:id="rId15"/>
  <drawing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90483-73A1-4212-B9C3-15D84342C36C}">
  <dimension ref="A2:O301"/>
  <sheetViews>
    <sheetView topLeftCell="A126" workbookViewId="0">
      <selection activeCell="D255" sqref="D255:D256"/>
    </sheetView>
  </sheetViews>
  <sheetFormatPr defaultRowHeight="14.4"/>
  <cols>
    <col min="2" max="2" width="12.6640625" customWidth="1"/>
    <col min="3" max="3" width="25.109375" customWidth="1"/>
    <col min="4" max="4" width="49" customWidth="1"/>
  </cols>
  <sheetData>
    <row r="2" spans="1:15">
      <c r="C2" t="s">
        <v>417</v>
      </c>
      <c r="D2" t="s">
        <v>2716</v>
      </c>
    </row>
    <row r="3" spans="1:15">
      <c r="D3" t="s">
        <v>2717</v>
      </c>
    </row>
    <row r="4" spans="1:15">
      <c r="D4" s="22" t="s">
        <v>2718</v>
      </c>
    </row>
    <row r="5" spans="1:15" ht="15" thickBot="1"/>
    <row r="6" spans="1:15">
      <c r="D6" s="532" t="s">
        <v>2719</v>
      </c>
      <c r="E6" s="532" t="s">
        <v>2720</v>
      </c>
      <c r="F6" s="532"/>
      <c r="G6" s="532"/>
      <c r="H6" s="532"/>
      <c r="I6" s="532"/>
    </row>
    <row r="7" spans="1:15" ht="42" thickBot="1">
      <c r="D7" s="571"/>
      <c r="E7" s="13" t="s">
        <v>2721</v>
      </c>
      <c r="F7" s="13" t="s">
        <v>2722</v>
      </c>
      <c r="G7" s="13" t="s">
        <v>2723</v>
      </c>
      <c r="H7" s="13" t="s">
        <v>2724</v>
      </c>
      <c r="I7" s="13" t="s">
        <v>2725</v>
      </c>
      <c r="J7" s="49" t="s">
        <v>2722</v>
      </c>
      <c r="K7" s="49" t="s">
        <v>2723</v>
      </c>
      <c r="L7" s="49" t="s">
        <v>2724</v>
      </c>
      <c r="M7" s="49" t="s">
        <v>2725</v>
      </c>
      <c r="N7" s="49" t="s">
        <v>2726</v>
      </c>
      <c r="O7" s="49" t="s">
        <v>2727</v>
      </c>
    </row>
    <row r="8" spans="1:15" ht="27.6">
      <c r="D8" s="75" t="s">
        <v>2728</v>
      </c>
      <c r="E8" s="16">
        <v>100</v>
      </c>
      <c r="F8" s="16" t="s">
        <v>2729</v>
      </c>
      <c r="G8" s="16" t="s">
        <v>2730</v>
      </c>
      <c r="H8" s="16" t="s">
        <v>2731</v>
      </c>
      <c r="I8" s="16" t="s">
        <v>2732</v>
      </c>
      <c r="J8" s="48">
        <v>48.3</v>
      </c>
      <c r="K8" s="48">
        <v>17.420000000000002</v>
      </c>
      <c r="L8" s="49" t="s">
        <v>2733</v>
      </c>
      <c r="M8" s="48">
        <v>16.190000000000001</v>
      </c>
      <c r="N8" s="48">
        <f>J8/SUM(E8,J8:M8)</f>
        <v>0.26551591446319606</v>
      </c>
      <c r="O8" s="48">
        <f>K8/SUM(E8,J8:M8)</f>
        <v>9.5761640371612333E-2</v>
      </c>
    </row>
    <row r="9" spans="1:15" ht="27.6">
      <c r="D9" s="75" t="s">
        <v>2734</v>
      </c>
      <c r="E9" s="16">
        <v>49.9</v>
      </c>
      <c r="F9" s="16" t="s">
        <v>2735</v>
      </c>
      <c r="G9" s="16" t="s">
        <v>2736</v>
      </c>
      <c r="H9" s="16" t="s">
        <v>2737</v>
      </c>
      <c r="I9" s="16" t="s">
        <v>2738</v>
      </c>
      <c r="J9" s="48">
        <v>71.75</v>
      </c>
      <c r="K9" s="48">
        <v>9.42</v>
      </c>
      <c r="L9" s="48">
        <v>1.65</v>
      </c>
      <c r="M9" s="48">
        <v>5.58</v>
      </c>
      <c r="N9" s="48">
        <f>J9/SUM(E9,J9:M9)</f>
        <v>0.51879971077368037</v>
      </c>
      <c r="O9" s="48">
        <f>K9/SUM(E9,J9:M9)</f>
        <v>6.8112798264642074E-2</v>
      </c>
    </row>
    <row r="10" spans="1:15" ht="27.6">
      <c r="D10" s="75" t="s">
        <v>2739</v>
      </c>
      <c r="E10" s="16">
        <v>24.74</v>
      </c>
      <c r="F10" s="16" t="s">
        <v>2740</v>
      </c>
      <c r="G10" s="16" t="s">
        <v>2741</v>
      </c>
      <c r="H10" s="16" t="s">
        <v>2742</v>
      </c>
      <c r="I10" s="16" t="s">
        <v>2743</v>
      </c>
      <c r="J10" s="48">
        <v>81.34</v>
      </c>
      <c r="K10" s="48">
        <v>5.58</v>
      </c>
      <c r="L10" s="48">
        <v>0.72</v>
      </c>
      <c r="M10" s="48">
        <v>3.14</v>
      </c>
      <c r="N10" s="48"/>
      <c r="O10" s="48"/>
    </row>
    <row r="11" spans="1:15" ht="28.2" thickBot="1">
      <c r="D11" s="79" t="s">
        <v>2744</v>
      </c>
      <c r="E11" s="20">
        <v>28.36</v>
      </c>
      <c r="F11" s="20" t="s">
        <v>2745</v>
      </c>
      <c r="G11" s="20" t="s">
        <v>2746</v>
      </c>
      <c r="H11" s="20" t="s">
        <v>2747</v>
      </c>
      <c r="I11" s="20" t="s">
        <v>2748</v>
      </c>
      <c r="J11" s="48"/>
      <c r="K11" s="48"/>
      <c r="L11" s="48"/>
      <c r="M11" s="48"/>
      <c r="N11" s="48"/>
      <c r="O11" s="48"/>
    </row>
    <row r="12" spans="1:15">
      <c r="D12" t="s">
        <v>2749</v>
      </c>
      <c r="J12" s="48"/>
      <c r="K12" s="48"/>
      <c r="L12" s="48"/>
      <c r="M12" s="48" t="s">
        <v>510</v>
      </c>
      <c r="N12" s="48">
        <f>AVERAGE(N8:N9)</f>
        <v>0.39215781261843818</v>
      </c>
      <c r="O12" s="48">
        <f>AVERAGE(O8:O9)</f>
        <v>8.1937219318127197E-2</v>
      </c>
    </row>
    <row r="14" spans="1:15">
      <c r="A14" t="s">
        <v>2269</v>
      </c>
      <c r="B14" t="s">
        <v>2715</v>
      </c>
      <c r="C14" t="s">
        <v>197</v>
      </c>
      <c r="D14" t="s">
        <v>2750</v>
      </c>
    </row>
    <row r="15" spans="1:15">
      <c r="A15" t="s">
        <v>2269</v>
      </c>
      <c r="B15" t="s">
        <v>2715</v>
      </c>
      <c r="D15" t="s">
        <v>2751</v>
      </c>
    </row>
    <row r="16" spans="1:15">
      <c r="A16" t="s">
        <v>2269</v>
      </c>
      <c r="B16" t="s">
        <v>2715</v>
      </c>
    </row>
    <row r="17" spans="1:7">
      <c r="A17" t="s">
        <v>2269</v>
      </c>
      <c r="B17" t="s">
        <v>2715</v>
      </c>
      <c r="D17" t="s">
        <v>2752</v>
      </c>
    </row>
    <row r="18" spans="1:7">
      <c r="A18" t="s">
        <v>2269</v>
      </c>
      <c r="B18" t="s">
        <v>2715</v>
      </c>
      <c r="D18" t="s">
        <v>2753</v>
      </c>
    </row>
    <row r="19" spans="1:7">
      <c r="A19" t="s">
        <v>2269</v>
      </c>
      <c r="B19" t="s">
        <v>2715</v>
      </c>
      <c r="D19" t="s">
        <v>2754</v>
      </c>
    </row>
    <row r="20" spans="1:7">
      <c r="A20" t="s">
        <v>2269</v>
      </c>
      <c r="B20" t="s">
        <v>2715</v>
      </c>
      <c r="D20" t="s">
        <v>2755</v>
      </c>
    </row>
    <row r="21" spans="1:7">
      <c r="A21" t="s">
        <v>2269</v>
      </c>
      <c r="B21" t="s">
        <v>2715</v>
      </c>
      <c r="D21" t="s">
        <v>2756</v>
      </c>
    </row>
    <row r="22" spans="1:7">
      <c r="A22" t="s">
        <v>2269</v>
      </c>
      <c r="B22" t="s">
        <v>2715</v>
      </c>
      <c r="D22" t="s">
        <v>2757</v>
      </c>
    </row>
    <row r="23" spans="1:7">
      <c r="A23" t="s">
        <v>2269</v>
      </c>
      <c r="B23" t="s">
        <v>2715</v>
      </c>
    </row>
    <row r="24" spans="1:7">
      <c r="A24" t="s">
        <v>2269</v>
      </c>
      <c r="B24" t="s">
        <v>2715</v>
      </c>
      <c r="D24" s="48" t="s">
        <v>2758</v>
      </c>
      <c r="E24" s="48"/>
      <c r="F24" s="48"/>
      <c r="G24" s="48">
        <v>168.13</v>
      </c>
    </row>
    <row r="25" spans="1:7">
      <c r="A25" t="s">
        <v>2269</v>
      </c>
      <c r="B25" t="s">
        <v>2715</v>
      </c>
      <c r="D25" s="48" t="s">
        <v>2759</v>
      </c>
      <c r="E25" s="48"/>
      <c r="F25" s="48"/>
      <c r="G25" s="48">
        <v>2.46</v>
      </c>
    </row>
    <row r="26" spans="1:7">
      <c r="A26" t="s">
        <v>2269</v>
      </c>
      <c r="B26" t="s">
        <v>2715</v>
      </c>
      <c r="D26" s="48" t="s">
        <v>2760</v>
      </c>
      <c r="E26" s="48"/>
      <c r="F26" s="48"/>
      <c r="G26" s="48">
        <v>79</v>
      </c>
    </row>
    <row r="27" spans="1:7">
      <c r="A27" t="s">
        <v>2269</v>
      </c>
      <c r="B27" t="s">
        <v>2715</v>
      </c>
      <c r="D27" s="48" t="s">
        <v>2761</v>
      </c>
      <c r="E27" s="48"/>
      <c r="F27" s="48"/>
      <c r="G27" s="48">
        <f>G26/(G24-G25)</f>
        <v>0.47685157240296977</v>
      </c>
    </row>
    <row r="28" spans="1:7">
      <c r="A28" t="s">
        <v>2269</v>
      </c>
      <c r="B28" t="s">
        <v>2715</v>
      </c>
      <c r="D28" s="48" t="s">
        <v>2762</v>
      </c>
      <c r="E28" s="48"/>
      <c r="F28" s="48"/>
      <c r="G28" s="48">
        <f>11.73%</f>
        <v>0.1173</v>
      </c>
    </row>
    <row r="29" spans="1:7">
      <c r="A29" t="s">
        <v>2269</v>
      </c>
      <c r="B29" t="s">
        <v>2715</v>
      </c>
      <c r="D29" s="48" t="s">
        <v>2763</v>
      </c>
      <c r="E29" s="48"/>
      <c r="F29" s="48"/>
      <c r="G29" s="48">
        <f>G27*G28</f>
        <v>5.5934689442868356E-2</v>
      </c>
    </row>
    <row r="30" spans="1:7">
      <c r="A30" t="s">
        <v>2269</v>
      </c>
      <c r="B30" t="s">
        <v>2715</v>
      </c>
    </row>
    <row r="31" spans="1:7">
      <c r="A31" t="s">
        <v>2269</v>
      </c>
      <c r="B31" t="s">
        <v>2715</v>
      </c>
      <c r="C31" t="s">
        <v>226</v>
      </c>
      <c r="D31" t="s">
        <v>2764</v>
      </c>
    </row>
    <row r="32" spans="1:7">
      <c r="A32" t="s">
        <v>2269</v>
      </c>
      <c r="B32" t="s">
        <v>2715</v>
      </c>
      <c r="D32" t="s">
        <v>2765</v>
      </c>
    </row>
    <row r="33" spans="1:5">
      <c r="A33" t="s">
        <v>2269</v>
      </c>
      <c r="B33" t="s">
        <v>2715</v>
      </c>
    </row>
    <row r="34" spans="1:5">
      <c r="A34" t="s">
        <v>2269</v>
      </c>
      <c r="B34" t="s">
        <v>2715</v>
      </c>
      <c r="D34" t="s">
        <v>2766</v>
      </c>
    </row>
    <row r="35" spans="1:5">
      <c r="A35" t="s">
        <v>2269</v>
      </c>
      <c r="B35" t="s">
        <v>2715</v>
      </c>
      <c r="D35" t="s">
        <v>2767</v>
      </c>
      <c r="E35" t="s">
        <v>2768</v>
      </c>
    </row>
    <row r="36" spans="1:5">
      <c r="A36" t="s">
        <v>2269</v>
      </c>
      <c r="B36" t="s">
        <v>2715</v>
      </c>
      <c r="D36">
        <v>1</v>
      </c>
      <c r="E36">
        <v>6.7000000000000004E-2</v>
      </c>
    </row>
    <row r="37" spans="1:5">
      <c r="A37" t="s">
        <v>2269</v>
      </c>
      <c r="B37" t="s">
        <v>2715</v>
      </c>
      <c r="D37">
        <v>2</v>
      </c>
      <c r="E37">
        <v>0.183</v>
      </c>
    </row>
    <row r="38" spans="1:5">
      <c r="A38" t="s">
        <v>2269</v>
      </c>
      <c r="B38" t="s">
        <v>2715</v>
      </c>
      <c r="D38">
        <v>3</v>
      </c>
      <c r="E38">
        <v>0.105</v>
      </c>
    </row>
    <row r="39" spans="1:5">
      <c r="A39" t="s">
        <v>2269</v>
      </c>
      <c r="B39" t="s">
        <v>2715</v>
      </c>
      <c r="D39">
        <v>4</v>
      </c>
      <c r="E39">
        <v>7.5999999999999998E-2</v>
      </c>
    </row>
    <row r="40" spans="1:5">
      <c r="A40" t="s">
        <v>2269</v>
      </c>
      <c r="B40" t="s">
        <v>2715</v>
      </c>
      <c r="D40">
        <v>5</v>
      </c>
      <c r="E40">
        <v>7.4999999999999997E-2</v>
      </c>
    </row>
    <row r="41" spans="1:5">
      <c r="A41" t="s">
        <v>2269</v>
      </c>
      <c r="B41" t="s">
        <v>2715</v>
      </c>
      <c r="D41">
        <v>6</v>
      </c>
      <c r="E41">
        <v>0.14599999999999999</v>
      </c>
    </row>
    <row r="42" spans="1:5">
      <c r="A42" t="s">
        <v>2269</v>
      </c>
      <c r="B42" t="s">
        <v>2715</v>
      </c>
      <c r="D42">
        <v>7</v>
      </c>
      <c r="E42">
        <v>9.6000000000000002E-2</v>
      </c>
    </row>
    <row r="43" spans="1:5">
      <c r="A43" t="s">
        <v>2269</v>
      </c>
      <c r="B43" t="s">
        <v>2715</v>
      </c>
      <c r="D43">
        <v>8</v>
      </c>
      <c r="E43">
        <v>4.8000000000000001E-2</v>
      </c>
    </row>
    <row r="44" spans="1:5">
      <c r="A44" t="s">
        <v>2269</v>
      </c>
      <c r="B44" t="s">
        <v>2715</v>
      </c>
      <c r="D44">
        <v>9</v>
      </c>
      <c r="E44">
        <v>2.5000000000000001E-2</v>
      </c>
    </row>
    <row r="45" spans="1:5">
      <c r="A45" t="s">
        <v>2269</v>
      </c>
      <c r="B45" t="s">
        <v>2715</v>
      </c>
      <c r="D45" s="48" t="s">
        <v>2769</v>
      </c>
      <c r="E45" s="48">
        <f>AVERAGE(E36:E44)</f>
        <v>9.1222222222222232E-2</v>
      </c>
    </row>
    <row r="46" spans="1:5">
      <c r="A46" t="s">
        <v>2269</v>
      </c>
      <c r="B46" t="s">
        <v>2715</v>
      </c>
      <c r="D46" s="48" t="s">
        <v>2770</v>
      </c>
      <c r="E46" s="48">
        <v>789</v>
      </c>
    </row>
    <row r="47" spans="1:5">
      <c r="A47" t="s">
        <v>2269</v>
      </c>
      <c r="B47" t="s">
        <v>2715</v>
      </c>
      <c r="D47" s="48" t="s">
        <v>2771</v>
      </c>
      <c r="E47" s="48">
        <f>E45*E46/1000</f>
        <v>7.1974333333333348E-2</v>
      </c>
    </row>
    <row r="48" spans="1:5">
      <c r="A48" t="s">
        <v>2269</v>
      </c>
      <c r="B48" t="s">
        <v>2715</v>
      </c>
      <c r="E48" s="142"/>
    </row>
    <row r="49" spans="1:5">
      <c r="A49" t="s">
        <v>2269</v>
      </c>
      <c r="B49" t="s">
        <v>2715</v>
      </c>
    </row>
    <row r="50" spans="1:5">
      <c r="A50" t="s">
        <v>2269</v>
      </c>
      <c r="B50" t="s">
        <v>2715</v>
      </c>
      <c r="D50" t="s">
        <v>2772</v>
      </c>
    </row>
    <row r="51" spans="1:5">
      <c r="A51" t="s">
        <v>2269</v>
      </c>
      <c r="B51" t="s">
        <v>2715</v>
      </c>
      <c r="D51" t="s">
        <v>2773</v>
      </c>
    </row>
    <row r="52" spans="1:5">
      <c r="A52" t="s">
        <v>2269</v>
      </c>
      <c r="B52" t="s">
        <v>2715</v>
      </c>
    </row>
    <row r="53" spans="1:5">
      <c r="A53" t="s">
        <v>2269</v>
      </c>
      <c r="B53" t="s">
        <v>2715</v>
      </c>
      <c r="D53" t="s">
        <v>2774</v>
      </c>
    </row>
    <row r="56" spans="1:5">
      <c r="A56" t="s">
        <v>636</v>
      </c>
      <c r="B56" t="s">
        <v>2715</v>
      </c>
      <c r="C56" t="s">
        <v>638</v>
      </c>
      <c r="D56" t="s">
        <v>639</v>
      </c>
    </row>
    <row r="57" spans="1:5">
      <c r="A57" t="s">
        <v>636</v>
      </c>
      <c r="B57" t="s">
        <v>2715</v>
      </c>
      <c r="D57" t="s">
        <v>640</v>
      </c>
    </row>
    <row r="58" spans="1:5">
      <c r="A58" t="s">
        <v>636</v>
      </c>
      <c r="B58" t="s">
        <v>2715</v>
      </c>
    </row>
    <row r="59" spans="1:5">
      <c r="A59" t="s">
        <v>636</v>
      </c>
      <c r="B59" t="s">
        <v>2715</v>
      </c>
      <c r="D59" s="48" t="s">
        <v>641</v>
      </c>
      <c r="E59" s="48">
        <v>0.72719999999999996</v>
      </c>
    </row>
    <row r="60" spans="1:5">
      <c r="A60" t="s">
        <v>636</v>
      </c>
      <c r="B60" t="s">
        <v>2715</v>
      </c>
      <c r="D60" s="48" t="s">
        <v>642</v>
      </c>
      <c r="E60" s="60">
        <v>2.0872727272727301E-3</v>
      </c>
    </row>
    <row r="61" spans="1:5">
      <c r="A61" t="s">
        <v>636</v>
      </c>
      <c r="B61" t="s">
        <v>2715</v>
      </c>
      <c r="D61" s="48" t="s">
        <v>643</v>
      </c>
      <c r="E61" s="48">
        <f>E59*E60</f>
        <v>1.5178647272727293E-3</v>
      </c>
    </row>
    <row r="62" spans="1:5">
      <c r="A62" t="s">
        <v>636</v>
      </c>
      <c r="B62" t="s">
        <v>5224</v>
      </c>
      <c r="C62" t="s">
        <v>638</v>
      </c>
      <c r="D62" t="s">
        <v>639</v>
      </c>
    </row>
    <row r="63" spans="1:5">
      <c r="A63" t="s">
        <v>636</v>
      </c>
      <c r="B63" t="s">
        <v>5224</v>
      </c>
      <c r="D63" t="s">
        <v>640</v>
      </c>
    </row>
    <row r="64" spans="1:5">
      <c r="A64" t="s">
        <v>636</v>
      </c>
      <c r="B64" t="s">
        <v>5224</v>
      </c>
    </row>
    <row r="65" spans="1:5">
      <c r="A65" t="s">
        <v>636</v>
      </c>
      <c r="B65" t="s">
        <v>5224</v>
      </c>
      <c r="D65" s="48" t="s">
        <v>641</v>
      </c>
      <c r="E65" s="48">
        <v>0.72719999999999996</v>
      </c>
    </row>
    <row r="66" spans="1:5">
      <c r="A66" t="s">
        <v>636</v>
      </c>
      <c r="B66" t="s">
        <v>5224</v>
      </c>
      <c r="D66" s="48" t="s">
        <v>642</v>
      </c>
      <c r="E66" s="60">
        <v>2E-3</v>
      </c>
    </row>
    <row r="67" spans="1:5">
      <c r="A67" t="s">
        <v>636</v>
      </c>
      <c r="B67" t="s">
        <v>5224</v>
      </c>
      <c r="D67" s="48" t="s">
        <v>643</v>
      </c>
      <c r="E67" s="48">
        <f>E65*E66</f>
        <v>1.4544E-3</v>
      </c>
    </row>
    <row r="70" spans="1:5">
      <c r="A70" t="s">
        <v>679</v>
      </c>
      <c r="B70" t="s">
        <v>2715</v>
      </c>
      <c r="C70" t="s">
        <v>638</v>
      </c>
      <c r="D70" t="s">
        <v>680</v>
      </c>
    </row>
    <row r="71" spans="1:5">
      <c r="A71" t="s">
        <v>679</v>
      </c>
      <c r="B71" t="s">
        <v>2715</v>
      </c>
      <c r="D71" s="184" t="s">
        <v>681</v>
      </c>
    </row>
    <row r="72" spans="1:5">
      <c r="A72" t="s">
        <v>679</v>
      </c>
      <c r="B72" t="s">
        <v>2715</v>
      </c>
      <c r="D72">
        <v>180</v>
      </c>
      <c r="E72">
        <v>126</v>
      </c>
    </row>
    <row r="73" spans="1:5">
      <c r="A73" t="s">
        <v>679</v>
      </c>
      <c r="B73" t="s">
        <v>2715</v>
      </c>
      <c r="D73" t="s">
        <v>809</v>
      </c>
      <c r="E73">
        <f>1/180*126</f>
        <v>0.70000000000000007</v>
      </c>
    </row>
    <row r="74" spans="1:5">
      <c r="A74" t="s">
        <v>679</v>
      </c>
      <c r="B74" t="s">
        <v>2715</v>
      </c>
      <c r="D74" s="48" t="s">
        <v>2775</v>
      </c>
      <c r="E74" s="48">
        <v>11.731593244444445</v>
      </c>
    </row>
    <row r="75" spans="1:5">
      <c r="A75" t="s">
        <v>679</v>
      </c>
      <c r="B75" t="s">
        <v>2715</v>
      </c>
      <c r="D75" s="48" t="s">
        <v>2776</v>
      </c>
      <c r="E75" s="48">
        <f>E73*E74%</f>
        <v>8.2121152711111117E-2</v>
      </c>
    </row>
    <row r="79" spans="1:5">
      <c r="A79" t="s">
        <v>823</v>
      </c>
      <c r="B79" t="s">
        <v>2715</v>
      </c>
      <c r="C79" t="s">
        <v>638</v>
      </c>
      <c r="D79" t="s">
        <v>824</v>
      </c>
    </row>
    <row r="80" spans="1:5">
      <c r="A80" t="s">
        <v>823</v>
      </c>
      <c r="B80" t="s">
        <v>2715</v>
      </c>
      <c r="D80" t="s">
        <v>825</v>
      </c>
    </row>
    <row r="81" spans="1:5">
      <c r="A81" t="s">
        <v>823</v>
      </c>
      <c r="B81" t="s">
        <v>2715</v>
      </c>
      <c r="D81" t="s">
        <v>836</v>
      </c>
      <c r="E81">
        <v>0.86699999999999999</v>
      </c>
    </row>
    <row r="82" spans="1:5">
      <c r="A82" t="s">
        <v>823</v>
      </c>
      <c r="B82" t="s">
        <v>2715</v>
      </c>
      <c r="D82" s="48" t="s">
        <v>2777</v>
      </c>
      <c r="E82" s="51">
        <v>11.731593244444445</v>
      </c>
    </row>
    <row r="83" spans="1:5">
      <c r="A83" t="s">
        <v>823</v>
      </c>
      <c r="B83" t="s">
        <v>2715</v>
      </c>
      <c r="D83" s="48" t="s">
        <v>2778</v>
      </c>
      <c r="E83" s="48">
        <f>E81*E82%</f>
        <v>0.10171291342933333</v>
      </c>
    </row>
    <row r="84" spans="1:5">
      <c r="A84" t="s">
        <v>823</v>
      </c>
      <c r="B84" t="s">
        <v>5224</v>
      </c>
      <c r="C84" t="s">
        <v>638</v>
      </c>
      <c r="D84" t="s">
        <v>824</v>
      </c>
    </row>
    <row r="85" spans="1:5">
      <c r="A85" t="s">
        <v>823</v>
      </c>
      <c r="B85" t="s">
        <v>5224</v>
      </c>
      <c r="D85" t="s">
        <v>825</v>
      </c>
    </row>
    <row r="86" spans="1:5">
      <c r="A86" t="s">
        <v>823</v>
      </c>
      <c r="B86" t="s">
        <v>5224</v>
      </c>
      <c r="D86" t="s">
        <v>836</v>
      </c>
      <c r="E86">
        <v>0.86699999999999999</v>
      </c>
    </row>
    <row r="87" spans="1:5">
      <c r="A87" t="s">
        <v>823</v>
      </c>
      <c r="B87" t="s">
        <v>5224</v>
      </c>
      <c r="D87" s="48" t="s">
        <v>5261</v>
      </c>
      <c r="E87" s="51">
        <f>[1]MonoSugar!$L$8</f>
        <v>15.990175438596493</v>
      </c>
    </row>
    <row r="88" spans="1:5">
      <c r="A88" t="s">
        <v>823</v>
      </c>
      <c r="B88" t="s">
        <v>5224</v>
      </c>
      <c r="D88" s="48" t="s">
        <v>5262</v>
      </c>
      <c r="E88" s="48">
        <f>E86*E87%</f>
        <v>0.13863482105263158</v>
      </c>
    </row>
    <row r="90" spans="1:5">
      <c r="A90" t="s">
        <v>843</v>
      </c>
      <c r="B90" t="s">
        <v>2715</v>
      </c>
      <c r="C90" t="s">
        <v>638</v>
      </c>
      <c r="D90" t="s">
        <v>2762</v>
      </c>
      <c r="E90" s="142">
        <v>11.731593244444445</v>
      </c>
    </row>
    <row r="91" spans="1:5">
      <c r="A91" t="s">
        <v>843</v>
      </c>
      <c r="B91" t="s">
        <v>2715</v>
      </c>
      <c r="D91" t="s">
        <v>2779</v>
      </c>
      <c r="E91">
        <f>E90%*17%</f>
        <v>1.9943708515555558E-2</v>
      </c>
    </row>
    <row r="92" spans="1:5">
      <c r="A92" t="s">
        <v>843</v>
      </c>
      <c r="B92" t="s">
        <v>5224</v>
      </c>
      <c r="C92" t="s">
        <v>638</v>
      </c>
      <c r="D92" t="s">
        <v>5230</v>
      </c>
      <c r="E92" s="142">
        <f>[1]MonoSugar!$H$8</f>
        <v>15.611754385964915</v>
      </c>
    </row>
    <row r="93" spans="1:5">
      <c r="A93" t="s">
        <v>843</v>
      </c>
      <c r="B93" t="s">
        <v>5224</v>
      </c>
      <c r="D93" t="s">
        <v>2779</v>
      </c>
      <c r="E93">
        <f>E92%*17%</f>
        <v>2.6539982456140358E-2</v>
      </c>
    </row>
    <row r="94" spans="1:5">
      <c r="A94" t="s">
        <v>876</v>
      </c>
      <c r="B94" t="s">
        <v>2715</v>
      </c>
      <c r="C94" t="s">
        <v>638</v>
      </c>
      <c r="D94" t="s">
        <v>883</v>
      </c>
      <c r="E94">
        <v>0.66714285714285715</v>
      </c>
    </row>
    <row r="95" spans="1:5">
      <c r="A95" t="s">
        <v>876</v>
      </c>
      <c r="B95" t="s">
        <v>2715</v>
      </c>
      <c r="D95" s="48" t="s">
        <v>2780</v>
      </c>
      <c r="E95" s="48">
        <v>11.940320517171719</v>
      </c>
    </row>
    <row r="96" spans="1:5">
      <c r="A96" t="s">
        <v>876</v>
      </c>
      <c r="B96" t="s">
        <v>2715</v>
      </c>
      <c r="D96" s="48" t="s">
        <v>2781</v>
      </c>
      <c r="E96" s="48">
        <f>E94*E95%</f>
        <v>7.9658995450274175E-2</v>
      </c>
    </row>
    <row r="99" spans="1:5">
      <c r="A99" t="s">
        <v>892</v>
      </c>
      <c r="B99" t="s">
        <v>2715</v>
      </c>
      <c r="C99" t="s">
        <v>638</v>
      </c>
      <c r="D99" t="s">
        <v>883</v>
      </c>
      <c r="E99">
        <v>0.23649999999999999</v>
      </c>
    </row>
    <row r="100" spans="1:5">
      <c r="A100" t="s">
        <v>892</v>
      </c>
      <c r="B100" t="s">
        <v>2715</v>
      </c>
      <c r="D100" t="s">
        <v>2762</v>
      </c>
      <c r="E100" s="142">
        <v>11.731593244444445</v>
      </c>
    </row>
    <row r="101" spans="1:5">
      <c r="A101" t="s">
        <v>892</v>
      </c>
      <c r="B101" t="s">
        <v>2715</v>
      </c>
      <c r="D101" s="48" t="s">
        <v>2782</v>
      </c>
      <c r="E101" s="48">
        <f>E100%*E99</f>
        <v>2.7745218023111112E-2</v>
      </c>
    </row>
    <row r="102" spans="1:5">
      <c r="A102" t="s">
        <v>892</v>
      </c>
      <c r="B102" t="s">
        <v>5224</v>
      </c>
      <c r="C102" t="s">
        <v>638</v>
      </c>
      <c r="D102" t="s">
        <v>883</v>
      </c>
      <c r="E102">
        <v>0.23649999999999999</v>
      </c>
    </row>
    <row r="103" spans="1:5">
      <c r="A103" t="s">
        <v>892</v>
      </c>
      <c r="B103" t="s">
        <v>5224</v>
      </c>
      <c r="D103" t="s">
        <v>5230</v>
      </c>
      <c r="E103" s="142">
        <f>[1]MonoSugar!$H$8</f>
        <v>15.611754385964915</v>
      </c>
    </row>
    <row r="104" spans="1:5">
      <c r="A104" t="s">
        <v>892</v>
      </c>
      <c r="B104" t="s">
        <v>5224</v>
      </c>
      <c r="D104" s="48" t="s">
        <v>2782</v>
      </c>
      <c r="E104" s="48">
        <f>E103%*E102</f>
        <v>3.6921799122807027E-2</v>
      </c>
    </row>
    <row r="106" spans="1:5">
      <c r="A106" t="s">
        <v>931</v>
      </c>
      <c r="B106" t="s">
        <v>2715</v>
      </c>
      <c r="C106" t="s">
        <v>638</v>
      </c>
      <c r="D106" t="s">
        <v>940</v>
      </c>
      <c r="E106">
        <v>0.52103333333333335</v>
      </c>
    </row>
    <row r="107" spans="1:5">
      <c r="A107" t="s">
        <v>931</v>
      </c>
      <c r="B107" t="s">
        <v>2715</v>
      </c>
      <c r="D107" t="s">
        <v>2783</v>
      </c>
      <c r="E107">
        <v>11.731593244444445</v>
      </c>
    </row>
    <row r="108" spans="1:5">
      <c r="A108" t="s">
        <v>931</v>
      </c>
      <c r="B108" t="s">
        <v>2715</v>
      </c>
      <c r="D108" s="48" t="s">
        <v>2784</v>
      </c>
      <c r="E108" s="48">
        <f>E106*E107%</f>
        <v>6.1125511334637041E-2</v>
      </c>
    </row>
    <row r="109" spans="1:5">
      <c r="A109" t="s">
        <v>931</v>
      </c>
      <c r="B109" t="s">
        <v>5317</v>
      </c>
      <c r="C109" t="s">
        <v>638</v>
      </c>
      <c r="D109" t="s">
        <v>940</v>
      </c>
      <c r="E109">
        <v>0.52103333333333335</v>
      </c>
    </row>
    <row r="110" spans="1:5">
      <c r="A110" t="s">
        <v>931</v>
      </c>
      <c r="B110" t="s">
        <v>5317</v>
      </c>
      <c r="D110" t="s">
        <v>2783</v>
      </c>
      <c r="E110" s="142">
        <f>[1]MonoSugar!$L$8</f>
        <v>15.990175438596493</v>
      </c>
    </row>
    <row r="111" spans="1:5">
      <c r="A111" t="s">
        <v>931</v>
      </c>
      <c r="B111" t="s">
        <v>5317</v>
      </c>
      <c r="D111" s="48" t="s">
        <v>2784</v>
      </c>
      <c r="E111" s="48">
        <f>E109*E110%</f>
        <v>8.3314144093567272E-2</v>
      </c>
    </row>
    <row r="114" spans="1:5">
      <c r="A114" t="s">
        <v>1731</v>
      </c>
      <c r="B114" t="s">
        <v>2715</v>
      </c>
      <c r="C114" t="s">
        <v>638</v>
      </c>
      <c r="D114" t="s">
        <v>984</v>
      </c>
    </row>
    <row r="115" spans="1:5">
      <c r="D115" t="s">
        <v>985</v>
      </c>
    </row>
    <row r="116" spans="1:5" ht="15.6">
      <c r="D116" s="199" t="s">
        <v>986</v>
      </c>
    </row>
    <row r="117" spans="1:5">
      <c r="D117" t="s">
        <v>987</v>
      </c>
      <c r="E117">
        <v>0.76</v>
      </c>
    </row>
    <row r="118" spans="1:5">
      <c r="D118" s="48" t="s">
        <v>2785</v>
      </c>
      <c r="E118" s="48">
        <v>11.940320517171719</v>
      </c>
    </row>
    <row r="119" spans="1:5">
      <c r="D119" s="48" t="s">
        <v>2786</v>
      </c>
      <c r="E119" s="48">
        <f>E117*E118%</f>
        <v>9.0746435930505062E-2</v>
      </c>
    </row>
    <row r="121" spans="1:5">
      <c r="A121" t="s">
        <v>1186</v>
      </c>
      <c r="B121" t="s">
        <v>2715</v>
      </c>
      <c r="C121" t="s">
        <v>638</v>
      </c>
      <c r="D121" t="s">
        <v>1187</v>
      </c>
    </row>
    <row r="122" spans="1:5">
      <c r="D122" t="s">
        <v>1188</v>
      </c>
    </row>
    <row r="123" spans="1:5">
      <c r="D123" t="s">
        <v>1194</v>
      </c>
      <c r="E123">
        <v>95.2</v>
      </c>
    </row>
    <row r="124" spans="1:5">
      <c r="D124" t="s">
        <v>1193</v>
      </c>
      <c r="E124">
        <v>0.96257777777777775</v>
      </c>
    </row>
    <row r="125" spans="1:5">
      <c r="D125" s="48" t="s">
        <v>2787</v>
      </c>
      <c r="E125" s="48">
        <v>11.731593244444445</v>
      </c>
    </row>
    <row r="126" spans="1:5">
      <c r="D126" s="48" t="s">
        <v>2788</v>
      </c>
      <c r="E126" s="48">
        <f>E124*E125%</f>
        <v>0.11292570955030123</v>
      </c>
    </row>
    <row r="127" spans="1:5">
      <c r="A127" t="s">
        <v>1186</v>
      </c>
      <c r="B127" t="s">
        <v>5224</v>
      </c>
      <c r="C127" t="s">
        <v>638</v>
      </c>
      <c r="D127" t="s">
        <v>1187</v>
      </c>
    </row>
    <row r="128" spans="1:5">
      <c r="D128" t="s">
        <v>1188</v>
      </c>
    </row>
    <row r="129" spans="1:5">
      <c r="D129" t="s">
        <v>1194</v>
      </c>
      <c r="E129">
        <v>95.2</v>
      </c>
    </row>
    <row r="130" spans="1:5">
      <c r="D130" t="s">
        <v>1193</v>
      </c>
      <c r="E130">
        <v>0.96257777777777775</v>
      </c>
    </row>
    <row r="131" spans="1:5">
      <c r="D131" s="48" t="s">
        <v>5341</v>
      </c>
      <c r="E131" s="51">
        <f>[1]MonoSugar!$L$8</f>
        <v>15.990175438596493</v>
      </c>
    </row>
    <row r="132" spans="1:5">
      <c r="D132" s="48" t="s">
        <v>5342</v>
      </c>
      <c r="E132" s="48">
        <f>E130*E131%</f>
        <v>0.15391787539961016</v>
      </c>
    </row>
    <row r="134" spans="1:5">
      <c r="A134" t="s">
        <v>401</v>
      </c>
      <c r="B134" t="s">
        <v>2715</v>
      </c>
      <c r="C134" t="s">
        <v>638</v>
      </c>
      <c r="D134" t="s">
        <v>1202</v>
      </c>
    </row>
    <row r="135" spans="1:5">
      <c r="D135" t="s">
        <v>1203</v>
      </c>
    </row>
    <row r="136" spans="1:5">
      <c r="D136" t="s">
        <v>1205</v>
      </c>
      <c r="E136">
        <v>0.48590909090909096</v>
      </c>
    </row>
    <row r="137" spans="1:5">
      <c r="D137" s="48" t="s">
        <v>5344</v>
      </c>
      <c r="E137" s="48">
        <v>0.20872727272727279</v>
      </c>
    </row>
    <row r="138" spans="1:5">
      <c r="D138" s="48" t="s">
        <v>2789</v>
      </c>
      <c r="E138" s="48">
        <f>E136*E137%</f>
        <v>1.0142247933884302E-3</v>
      </c>
    </row>
    <row r="139" spans="1:5">
      <c r="A139" t="s">
        <v>401</v>
      </c>
      <c r="B139" t="s">
        <v>2715</v>
      </c>
      <c r="C139" t="s">
        <v>638</v>
      </c>
      <c r="D139" t="s">
        <v>1202</v>
      </c>
    </row>
    <row r="140" spans="1:5">
      <c r="D140" t="s">
        <v>1203</v>
      </c>
    </row>
    <row r="141" spans="1:5">
      <c r="D141" t="s">
        <v>1205</v>
      </c>
      <c r="E141">
        <v>0.48590909090909096</v>
      </c>
    </row>
    <row r="142" spans="1:5">
      <c r="D142" s="48" t="s">
        <v>5345</v>
      </c>
      <c r="E142" s="51">
        <f>[1]MonoSugar!$J$8</f>
        <v>0.2</v>
      </c>
    </row>
    <row r="143" spans="1:5">
      <c r="D143" s="48" t="s">
        <v>5343</v>
      </c>
      <c r="E143" s="48">
        <f>E141*E142%</f>
        <v>9.7181818181818198E-4</v>
      </c>
    </row>
    <row r="146" spans="1:5">
      <c r="A146" t="s">
        <v>5223</v>
      </c>
      <c r="B146" t="s">
        <v>5224</v>
      </c>
      <c r="C146" t="s">
        <v>197</v>
      </c>
      <c r="D146" t="s">
        <v>5227</v>
      </c>
    </row>
    <row r="147" spans="1:5">
      <c r="A147" t="s">
        <v>5223</v>
      </c>
      <c r="B147" t="s">
        <v>5224</v>
      </c>
      <c r="D147" t="s">
        <v>5226</v>
      </c>
    </row>
    <row r="148" spans="1:5">
      <c r="A148" t="s">
        <v>5223</v>
      </c>
      <c r="B148" t="s">
        <v>5224</v>
      </c>
      <c r="D148" s="363" t="s">
        <v>5228</v>
      </c>
    </row>
    <row r="149" spans="1:5">
      <c r="A149" t="s">
        <v>5223</v>
      </c>
      <c r="B149" t="s">
        <v>5224</v>
      </c>
      <c r="D149" t="s">
        <v>5225</v>
      </c>
    </row>
    <row r="150" spans="1:5">
      <c r="A150" t="s">
        <v>5223</v>
      </c>
      <c r="B150" t="s">
        <v>5224</v>
      </c>
    </row>
    <row r="151" spans="1:5">
      <c r="A151" t="s">
        <v>5223</v>
      </c>
      <c r="B151" t="s">
        <v>5224</v>
      </c>
      <c r="D151" s="48" t="s">
        <v>5229</v>
      </c>
      <c r="E151" s="48">
        <v>0.46229999999999999</v>
      </c>
    </row>
    <row r="152" spans="1:5">
      <c r="A152" t="s">
        <v>5223</v>
      </c>
      <c r="B152" t="s">
        <v>5224</v>
      </c>
      <c r="D152" s="48"/>
      <c r="E152" s="48">
        <v>0.44550000000000001</v>
      </c>
    </row>
    <row r="153" spans="1:5">
      <c r="A153" t="s">
        <v>5223</v>
      </c>
      <c r="B153" t="s">
        <v>5224</v>
      </c>
      <c r="D153" s="48" t="s">
        <v>510</v>
      </c>
      <c r="E153" s="48">
        <f>AVERAGE(E151:E152)</f>
        <v>0.45389999999999997</v>
      </c>
    </row>
    <row r="154" spans="1:5">
      <c r="A154" t="s">
        <v>5223</v>
      </c>
      <c r="B154" t="s">
        <v>5224</v>
      </c>
      <c r="D154" s="48" t="s">
        <v>5230</v>
      </c>
      <c r="E154" s="51">
        <f>[1]MonoSugar!$H$8</f>
        <v>15.611754385964915</v>
      </c>
    </row>
    <row r="155" spans="1:5">
      <c r="A155" t="s">
        <v>5223</v>
      </c>
      <c r="B155" t="s">
        <v>5224</v>
      </c>
      <c r="D155" s="48" t="s">
        <v>5231</v>
      </c>
      <c r="E155" s="48">
        <f>E153*E154%</f>
        <v>7.0861753157894752E-2</v>
      </c>
    </row>
    <row r="156" spans="1:5">
      <c r="A156" t="s">
        <v>5223</v>
      </c>
      <c r="B156" t="s">
        <v>5224</v>
      </c>
    </row>
    <row r="157" spans="1:5">
      <c r="A157" t="s">
        <v>5223</v>
      </c>
      <c r="B157" t="s">
        <v>5224</v>
      </c>
      <c r="C157" t="s">
        <v>226</v>
      </c>
      <c r="D157" t="s">
        <v>5242</v>
      </c>
    </row>
    <row r="158" spans="1:5">
      <c r="A158" t="s">
        <v>5223</v>
      </c>
      <c r="B158" t="s">
        <v>5224</v>
      </c>
      <c r="D158" t="s">
        <v>5243</v>
      </c>
    </row>
    <row r="159" spans="1:5" ht="15" thickBot="1">
      <c r="A159" t="s">
        <v>5223</v>
      </c>
      <c r="B159" t="s">
        <v>5224</v>
      </c>
      <c r="D159" s="26" t="s">
        <v>5232</v>
      </c>
    </row>
    <row r="160" spans="1:5" ht="15" thickBot="1">
      <c r="A160" t="s">
        <v>5223</v>
      </c>
      <c r="B160" t="s">
        <v>5224</v>
      </c>
      <c r="D160" s="177" t="s">
        <v>1126</v>
      </c>
      <c r="E160" s="351" t="s">
        <v>5160</v>
      </c>
    </row>
    <row r="161" spans="1:5" ht="20.399999999999999">
      <c r="A161" t="s">
        <v>5223</v>
      </c>
      <c r="B161" t="s">
        <v>5224</v>
      </c>
      <c r="D161" s="175" t="s">
        <v>5233</v>
      </c>
      <c r="E161" s="364" t="s">
        <v>5234</v>
      </c>
    </row>
    <row r="162" spans="1:5" ht="20.399999999999999">
      <c r="A162" t="s">
        <v>5223</v>
      </c>
      <c r="B162" t="s">
        <v>5224</v>
      </c>
      <c r="D162" s="175" t="s">
        <v>2662</v>
      </c>
      <c r="E162" s="364" t="s">
        <v>5235</v>
      </c>
    </row>
    <row r="163" spans="1:5">
      <c r="A163" t="s">
        <v>5223</v>
      </c>
      <c r="B163" t="s">
        <v>5224</v>
      </c>
      <c r="D163" s="175" t="s">
        <v>5236</v>
      </c>
      <c r="E163" s="364" t="s">
        <v>5237</v>
      </c>
    </row>
    <row r="164" spans="1:5" ht="20.399999999999999">
      <c r="A164" t="s">
        <v>5223</v>
      </c>
      <c r="B164" t="s">
        <v>5224</v>
      </c>
      <c r="D164" s="175" t="s">
        <v>5238</v>
      </c>
      <c r="E164" s="364" t="s">
        <v>5239</v>
      </c>
    </row>
    <row r="165" spans="1:5">
      <c r="A165" t="s">
        <v>5223</v>
      </c>
      <c r="B165" t="s">
        <v>5224</v>
      </c>
      <c r="D165" s="175" t="s">
        <v>5240</v>
      </c>
      <c r="E165" s="365">
        <v>0.45989999999999998</v>
      </c>
    </row>
    <row r="166" spans="1:5" ht="15" thickBot="1">
      <c r="A166" t="s">
        <v>5223</v>
      </c>
      <c r="B166" t="s">
        <v>5224</v>
      </c>
      <c r="D166" s="178" t="s">
        <v>5241</v>
      </c>
      <c r="E166" s="366">
        <v>0.92079999999999995</v>
      </c>
    </row>
    <row r="167" spans="1:5">
      <c r="A167" t="s">
        <v>5223</v>
      </c>
      <c r="B167" t="s">
        <v>5224</v>
      </c>
    </row>
    <row r="168" spans="1:5">
      <c r="A168" t="s">
        <v>5223</v>
      </c>
      <c r="B168" t="s">
        <v>5224</v>
      </c>
      <c r="D168" s="175" t="s">
        <v>5240</v>
      </c>
      <c r="E168" s="365">
        <v>0.45989999999999998</v>
      </c>
    </row>
    <row r="169" spans="1:5">
      <c r="A169" t="s">
        <v>5223</v>
      </c>
      <c r="B169" t="s">
        <v>5224</v>
      </c>
      <c r="D169" s="48" t="s">
        <v>5230</v>
      </c>
      <c r="E169" s="51">
        <f>[1]MonoSugar!$H$8</f>
        <v>15.611754385964915</v>
      </c>
    </row>
    <row r="170" spans="1:5">
      <c r="A170" t="s">
        <v>5223</v>
      </c>
      <c r="B170" t="s">
        <v>5224</v>
      </c>
      <c r="D170" s="48" t="s">
        <v>5231</v>
      </c>
      <c r="E170" s="48">
        <f>E168*E169%</f>
        <v>7.1798458421052647E-2</v>
      </c>
    </row>
    <row r="171" spans="1:5">
      <c r="A171" t="s">
        <v>5223</v>
      </c>
      <c r="B171" t="s">
        <v>5224</v>
      </c>
    </row>
    <row r="172" spans="1:5">
      <c r="A172" t="s">
        <v>5223</v>
      </c>
      <c r="B172" t="s">
        <v>5224</v>
      </c>
      <c r="C172" t="s">
        <v>396</v>
      </c>
      <c r="D172" t="s">
        <v>5245</v>
      </c>
    </row>
    <row r="173" spans="1:5">
      <c r="A173" t="s">
        <v>5223</v>
      </c>
      <c r="B173" t="s">
        <v>5224</v>
      </c>
      <c r="D173" t="s">
        <v>5244</v>
      </c>
    </row>
    <row r="174" spans="1:5">
      <c r="A174" t="s">
        <v>5223</v>
      </c>
      <c r="B174" t="s">
        <v>5224</v>
      </c>
      <c r="D174" t="s">
        <v>5246</v>
      </c>
    </row>
    <row r="175" spans="1:5" ht="15.6">
      <c r="A175" t="s">
        <v>5223</v>
      </c>
      <c r="B175" t="s">
        <v>5224</v>
      </c>
      <c r="D175" s="199" t="s">
        <v>5247</v>
      </c>
    </row>
    <row r="176" spans="1:5">
      <c r="A176" t="s">
        <v>5223</v>
      </c>
      <c r="B176" t="s">
        <v>5224</v>
      </c>
    </row>
    <row r="177" spans="1:5">
      <c r="A177" t="s">
        <v>5223</v>
      </c>
      <c r="B177" t="s">
        <v>5224</v>
      </c>
      <c r="D177" t="s">
        <v>5070</v>
      </c>
      <c r="E177">
        <f>0.511*0.91</f>
        <v>0.46501000000000003</v>
      </c>
    </row>
    <row r="178" spans="1:5">
      <c r="A178" t="s">
        <v>5223</v>
      </c>
      <c r="B178" t="s">
        <v>5224</v>
      </c>
      <c r="D178" s="48" t="s">
        <v>5230</v>
      </c>
      <c r="E178" s="51">
        <f>[1]MonoSugar!$H$8</f>
        <v>15.611754385964915</v>
      </c>
    </row>
    <row r="179" spans="1:5">
      <c r="A179" t="s">
        <v>5223</v>
      </c>
      <c r="B179" t="s">
        <v>5224</v>
      </c>
      <c r="D179" s="48" t="s">
        <v>5231</v>
      </c>
      <c r="E179" s="48">
        <f>E177*E178%</f>
        <v>7.2596219070175452E-2</v>
      </c>
    </row>
    <row r="180" spans="1:5">
      <c r="A180" t="s">
        <v>5223</v>
      </c>
      <c r="B180" t="s">
        <v>5224</v>
      </c>
    </row>
    <row r="181" spans="1:5">
      <c r="A181" t="s">
        <v>5223</v>
      </c>
      <c r="B181" t="s">
        <v>5224</v>
      </c>
      <c r="C181" t="s">
        <v>420</v>
      </c>
      <c r="D181" t="s">
        <v>5249</v>
      </c>
    </row>
    <row r="182" spans="1:5">
      <c r="A182" t="s">
        <v>5223</v>
      </c>
      <c r="B182" t="s">
        <v>5224</v>
      </c>
      <c r="D182" t="s">
        <v>5250</v>
      </c>
    </row>
    <row r="183" spans="1:5">
      <c r="A183" t="s">
        <v>5223</v>
      </c>
      <c r="B183" t="s">
        <v>5224</v>
      </c>
      <c r="D183" s="359" t="s">
        <v>5248</v>
      </c>
    </row>
    <row r="184" spans="1:5">
      <c r="A184" t="s">
        <v>5223</v>
      </c>
      <c r="B184" t="s">
        <v>5224</v>
      </c>
    </row>
    <row r="185" spans="1:5">
      <c r="A185" t="s">
        <v>5223</v>
      </c>
      <c r="B185" t="s">
        <v>5224</v>
      </c>
      <c r="D185" t="s">
        <v>5070</v>
      </c>
      <c r="E185">
        <f>0.44</f>
        <v>0.44</v>
      </c>
    </row>
    <row r="186" spans="1:5">
      <c r="A186" t="s">
        <v>5223</v>
      </c>
      <c r="B186" t="s">
        <v>5224</v>
      </c>
      <c r="D186" s="48" t="s">
        <v>5230</v>
      </c>
      <c r="E186" s="51">
        <f>[1]MonoSugar!$H$8</f>
        <v>15.611754385964915</v>
      </c>
    </row>
    <row r="187" spans="1:5">
      <c r="A187" t="s">
        <v>5223</v>
      </c>
      <c r="B187" t="s">
        <v>5224</v>
      </c>
      <c r="D187" s="48" t="s">
        <v>5231</v>
      </c>
      <c r="E187" s="48">
        <f>E185*E186%</f>
        <v>6.8691719298245635E-2</v>
      </c>
    </row>
    <row r="188" spans="1:5">
      <c r="A188" t="s">
        <v>5223</v>
      </c>
      <c r="B188" t="s">
        <v>5224</v>
      </c>
    </row>
    <row r="189" spans="1:5">
      <c r="A189" t="s">
        <v>5223</v>
      </c>
      <c r="B189" t="s">
        <v>5224</v>
      </c>
      <c r="C189" t="s">
        <v>425</v>
      </c>
      <c r="D189" t="s">
        <v>5253</v>
      </c>
    </row>
    <row r="190" spans="1:5">
      <c r="A190" t="s">
        <v>5223</v>
      </c>
      <c r="B190" t="s">
        <v>5224</v>
      </c>
      <c r="D190" t="s">
        <v>5254</v>
      </c>
    </row>
    <row r="191" spans="1:5">
      <c r="A191" t="s">
        <v>5223</v>
      </c>
      <c r="B191" t="s">
        <v>5224</v>
      </c>
      <c r="D191" t="s">
        <v>5246</v>
      </c>
    </row>
    <row r="192" spans="1:5">
      <c r="A192" t="s">
        <v>5223</v>
      </c>
      <c r="B192" t="s">
        <v>5224</v>
      </c>
      <c r="D192" s="186" t="s">
        <v>5251</v>
      </c>
    </row>
    <row r="193" spans="1:5">
      <c r="A193" t="s">
        <v>5223</v>
      </c>
      <c r="B193" t="s">
        <v>5224</v>
      </c>
      <c r="D193" s="186" t="s">
        <v>5252</v>
      </c>
    </row>
    <row r="194" spans="1:5">
      <c r="A194" t="s">
        <v>5223</v>
      </c>
      <c r="B194" t="s">
        <v>5224</v>
      </c>
    </row>
    <row r="195" spans="1:5">
      <c r="A195" t="s">
        <v>5223</v>
      </c>
      <c r="B195" t="s">
        <v>5224</v>
      </c>
      <c r="D195" t="s">
        <v>5070</v>
      </c>
      <c r="E195">
        <f>0.511*0.94</f>
        <v>0.48033999999999999</v>
      </c>
    </row>
    <row r="196" spans="1:5">
      <c r="A196" t="s">
        <v>5223</v>
      </c>
      <c r="B196" t="s">
        <v>5224</v>
      </c>
      <c r="D196" t="s">
        <v>5070</v>
      </c>
      <c r="E196">
        <f>0.511*0.897</f>
        <v>0.45836700000000002</v>
      </c>
    </row>
    <row r="197" spans="1:5">
      <c r="A197" t="s">
        <v>5223</v>
      </c>
      <c r="B197" t="s">
        <v>5224</v>
      </c>
      <c r="D197" t="s">
        <v>510</v>
      </c>
      <c r="E197">
        <f>AVERAGE(E195:E196)</f>
        <v>0.46935349999999998</v>
      </c>
    </row>
    <row r="198" spans="1:5">
      <c r="A198" t="s">
        <v>5223</v>
      </c>
      <c r="B198" t="s">
        <v>5224</v>
      </c>
      <c r="D198" s="48" t="s">
        <v>5230</v>
      </c>
      <c r="E198" s="51">
        <f>[1]MonoSugar!$H$8</f>
        <v>15.611754385964915</v>
      </c>
    </row>
    <row r="199" spans="1:5">
      <c r="A199" t="s">
        <v>5223</v>
      </c>
      <c r="B199" t="s">
        <v>5224</v>
      </c>
      <c r="D199" s="48" t="s">
        <v>5231</v>
      </c>
      <c r="E199" s="48">
        <f>E197*E198%</f>
        <v>7.3274315621929834E-2</v>
      </c>
    </row>
    <row r="200" spans="1:5">
      <c r="A200" t="s">
        <v>5223</v>
      </c>
      <c r="B200" t="s">
        <v>5224</v>
      </c>
    </row>
    <row r="203" spans="1:5">
      <c r="A203" t="s">
        <v>679</v>
      </c>
      <c r="B203" t="s">
        <v>5224</v>
      </c>
      <c r="C203" t="s">
        <v>197</v>
      </c>
      <c r="D203" t="s">
        <v>3319</v>
      </c>
    </row>
    <row r="204" spans="1:5">
      <c r="A204" t="s">
        <v>679</v>
      </c>
      <c r="B204" t="s">
        <v>5224</v>
      </c>
      <c r="D204" t="s">
        <v>5260</v>
      </c>
    </row>
    <row r="205" spans="1:5">
      <c r="A205" t="s">
        <v>679</v>
      </c>
      <c r="B205" t="s">
        <v>5224</v>
      </c>
      <c r="D205" t="s">
        <v>5255</v>
      </c>
    </row>
    <row r="206" spans="1:5">
      <c r="A206" t="s">
        <v>679</v>
      </c>
      <c r="B206" t="s">
        <v>5224</v>
      </c>
      <c r="E206" t="s">
        <v>5259</v>
      </c>
    </row>
    <row r="207" spans="1:5">
      <c r="A207" t="s">
        <v>679</v>
      </c>
      <c r="B207" t="s">
        <v>5224</v>
      </c>
      <c r="D207" s="48" t="s">
        <v>5257</v>
      </c>
      <c r="E207" s="48">
        <v>280</v>
      </c>
    </row>
    <row r="208" spans="1:5">
      <c r="A208" t="s">
        <v>679</v>
      </c>
      <c r="B208" t="s">
        <v>5224</v>
      </c>
      <c r="D208" s="48" t="s">
        <v>5258</v>
      </c>
      <c r="E208" s="48">
        <v>270</v>
      </c>
    </row>
    <row r="209" spans="1:11">
      <c r="A209" t="s">
        <v>679</v>
      </c>
      <c r="B209" t="s">
        <v>5224</v>
      </c>
      <c r="D209" s="48" t="s">
        <v>5256</v>
      </c>
      <c r="E209" s="48"/>
    </row>
    <row r="210" spans="1:11">
      <c r="A210" t="s">
        <v>679</v>
      </c>
      <c r="B210" t="s">
        <v>5224</v>
      </c>
      <c r="D210" s="48"/>
      <c r="E210" s="48"/>
    </row>
    <row r="211" spans="1:11">
      <c r="A211" t="s">
        <v>679</v>
      </c>
      <c r="B211" t="s">
        <v>5224</v>
      </c>
      <c r="D211" s="48" t="s">
        <v>510</v>
      </c>
      <c r="E211" s="48">
        <f>AVERAGE(E207:E208)/1000</f>
        <v>0.27500000000000002</v>
      </c>
    </row>
    <row r="212" spans="1:11">
      <c r="A212" t="s">
        <v>679</v>
      </c>
      <c r="B212" t="s">
        <v>5224</v>
      </c>
    </row>
    <row r="215" spans="1:11">
      <c r="A215" t="s">
        <v>876</v>
      </c>
      <c r="B215" t="s">
        <v>5224</v>
      </c>
      <c r="C215" t="s">
        <v>197</v>
      </c>
      <c r="D215" t="s">
        <v>5315</v>
      </c>
    </row>
    <row r="216" spans="1:11">
      <c r="A216" t="s">
        <v>876</v>
      </c>
      <c r="B216" t="s">
        <v>5224</v>
      </c>
      <c r="D216" t="s">
        <v>5316</v>
      </c>
    </row>
    <row r="217" spans="1:11" ht="15" thickBot="1">
      <c r="A217" t="s">
        <v>876</v>
      </c>
      <c r="B217" t="s">
        <v>5224</v>
      </c>
      <c r="D217" s="160" t="s">
        <v>5263</v>
      </c>
    </row>
    <row r="218" spans="1:11" ht="21" thickBot="1">
      <c r="A218" t="s">
        <v>876</v>
      </c>
      <c r="B218" t="s">
        <v>5224</v>
      </c>
      <c r="D218" s="351" t="s">
        <v>5264</v>
      </c>
      <c r="E218" s="351" t="s">
        <v>5265</v>
      </c>
      <c r="F218" s="351" t="s">
        <v>2024</v>
      </c>
      <c r="G218" s="351" t="s">
        <v>2048</v>
      </c>
      <c r="H218" s="351" t="s">
        <v>5266</v>
      </c>
      <c r="I218" s="351" t="s">
        <v>5267</v>
      </c>
      <c r="J218" s="351" t="s">
        <v>5268</v>
      </c>
      <c r="K218" s="351" t="s">
        <v>207</v>
      </c>
    </row>
    <row r="219" spans="1:11">
      <c r="A219" t="s">
        <v>876</v>
      </c>
      <c r="B219" t="s">
        <v>5224</v>
      </c>
      <c r="D219" s="617" t="s">
        <v>1142</v>
      </c>
      <c r="E219" s="175" t="s">
        <v>5269</v>
      </c>
      <c r="F219" s="617" t="s">
        <v>84</v>
      </c>
      <c r="G219" s="617" t="s">
        <v>1156</v>
      </c>
      <c r="H219" s="617">
        <v>0.63</v>
      </c>
      <c r="I219" s="617">
        <v>0.13</v>
      </c>
      <c r="J219" s="617">
        <v>20.8</v>
      </c>
      <c r="K219" s="581" t="s">
        <v>4753</v>
      </c>
    </row>
    <row r="220" spans="1:11">
      <c r="A220" t="s">
        <v>876</v>
      </c>
      <c r="B220" t="s">
        <v>5224</v>
      </c>
      <c r="D220" s="615"/>
      <c r="E220" s="175" t="s">
        <v>1323</v>
      </c>
      <c r="F220" s="615"/>
      <c r="G220" s="615"/>
      <c r="H220" s="615"/>
      <c r="I220" s="615"/>
      <c r="J220" s="615"/>
      <c r="K220" s="616"/>
    </row>
    <row r="221" spans="1:11" ht="16.2" customHeight="1">
      <c r="A221" t="s">
        <v>876</v>
      </c>
      <c r="B221" t="s">
        <v>5224</v>
      </c>
      <c r="D221" s="615" t="s">
        <v>1142</v>
      </c>
      <c r="E221" s="175" t="s">
        <v>5269</v>
      </c>
      <c r="F221" s="615" t="s">
        <v>5270</v>
      </c>
      <c r="G221" s="615" t="s">
        <v>1156</v>
      </c>
      <c r="H221" s="615">
        <v>1.51</v>
      </c>
      <c r="I221" s="615">
        <v>3.22</v>
      </c>
      <c r="J221" s="615">
        <v>151</v>
      </c>
      <c r="K221" s="616" t="s">
        <v>5271</v>
      </c>
    </row>
    <row r="222" spans="1:11">
      <c r="A222" t="s">
        <v>876</v>
      </c>
      <c r="B222" t="s">
        <v>5224</v>
      </c>
      <c r="D222" s="615"/>
      <c r="E222" s="175" t="s">
        <v>1323</v>
      </c>
      <c r="F222" s="615"/>
      <c r="G222" s="615"/>
      <c r="H222" s="615"/>
      <c r="I222" s="615"/>
      <c r="J222" s="615"/>
      <c r="K222" s="616"/>
    </row>
    <row r="223" spans="1:11">
      <c r="A223" t="s">
        <v>876</v>
      </c>
      <c r="B223" t="s">
        <v>5224</v>
      </c>
      <c r="D223" s="615" t="s">
        <v>1142</v>
      </c>
      <c r="E223" s="175" t="s">
        <v>5269</v>
      </c>
      <c r="F223" s="615" t="s">
        <v>5272</v>
      </c>
      <c r="G223" s="615" t="s">
        <v>1156</v>
      </c>
      <c r="H223" s="615">
        <v>0.47</v>
      </c>
      <c r="I223" s="615">
        <v>0.18</v>
      </c>
      <c r="J223" s="615">
        <v>10.6</v>
      </c>
      <c r="K223" s="616" t="s">
        <v>4767</v>
      </c>
    </row>
    <row r="224" spans="1:11">
      <c r="A224" t="s">
        <v>876</v>
      </c>
      <c r="B224" t="s">
        <v>5224</v>
      </c>
      <c r="D224" s="615"/>
      <c r="E224" s="175" t="s">
        <v>1323</v>
      </c>
      <c r="F224" s="615"/>
      <c r="G224" s="615"/>
      <c r="H224" s="615"/>
      <c r="I224" s="615"/>
      <c r="J224" s="615"/>
      <c r="K224" s="616"/>
    </row>
    <row r="225" spans="1:11">
      <c r="A225" t="s">
        <v>876</v>
      </c>
      <c r="B225" t="s">
        <v>5224</v>
      </c>
      <c r="D225" s="615" t="s">
        <v>1142</v>
      </c>
      <c r="E225" s="175" t="s">
        <v>5273</v>
      </c>
      <c r="F225" s="615" t="s">
        <v>4686</v>
      </c>
      <c r="G225" s="615" t="s">
        <v>5274</v>
      </c>
      <c r="H225" s="615">
        <v>0.43</v>
      </c>
      <c r="I225" s="615">
        <v>0.18</v>
      </c>
      <c r="J225" s="615">
        <v>8.51</v>
      </c>
      <c r="K225" s="616" t="s">
        <v>2515</v>
      </c>
    </row>
    <row r="226" spans="1:11">
      <c r="A226" t="s">
        <v>876</v>
      </c>
      <c r="B226" t="s">
        <v>5224</v>
      </c>
      <c r="D226" s="615"/>
      <c r="E226" s="175" t="s">
        <v>1323</v>
      </c>
      <c r="F226" s="615"/>
      <c r="G226" s="615"/>
      <c r="H226" s="615"/>
      <c r="I226" s="615"/>
      <c r="J226" s="615"/>
      <c r="K226" s="616"/>
    </row>
    <row r="227" spans="1:11">
      <c r="A227" t="s">
        <v>876</v>
      </c>
      <c r="B227" t="s">
        <v>5224</v>
      </c>
      <c r="D227" s="615" t="s">
        <v>1142</v>
      </c>
      <c r="E227" s="175" t="s">
        <v>5269</v>
      </c>
      <c r="F227" s="615" t="s">
        <v>5275</v>
      </c>
      <c r="G227" s="615" t="s">
        <v>1156</v>
      </c>
      <c r="H227" s="615">
        <v>0.67</v>
      </c>
      <c r="I227" s="615">
        <v>0.45</v>
      </c>
      <c r="J227" s="615">
        <v>43.2</v>
      </c>
      <c r="K227" s="616" t="s">
        <v>5276</v>
      </c>
    </row>
    <row r="228" spans="1:11">
      <c r="A228" t="s">
        <v>876</v>
      </c>
      <c r="B228" t="s">
        <v>5224</v>
      </c>
      <c r="D228" s="615"/>
      <c r="E228" s="175" t="s">
        <v>1323</v>
      </c>
      <c r="F228" s="615"/>
      <c r="G228" s="615"/>
      <c r="H228" s="615"/>
      <c r="I228" s="615"/>
      <c r="J228" s="615"/>
      <c r="K228" s="616"/>
    </row>
    <row r="229" spans="1:11">
      <c r="A229" t="s">
        <v>876</v>
      </c>
      <c r="B229" t="s">
        <v>5224</v>
      </c>
      <c r="D229" s="615" t="s">
        <v>1142</v>
      </c>
      <c r="E229" s="175" t="s">
        <v>5269</v>
      </c>
      <c r="F229" s="615" t="s">
        <v>5277</v>
      </c>
      <c r="G229" s="615" t="s">
        <v>1156</v>
      </c>
      <c r="H229" s="615">
        <v>0.57999999999999996</v>
      </c>
      <c r="I229" s="615">
        <v>0.79</v>
      </c>
      <c r="J229" s="615">
        <v>17.5</v>
      </c>
      <c r="K229" s="616" t="s">
        <v>5278</v>
      </c>
    </row>
    <row r="230" spans="1:11">
      <c r="A230" t="s">
        <v>876</v>
      </c>
      <c r="B230" t="s">
        <v>5224</v>
      </c>
      <c r="D230" s="615"/>
      <c r="E230" s="175" t="s">
        <v>1323</v>
      </c>
      <c r="F230" s="615"/>
      <c r="G230" s="615"/>
      <c r="H230" s="615"/>
      <c r="I230" s="615"/>
      <c r="J230" s="615"/>
      <c r="K230" s="616"/>
    </row>
    <row r="231" spans="1:11">
      <c r="A231" t="s">
        <v>876</v>
      </c>
      <c r="B231" t="s">
        <v>5224</v>
      </c>
      <c r="D231" s="615" t="s">
        <v>5279</v>
      </c>
      <c r="E231" s="175" t="s">
        <v>5269</v>
      </c>
      <c r="F231" s="615" t="s">
        <v>84</v>
      </c>
      <c r="G231" s="615" t="s">
        <v>1156</v>
      </c>
      <c r="H231" s="616" t="s">
        <v>5281</v>
      </c>
      <c r="I231" s="616" t="s">
        <v>5282</v>
      </c>
      <c r="J231" s="616" t="s">
        <v>5283</v>
      </c>
      <c r="K231" s="616" t="s">
        <v>775</v>
      </c>
    </row>
    <row r="232" spans="1:11" ht="20.399999999999999">
      <c r="A232" t="s">
        <v>876</v>
      </c>
      <c r="B232" t="s">
        <v>5224</v>
      </c>
      <c r="D232" s="615"/>
      <c r="E232" s="175" t="s">
        <v>5280</v>
      </c>
      <c r="F232" s="615"/>
      <c r="G232" s="615"/>
      <c r="H232" s="616"/>
      <c r="I232" s="616"/>
      <c r="J232" s="616"/>
      <c r="K232" s="616"/>
    </row>
    <row r="233" spans="1:11">
      <c r="A233" t="s">
        <v>876</v>
      </c>
      <c r="B233" t="s">
        <v>5224</v>
      </c>
      <c r="D233" s="615" t="s">
        <v>5279</v>
      </c>
      <c r="E233" s="175" t="s">
        <v>5269</v>
      </c>
      <c r="F233" s="615" t="s">
        <v>5284</v>
      </c>
      <c r="G233" s="615" t="s">
        <v>1156</v>
      </c>
      <c r="H233" s="616" t="s">
        <v>5285</v>
      </c>
      <c r="I233" s="616" t="s">
        <v>5286</v>
      </c>
      <c r="J233" s="616" t="s">
        <v>5287</v>
      </c>
      <c r="K233" s="616" t="s">
        <v>2969</v>
      </c>
    </row>
    <row r="234" spans="1:11" ht="20.399999999999999">
      <c r="A234" t="s">
        <v>876</v>
      </c>
      <c r="B234" t="s">
        <v>5224</v>
      </c>
      <c r="D234" s="615"/>
      <c r="E234" s="175" t="s">
        <v>5280</v>
      </c>
      <c r="F234" s="615"/>
      <c r="G234" s="615"/>
      <c r="H234" s="616"/>
      <c r="I234" s="616"/>
      <c r="J234" s="616"/>
      <c r="K234" s="616"/>
    </row>
    <row r="235" spans="1:11" ht="40.799999999999997">
      <c r="A235" t="s">
        <v>876</v>
      </c>
      <c r="B235" t="s">
        <v>5224</v>
      </c>
      <c r="D235" s="175" t="s">
        <v>5288</v>
      </c>
      <c r="E235" s="175" t="s">
        <v>5289</v>
      </c>
      <c r="F235" s="175" t="s">
        <v>84</v>
      </c>
      <c r="G235" s="175" t="s">
        <v>5290</v>
      </c>
      <c r="H235" s="175">
        <v>0.88</v>
      </c>
      <c r="I235" s="175">
        <v>3.86</v>
      </c>
      <c r="J235" s="175">
        <v>47.7</v>
      </c>
      <c r="K235" s="176" t="s">
        <v>2974</v>
      </c>
    </row>
    <row r="236" spans="1:11">
      <c r="A236" t="s">
        <v>876</v>
      </c>
      <c r="B236" t="s">
        <v>5224</v>
      </c>
      <c r="D236" s="615" t="s">
        <v>5291</v>
      </c>
      <c r="E236" s="175" t="s">
        <v>5269</v>
      </c>
      <c r="F236" s="615" t="s">
        <v>84</v>
      </c>
      <c r="G236" s="615" t="s">
        <v>1156</v>
      </c>
      <c r="H236" s="615">
        <v>0.76</v>
      </c>
      <c r="I236" s="615">
        <v>35.6</v>
      </c>
      <c r="J236" s="615">
        <v>31</v>
      </c>
      <c r="K236" s="616" t="s">
        <v>775</v>
      </c>
    </row>
    <row r="237" spans="1:11" ht="20.399999999999999">
      <c r="A237" t="s">
        <v>876</v>
      </c>
      <c r="B237" t="s">
        <v>5224</v>
      </c>
      <c r="D237" s="615"/>
      <c r="E237" s="175" t="s">
        <v>5280</v>
      </c>
      <c r="F237" s="615"/>
      <c r="G237" s="615"/>
      <c r="H237" s="615"/>
      <c r="I237" s="615"/>
      <c r="J237" s="615"/>
      <c r="K237" s="616"/>
    </row>
    <row r="238" spans="1:11" ht="20.399999999999999" customHeight="1">
      <c r="A238" t="s">
        <v>876</v>
      </c>
      <c r="B238" t="s">
        <v>5224</v>
      </c>
      <c r="D238" s="615" t="s">
        <v>5292</v>
      </c>
      <c r="E238" s="175" t="s">
        <v>5269</v>
      </c>
      <c r="F238" s="615" t="s">
        <v>84</v>
      </c>
      <c r="G238" s="615" t="s">
        <v>5290</v>
      </c>
      <c r="H238" s="615">
        <v>0.68</v>
      </c>
      <c r="I238" s="615">
        <v>3.4</v>
      </c>
      <c r="J238" s="615">
        <v>29.4</v>
      </c>
      <c r="K238" s="616" t="s">
        <v>4743</v>
      </c>
    </row>
    <row r="239" spans="1:11" ht="20.399999999999999">
      <c r="A239" t="s">
        <v>876</v>
      </c>
      <c r="B239" t="s">
        <v>5224</v>
      </c>
      <c r="D239" s="615"/>
      <c r="E239" s="175" t="s">
        <v>5280</v>
      </c>
      <c r="F239" s="615"/>
      <c r="G239" s="615"/>
      <c r="H239" s="615"/>
      <c r="I239" s="615"/>
      <c r="J239" s="615"/>
      <c r="K239" s="616"/>
    </row>
    <row r="240" spans="1:11" ht="16.2" customHeight="1">
      <c r="A240" t="s">
        <v>876</v>
      </c>
      <c r="B240" t="s">
        <v>5224</v>
      </c>
      <c r="D240" s="615" t="s">
        <v>1144</v>
      </c>
      <c r="E240" s="175" t="s">
        <v>5269</v>
      </c>
      <c r="F240" s="615" t="s">
        <v>5293</v>
      </c>
      <c r="G240" s="615" t="s">
        <v>5294</v>
      </c>
      <c r="H240" s="615">
        <v>0.73</v>
      </c>
      <c r="I240" s="615">
        <v>0.45</v>
      </c>
      <c r="J240" s="615">
        <v>22.4</v>
      </c>
      <c r="K240" s="616" t="s">
        <v>743</v>
      </c>
    </row>
    <row r="241" spans="1:11">
      <c r="A241" t="s">
        <v>876</v>
      </c>
      <c r="B241" t="s">
        <v>5224</v>
      </c>
      <c r="D241" s="615"/>
      <c r="E241" s="175" t="s">
        <v>1323</v>
      </c>
      <c r="F241" s="615"/>
      <c r="G241" s="615"/>
      <c r="H241" s="615"/>
      <c r="I241" s="615"/>
      <c r="J241" s="615"/>
      <c r="K241" s="616"/>
    </row>
    <row r="242" spans="1:11">
      <c r="A242" t="s">
        <v>876</v>
      </c>
      <c r="B242" t="s">
        <v>5224</v>
      </c>
      <c r="D242" s="615" t="s">
        <v>1144</v>
      </c>
      <c r="E242" s="175" t="s">
        <v>5269</v>
      </c>
      <c r="F242" s="615" t="s">
        <v>5295</v>
      </c>
      <c r="G242" s="615" t="s">
        <v>1156</v>
      </c>
      <c r="H242" s="615">
        <v>0.27</v>
      </c>
      <c r="I242" s="615">
        <v>0.5</v>
      </c>
      <c r="J242" s="615">
        <v>33.700000000000003</v>
      </c>
      <c r="K242" s="616" t="s">
        <v>4086</v>
      </c>
    </row>
    <row r="243" spans="1:11">
      <c r="A243" t="s">
        <v>876</v>
      </c>
      <c r="B243" t="s">
        <v>5224</v>
      </c>
      <c r="D243" s="615"/>
      <c r="E243" s="175" t="s">
        <v>1323</v>
      </c>
      <c r="F243" s="615"/>
      <c r="G243" s="615"/>
      <c r="H243" s="615"/>
      <c r="I243" s="615"/>
      <c r="J243" s="615"/>
      <c r="K243" s="616"/>
    </row>
    <row r="244" spans="1:11" ht="16.2" customHeight="1">
      <c r="A244" t="s">
        <v>876</v>
      </c>
      <c r="B244" t="s">
        <v>5224</v>
      </c>
      <c r="D244" s="615" t="s">
        <v>1144</v>
      </c>
      <c r="E244" s="175" t="s">
        <v>5269</v>
      </c>
      <c r="F244" s="615" t="s">
        <v>5296</v>
      </c>
      <c r="G244" s="615" t="s">
        <v>5297</v>
      </c>
      <c r="H244" s="615">
        <v>0.64</v>
      </c>
      <c r="I244" s="615">
        <v>0.79</v>
      </c>
      <c r="J244" s="615">
        <v>37.200000000000003</v>
      </c>
      <c r="K244" s="616" t="s">
        <v>5298</v>
      </c>
    </row>
    <row r="245" spans="1:11">
      <c r="A245" t="s">
        <v>876</v>
      </c>
      <c r="B245" t="s">
        <v>5224</v>
      </c>
      <c r="D245" s="615"/>
      <c r="E245" s="175" t="s">
        <v>1323</v>
      </c>
      <c r="F245" s="615"/>
      <c r="G245" s="615"/>
      <c r="H245" s="615"/>
      <c r="I245" s="615"/>
      <c r="J245" s="615"/>
      <c r="K245" s="616"/>
    </row>
    <row r="246" spans="1:11" ht="20.399999999999999">
      <c r="A246" t="s">
        <v>876</v>
      </c>
      <c r="B246" t="s">
        <v>5224</v>
      </c>
      <c r="D246" s="175" t="s">
        <v>5279</v>
      </c>
      <c r="E246" s="175" t="s">
        <v>1323</v>
      </c>
      <c r="F246" s="175" t="s">
        <v>84</v>
      </c>
      <c r="G246" s="175" t="s">
        <v>1156</v>
      </c>
      <c r="H246" s="176" t="s">
        <v>5299</v>
      </c>
      <c r="I246" s="176" t="s">
        <v>5300</v>
      </c>
      <c r="J246" s="176" t="s">
        <v>5301</v>
      </c>
      <c r="K246" s="175" t="s">
        <v>677</v>
      </c>
    </row>
    <row r="247" spans="1:11" ht="20.399999999999999">
      <c r="A247" t="s">
        <v>876</v>
      </c>
      <c r="B247" t="s">
        <v>5224</v>
      </c>
      <c r="D247" s="175" t="s">
        <v>5279</v>
      </c>
      <c r="E247" s="175" t="s">
        <v>1323</v>
      </c>
      <c r="F247" s="229" t="s">
        <v>5302</v>
      </c>
      <c r="G247" s="175" t="s">
        <v>1156</v>
      </c>
      <c r="H247" s="176" t="s">
        <v>5303</v>
      </c>
      <c r="I247" s="176" t="s">
        <v>5304</v>
      </c>
      <c r="J247" s="176" t="s">
        <v>5305</v>
      </c>
      <c r="K247" s="175" t="s">
        <v>677</v>
      </c>
    </row>
    <row r="248" spans="1:11">
      <c r="A248" t="s">
        <v>876</v>
      </c>
      <c r="B248" t="s">
        <v>5224</v>
      </c>
      <c r="D248" s="175" t="s">
        <v>5279</v>
      </c>
      <c r="E248" s="175" t="s">
        <v>1323</v>
      </c>
      <c r="F248" s="175" t="s">
        <v>84</v>
      </c>
      <c r="G248" s="175" t="s">
        <v>5306</v>
      </c>
      <c r="H248" s="176" t="s">
        <v>5307</v>
      </c>
      <c r="I248" s="176" t="s">
        <v>5308</v>
      </c>
      <c r="J248" s="176" t="s">
        <v>5309</v>
      </c>
      <c r="K248" s="175" t="s">
        <v>677</v>
      </c>
    </row>
    <row r="249" spans="1:11" ht="15" thickBot="1">
      <c r="A249" t="s">
        <v>876</v>
      </c>
      <c r="B249" t="s">
        <v>5224</v>
      </c>
      <c r="D249" s="178" t="s">
        <v>5279</v>
      </c>
      <c r="E249" s="178" t="s">
        <v>1323</v>
      </c>
      <c r="F249" s="201" t="s">
        <v>5302</v>
      </c>
      <c r="G249" s="178" t="s">
        <v>5306</v>
      </c>
      <c r="H249" s="350" t="s">
        <v>5310</v>
      </c>
      <c r="I249" s="350" t="s">
        <v>5311</v>
      </c>
      <c r="J249" s="350" t="s">
        <v>5312</v>
      </c>
      <c r="K249" s="178" t="s">
        <v>677</v>
      </c>
    </row>
    <row r="250" spans="1:11">
      <c r="A250" t="s">
        <v>876</v>
      </c>
      <c r="B250" t="s">
        <v>5224</v>
      </c>
    </row>
    <row r="251" spans="1:11">
      <c r="A251" t="s">
        <v>876</v>
      </c>
      <c r="B251" t="s">
        <v>5224</v>
      </c>
      <c r="D251" s="358" t="s">
        <v>5314</v>
      </c>
      <c r="E251" s="7"/>
    </row>
    <row r="252" spans="1:11">
      <c r="A252" t="s">
        <v>876</v>
      </c>
      <c r="B252" t="s">
        <v>5224</v>
      </c>
      <c r="D252" s="186" t="s">
        <v>5313</v>
      </c>
    </row>
    <row r="253" spans="1:11">
      <c r="A253" t="s">
        <v>876</v>
      </c>
      <c r="B253" t="s">
        <v>5224</v>
      </c>
      <c r="D253" s="358" t="s">
        <v>5070</v>
      </c>
      <c r="E253">
        <v>0.76</v>
      </c>
    </row>
    <row r="254" spans="1:11">
      <c r="A254" t="s">
        <v>876</v>
      </c>
      <c r="B254" t="s">
        <v>5224</v>
      </c>
      <c r="E254">
        <v>0.84</v>
      </c>
    </row>
    <row r="255" spans="1:11">
      <c r="A255" t="s">
        <v>876</v>
      </c>
      <c r="B255" t="s">
        <v>5224</v>
      </c>
      <c r="D255" t="s">
        <v>510</v>
      </c>
      <c r="E255">
        <f>AVERAGE(E253:E254)</f>
        <v>0.8</v>
      </c>
    </row>
    <row r="256" spans="1:11">
      <c r="A256" t="s">
        <v>876</v>
      </c>
      <c r="B256" t="s">
        <v>5224</v>
      </c>
      <c r="D256" s="48" t="s">
        <v>5230</v>
      </c>
      <c r="E256" s="51">
        <f>[1]MonoSugar!$H$8</f>
        <v>15.611754385964915</v>
      </c>
    </row>
    <row r="257" spans="1:5">
      <c r="A257" t="s">
        <v>876</v>
      </c>
      <c r="B257" t="s">
        <v>5224</v>
      </c>
      <c r="D257" s="48" t="s">
        <v>5231</v>
      </c>
      <c r="E257" s="48">
        <f>E255*E256%</f>
        <v>0.12489403508771933</v>
      </c>
    </row>
    <row r="259" spans="1:5">
      <c r="A259" t="s">
        <v>1731</v>
      </c>
      <c r="B259" t="s">
        <v>5224</v>
      </c>
      <c r="C259" t="s">
        <v>197</v>
      </c>
      <c r="D259" t="s">
        <v>5320</v>
      </c>
    </row>
    <row r="260" spans="1:5">
      <c r="A260" t="s">
        <v>1731</v>
      </c>
      <c r="B260" t="s">
        <v>5224</v>
      </c>
      <c r="D260" t="s">
        <v>5318</v>
      </c>
    </row>
    <row r="261" spans="1:5">
      <c r="A261" t="s">
        <v>1731</v>
      </c>
      <c r="B261" t="s">
        <v>5224</v>
      </c>
      <c r="D261" t="s">
        <v>5319</v>
      </c>
    </row>
    <row r="262" spans="1:5">
      <c r="A262" t="s">
        <v>1731</v>
      </c>
      <c r="B262" t="s">
        <v>5224</v>
      </c>
      <c r="D262" s="367" t="s">
        <v>5321</v>
      </c>
    </row>
    <row r="263" spans="1:5">
      <c r="A263" t="s">
        <v>1731</v>
      </c>
      <c r="B263" t="s">
        <v>5224</v>
      </c>
      <c r="D263" t="s">
        <v>5322</v>
      </c>
      <c r="E263">
        <v>0.12</v>
      </c>
    </row>
    <row r="264" spans="1:5">
      <c r="A264" t="s">
        <v>1731</v>
      </c>
      <c r="B264" t="s">
        <v>5224</v>
      </c>
    </row>
    <row r="265" spans="1:5">
      <c r="A265" t="s">
        <v>1731</v>
      </c>
      <c r="B265" t="s">
        <v>5224</v>
      </c>
      <c r="C265" t="s">
        <v>226</v>
      </c>
      <c r="D265" t="s">
        <v>5325</v>
      </c>
    </row>
    <row r="266" spans="1:5">
      <c r="A266" t="s">
        <v>1731</v>
      </c>
      <c r="B266" t="s">
        <v>5224</v>
      </c>
      <c r="D266" t="s">
        <v>5324</v>
      </c>
    </row>
    <row r="267" spans="1:5">
      <c r="A267" t="s">
        <v>1731</v>
      </c>
      <c r="B267" t="s">
        <v>5224</v>
      </c>
      <c r="D267" s="368" t="s">
        <v>5323</v>
      </c>
    </row>
    <row r="268" spans="1:5">
      <c r="A268" t="s">
        <v>1731</v>
      </c>
      <c r="B268" t="s">
        <v>5224</v>
      </c>
      <c r="D268" t="s">
        <v>5327</v>
      </c>
      <c r="E268" t="s">
        <v>5326</v>
      </c>
    </row>
    <row r="269" spans="1:5">
      <c r="A269" t="s">
        <v>1731</v>
      </c>
      <c r="B269" t="s">
        <v>5224</v>
      </c>
      <c r="E269">
        <v>0.88</v>
      </c>
    </row>
    <row r="270" spans="1:5">
      <c r="A270" t="s">
        <v>1731</v>
      </c>
      <c r="B270" t="s">
        <v>5224</v>
      </c>
      <c r="D270" t="s">
        <v>5070</v>
      </c>
      <c r="E270">
        <f>E269*90/180</f>
        <v>0.44</v>
      </c>
    </row>
    <row r="271" spans="1:5">
      <c r="A271" t="s">
        <v>1731</v>
      </c>
      <c r="B271" t="s">
        <v>5224</v>
      </c>
      <c r="D271" s="48" t="s">
        <v>5230</v>
      </c>
      <c r="E271" s="51">
        <f>[1]MonoSugar!$H$8</f>
        <v>15.611754385964915</v>
      </c>
    </row>
    <row r="272" spans="1:5">
      <c r="A272" t="s">
        <v>1731</v>
      </c>
      <c r="B272" t="s">
        <v>5224</v>
      </c>
      <c r="D272" s="48" t="s">
        <v>5231</v>
      </c>
      <c r="E272" s="48">
        <f>E270*E271%</f>
        <v>6.8691719298245635E-2</v>
      </c>
    </row>
    <row r="273" spans="1:5">
      <c r="A273" t="s">
        <v>1731</v>
      </c>
      <c r="B273" t="s">
        <v>5224</v>
      </c>
    </row>
    <row r="274" spans="1:5">
      <c r="A274" t="s">
        <v>1731</v>
      </c>
      <c r="B274" t="s">
        <v>5224</v>
      </c>
    </row>
    <row r="275" spans="1:5">
      <c r="A275" t="s">
        <v>1731</v>
      </c>
      <c r="B275" t="s">
        <v>5224</v>
      </c>
      <c r="C275" t="s">
        <v>396</v>
      </c>
      <c r="D275" t="s">
        <v>5330</v>
      </c>
    </row>
    <row r="276" spans="1:5">
      <c r="A276" t="s">
        <v>1731</v>
      </c>
      <c r="B276" t="s">
        <v>5224</v>
      </c>
      <c r="D276" t="s">
        <v>5329</v>
      </c>
    </row>
    <row r="277" spans="1:5">
      <c r="A277" t="s">
        <v>1731</v>
      </c>
      <c r="B277" t="s">
        <v>5224</v>
      </c>
      <c r="D277" t="s">
        <v>5328</v>
      </c>
    </row>
    <row r="278" spans="1:5">
      <c r="A278" t="s">
        <v>1731</v>
      </c>
      <c r="B278" t="s">
        <v>5224</v>
      </c>
    </row>
    <row r="279" spans="1:5">
      <c r="A279" t="s">
        <v>1731</v>
      </c>
      <c r="B279" t="s">
        <v>5224</v>
      </c>
      <c r="D279" t="s">
        <v>2893</v>
      </c>
      <c r="E279">
        <v>0.88</v>
      </c>
    </row>
    <row r="280" spans="1:5">
      <c r="A280" t="s">
        <v>1731</v>
      </c>
      <c r="B280" t="s">
        <v>5224</v>
      </c>
      <c r="D280" s="48" t="s">
        <v>5230</v>
      </c>
      <c r="E280" s="51">
        <f>[1]MonoSugar!$H$8</f>
        <v>15.611754385964915</v>
      </c>
    </row>
    <row r="281" spans="1:5">
      <c r="A281" t="s">
        <v>1731</v>
      </c>
      <c r="B281" t="s">
        <v>5224</v>
      </c>
      <c r="D281" s="48" t="s">
        <v>5231</v>
      </c>
      <c r="E281" s="48">
        <f>E279*E280%</f>
        <v>0.13738343859649127</v>
      </c>
    </row>
    <row r="282" spans="1:5">
      <c r="A282" t="s">
        <v>1731</v>
      </c>
      <c r="B282" t="s">
        <v>5224</v>
      </c>
    </row>
    <row r="283" spans="1:5">
      <c r="A283" t="s">
        <v>1731</v>
      </c>
      <c r="B283" t="s">
        <v>5224</v>
      </c>
      <c r="C283" t="s">
        <v>420</v>
      </c>
      <c r="D283" t="s">
        <v>5332</v>
      </c>
    </row>
    <row r="284" spans="1:5">
      <c r="A284" t="s">
        <v>1731</v>
      </c>
      <c r="B284" t="s">
        <v>5224</v>
      </c>
      <c r="D284" t="s">
        <v>5334</v>
      </c>
    </row>
    <row r="285" spans="1:5">
      <c r="A285" t="s">
        <v>1731</v>
      </c>
      <c r="B285" t="s">
        <v>5224</v>
      </c>
      <c r="D285" t="s">
        <v>5331</v>
      </c>
    </row>
    <row r="286" spans="1:5">
      <c r="A286" t="s">
        <v>1731</v>
      </c>
      <c r="B286" t="s">
        <v>5224</v>
      </c>
    </row>
    <row r="287" spans="1:5">
      <c r="A287" t="s">
        <v>1731</v>
      </c>
      <c r="B287" t="s">
        <v>5224</v>
      </c>
      <c r="D287" t="s">
        <v>5333</v>
      </c>
      <c r="E287">
        <v>0.87</v>
      </c>
    </row>
    <row r="288" spans="1:5">
      <c r="A288" t="s">
        <v>1731</v>
      </c>
      <c r="B288" t="s">
        <v>5224</v>
      </c>
      <c r="E288">
        <v>0.97</v>
      </c>
    </row>
    <row r="289" spans="1:5">
      <c r="A289" t="s">
        <v>1731</v>
      </c>
      <c r="B289" t="s">
        <v>5224</v>
      </c>
      <c r="D289" t="s">
        <v>510</v>
      </c>
      <c r="E289">
        <f>AVERAGE(E287:E288)</f>
        <v>0.91999999999999993</v>
      </c>
    </row>
    <row r="290" spans="1:5">
      <c r="A290" t="s">
        <v>1731</v>
      </c>
      <c r="B290" t="s">
        <v>5224</v>
      </c>
      <c r="D290" t="s">
        <v>5335</v>
      </c>
      <c r="E290">
        <f>E280*162/180</f>
        <v>14.050578947368423</v>
      </c>
    </row>
    <row r="291" spans="1:5">
      <c r="A291" t="s">
        <v>1731</v>
      </c>
      <c r="B291" t="s">
        <v>5224</v>
      </c>
      <c r="D291" t="s">
        <v>5231</v>
      </c>
      <c r="E291">
        <f>E289*E290%</f>
        <v>0.12926532631578946</v>
      </c>
    </row>
    <row r="292" spans="1:5">
      <c r="A292" t="s">
        <v>1731</v>
      </c>
      <c r="B292" t="s">
        <v>5224</v>
      </c>
    </row>
    <row r="293" spans="1:5">
      <c r="A293" t="s">
        <v>1731</v>
      </c>
      <c r="B293" t="s">
        <v>5224</v>
      </c>
      <c r="C293" t="s">
        <v>425</v>
      </c>
      <c r="D293" t="s">
        <v>5337</v>
      </c>
    </row>
    <row r="294" spans="1:5">
      <c r="A294" t="s">
        <v>1731</v>
      </c>
      <c r="B294" t="s">
        <v>5224</v>
      </c>
      <c r="D294" t="s">
        <v>5336</v>
      </c>
    </row>
    <row r="295" spans="1:5">
      <c r="A295" t="s">
        <v>1731</v>
      </c>
      <c r="B295" t="s">
        <v>5224</v>
      </c>
      <c r="D295" t="s">
        <v>5338</v>
      </c>
    </row>
    <row r="296" spans="1:5">
      <c r="A296" t="s">
        <v>1731</v>
      </c>
      <c r="B296" t="s">
        <v>5224</v>
      </c>
    </row>
    <row r="297" spans="1:5" ht="15">
      <c r="A297" t="s">
        <v>1731</v>
      </c>
      <c r="B297" t="s">
        <v>5224</v>
      </c>
      <c r="D297" s="369" t="s">
        <v>5339</v>
      </c>
      <c r="E297">
        <v>103.8</v>
      </c>
    </row>
    <row r="298" spans="1:5" ht="15">
      <c r="A298" t="s">
        <v>1731</v>
      </c>
      <c r="B298" t="s">
        <v>5224</v>
      </c>
      <c r="D298" s="369" t="s">
        <v>5340</v>
      </c>
      <c r="E298">
        <v>120</v>
      </c>
    </row>
    <row r="299" spans="1:5">
      <c r="A299" t="s">
        <v>1731</v>
      </c>
      <c r="B299" t="s">
        <v>5224</v>
      </c>
      <c r="D299" t="s">
        <v>5333</v>
      </c>
      <c r="E299">
        <f>E297/E298</f>
        <v>0.86499999999999999</v>
      </c>
    </row>
    <row r="300" spans="1:5">
      <c r="A300" t="s">
        <v>1731</v>
      </c>
      <c r="B300" t="s">
        <v>5224</v>
      </c>
      <c r="D300" t="s">
        <v>5335</v>
      </c>
      <c r="E300">
        <v>14.050578947368423</v>
      </c>
    </row>
    <row r="301" spans="1:5">
      <c r="A301" t="s">
        <v>1731</v>
      </c>
      <c r="B301" t="s">
        <v>5224</v>
      </c>
      <c r="D301" t="s">
        <v>5231</v>
      </c>
      <c r="E301">
        <f>E299*E300%</f>
        <v>0.12153750789473686</v>
      </c>
    </row>
  </sheetData>
  <mergeCells count="93">
    <mergeCell ref="E6:I6"/>
    <mergeCell ref="D6:D7"/>
    <mergeCell ref="D219:D220"/>
    <mergeCell ref="F219:F220"/>
    <mergeCell ref="G219:G220"/>
    <mergeCell ref="H219:H220"/>
    <mergeCell ref="I219:I220"/>
    <mergeCell ref="J219:J220"/>
    <mergeCell ref="K219:K220"/>
    <mergeCell ref="D221:D222"/>
    <mergeCell ref="F221:F222"/>
    <mergeCell ref="G221:G222"/>
    <mergeCell ref="H221:H222"/>
    <mergeCell ref="I221:I222"/>
    <mergeCell ref="J221:J222"/>
    <mergeCell ref="K221:K222"/>
    <mergeCell ref="J223:J224"/>
    <mergeCell ref="K223:K224"/>
    <mergeCell ref="D225:D226"/>
    <mergeCell ref="F225:F226"/>
    <mergeCell ref="G225:G226"/>
    <mergeCell ref="H225:H226"/>
    <mergeCell ref="I225:I226"/>
    <mergeCell ref="J225:J226"/>
    <mergeCell ref="K225:K226"/>
    <mergeCell ref="D223:D224"/>
    <mergeCell ref="F223:F224"/>
    <mergeCell ref="G223:G224"/>
    <mergeCell ref="H223:H224"/>
    <mergeCell ref="I223:I224"/>
    <mergeCell ref="J227:J228"/>
    <mergeCell ref="K227:K228"/>
    <mergeCell ref="D229:D230"/>
    <mergeCell ref="F229:F230"/>
    <mergeCell ref="G229:G230"/>
    <mergeCell ref="H229:H230"/>
    <mergeCell ref="I229:I230"/>
    <mergeCell ref="J229:J230"/>
    <mergeCell ref="K229:K230"/>
    <mergeCell ref="D227:D228"/>
    <mergeCell ref="F227:F228"/>
    <mergeCell ref="G227:G228"/>
    <mergeCell ref="H227:H228"/>
    <mergeCell ref="I227:I228"/>
    <mergeCell ref="J231:J232"/>
    <mergeCell ref="K231:K232"/>
    <mergeCell ref="D233:D234"/>
    <mergeCell ref="F233:F234"/>
    <mergeCell ref="G233:G234"/>
    <mergeCell ref="H233:H234"/>
    <mergeCell ref="I233:I234"/>
    <mergeCell ref="J233:J234"/>
    <mergeCell ref="K233:K234"/>
    <mergeCell ref="D231:D232"/>
    <mergeCell ref="F231:F232"/>
    <mergeCell ref="G231:G232"/>
    <mergeCell ref="H231:H232"/>
    <mergeCell ref="I231:I232"/>
    <mergeCell ref="J236:J237"/>
    <mergeCell ref="K236:K237"/>
    <mergeCell ref="D238:D239"/>
    <mergeCell ref="F238:F239"/>
    <mergeCell ref="G238:G239"/>
    <mergeCell ref="H238:H239"/>
    <mergeCell ref="I238:I239"/>
    <mergeCell ref="J238:J239"/>
    <mergeCell ref="K238:K239"/>
    <mergeCell ref="D236:D237"/>
    <mergeCell ref="F236:F237"/>
    <mergeCell ref="G236:G237"/>
    <mergeCell ref="H236:H237"/>
    <mergeCell ref="I236:I237"/>
    <mergeCell ref="J240:J241"/>
    <mergeCell ref="K240:K241"/>
    <mergeCell ref="D242:D243"/>
    <mergeCell ref="F242:F243"/>
    <mergeCell ref="G242:G243"/>
    <mergeCell ref="H242:H243"/>
    <mergeCell ref="I242:I243"/>
    <mergeCell ref="J242:J243"/>
    <mergeCell ref="K242:K243"/>
    <mergeCell ref="D240:D241"/>
    <mergeCell ref="F240:F241"/>
    <mergeCell ref="G240:G241"/>
    <mergeCell ref="H240:H241"/>
    <mergeCell ref="I240:I241"/>
    <mergeCell ref="J244:J245"/>
    <mergeCell ref="K244:K245"/>
    <mergeCell ref="D244:D245"/>
    <mergeCell ref="F244:F245"/>
    <mergeCell ref="G244:G245"/>
    <mergeCell ref="H244:H245"/>
    <mergeCell ref="I244:I245"/>
  </mergeCells>
  <hyperlinks>
    <hyperlink ref="D159" r:id="rId1" tooltip="Learn more about Kinetic parameters from ScienceDirect's AI-generated Topic Pages" display="https://www.sciencedirect.com/topics/engineering/kinetic-parameter" xr:uid="{E7644B94-8D9B-42A5-8D10-279082DCADDD}"/>
    <hyperlink ref="K219" r:id="rId2" location="bib40" display="https://www.sciencedirect.com/science/article/pii/S0961953423003331?via%3Dihub - bib40" xr:uid="{37AA99E8-F375-4290-B809-C6C517C1CD57}"/>
    <hyperlink ref="K221" r:id="rId3" location="bib39" display="https://www.sciencedirect.com/science/article/pii/S0961953423003331?via%3Dihub - bib39" xr:uid="{4A193E2B-9B24-446F-8352-7DBB8E8CCC8A}"/>
    <hyperlink ref="K223" r:id="rId4" location="bib41" display="https://www.sciencedirect.com/science/article/pii/S0961953423003331?via%3Dihub - bib41" xr:uid="{924D422A-7C1B-43ED-BB3A-B594BB6EE64A}"/>
    <hyperlink ref="K225" r:id="rId5" location="bib35" display="https://www.sciencedirect.com/science/article/pii/S0961953423003331?via%3Dihub - bib35" xr:uid="{7A414622-774B-4523-A959-0FBBE769336B}"/>
    <hyperlink ref="K227" r:id="rId6" location="bib42" display="https://www.sciencedirect.com/science/article/pii/S0961953423003331?via%3Dihub - bib42" xr:uid="{FA4DCCBD-B493-47A9-8039-DBBA03409AA4}"/>
    <hyperlink ref="K229" r:id="rId7" location="bib43" display="https://www.sciencedirect.com/science/article/pii/S0961953423003331?via%3Dihub - bib43" xr:uid="{DD702FB6-A419-4A10-83C1-9121401A0C8C}"/>
    <hyperlink ref="H231" r:id="rId8" location="tbl4fna" display="https://www.sciencedirect.com/science/article/pii/S0961953423003331?via%3Dihub - tbl4fna" xr:uid="{96B12951-37DA-4089-90EF-E9DBF14A38FA}"/>
    <hyperlink ref="I231" r:id="rId9" location="tbl4fna" display="https://www.sciencedirect.com/science/article/pii/S0961953423003331?via%3Dihub - tbl4fna" xr:uid="{DB516091-B968-4FA6-864E-50527AE3E906}"/>
    <hyperlink ref="J231" r:id="rId10" location="tbl4fna" display="https://www.sciencedirect.com/science/article/pii/S0961953423003331?via%3Dihub - tbl4fna" xr:uid="{A1A3B839-F48B-4B3D-A3BE-AA37251ACB87}"/>
    <hyperlink ref="K231" r:id="rId11" location="bib26" display="https://www.sciencedirect.com/science/article/pii/S0961953423003331?via%3Dihub - bib26" xr:uid="{64BE5AE2-E26A-468A-B4D6-5B6F990553F2}"/>
    <hyperlink ref="H233" r:id="rId12" location="tbl4fna" display="https://www.sciencedirect.com/science/article/pii/S0961953423003331?via%3Dihub - tbl4fna" xr:uid="{B33CA381-51FB-4C76-BC4F-3422141B0B08}"/>
    <hyperlink ref="I233" r:id="rId13" location="tbl4fna" display="https://www.sciencedirect.com/science/article/pii/S0961953423003331?via%3Dihub - tbl4fna" xr:uid="{E2E12680-43CC-46E8-9A20-71991A343983}"/>
    <hyperlink ref="J233" r:id="rId14" location="tbl4fna" display="https://www.sciencedirect.com/science/article/pii/S0961953423003331?via%3Dihub - tbl4fna" xr:uid="{9E167222-71AF-43C1-A4C3-86AF2D9FAE18}"/>
    <hyperlink ref="K233" r:id="rId15" location="bib36" display="https://www.sciencedirect.com/science/article/pii/S0961953423003331?via%3Dihub - bib36" xr:uid="{63D5E660-EACD-4F90-87D6-F67B871DC17E}"/>
    <hyperlink ref="K235" r:id="rId16" location="bib37" display="https://www.sciencedirect.com/science/article/pii/S0961953423003331?via%3Dihub - bib37" xr:uid="{08C5CB71-30F6-4208-A4A0-023CB4E62958}"/>
    <hyperlink ref="K236" r:id="rId17" location="bib26" display="https://www.sciencedirect.com/science/article/pii/S0961953423003331?via%3Dihub - bib26" xr:uid="{E18E92D8-EA41-4934-8ED4-92EF0A77F1A8}"/>
    <hyperlink ref="K238" r:id="rId18" location="bib38" display="https://www.sciencedirect.com/science/article/pii/S0961953423003331?via%3Dihub - bib38" xr:uid="{B8B4D583-BCF2-484B-8B55-C1666D007957}"/>
    <hyperlink ref="K240" r:id="rId19" location="bib44" display="https://www.sciencedirect.com/science/article/pii/S0961953423003331?via%3Dihub - bib44" xr:uid="{DF7827F8-3485-4A6B-BC1B-45C08781C1E0}"/>
    <hyperlink ref="K242" r:id="rId20" location="bib23" display="https://www.sciencedirect.com/science/article/pii/S0961953423003331?via%3Dihub - bib23" xr:uid="{77C076B7-BAD6-4D3B-8ED3-BB336D47824A}"/>
    <hyperlink ref="K244" r:id="rId21" location="bib22" display="https://www.sciencedirect.com/science/article/pii/S0961953423003331?via%3Dihub - bib22" xr:uid="{BDBE58CC-C288-4BBC-973E-D7895519785B}"/>
    <hyperlink ref="H246" r:id="rId22" location="tbl4fna" display="https://www.sciencedirect.com/science/article/pii/S0961953423003331?via%3Dihub - tbl4fna" xr:uid="{0B2B92E3-1296-48FC-8DBE-253A030B99F9}"/>
    <hyperlink ref="I246" r:id="rId23" location="tbl4fna" display="https://www.sciencedirect.com/science/article/pii/S0961953423003331?via%3Dihub - tbl4fna" xr:uid="{CCF98413-83D3-41C8-9B03-DEECC37CA838}"/>
    <hyperlink ref="J246" r:id="rId24" location="tbl4fna" display="https://www.sciencedirect.com/science/article/pii/S0961953423003331?via%3Dihub - tbl4fna" xr:uid="{89965909-976E-441B-80A4-68E58E8442B2}"/>
    <hyperlink ref="H247" r:id="rId25" location="tbl4fna" display="https://www.sciencedirect.com/science/article/pii/S0961953423003331?via%3Dihub - tbl4fna" xr:uid="{DE5A4739-15DF-43A8-A2AD-9B28189E2AD5}"/>
    <hyperlink ref="I247" r:id="rId26" location="tbl4fna" display="https://www.sciencedirect.com/science/article/pii/S0961953423003331?via%3Dihub - tbl4fna" xr:uid="{3D58D309-E87D-496C-85A7-F2F9D6A8C6A1}"/>
    <hyperlink ref="J247" r:id="rId27" location="tbl4fna" display="https://www.sciencedirect.com/science/article/pii/S0961953423003331?via%3Dihub - tbl4fna" xr:uid="{7DA6ACA4-56C5-44C1-AE67-29A86F0A8981}"/>
    <hyperlink ref="H248" r:id="rId28" location="tbl4fna" display="https://www.sciencedirect.com/science/article/pii/S0961953423003331?via%3Dihub - tbl4fna" xr:uid="{A31D8CAB-E0F4-478A-8890-5BA30B50A38C}"/>
    <hyperlink ref="I248" r:id="rId29" location="tbl4fna" display="https://www.sciencedirect.com/science/article/pii/S0961953423003331?via%3Dihub - tbl4fna" xr:uid="{ECA6D21C-CC48-4AC8-80B9-82A7C4DB466D}"/>
    <hyperlink ref="J248" r:id="rId30" location="tbl4fna" display="https://www.sciencedirect.com/science/article/pii/S0961953423003331?via%3Dihub - tbl4fna" xr:uid="{B10308BD-10C5-470E-81CE-6FA8B1067773}"/>
    <hyperlink ref="H249" r:id="rId31" location="tbl4fna" display="https://www.sciencedirect.com/science/article/pii/S0961953423003331?via%3Dihub - tbl4fna" xr:uid="{D3EE2F3D-E745-43A0-93A5-BCB2B4C7E5C6}"/>
    <hyperlink ref="I249" r:id="rId32" location="tbl4fna" display="https://www.sciencedirect.com/science/article/pii/S0961953423003331?via%3Dihub - tbl4fna" xr:uid="{9756B794-8427-4556-A9EB-B46A3EBE5224}"/>
    <hyperlink ref="J249" r:id="rId33" location="tbl4fna" display="https://www.sciencedirect.com/science/article/pii/S0961953423003331?via%3Dihub - tbl4fna" xr:uid="{415321A0-5CBB-4539-BD78-4600F63DC23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E4FDE-A92F-4ACC-ACEF-7C4B9C651088}">
  <dimension ref="A2:V313"/>
  <sheetViews>
    <sheetView topLeftCell="A286" zoomScale="80" zoomScaleNormal="80" workbookViewId="0">
      <selection activeCell="B327" sqref="B327"/>
    </sheetView>
  </sheetViews>
  <sheetFormatPr defaultRowHeight="14.4"/>
  <cols>
    <col min="1" max="1" width="19.109375" customWidth="1"/>
    <col min="2" max="2" width="31.109375" customWidth="1"/>
    <col min="3" max="3" width="17.6640625" customWidth="1"/>
    <col min="4" max="4" width="55" customWidth="1"/>
    <col min="5" max="5" width="15.5546875" customWidth="1"/>
    <col min="11" max="11" width="11.33203125" customWidth="1"/>
  </cols>
  <sheetData>
    <row r="2" spans="1:9">
      <c r="A2" t="s">
        <v>2269</v>
      </c>
      <c r="B2" t="s">
        <v>2790</v>
      </c>
      <c r="C2" t="s">
        <v>197</v>
      </c>
      <c r="D2" s="7" t="s">
        <v>2791</v>
      </c>
    </row>
    <row r="3" spans="1:9">
      <c r="D3" t="s">
        <v>2792</v>
      </c>
    </row>
    <row r="4" spans="1:9" ht="15" thickBot="1">
      <c r="D4" s="160" t="s">
        <v>2793</v>
      </c>
    </row>
    <row r="5" spans="1:9" ht="51" customHeight="1" thickBot="1">
      <c r="D5" s="577" t="s">
        <v>2794</v>
      </c>
      <c r="E5" s="624" t="s">
        <v>2795</v>
      </c>
      <c r="F5" s="624" t="s">
        <v>2796</v>
      </c>
      <c r="G5" s="626" t="s">
        <v>2797</v>
      </c>
      <c r="H5" s="626"/>
      <c r="I5" s="624" t="s">
        <v>2798</v>
      </c>
    </row>
    <row r="6" spans="1:9" ht="21" thickBot="1">
      <c r="D6" s="578"/>
      <c r="E6" s="625"/>
      <c r="F6" s="625"/>
      <c r="G6" s="155" t="s">
        <v>2799</v>
      </c>
      <c r="H6" s="155" t="s">
        <v>2</v>
      </c>
      <c r="I6" s="625"/>
    </row>
    <row r="7" spans="1:9">
      <c r="D7" s="156">
        <v>1</v>
      </c>
      <c r="E7" s="156">
        <v>1.1499999999999999</v>
      </c>
      <c r="F7" s="156">
        <v>0.42</v>
      </c>
      <c r="G7" s="156">
        <v>329</v>
      </c>
      <c r="H7" s="156">
        <v>574</v>
      </c>
      <c r="I7" s="156">
        <v>902</v>
      </c>
    </row>
    <row r="8" spans="1:9">
      <c r="D8" s="156">
        <v>2</v>
      </c>
      <c r="E8" s="156">
        <v>0.81</v>
      </c>
      <c r="F8" s="156">
        <v>1.02</v>
      </c>
      <c r="G8" s="156">
        <v>231</v>
      </c>
      <c r="H8" s="156">
        <v>1393</v>
      </c>
      <c r="I8" s="156">
        <v>1625</v>
      </c>
    </row>
    <row r="9" spans="1:9" ht="15" thickBot="1">
      <c r="D9" s="158">
        <v>3</v>
      </c>
      <c r="E9" s="158">
        <v>1.07</v>
      </c>
      <c r="F9" s="158">
        <v>0.63</v>
      </c>
      <c r="G9" s="158">
        <v>306</v>
      </c>
      <c r="H9" s="158">
        <v>861</v>
      </c>
      <c r="I9" s="158">
        <v>1166</v>
      </c>
    </row>
    <row r="10" spans="1:9">
      <c r="D10" s="159" t="s">
        <v>1177</v>
      </c>
    </row>
    <row r="11" spans="1:9">
      <c r="D11" s="161" t="s">
        <v>2800</v>
      </c>
    </row>
    <row r="13" spans="1:9">
      <c r="D13" s="82" t="s">
        <v>2801</v>
      </c>
      <c r="E13" s="48">
        <f>AVERAGE(F7:F9)</f>
        <v>0.69</v>
      </c>
    </row>
    <row r="14" spans="1:9">
      <c r="D14" s="48" t="s">
        <v>2802</v>
      </c>
      <c r="E14" s="48">
        <f>E13*0.001*46</f>
        <v>3.1739999999999997E-2</v>
      </c>
    </row>
    <row r="17" spans="3:4">
      <c r="C17" t="s">
        <v>226</v>
      </c>
      <c r="D17" t="s">
        <v>2803</v>
      </c>
    </row>
    <row r="18" spans="3:4">
      <c r="D18" t="s">
        <v>2804</v>
      </c>
    </row>
    <row r="37" spans="3:8">
      <c r="H37" t="s">
        <v>28</v>
      </c>
    </row>
    <row r="38" spans="3:8">
      <c r="D38" s="48" t="s">
        <v>2805</v>
      </c>
      <c r="E38" s="48">
        <v>179.6</v>
      </c>
      <c r="F38" s="48">
        <v>179.6</v>
      </c>
      <c r="G38" s="48">
        <v>179.6</v>
      </c>
      <c r="H38" s="48">
        <f>AVERAGE(E38:G38)</f>
        <v>179.6</v>
      </c>
    </row>
    <row r="39" spans="3:8">
      <c r="D39" s="48" t="s">
        <v>2806</v>
      </c>
      <c r="E39" s="48">
        <v>19.579999999999998</v>
      </c>
      <c r="F39" s="48">
        <v>23.23</v>
      </c>
      <c r="G39" s="48">
        <v>21.35</v>
      </c>
      <c r="H39" s="48">
        <f t="shared" ref="H39:H40" si="0">AVERAGE(E39:G39)</f>
        <v>21.386666666666667</v>
      </c>
    </row>
    <row r="40" spans="3:8">
      <c r="D40" s="48" t="s">
        <v>2807</v>
      </c>
      <c r="E40" s="48">
        <v>84.96</v>
      </c>
      <c r="F40" s="48">
        <v>80.83</v>
      </c>
      <c r="G40" s="48">
        <v>76.63</v>
      </c>
      <c r="H40" s="48">
        <f t="shared" si="0"/>
        <v>80.806666666666658</v>
      </c>
    </row>
    <row r="41" spans="3:8">
      <c r="D41" s="48" t="s">
        <v>2808</v>
      </c>
      <c r="E41" s="48"/>
      <c r="F41" s="48"/>
      <c r="G41" s="48"/>
      <c r="H41" s="48">
        <f>H38-H39</f>
        <v>158.21333333333334</v>
      </c>
    </row>
    <row r="42" spans="3:8">
      <c r="D42" s="48" t="s">
        <v>2809</v>
      </c>
      <c r="E42" s="48"/>
      <c r="F42" s="48"/>
      <c r="G42" s="48"/>
      <c r="H42" s="48">
        <f>H40/H41</f>
        <v>0.51074498567335236</v>
      </c>
    </row>
    <row r="43" spans="3:8">
      <c r="D43" s="48" t="s">
        <v>2810</v>
      </c>
      <c r="E43" s="48"/>
      <c r="F43" s="48"/>
      <c r="G43" s="48"/>
      <c r="H43" s="48">
        <v>0.2165</v>
      </c>
    </row>
    <row r="44" spans="3:8">
      <c r="D44" s="48" t="s">
        <v>2811</v>
      </c>
      <c r="E44" s="48"/>
      <c r="F44" s="48"/>
      <c r="G44" s="48"/>
      <c r="H44" s="48">
        <f>H42*H43</f>
        <v>0.11057628939828079</v>
      </c>
    </row>
    <row r="47" spans="3:8">
      <c r="C47" t="s">
        <v>396</v>
      </c>
      <c r="D47" t="s">
        <v>2812</v>
      </c>
    </row>
    <row r="48" spans="3:8">
      <c r="D48" t="s">
        <v>2813</v>
      </c>
    </row>
    <row r="49" spans="4:22" ht="17.399999999999999">
      <c r="D49" s="168" t="s">
        <v>2814</v>
      </c>
    </row>
    <row r="50" spans="4:22" ht="15" thickBot="1">
      <c r="D50" s="26" t="s">
        <v>2815</v>
      </c>
    </row>
    <row r="51" spans="4:22" ht="21.6" thickBot="1">
      <c r="D51" s="164" t="s">
        <v>2122</v>
      </c>
      <c r="E51" s="171" t="s">
        <v>2816</v>
      </c>
      <c r="F51" s="618">
        <v>107</v>
      </c>
      <c r="G51" s="619"/>
      <c r="H51" s="619"/>
      <c r="I51" s="620"/>
      <c r="J51" s="618">
        <v>108</v>
      </c>
      <c r="K51" s="619"/>
      <c r="L51" s="619"/>
      <c r="M51" s="620"/>
    </row>
    <row r="52" spans="4:22" ht="22.2" thickTop="1" thickBot="1">
      <c r="D52" s="165"/>
      <c r="E52" s="172" t="s">
        <v>73</v>
      </c>
      <c r="F52" s="87">
        <v>6</v>
      </c>
      <c r="G52" s="87">
        <v>12</v>
      </c>
      <c r="H52" s="87">
        <v>18</v>
      </c>
      <c r="I52" s="87">
        <v>24</v>
      </c>
      <c r="J52" s="87">
        <v>6</v>
      </c>
      <c r="K52" s="87">
        <v>12</v>
      </c>
      <c r="L52" s="87">
        <v>18</v>
      </c>
      <c r="M52" s="87">
        <v>24</v>
      </c>
      <c r="N52" s="48"/>
      <c r="O52" s="48"/>
      <c r="P52" s="48"/>
      <c r="Q52" s="48"/>
      <c r="R52" s="48"/>
      <c r="S52" s="48"/>
      <c r="T52" s="48"/>
      <c r="U52" s="48"/>
      <c r="V52" s="48" t="s">
        <v>510</v>
      </c>
    </row>
    <row r="53" spans="4:22" ht="22.8" thickTop="1" thickBot="1">
      <c r="D53" s="514" t="s">
        <v>2817</v>
      </c>
      <c r="E53" s="170" t="s">
        <v>2818</v>
      </c>
      <c r="F53" s="162">
        <v>79.7</v>
      </c>
      <c r="G53" s="162">
        <v>79.7</v>
      </c>
      <c r="H53" s="162">
        <v>79.7</v>
      </c>
      <c r="I53" s="162">
        <v>79.7</v>
      </c>
      <c r="J53" s="162">
        <v>78.599999999999994</v>
      </c>
      <c r="K53" s="162">
        <v>78.599999999999994</v>
      </c>
      <c r="L53" s="162">
        <v>78.599999999999994</v>
      </c>
      <c r="M53" s="162">
        <v>78.599999999999994</v>
      </c>
      <c r="N53" s="48"/>
      <c r="O53" s="48"/>
      <c r="P53" s="48"/>
      <c r="Q53" s="48"/>
      <c r="R53" s="48"/>
      <c r="S53" s="48"/>
      <c r="T53" s="48"/>
      <c r="U53" s="48"/>
      <c r="V53" s="48">
        <f>AVERAGE(F53:M53)</f>
        <v>79.150000000000006</v>
      </c>
    </row>
    <row r="54" spans="4:22" ht="22.2" thickBot="1">
      <c r="D54" s="515"/>
      <c r="E54" s="170" t="s">
        <v>2819</v>
      </c>
      <c r="F54" s="162">
        <v>5</v>
      </c>
      <c r="G54" s="162">
        <v>35.6</v>
      </c>
      <c r="H54" s="162">
        <v>67.8</v>
      </c>
      <c r="I54" s="162">
        <v>94</v>
      </c>
      <c r="J54" s="162">
        <v>56.7</v>
      </c>
      <c r="K54" s="162">
        <v>93.2</v>
      </c>
      <c r="L54" s="162">
        <v>96.4</v>
      </c>
      <c r="M54" s="162">
        <v>97.2</v>
      </c>
      <c r="N54" s="48"/>
      <c r="O54" s="48"/>
      <c r="P54" s="48"/>
      <c r="Q54" s="48"/>
      <c r="R54" s="48"/>
      <c r="S54" s="48"/>
      <c r="T54" s="48"/>
      <c r="U54" s="48"/>
      <c r="V54" s="48">
        <f>AVERAGE(F54:M54)</f>
        <v>68.237500000000011</v>
      </c>
    </row>
    <row r="55" spans="4:22" ht="42.6" thickBot="1">
      <c r="D55" s="515"/>
      <c r="E55" s="170" t="s">
        <v>2820</v>
      </c>
      <c r="F55" s="162" t="s">
        <v>2821</v>
      </c>
      <c r="G55" s="162" t="s">
        <v>2822</v>
      </c>
      <c r="H55" s="162" t="s">
        <v>2823</v>
      </c>
      <c r="I55" s="162" t="s">
        <v>2824</v>
      </c>
      <c r="J55" s="162" t="s">
        <v>2825</v>
      </c>
      <c r="K55" s="162" t="s">
        <v>2826</v>
      </c>
      <c r="L55" s="162" t="s">
        <v>2827</v>
      </c>
      <c r="M55" s="162" t="s">
        <v>2827</v>
      </c>
      <c r="N55" s="48">
        <v>1.2</v>
      </c>
      <c r="O55" s="48">
        <v>13.1</v>
      </c>
      <c r="P55" s="48">
        <v>25.9</v>
      </c>
      <c r="Q55" s="48">
        <v>31</v>
      </c>
      <c r="R55" s="48">
        <v>22.6</v>
      </c>
      <c r="S55" s="48">
        <v>30.8</v>
      </c>
      <c r="T55" s="48">
        <v>38.6</v>
      </c>
      <c r="U55" s="48">
        <v>38.6</v>
      </c>
      <c r="V55" s="48">
        <f>AVERAGE(N55:U55)</f>
        <v>25.224999999999998</v>
      </c>
    </row>
    <row r="56" spans="4:22" ht="22.2" thickBot="1">
      <c r="D56" s="515"/>
      <c r="E56" s="170" t="s">
        <v>2828</v>
      </c>
      <c r="F56" s="162">
        <v>63.3</v>
      </c>
      <c r="G56" s="162">
        <v>88.4</v>
      </c>
      <c r="H56" s="162">
        <v>96.1</v>
      </c>
      <c r="I56" s="162">
        <v>94.7</v>
      </c>
      <c r="J56" s="162">
        <v>99.4</v>
      </c>
      <c r="K56" s="162">
        <v>83.2</v>
      </c>
      <c r="L56" s="162">
        <v>98.9</v>
      </c>
      <c r="M56" s="162">
        <v>98.3</v>
      </c>
      <c r="N56" s="48"/>
      <c r="O56" s="48"/>
      <c r="P56" s="48"/>
      <c r="Q56" s="48"/>
      <c r="R56" s="48"/>
      <c r="S56" s="48"/>
      <c r="T56" s="48"/>
      <c r="U56" s="48"/>
      <c r="V56" s="48"/>
    </row>
    <row r="57" spans="4:22" ht="22.2" thickBot="1">
      <c r="D57" s="621"/>
      <c r="E57" s="170" t="s">
        <v>2829</v>
      </c>
      <c r="F57" s="162">
        <v>5094</v>
      </c>
      <c r="G57" s="163">
        <v>10161</v>
      </c>
      <c r="H57" s="163">
        <v>10578</v>
      </c>
      <c r="I57" s="163">
        <v>9136</v>
      </c>
      <c r="J57" s="163">
        <v>11196</v>
      </c>
      <c r="K57" s="163">
        <v>9320</v>
      </c>
      <c r="L57" s="163">
        <v>11292</v>
      </c>
      <c r="M57" s="163">
        <v>11203</v>
      </c>
      <c r="N57" s="48"/>
      <c r="O57" s="48"/>
      <c r="P57" s="48"/>
      <c r="Q57" s="48"/>
      <c r="R57" s="48"/>
      <c r="S57" s="48"/>
      <c r="T57" s="48"/>
      <c r="U57" s="48"/>
      <c r="V57" s="48"/>
    </row>
    <row r="58" spans="4:22" ht="22.2" thickBot="1">
      <c r="D58" s="622" t="s">
        <v>2830</v>
      </c>
      <c r="E58" s="170" t="s">
        <v>2818</v>
      </c>
      <c r="F58" s="162">
        <v>74.400000000000006</v>
      </c>
      <c r="G58" s="162">
        <v>74.400000000000006</v>
      </c>
      <c r="H58" s="162">
        <v>74.400000000000006</v>
      </c>
      <c r="I58" s="162">
        <v>74.400000000000006</v>
      </c>
      <c r="J58" s="162">
        <v>64.099999999999994</v>
      </c>
      <c r="K58" s="162">
        <v>64.099999999999994</v>
      </c>
      <c r="L58" s="162">
        <v>64.099999999999994</v>
      </c>
      <c r="M58" s="162">
        <v>64.099999999999994</v>
      </c>
      <c r="N58" s="48"/>
      <c r="O58" s="48"/>
      <c r="P58" s="48"/>
      <c r="Q58" s="48"/>
      <c r="R58" s="48"/>
      <c r="S58" s="48"/>
      <c r="T58" s="48"/>
      <c r="U58" s="48"/>
      <c r="V58" s="48">
        <f>AVERAGE(F58:M58)</f>
        <v>69.250000000000014</v>
      </c>
    </row>
    <row r="59" spans="4:22" ht="22.2" thickBot="1">
      <c r="D59" s="515"/>
      <c r="E59" s="170" t="s">
        <v>2819</v>
      </c>
      <c r="F59" s="162">
        <v>1.9</v>
      </c>
      <c r="G59" s="162">
        <v>51.6</v>
      </c>
      <c r="H59" s="162">
        <v>76.2</v>
      </c>
      <c r="I59" s="162">
        <v>80.099999999999994</v>
      </c>
      <c r="J59" s="162">
        <v>67.2</v>
      </c>
      <c r="K59" s="162">
        <v>68.8</v>
      </c>
      <c r="L59" s="162">
        <v>68.8</v>
      </c>
      <c r="M59" s="162">
        <v>82.6</v>
      </c>
      <c r="N59" s="48"/>
      <c r="O59" s="48"/>
      <c r="P59" s="48"/>
      <c r="Q59" s="48"/>
      <c r="R59" s="48"/>
      <c r="S59" s="48"/>
      <c r="T59" s="48"/>
      <c r="U59" s="48"/>
      <c r="V59" s="48">
        <f>AVERAGE(F59:M59)</f>
        <v>62.150000000000006</v>
      </c>
    </row>
    <row r="60" spans="4:22" ht="42.6" thickBot="1">
      <c r="D60" s="515"/>
      <c r="E60" s="170" t="s">
        <v>2820</v>
      </c>
      <c r="F60" s="162" t="s">
        <v>2831</v>
      </c>
      <c r="G60" s="162" t="s">
        <v>2832</v>
      </c>
      <c r="H60" s="162" t="s">
        <v>2833</v>
      </c>
      <c r="I60" s="162" t="s">
        <v>2834</v>
      </c>
      <c r="J60" s="162" t="s">
        <v>2835</v>
      </c>
      <c r="K60" s="162" t="s">
        <v>2836</v>
      </c>
      <c r="L60" s="162" t="s">
        <v>2837</v>
      </c>
      <c r="M60" s="162" t="s">
        <v>2838</v>
      </c>
      <c r="N60" s="48">
        <v>2.2999999999999998</v>
      </c>
      <c r="O60" s="48">
        <v>18.2</v>
      </c>
      <c r="P60" s="48">
        <v>27.9</v>
      </c>
      <c r="Q60" s="48">
        <v>30.9</v>
      </c>
      <c r="R60" s="48">
        <v>19.600000000000001</v>
      </c>
      <c r="S60" s="48">
        <v>21.4</v>
      </c>
      <c r="T60" s="48">
        <v>18.8</v>
      </c>
      <c r="U60" s="48">
        <v>17.2</v>
      </c>
      <c r="V60" s="48">
        <f>AVERAGE(N60:U60)</f>
        <v>19.537500000000001</v>
      </c>
    </row>
    <row r="61" spans="4:22" ht="22.2" thickBot="1">
      <c r="D61" s="515"/>
      <c r="E61" s="170" t="s">
        <v>2828</v>
      </c>
      <c r="F61" s="162">
        <v>92.6</v>
      </c>
      <c r="G61" s="162">
        <v>77.8</v>
      </c>
      <c r="H61" s="162">
        <v>90.6</v>
      </c>
      <c r="I61" s="162">
        <v>94.6</v>
      </c>
      <c r="J61" s="162">
        <v>89.2</v>
      </c>
      <c r="K61" s="162">
        <v>95</v>
      </c>
      <c r="L61" s="162">
        <v>84.1</v>
      </c>
      <c r="M61" s="162">
        <v>66.8</v>
      </c>
      <c r="N61" s="48"/>
      <c r="O61" s="48"/>
      <c r="P61" s="48"/>
      <c r="Q61" s="48"/>
      <c r="R61" s="48"/>
      <c r="S61" s="48"/>
      <c r="T61" s="48"/>
      <c r="U61" s="48"/>
      <c r="V61" s="48"/>
    </row>
    <row r="62" spans="4:22" ht="22.2" thickBot="1">
      <c r="D62" s="621"/>
      <c r="E62" s="170" t="s">
        <v>2829</v>
      </c>
      <c r="F62" s="163">
        <v>10657</v>
      </c>
      <c r="G62" s="163">
        <v>10434</v>
      </c>
      <c r="H62" s="163">
        <v>10872</v>
      </c>
      <c r="I62" s="163">
        <v>11435</v>
      </c>
      <c r="J62" s="163">
        <v>10038</v>
      </c>
      <c r="K62" s="163">
        <v>10712</v>
      </c>
      <c r="L62" s="163">
        <v>9410</v>
      </c>
      <c r="M62" s="163">
        <v>7164</v>
      </c>
      <c r="N62" s="48"/>
      <c r="O62" s="48"/>
      <c r="P62" s="48"/>
      <c r="Q62" s="48"/>
      <c r="R62" s="48"/>
      <c r="S62" s="48"/>
      <c r="T62" s="48"/>
      <c r="U62" s="48"/>
      <c r="V62" s="48"/>
    </row>
    <row r="63" spans="4:22" ht="22.2" thickBot="1">
      <c r="D63" s="622" t="s">
        <v>2839</v>
      </c>
      <c r="E63" s="170" t="s">
        <v>2818</v>
      </c>
      <c r="F63" s="162">
        <v>76.8</v>
      </c>
      <c r="G63" s="162">
        <v>76.8</v>
      </c>
      <c r="H63" s="162">
        <v>76.8</v>
      </c>
      <c r="I63" s="162">
        <v>76.8</v>
      </c>
      <c r="J63" s="162">
        <v>77.8</v>
      </c>
      <c r="K63" s="162">
        <v>77.8</v>
      </c>
      <c r="L63" s="162">
        <v>77.8</v>
      </c>
      <c r="M63" s="162">
        <v>77.8</v>
      </c>
      <c r="N63" s="48"/>
      <c r="O63" s="48"/>
      <c r="P63" s="48"/>
      <c r="Q63" s="48"/>
      <c r="R63" s="48"/>
      <c r="S63" s="48"/>
      <c r="T63" s="48"/>
      <c r="U63" s="48"/>
      <c r="V63" s="48">
        <f>AVERAGE(F63:M63)</f>
        <v>77.3</v>
      </c>
    </row>
    <row r="64" spans="4:22" ht="22.2" thickBot="1">
      <c r="D64" s="515"/>
      <c r="E64" s="170" t="s">
        <v>2819</v>
      </c>
      <c r="F64" s="162">
        <v>2.67</v>
      </c>
      <c r="G64" s="162">
        <v>31.7</v>
      </c>
      <c r="H64" s="162">
        <v>60.7</v>
      </c>
      <c r="I64" s="162">
        <v>79.5</v>
      </c>
      <c r="J64" s="162">
        <v>55.2</v>
      </c>
      <c r="K64" s="162">
        <v>77</v>
      </c>
      <c r="L64" s="162">
        <v>77.099999999999994</v>
      </c>
      <c r="M64" s="162">
        <v>77.900000000000006</v>
      </c>
      <c r="N64" s="48"/>
      <c r="O64" s="48"/>
      <c r="P64" s="48"/>
      <c r="Q64" s="48"/>
      <c r="R64" s="48"/>
      <c r="S64" s="48"/>
      <c r="T64" s="48"/>
      <c r="U64" s="48"/>
      <c r="V64" s="48">
        <f>AVERAGE(F64:M64)</f>
        <v>57.721249999999998</v>
      </c>
    </row>
    <row r="65" spans="3:22" ht="42.6" thickBot="1">
      <c r="D65" s="515"/>
      <c r="E65" s="170" t="s">
        <v>2820</v>
      </c>
      <c r="F65" s="162" t="s">
        <v>2840</v>
      </c>
      <c r="G65" s="162" t="s">
        <v>2841</v>
      </c>
      <c r="H65" s="162" t="s">
        <v>2842</v>
      </c>
      <c r="I65" s="162" t="s">
        <v>2843</v>
      </c>
      <c r="J65" s="162" t="s">
        <v>2844</v>
      </c>
      <c r="K65" s="162" t="s">
        <v>2845</v>
      </c>
      <c r="L65" s="162" t="s">
        <v>2846</v>
      </c>
      <c r="M65" s="162" t="s">
        <v>2846</v>
      </c>
      <c r="N65" s="48">
        <v>14.6</v>
      </c>
      <c r="O65" s="48">
        <v>23.3</v>
      </c>
      <c r="P65" s="48">
        <v>27.5</v>
      </c>
      <c r="Q65" s="48">
        <v>21.8</v>
      </c>
      <c r="R65" s="48">
        <v>21.8</v>
      </c>
      <c r="S65" s="48" t="s">
        <v>2847</v>
      </c>
      <c r="T65" s="48">
        <v>27.8</v>
      </c>
      <c r="U65" s="48">
        <v>27.8</v>
      </c>
      <c r="V65" s="48">
        <f>AVERAGE(N65:U65)</f>
        <v>23.514285714285716</v>
      </c>
    </row>
    <row r="66" spans="3:22" ht="22.2" thickBot="1">
      <c r="D66" s="515"/>
      <c r="E66" s="170" t="s">
        <v>2828</v>
      </c>
      <c r="F66" s="162">
        <v>23.1</v>
      </c>
      <c r="G66" s="162">
        <v>97.6</v>
      </c>
      <c r="H66" s="162">
        <v>95.5</v>
      </c>
      <c r="I66" s="162">
        <v>90.1</v>
      </c>
      <c r="J66" s="162">
        <v>99.4</v>
      </c>
      <c r="K66" s="162">
        <v>88</v>
      </c>
      <c r="L66" s="162">
        <v>90</v>
      </c>
      <c r="M66" s="162">
        <v>89.3</v>
      </c>
    </row>
    <row r="67" spans="3:22" ht="22.2" thickBot="1">
      <c r="D67" s="623"/>
      <c r="E67" s="173" t="s">
        <v>2829</v>
      </c>
      <c r="F67" s="166">
        <v>2154</v>
      </c>
      <c r="G67" s="167">
        <v>13236</v>
      </c>
      <c r="H67" s="167">
        <v>11002</v>
      </c>
      <c r="I67" s="167">
        <v>9943</v>
      </c>
      <c r="J67" s="167">
        <v>11191</v>
      </c>
      <c r="K67" s="167">
        <v>9876</v>
      </c>
      <c r="L67" s="167">
        <v>10228</v>
      </c>
      <c r="M67" s="167">
        <v>10127</v>
      </c>
    </row>
    <row r="68" spans="3:22" ht="17.399999999999999">
      <c r="D68" s="169" t="s">
        <v>2848</v>
      </c>
    </row>
    <row r="69" spans="3:22">
      <c r="D69" s="48"/>
      <c r="E69" s="48"/>
      <c r="F69" s="48"/>
      <c r="G69" s="48"/>
      <c r="H69" s="48" t="s">
        <v>510</v>
      </c>
    </row>
    <row r="70" spans="3:22">
      <c r="D70" s="48" t="s">
        <v>2849</v>
      </c>
      <c r="E70" s="48">
        <f>V53*V54%</f>
        <v>54.00998125000001</v>
      </c>
      <c r="F70" s="48">
        <f>V58*V59%</f>
        <v>43.038875000000012</v>
      </c>
      <c r="G70" s="48">
        <f>V63*V64%</f>
        <v>44.618526250000002</v>
      </c>
      <c r="H70" s="48">
        <f>AVERAGE(E70:G70)</f>
        <v>47.222460833333344</v>
      </c>
    </row>
    <row r="71" spans="3:22">
      <c r="D71" s="48" t="s">
        <v>2760</v>
      </c>
      <c r="E71" s="48">
        <v>25.224999999999998</v>
      </c>
      <c r="F71" s="48">
        <v>19.537500000000001</v>
      </c>
      <c r="G71" s="48">
        <v>23.514285714285716</v>
      </c>
      <c r="H71" s="48">
        <f>AVERAGE(E71:G71)</f>
        <v>22.758928571428573</v>
      </c>
    </row>
    <row r="72" spans="3:22">
      <c r="D72" s="48" t="s">
        <v>2850</v>
      </c>
      <c r="E72" s="48"/>
      <c r="F72" s="48"/>
      <c r="G72" s="48"/>
      <c r="H72" s="48">
        <f>H71/H70</f>
        <v>0.48195134624080249</v>
      </c>
    </row>
    <row r="73" spans="3:22">
      <c r="D73" s="48" t="s">
        <v>2810</v>
      </c>
      <c r="E73" s="48"/>
      <c r="F73" s="48"/>
      <c r="G73" s="48"/>
      <c r="H73" s="48">
        <v>0.2165</v>
      </c>
    </row>
    <row r="74" spans="3:22">
      <c r="D74" s="48" t="s">
        <v>2811</v>
      </c>
      <c r="E74" s="48"/>
      <c r="F74" s="48"/>
      <c r="G74" s="48"/>
      <c r="H74" s="48">
        <f>H72*H73</f>
        <v>0.10434246646113374</v>
      </c>
    </row>
    <row r="77" spans="3:22">
      <c r="C77" t="s">
        <v>420</v>
      </c>
      <c r="D77" t="s">
        <v>2851</v>
      </c>
    </row>
    <row r="78" spans="3:22">
      <c r="D78" t="s">
        <v>2852</v>
      </c>
    </row>
    <row r="79" spans="3:22">
      <c r="D79" t="s">
        <v>2853</v>
      </c>
    </row>
    <row r="80" spans="3:22">
      <c r="D80" s="48" t="s">
        <v>2269</v>
      </c>
      <c r="E80" s="48">
        <v>14.4</v>
      </c>
    </row>
    <row r="81" spans="3:5">
      <c r="D81" s="48" t="s">
        <v>2854</v>
      </c>
      <c r="E81" s="48">
        <v>100</v>
      </c>
    </row>
    <row r="82" spans="3:5">
      <c r="D82" s="48" t="s">
        <v>2855</v>
      </c>
      <c r="E82" s="48">
        <f>E80/E81</f>
        <v>0.14400000000000002</v>
      </c>
    </row>
    <row r="84" spans="3:5">
      <c r="D84" s="48" t="s">
        <v>2856</v>
      </c>
      <c r="E84" s="60">
        <v>0.872</v>
      </c>
    </row>
    <row r="85" spans="3:5">
      <c r="D85" s="48" t="s">
        <v>2857</v>
      </c>
      <c r="E85" s="48">
        <f>E82/E84</f>
        <v>0.16513761467889909</v>
      </c>
    </row>
    <row r="87" spans="3:5">
      <c r="C87" t="s">
        <v>425</v>
      </c>
      <c r="D87" t="s">
        <v>2858</v>
      </c>
    </row>
    <row r="88" spans="3:5">
      <c r="D88" t="s">
        <v>2859</v>
      </c>
    </row>
    <row r="100" spans="2:10">
      <c r="F100">
        <v>55.59</v>
      </c>
      <c r="G100">
        <v>73.239999999999995</v>
      </c>
      <c r="H100">
        <v>87.08</v>
      </c>
      <c r="I100">
        <v>90.16</v>
      </c>
      <c r="J100">
        <v>77.81</v>
      </c>
    </row>
    <row r="105" spans="2:10">
      <c r="D105" s="48" t="s">
        <v>2860</v>
      </c>
      <c r="E105" s="48">
        <f>AVERAGE(F100:J100)</f>
        <v>76.775999999999982</v>
      </c>
    </row>
    <row r="106" spans="2:10">
      <c r="D106" s="48" t="s">
        <v>2857</v>
      </c>
      <c r="E106" s="48">
        <v>0.16513761467889909</v>
      </c>
    </row>
    <row r="107" spans="2:10">
      <c r="D107" s="48" t="s">
        <v>2861</v>
      </c>
      <c r="E107" s="48">
        <f>E106*E105%</f>
        <v>0.12678605504587154</v>
      </c>
    </row>
    <row r="110" spans="2:10">
      <c r="B110" t="s">
        <v>2862</v>
      </c>
      <c r="C110" t="s">
        <v>638</v>
      </c>
      <c r="D110" s="48" t="s">
        <v>8</v>
      </c>
      <c r="E110" s="48"/>
    </row>
    <row r="111" spans="2:10">
      <c r="D111" s="48">
        <v>180</v>
      </c>
      <c r="E111" s="48">
        <v>46</v>
      </c>
    </row>
    <row r="112" spans="2:10">
      <c r="D112" s="48" t="s">
        <v>2863</v>
      </c>
      <c r="E112" s="48">
        <v>0.51143000000000005</v>
      </c>
    </row>
    <row r="113" spans="1:5">
      <c r="D113" s="48" t="s">
        <v>2864</v>
      </c>
      <c r="E113" s="51">
        <v>20.701688693611111</v>
      </c>
    </row>
    <row r="114" spans="1:5">
      <c r="D114" s="48" t="s">
        <v>2865</v>
      </c>
      <c r="E114" s="48">
        <f>E112*E113%</f>
        <v>0.10587464648573532</v>
      </c>
    </row>
    <row r="117" spans="1:5">
      <c r="D117" t="s">
        <v>2866</v>
      </c>
    </row>
    <row r="118" spans="1:5">
      <c r="A118" t="s">
        <v>636</v>
      </c>
      <c r="B118" t="s">
        <v>2867</v>
      </c>
      <c r="C118" t="s">
        <v>638</v>
      </c>
      <c r="D118" t="s">
        <v>639</v>
      </c>
    </row>
    <row r="119" spans="1:5">
      <c r="D119" t="s">
        <v>640</v>
      </c>
    </row>
    <row r="121" spans="1:5">
      <c r="D121" s="48" t="s">
        <v>641</v>
      </c>
      <c r="E121" s="48">
        <v>0.72719999999999996</v>
      </c>
    </row>
    <row r="122" spans="1:5">
      <c r="D122" s="48" t="s">
        <v>642</v>
      </c>
      <c r="E122" s="60">
        <v>2.7706205454545501E-3</v>
      </c>
    </row>
    <row r="123" spans="1:5">
      <c r="D123" s="48" t="s">
        <v>643</v>
      </c>
      <c r="E123" s="48">
        <f>E121*E122</f>
        <v>2.0147952606545489E-3</v>
      </c>
    </row>
    <row r="126" spans="1:5">
      <c r="A126" t="s">
        <v>636</v>
      </c>
      <c r="B126" t="s">
        <v>2862</v>
      </c>
      <c r="C126" t="s">
        <v>638</v>
      </c>
      <c r="D126" t="s">
        <v>639</v>
      </c>
    </row>
    <row r="127" spans="1:5">
      <c r="D127" t="s">
        <v>640</v>
      </c>
    </row>
    <row r="129" spans="1:5">
      <c r="D129" s="48" t="s">
        <v>641</v>
      </c>
      <c r="E129" s="48">
        <v>0.72719999999999996</v>
      </c>
    </row>
    <row r="130" spans="1:5">
      <c r="D130" s="48" t="s">
        <v>642</v>
      </c>
      <c r="E130" s="60">
        <v>3.9983673749999999E-3</v>
      </c>
    </row>
    <row r="131" spans="1:5">
      <c r="D131" s="48" t="s">
        <v>643</v>
      </c>
      <c r="E131" s="48">
        <f>E129*E130</f>
        <v>2.9076127550999998E-3</v>
      </c>
    </row>
    <row r="134" spans="1:5">
      <c r="A134" t="s">
        <v>679</v>
      </c>
      <c r="B134" t="s">
        <v>2867</v>
      </c>
      <c r="C134" t="s">
        <v>638</v>
      </c>
      <c r="D134" t="s">
        <v>680</v>
      </c>
    </row>
    <row r="135" spans="1:5">
      <c r="D135" s="184" t="s">
        <v>681</v>
      </c>
    </row>
    <row r="136" spans="1:5">
      <c r="D136">
        <v>180</v>
      </c>
      <c r="E136">
        <v>126</v>
      </c>
    </row>
    <row r="137" spans="1:5">
      <c r="D137" t="s">
        <v>809</v>
      </c>
      <c r="E137">
        <f>1/180*126</f>
        <v>0.70000000000000007</v>
      </c>
    </row>
    <row r="138" spans="1:5">
      <c r="D138" s="48" t="s">
        <v>2868</v>
      </c>
      <c r="E138" s="48">
        <v>21.371737404912281</v>
      </c>
    </row>
    <row r="139" spans="1:5">
      <c r="D139" s="48" t="s">
        <v>2869</v>
      </c>
      <c r="E139" s="48">
        <f>E137*E138%</f>
        <v>0.14960216183438599</v>
      </c>
    </row>
    <row r="142" spans="1:5">
      <c r="B142" t="s">
        <v>2862</v>
      </c>
      <c r="C142" t="s">
        <v>638</v>
      </c>
      <c r="D142" t="s">
        <v>680</v>
      </c>
    </row>
    <row r="143" spans="1:5">
      <c r="D143" s="184" t="s">
        <v>681</v>
      </c>
    </row>
    <row r="144" spans="1:5">
      <c r="D144">
        <v>180</v>
      </c>
      <c r="E144">
        <v>126</v>
      </c>
    </row>
    <row r="145" spans="1:5">
      <c r="D145" t="s">
        <v>809</v>
      </c>
      <c r="E145">
        <f>1/180*126</f>
        <v>0.70000000000000007</v>
      </c>
    </row>
    <row r="146" spans="1:5">
      <c r="D146" s="48" t="s">
        <v>2868</v>
      </c>
      <c r="E146" s="48">
        <v>20.301851956111111</v>
      </c>
    </row>
    <row r="147" spans="1:5">
      <c r="D147" s="48" t="s">
        <v>2869</v>
      </c>
      <c r="E147" s="48">
        <f>E145*E146%</f>
        <v>0.14211296369277779</v>
      </c>
    </row>
    <row r="149" spans="1:5">
      <c r="A149" t="s">
        <v>823</v>
      </c>
      <c r="B149" t="s">
        <v>2867</v>
      </c>
      <c r="C149" t="s">
        <v>638</v>
      </c>
      <c r="D149" t="s">
        <v>824</v>
      </c>
    </row>
    <row r="150" spans="1:5">
      <c r="D150" t="s">
        <v>825</v>
      </c>
    </row>
    <row r="151" spans="1:5">
      <c r="D151" t="s">
        <v>836</v>
      </c>
      <c r="E151">
        <v>0.86699999999999999</v>
      </c>
    </row>
    <row r="152" spans="1:5">
      <c r="D152" s="48" t="s">
        <v>2870</v>
      </c>
      <c r="E152" s="51">
        <v>21.371737404912281</v>
      </c>
    </row>
    <row r="153" spans="1:5">
      <c r="D153" s="48" t="s">
        <v>2871</v>
      </c>
      <c r="E153" s="48">
        <f>E151*E152%</f>
        <v>0.18529296330058947</v>
      </c>
    </row>
    <row r="156" spans="1:5">
      <c r="A156" t="s">
        <v>823</v>
      </c>
      <c r="B156" t="s">
        <v>2862</v>
      </c>
      <c r="C156" t="s">
        <v>638</v>
      </c>
      <c r="D156" t="s">
        <v>824</v>
      </c>
    </row>
    <row r="157" spans="1:5">
      <c r="D157" t="s">
        <v>825</v>
      </c>
    </row>
    <row r="158" spans="1:5">
      <c r="D158" t="s">
        <v>836</v>
      </c>
      <c r="E158">
        <v>0.86699999999999999</v>
      </c>
    </row>
    <row r="159" spans="1:5">
      <c r="D159" s="48" t="s">
        <v>2872</v>
      </c>
      <c r="E159" s="51">
        <v>20.301851956111111</v>
      </c>
    </row>
    <row r="160" spans="1:5">
      <c r="D160" s="48" t="s">
        <v>2873</v>
      </c>
      <c r="E160" s="48">
        <f>E158*E159%</f>
        <v>0.17601705645948332</v>
      </c>
    </row>
    <row r="165" spans="1:5">
      <c r="A165" t="s">
        <v>843</v>
      </c>
      <c r="B165" t="s">
        <v>2867</v>
      </c>
      <c r="C165" t="s">
        <v>638</v>
      </c>
      <c r="D165" t="s">
        <v>2874</v>
      </c>
      <c r="E165" s="142">
        <v>18.831211089122807</v>
      </c>
    </row>
    <row r="166" spans="1:5">
      <c r="D166" t="s">
        <v>2875</v>
      </c>
      <c r="E166">
        <f>E165%*17%</f>
        <v>3.2013058851508777E-2</v>
      </c>
    </row>
    <row r="169" spans="1:5">
      <c r="B169" t="s">
        <v>2862</v>
      </c>
      <c r="C169" t="s">
        <v>638</v>
      </c>
      <c r="D169" t="s">
        <v>2876</v>
      </c>
      <c r="E169" s="142">
        <v>20.301851956111111</v>
      </c>
    </row>
    <row r="170" spans="1:5">
      <c r="D170" t="s">
        <v>2877</v>
      </c>
      <c r="E170">
        <f>E169%*17%</f>
        <v>3.451314832538889E-2</v>
      </c>
    </row>
    <row r="172" spans="1:5">
      <c r="A172" t="s">
        <v>876</v>
      </c>
      <c r="B172" t="s">
        <v>2867</v>
      </c>
      <c r="C172" t="s">
        <v>638</v>
      </c>
      <c r="D172" t="s">
        <v>883</v>
      </c>
      <c r="E172">
        <v>0.66714285714285715</v>
      </c>
    </row>
    <row r="173" spans="1:5">
      <c r="D173" s="48" t="s">
        <v>2878</v>
      </c>
      <c r="E173" s="48">
        <v>21.648799459457734</v>
      </c>
    </row>
    <row r="174" spans="1:5">
      <c r="D174" s="48" t="s">
        <v>2879</v>
      </c>
      <c r="E174" s="48">
        <f>E172*E173%</f>
        <v>0.14442841925095376</v>
      </c>
    </row>
    <row r="176" spans="1:5">
      <c r="B176" t="s">
        <v>2862</v>
      </c>
      <c r="C176" t="s">
        <v>638</v>
      </c>
      <c r="D176" t="s">
        <v>883</v>
      </c>
      <c r="E176">
        <v>0.66714285714285715</v>
      </c>
    </row>
    <row r="177" spans="1:5">
      <c r="D177" s="48" t="s">
        <v>2880</v>
      </c>
      <c r="E177" s="48">
        <v>20.701688693611111</v>
      </c>
    </row>
    <row r="178" spans="1:5">
      <c r="D178" s="48" t="s">
        <v>2881</v>
      </c>
      <c r="E178" s="48">
        <f>E176*E177%</f>
        <v>0.13810983742737698</v>
      </c>
    </row>
    <row r="180" spans="1:5">
      <c r="A180" t="s">
        <v>892</v>
      </c>
      <c r="B180" t="s">
        <v>2867</v>
      </c>
      <c r="C180" t="s">
        <v>638</v>
      </c>
      <c r="D180" t="s">
        <v>883</v>
      </c>
      <c r="E180">
        <v>0.23649999999999999</v>
      </c>
    </row>
    <row r="181" spans="1:5">
      <c r="D181" t="s">
        <v>2882</v>
      </c>
      <c r="E181" s="142">
        <v>18.831211089122807</v>
      </c>
    </row>
    <row r="182" spans="1:5">
      <c r="D182" s="48" t="s">
        <v>2883</v>
      </c>
      <c r="E182" s="48">
        <f>E181%*E180</f>
        <v>4.4535814225775433E-2</v>
      </c>
    </row>
    <row r="184" spans="1:5">
      <c r="B184" t="s">
        <v>2862</v>
      </c>
      <c r="C184" t="s">
        <v>638</v>
      </c>
      <c r="D184" t="s">
        <v>883</v>
      </c>
      <c r="E184">
        <v>0.23649999999999999</v>
      </c>
    </row>
    <row r="185" spans="1:5">
      <c r="D185" t="s">
        <v>2876</v>
      </c>
      <c r="E185" s="142">
        <v>20.301851956111111</v>
      </c>
    </row>
    <row r="186" spans="1:5">
      <c r="D186" s="48" t="s">
        <v>2884</v>
      </c>
      <c r="E186" s="48">
        <f>E185%*E184</f>
        <v>4.8013879876202772E-2</v>
      </c>
    </row>
    <row r="189" spans="1:5">
      <c r="A189" t="s">
        <v>931</v>
      </c>
      <c r="B189" t="s">
        <v>2867</v>
      </c>
      <c r="C189" t="s">
        <v>638</v>
      </c>
      <c r="D189" t="s">
        <v>940</v>
      </c>
      <c r="E189">
        <v>0.52103333333333335</v>
      </c>
    </row>
    <row r="190" spans="1:5">
      <c r="D190" t="s">
        <v>2783</v>
      </c>
      <c r="E190">
        <v>21.371737404912281</v>
      </c>
    </row>
    <row r="191" spans="1:5">
      <c r="D191" s="48" t="s">
        <v>2885</v>
      </c>
      <c r="E191" s="48">
        <f>E189*E190%</f>
        <v>0.11135387579206128</v>
      </c>
    </row>
    <row r="194" spans="1:5">
      <c r="B194" t="s">
        <v>2862</v>
      </c>
      <c r="C194" t="s">
        <v>638</v>
      </c>
      <c r="D194" t="s">
        <v>940</v>
      </c>
      <c r="E194">
        <v>0.52103333333333335</v>
      </c>
    </row>
    <row r="195" spans="1:5">
      <c r="D195" t="s">
        <v>2783</v>
      </c>
      <c r="E195">
        <v>20.301851956111111</v>
      </c>
    </row>
    <row r="196" spans="1:5">
      <c r="D196" s="48" t="s">
        <v>2886</v>
      </c>
      <c r="E196" s="48">
        <f>E194*E195%</f>
        <v>0.10577941597532427</v>
      </c>
    </row>
    <row r="199" spans="1:5">
      <c r="A199" t="s">
        <v>1731</v>
      </c>
      <c r="B199" t="s">
        <v>2867</v>
      </c>
      <c r="C199" t="s">
        <v>197</v>
      </c>
      <c r="D199" t="s">
        <v>2887</v>
      </c>
    </row>
    <row r="200" spans="1:5">
      <c r="D200" t="s">
        <v>2888</v>
      </c>
    </row>
    <row r="201" spans="1:5">
      <c r="D201" t="s">
        <v>2889</v>
      </c>
    </row>
    <row r="202" spans="1:5">
      <c r="D202" t="s">
        <v>2890</v>
      </c>
    </row>
    <row r="203" spans="1:5">
      <c r="D203" s="48" t="s">
        <v>2891</v>
      </c>
      <c r="E203" s="48">
        <v>1.67</v>
      </c>
    </row>
    <row r="204" spans="1:5">
      <c r="D204" s="48" t="s">
        <v>2892</v>
      </c>
      <c r="E204" s="48">
        <f>E203*0.4</f>
        <v>0.66800000000000004</v>
      </c>
    </row>
    <row r="205" spans="1:5">
      <c r="D205" s="48" t="s">
        <v>2893</v>
      </c>
      <c r="E205" s="48">
        <f>E204*90/180</f>
        <v>0.33400000000000002</v>
      </c>
    </row>
    <row r="206" spans="1:5">
      <c r="D206" s="48" t="s">
        <v>2894</v>
      </c>
      <c r="E206" s="48">
        <v>18.831211089122807</v>
      </c>
    </row>
    <row r="207" spans="1:5">
      <c r="D207" s="48" t="s">
        <v>2895</v>
      </c>
      <c r="E207" s="48">
        <f>E205*E206%</f>
        <v>6.2896245037670176E-2</v>
      </c>
    </row>
    <row r="210" spans="3:11">
      <c r="C210" t="s">
        <v>226</v>
      </c>
      <c r="D210" t="s">
        <v>2896</v>
      </c>
    </row>
    <row r="211" spans="3:11">
      <c r="D211" t="s">
        <v>2897</v>
      </c>
    </row>
    <row r="212" spans="3:11">
      <c r="D212" t="s">
        <v>2898</v>
      </c>
    </row>
    <row r="213" spans="3:11">
      <c r="D213" t="s">
        <v>2024</v>
      </c>
      <c r="E213" t="s">
        <v>2899</v>
      </c>
      <c r="F213" t="s">
        <v>400</v>
      </c>
      <c r="G213" t="s">
        <v>230</v>
      </c>
      <c r="H213" t="s">
        <v>1773</v>
      </c>
      <c r="K213" t="s">
        <v>2900</v>
      </c>
    </row>
    <row r="214" spans="3:11">
      <c r="D214" t="s">
        <v>14</v>
      </c>
      <c r="E214" t="s">
        <v>14</v>
      </c>
      <c r="F214" t="s">
        <v>14</v>
      </c>
      <c r="G214" t="s">
        <v>14</v>
      </c>
      <c r="H214" t="s">
        <v>2901</v>
      </c>
      <c r="I214" t="s">
        <v>2902</v>
      </c>
      <c r="J214" t="s">
        <v>2903</v>
      </c>
      <c r="K214" t="s">
        <v>14</v>
      </c>
    </row>
    <row r="215" spans="3:11">
      <c r="D215" t="s">
        <v>2904</v>
      </c>
      <c r="E215" t="s">
        <v>2905</v>
      </c>
      <c r="F215" t="s">
        <v>2906</v>
      </c>
      <c r="G215" t="s">
        <v>2907</v>
      </c>
      <c r="H215" t="s">
        <v>2908</v>
      </c>
      <c r="I215">
        <v>1.83</v>
      </c>
      <c r="J215">
        <v>0.64</v>
      </c>
      <c r="K215" t="s">
        <v>790</v>
      </c>
    </row>
    <row r="216" spans="3:11">
      <c r="D216" t="s">
        <v>2909</v>
      </c>
      <c r="E216" t="s">
        <v>2910</v>
      </c>
      <c r="F216" t="s">
        <v>2911</v>
      </c>
      <c r="G216" t="s">
        <v>2907</v>
      </c>
      <c r="H216" t="s">
        <v>2912</v>
      </c>
      <c r="I216">
        <v>1.89</v>
      </c>
      <c r="J216">
        <v>0.76</v>
      </c>
      <c r="K216" t="s">
        <v>740</v>
      </c>
    </row>
    <row r="217" spans="3:11">
      <c r="D217" t="s">
        <v>2913</v>
      </c>
      <c r="E217" t="s">
        <v>2914</v>
      </c>
      <c r="F217" t="s">
        <v>2915</v>
      </c>
      <c r="G217" t="s">
        <v>2907</v>
      </c>
      <c r="H217" t="s">
        <v>2916</v>
      </c>
      <c r="I217">
        <v>0.2</v>
      </c>
      <c r="J217">
        <v>0.24</v>
      </c>
      <c r="K217" t="s">
        <v>2917</v>
      </c>
    </row>
    <row r="218" spans="3:11">
      <c r="D218" t="s">
        <v>2918</v>
      </c>
      <c r="E218" t="s">
        <v>2919</v>
      </c>
      <c r="F218" t="s">
        <v>2920</v>
      </c>
      <c r="G218" t="s">
        <v>2921</v>
      </c>
      <c r="H218" t="s">
        <v>2922</v>
      </c>
      <c r="I218" t="s">
        <v>2923</v>
      </c>
      <c r="J218">
        <v>0.76</v>
      </c>
      <c r="K218" t="s">
        <v>2924</v>
      </c>
    </row>
    <row r="219" spans="3:11">
      <c r="D219" t="s">
        <v>2925</v>
      </c>
      <c r="E219" t="s">
        <v>2926</v>
      </c>
      <c r="F219" t="s">
        <v>2927</v>
      </c>
      <c r="G219" t="s">
        <v>2907</v>
      </c>
      <c r="H219" t="s">
        <v>2928</v>
      </c>
      <c r="I219">
        <v>1.35</v>
      </c>
      <c r="J219">
        <v>0.54</v>
      </c>
      <c r="K219" t="s">
        <v>725</v>
      </c>
    </row>
    <row r="220" spans="3:11">
      <c r="D220" t="s">
        <v>703</v>
      </c>
      <c r="E220" t="s">
        <v>2929</v>
      </c>
      <c r="F220" t="s">
        <v>2930</v>
      </c>
      <c r="G220" t="s">
        <v>2907</v>
      </c>
      <c r="H220" t="s">
        <v>2931</v>
      </c>
      <c r="I220">
        <v>0.28000000000000003</v>
      </c>
      <c r="J220">
        <v>0.89</v>
      </c>
      <c r="K220" t="s">
        <v>775</v>
      </c>
    </row>
    <row r="221" spans="3:11">
      <c r="D221" t="s">
        <v>2932</v>
      </c>
      <c r="E221" t="s">
        <v>2933</v>
      </c>
      <c r="F221" t="s">
        <v>2934</v>
      </c>
      <c r="G221" t="s">
        <v>2907</v>
      </c>
      <c r="H221" t="s">
        <v>2935</v>
      </c>
      <c r="J221">
        <v>0.74</v>
      </c>
      <c r="K221" t="s">
        <v>2936</v>
      </c>
    </row>
    <row r="222" spans="3:11">
      <c r="D222" t="s">
        <v>2937</v>
      </c>
      <c r="E222" t="s">
        <v>2914</v>
      </c>
      <c r="F222" t="s">
        <v>2938</v>
      </c>
      <c r="G222" t="s">
        <v>2907</v>
      </c>
      <c r="H222" t="s">
        <v>2939</v>
      </c>
      <c r="I222">
        <v>0.5</v>
      </c>
      <c r="J222" t="s">
        <v>2940</v>
      </c>
      <c r="K222" t="s">
        <v>2501</v>
      </c>
    </row>
    <row r="223" spans="3:11">
      <c r="D223" t="s">
        <v>2941</v>
      </c>
      <c r="E223" t="s">
        <v>2942</v>
      </c>
      <c r="F223" t="s">
        <v>2943</v>
      </c>
      <c r="G223" t="s">
        <v>2907</v>
      </c>
      <c r="H223" t="s">
        <v>2944</v>
      </c>
      <c r="I223">
        <v>3.29</v>
      </c>
      <c r="J223">
        <v>0.87</v>
      </c>
      <c r="K223" t="s">
        <v>1229</v>
      </c>
    </row>
    <row r="224" spans="3:11">
      <c r="D224" t="s">
        <v>2945</v>
      </c>
      <c r="E224" t="s">
        <v>2946</v>
      </c>
      <c r="F224" t="s">
        <v>2947</v>
      </c>
      <c r="G224" t="s">
        <v>2907</v>
      </c>
      <c r="H224" t="s">
        <v>2948</v>
      </c>
      <c r="I224">
        <v>1.1100000000000001</v>
      </c>
      <c r="J224">
        <v>0.83</v>
      </c>
      <c r="K224" t="s">
        <v>2505</v>
      </c>
    </row>
    <row r="225" spans="4:11">
      <c r="D225" t="s">
        <v>2932</v>
      </c>
      <c r="E225" t="s">
        <v>2949</v>
      </c>
      <c r="F225" t="s">
        <v>2950</v>
      </c>
      <c r="G225" t="s">
        <v>2907</v>
      </c>
      <c r="H225" t="s">
        <v>2951</v>
      </c>
      <c r="I225">
        <v>1.53</v>
      </c>
      <c r="J225">
        <v>0.73</v>
      </c>
      <c r="K225" t="s">
        <v>2508</v>
      </c>
    </row>
    <row r="226" spans="4:11">
      <c r="D226" t="s">
        <v>2925</v>
      </c>
      <c r="E226" t="s">
        <v>2952</v>
      </c>
      <c r="F226" t="s">
        <v>2953</v>
      </c>
      <c r="G226" t="s">
        <v>2907</v>
      </c>
      <c r="H226" t="s">
        <v>2954</v>
      </c>
      <c r="I226">
        <v>1.36</v>
      </c>
      <c r="J226">
        <v>54</v>
      </c>
      <c r="K226" t="s">
        <v>2511</v>
      </c>
    </row>
    <row r="227" spans="4:11">
      <c r="D227" t="s">
        <v>2955</v>
      </c>
      <c r="E227" t="s">
        <v>2956</v>
      </c>
      <c r="F227" t="s">
        <v>2957</v>
      </c>
      <c r="G227" t="s">
        <v>2958</v>
      </c>
      <c r="H227" t="s">
        <v>2959</v>
      </c>
      <c r="I227">
        <v>1.5</v>
      </c>
      <c r="J227">
        <v>1.04</v>
      </c>
      <c r="K227" t="s">
        <v>2515</v>
      </c>
    </row>
    <row r="228" spans="4:11">
      <c r="D228" t="s">
        <v>2960</v>
      </c>
      <c r="H228" t="s">
        <v>2961</v>
      </c>
      <c r="I228">
        <v>1.5</v>
      </c>
      <c r="J228">
        <v>1.01</v>
      </c>
    </row>
    <row r="229" spans="4:11">
      <c r="D229" t="s">
        <v>2909</v>
      </c>
      <c r="H229" t="s">
        <v>2962</v>
      </c>
      <c r="I229">
        <v>1.7</v>
      </c>
      <c r="J229">
        <v>0.99</v>
      </c>
    </row>
    <row r="230" spans="4:11">
      <c r="D230" t="s">
        <v>2963</v>
      </c>
      <c r="H230" t="s">
        <v>2964</v>
      </c>
      <c r="I230">
        <v>1.4</v>
      </c>
      <c r="J230">
        <v>0.99</v>
      </c>
    </row>
    <row r="231" spans="4:11">
      <c r="D231" t="s">
        <v>2965</v>
      </c>
      <c r="E231" t="s">
        <v>2966</v>
      </c>
      <c r="F231" t="s">
        <v>2967</v>
      </c>
      <c r="G231" t="s">
        <v>2907</v>
      </c>
      <c r="H231" t="s">
        <v>2968</v>
      </c>
      <c r="I231">
        <v>3.45</v>
      </c>
      <c r="J231">
        <v>0.95</v>
      </c>
      <c r="K231" t="s">
        <v>2969</v>
      </c>
    </row>
    <row r="232" spans="4:11" ht="15" thickBot="1">
      <c r="D232" t="s">
        <v>2970</v>
      </c>
      <c r="E232" t="s">
        <v>2952</v>
      </c>
      <c r="F232" t="s">
        <v>2971</v>
      </c>
      <c r="G232" t="s">
        <v>2958</v>
      </c>
      <c r="H232" t="s">
        <v>2972</v>
      </c>
      <c r="I232">
        <v>1.0900000000000001</v>
      </c>
      <c r="J232" t="s">
        <v>2973</v>
      </c>
      <c r="K232" t="s">
        <v>2974</v>
      </c>
    </row>
    <row r="233" spans="4:11">
      <c r="D233" s="245" t="s">
        <v>2975</v>
      </c>
      <c r="E233" s="246" t="s">
        <v>2976</v>
      </c>
      <c r="F233" s="246" t="s">
        <v>2977</v>
      </c>
      <c r="G233" s="246" t="s">
        <v>2907</v>
      </c>
      <c r="H233" s="246" t="s">
        <v>2978</v>
      </c>
      <c r="I233" s="246">
        <v>3.41</v>
      </c>
      <c r="J233" s="253">
        <v>0.9</v>
      </c>
      <c r="K233" s="247" t="s">
        <v>677</v>
      </c>
    </row>
    <row r="234" spans="4:11">
      <c r="D234" s="248"/>
      <c r="H234" t="s">
        <v>2979</v>
      </c>
      <c r="I234">
        <v>3.83</v>
      </c>
      <c r="J234" s="254">
        <v>0.91</v>
      </c>
      <c r="K234" s="249"/>
    </row>
    <row r="235" spans="4:11">
      <c r="D235" s="248"/>
      <c r="H235" t="s">
        <v>2980</v>
      </c>
      <c r="I235">
        <v>3.81</v>
      </c>
      <c r="J235" s="254">
        <v>0.9</v>
      </c>
      <c r="K235" s="249"/>
    </row>
    <row r="236" spans="4:11">
      <c r="D236" s="248"/>
      <c r="E236" t="s">
        <v>2981</v>
      </c>
      <c r="F236" t="s">
        <v>2982</v>
      </c>
      <c r="H236" t="s">
        <v>2983</v>
      </c>
      <c r="I236">
        <v>2.5499999999999998</v>
      </c>
      <c r="J236" s="254">
        <v>0.9</v>
      </c>
      <c r="K236" s="249"/>
    </row>
    <row r="237" spans="4:11">
      <c r="D237" s="248"/>
      <c r="H237" t="s">
        <v>2984</v>
      </c>
      <c r="I237">
        <v>2.92</v>
      </c>
      <c r="J237" s="254">
        <v>0.9</v>
      </c>
      <c r="K237" s="249"/>
    </row>
    <row r="238" spans="4:11" ht="15" thickBot="1">
      <c r="D238" s="250"/>
      <c r="E238" s="251"/>
      <c r="F238" s="251"/>
      <c r="G238" s="251"/>
      <c r="H238" s="251" t="s">
        <v>2985</v>
      </c>
      <c r="I238" s="251">
        <v>3.11</v>
      </c>
      <c r="J238" s="255">
        <v>0.85</v>
      </c>
      <c r="K238" s="252"/>
    </row>
    <row r="239" spans="4:11">
      <c r="D239" t="s">
        <v>2986</v>
      </c>
    </row>
    <row r="241" spans="4:5">
      <c r="D241" t="s">
        <v>1177</v>
      </c>
    </row>
    <row r="242" spans="4:5">
      <c r="D242" t="s">
        <v>2987</v>
      </c>
    </row>
    <row r="243" spans="4:5">
      <c r="D243" t="s">
        <v>1179</v>
      </c>
    </row>
    <row r="244" spans="4:5">
      <c r="D244" t="s">
        <v>2988</v>
      </c>
    </row>
    <row r="245" spans="4:5">
      <c r="D245" t="s">
        <v>1861</v>
      </c>
    </row>
    <row r="246" spans="4:5">
      <c r="D246" t="s">
        <v>2989</v>
      </c>
    </row>
    <row r="247" spans="4:5">
      <c r="D247" t="s">
        <v>2990</v>
      </c>
    </row>
    <row r="248" spans="4:5">
      <c r="D248" t="s">
        <v>2991</v>
      </c>
    </row>
    <row r="249" spans="4:5">
      <c r="D249" t="s">
        <v>2992</v>
      </c>
    </row>
    <row r="250" spans="4:5">
      <c r="D250" t="s">
        <v>2993</v>
      </c>
    </row>
    <row r="251" spans="4:5">
      <c r="D251" t="s">
        <v>2994</v>
      </c>
    </row>
    <row r="252" spans="4:5">
      <c r="D252" t="s">
        <v>2995</v>
      </c>
    </row>
    <row r="253" spans="4:5" ht="15" thickBot="1">
      <c r="E253" t="s">
        <v>2903</v>
      </c>
    </row>
    <row r="254" spans="4:5">
      <c r="E254" s="246">
        <v>0.9</v>
      </c>
    </row>
    <row r="255" spans="4:5">
      <c r="E255">
        <v>0.91</v>
      </c>
    </row>
    <row r="256" spans="4:5">
      <c r="E256">
        <v>0.9</v>
      </c>
    </row>
    <row r="257" spans="3:5">
      <c r="E257">
        <v>0.9</v>
      </c>
    </row>
    <row r="258" spans="3:5">
      <c r="E258">
        <v>0.9</v>
      </c>
    </row>
    <row r="259" spans="3:5" ht="15" thickBot="1">
      <c r="E259" s="251">
        <v>0.85</v>
      </c>
    </row>
    <row r="260" spans="3:5">
      <c r="D260" t="s">
        <v>510</v>
      </c>
      <c r="E260">
        <f>AVERAGE(E254:E259)</f>
        <v>0.8933333333333332</v>
      </c>
    </row>
    <row r="261" spans="3:5">
      <c r="D261" t="s">
        <v>2996</v>
      </c>
      <c r="E261">
        <v>18.831211089122807</v>
      </c>
    </row>
    <row r="262" spans="3:5">
      <c r="D262" s="48" t="s">
        <v>2895</v>
      </c>
      <c r="E262" s="48">
        <f>E261%*E260</f>
        <v>0.16822548572949705</v>
      </c>
    </row>
    <row r="265" spans="3:5">
      <c r="C265" t="s">
        <v>396</v>
      </c>
      <c r="D265" t="s">
        <v>2997</v>
      </c>
    </row>
    <row r="266" spans="3:5">
      <c r="D266" t="s">
        <v>2998</v>
      </c>
    </row>
    <row r="267" spans="3:5">
      <c r="D267" t="s">
        <v>2999</v>
      </c>
    </row>
    <row r="268" spans="3:5">
      <c r="D268" t="s">
        <v>3000</v>
      </c>
    </row>
    <row r="270" spans="3:5">
      <c r="D270" s="48" t="s">
        <v>3001</v>
      </c>
      <c r="E270" s="48">
        <f>AVERAGE(47%,73%)</f>
        <v>0.6</v>
      </c>
    </row>
    <row r="271" spans="3:5">
      <c r="D271" s="48" t="s">
        <v>3002</v>
      </c>
      <c r="E271" s="50">
        <v>0.56999999999999995</v>
      </c>
    </row>
    <row r="272" spans="3:5">
      <c r="D272" s="48" t="s">
        <v>3003</v>
      </c>
      <c r="E272" s="48">
        <f>E270*E271</f>
        <v>0.34199999999999997</v>
      </c>
    </row>
    <row r="273" spans="1:8">
      <c r="D273" s="48" t="s">
        <v>3004</v>
      </c>
      <c r="E273" s="50">
        <v>0.3</v>
      </c>
    </row>
    <row r="274" spans="1:8">
      <c r="D274" s="48" t="s">
        <v>3005</v>
      </c>
      <c r="E274" s="50">
        <f>E272*E273</f>
        <v>0.10259999999999998</v>
      </c>
    </row>
    <row r="275" spans="1:8">
      <c r="E275" s="174"/>
    </row>
    <row r="277" spans="1:8">
      <c r="B277" t="s">
        <v>2862</v>
      </c>
      <c r="C277" t="s">
        <v>638</v>
      </c>
      <c r="D277" t="s">
        <v>984</v>
      </c>
    </row>
    <row r="278" spans="1:8">
      <c r="D278" t="s">
        <v>985</v>
      </c>
      <c r="H278" t="s">
        <v>3006</v>
      </c>
    </row>
    <row r="279" spans="1:8" ht="15.6">
      <c r="D279" s="199" t="s">
        <v>986</v>
      </c>
    </row>
    <row r="280" spans="1:8">
      <c r="D280" t="s">
        <v>987</v>
      </c>
      <c r="E280">
        <v>0.76</v>
      </c>
    </row>
    <row r="281" spans="1:8">
      <c r="D281" s="48" t="s">
        <v>3007</v>
      </c>
      <c r="E281" s="48">
        <v>20.701688693611111</v>
      </c>
    </row>
    <row r="282" spans="1:8">
      <c r="D282" s="48" t="s">
        <v>3008</v>
      </c>
      <c r="E282" s="48">
        <f>E280*E281%</f>
        <v>0.15733283407144444</v>
      </c>
    </row>
    <row r="286" spans="1:8">
      <c r="A286" t="s">
        <v>1186</v>
      </c>
      <c r="B286" t="s">
        <v>2790</v>
      </c>
      <c r="C286" t="s">
        <v>638</v>
      </c>
      <c r="D286" t="s">
        <v>1187</v>
      </c>
    </row>
    <row r="287" spans="1:8">
      <c r="D287" t="s">
        <v>1188</v>
      </c>
    </row>
    <row r="288" spans="1:8">
      <c r="D288" t="s">
        <v>1194</v>
      </c>
      <c r="E288">
        <v>95.2</v>
      </c>
    </row>
    <row r="289" spans="1:5">
      <c r="D289" t="s">
        <v>1193</v>
      </c>
      <c r="E289">
        <v>0.96257777777777775</v>
      </c>
    </row>
    <row r="290" spans="1:5">
      <c r="D290" s="48" t="s">
        <v>3009</v>
      </c>
      <c r="E290" s="48">
        <v>21.371737404912281</v>
      </c>
    </row>
    <row r="291" spans="1:5">
      <c r="D291" s="48" t="s">
        <v>3010</v>
      </c>
      <c r="E291" s="48">
        <f>E289*E290%</f>
        <v>0.20571959498470674</v>
      </c>
    </row>
    <row r="294" spans="1:5">
      <c r="B294" t="s">
        <v>3011</v>
      </c>
      <c r="C294" t="s">
        <v>638</v>
      </c>
      <c r="D294" t="s">
        <v>1187</v>
      </c>
    </row>
    <row r="295" spans="1:5">
      <c r="D295" t="s">
        <v>1188</v>
      </c>
    </row>
    <row r="296" spans="1:5">
      <c r="D296" t="s">
        <v>1194</v>
      </c>
      <c r="E296">
        <v>95.2</v>
      </c>
    </row>
    <row r="297" spans="1:5">
      <c r="D297" t="s">
        <v>1193</v>
      </c>
      <c r="E297">
        <v>0.96257777777777775</v>
      </c>
    </row>
    <row r="298" spans="1:5">
      <c r="D298" s="48" t="s">
        <v>3012</v>
      </c>
      <c r="E298" s="48">
        <v>20.301851956111111</v>
      </c>
    </row>
    <row r="299" spans="1:5">
      <c r="D299" s="48" t="s">
        <v>3013</v>
      </c>
      <c r="E299" s="48">
        <f>E297*E298%</f>
        <v>0.19542111540686863</v>
      </c>
    </row>
    <row r="302" spans="1:5">
      <c r="A302" t="s">
        <v>401</v>
      </c>
      <c r="B302" t="s">
        <v>2790</v>
      </c>
      <c r="C302" t="s">
        <v>638</v>
      </c>
      <c r="D302" t="s">
        <v>1202</v>
      </c>
    </row>
    <row r="303" spans="1:5">
      <c r="D303" t="s">
        <v>1203</v>
      </c>
    </row>
    <row r="304" spans="1:5">
      <c r="D304" t="s">
        <v>1205</v>
      </c>
      <c r="E304">
        <v>0.48590909090909096</v>
      </c>
    </row>
    <row r="305" spans="1:5">
      <c r="D305" s="48" t="s">
        <v>3014</v>
      </c>
      <c r="E305" s="48">
        <v>0.27706205454545457</v>
      </c>
    </row>
    <row r="306" spans="1:5">
      <c r="D306" s="48" t="s">
        <v>3015</v>
      </c>
      <c r="E306" s="48">
        <f>E304*E305%</f>
        <v>1.3462697104958681E-3</v>
      </c>
    </row>
    <row r="309" spans="1:5">
      <c r="A309" t="s">
        <v>401</v>
      </c>
      <c r="B309" t="s">
        <v>3011</v>
      </c>
      <c r="C309" t="s">
        <v>638</v>
      </c>
      <c r="D309" t="s">
        <v>1202</v>
      </c>
    </row>
    <row r="310" spans="1:5">
      <c r="D310" t="s">
        <v>1203</v>
      </c>
    </row>
    <row r="311" spans="1:5">
      <c r="D311" t="s">
        <v>1205</v>
      </c>
      <c r="E311">
        <v>0.48590909090909096</v>
      </c>
    </row>
    <row r="312" spans="1:5">
      <c r="D312" s="48" t="s">
        <v>3014</v>
      </c>
      <c r="E312" s="48">
        <v>0.39983673750000004</v>
      </c>
    </row>
    <row r="313" spans="1:5">
      <c r="D313" s="48" t="s">
        <v>3015</v>
      </c>
      <c r="E313" s="48">
        <f>E311*E312%</f>
        <v>1.9428430563068187E-3</v>
      </c>
    </row>
  </sheetData>
  <mergeCells count="10">
    <mergeCell ref="D5:D6"/>
    <mergeCell ref="E5:E6"/>
    <mergeCell ref="F5:F6"/>
    <mergeCell ref="G5:H5"/>
    <mergeCell ref="I5:I6"/>
    <mergeCell ref="F51:I51"/>
    <mergeCell ref="J51:M51"/>
    <mergeCell ref="D53:D57"/>
    <mergeCell ref="D58:D62"/>
    <mergeCell ref="D63:D67"/>
  </mergeCells>
  <hyperlinks>
    <hyperlink ref="D5" r:id="rId1" location="tbl6fna" display="https://www.sciencedirect.com/science/article/pii/S0959652611005683?via%3Dihub - tbl6fna" xr:uid="{3805D1C5-EE76-4D5C-A334-4C9DB6E12EB5}"/>
    <hyperlink ref="D2" r:id="rId2" location="tbl6" xr:uid="{5B78094C-DDC3-4974-967A-D9EC3B8C2F17}"/>
    <hyperlink ref="D50" r:id="rId3" display="https://link.springer.com/article/10.1007/s42452-021-04369-y" xr:uid="{3FFE3CC1-8A3E-49B5-8CAD-06CFDF05C514}"/>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9EC02-FD8A-4143-843A-53F2B78B6A1D}">
  <dimension ref="A1:P797"/>
  <sheetViews>
    <sheetView zoomScale="85" zoomScaleNormal="85" workbookViewId="0">
      <selection activeCell="E81" sqref="E81"/>
    </sheetView>
  </sheetViews>
  <sheetFormatPr defaultRowHeight="15" customHeight="1"/>
  <cols>
    <col min="1" max="1" width="12.88671875" bestFit="1" customWidth="1"/>
    <col min="2" max="2" width="20.33203125" bestFit="1" customWidth="1"/>
    <col min="3" max="3" width="10.5546875" bestFit="1" customWidth="1"/>
    <col min="4" max="4" width="30.21875" customWidth="1"/>
    <col min="5" max="5" width="26.33203125" bestFit="1" customWidth="1"/>
    <col min="6" max="6" width="26.33203125" customWidth="1"/>
    <col min="7" max="7" width="23.44140625" customWidth="1"/>
    <col min="8" max="8" width="17.88671875" bestFit="1" customWidth="1"/>
    <col min="9" max="9" width="22.5546875" customWidth="1"/>
    <col min="10" max="10" width="28.109375" customWidth="1"/>
    <col min="11" max="11" width="26.44140625" customWidth="1"/>
    <col min="12" max="12" width="28" bestFit="1" customWidth="1"/>
    <col min="13" max="13" width="22.5546875" bestFit="1" customWidth="1"/>
    <col min="14" max="14" width="13.5546875" bestFit="1" customWidth="1"/>
    <col min="15" max="15" width="9.33203125" bestFit="1" customWidth="1"/>
  </cols>
  <sheetData>
    <row r="1" spans="1:11" ht="14.4">
      <c r="A1" t="s">
        <v>0</v>
      </c>
      <c r="B1" t="s">
        <v>1</v>
      </c>
    </row>
    <row r="2" spans="1:11" ht="14.4">
      <c r="A2" t="s">
        <v>2</v>
      </c>
      <c r="B2" t="s">
        <v>3016</v>
      </c>
      <c r="C2" t="s">
        <v>4</v>
      </c>
      <c r="D2" s="7" t="s">
        <v>3017</v>
      </c>
      <c r="H2" t="s">
        <v>3018</v>
      </c>
    </row>
    <row r="3" spans="1:11" ht="14.4">
      <c r="A3" t="s">
        <v>2</v>
      </c>
      <c r="B3" t="s">
        <v>3016</v>
      </c>
      <c r="D3" s="7" t="s">
        <v>3019</v>
      </c>
    </row>
    <row r="4" spans="1:11" ht="14.4">
      <c r="A4" t="s">
        <v>2</v>
      </c>
      <c r="B4" t="s">
        <v>3016</v>
      </c>
      <c r="D4" s="287" t="s">
        <v>230</v>
      </c>
      <c r="E4" s="287" t="s">
        <v>3020</v>
      </c>
      <c r="F4" s="285" t="s">
        <v>3021</v>
      </c>
      <c r="G4" s="48" t="s">
        <v>3022</v>
      </c>
      <c r="H4" s="48" t="s">
        <v>3023</v>
      </c>
      <c r="J4" t="s">
        <v>6180</v>
      </c>
      <c r="K4">
        <f>AVERAGE(26.25, 34.15)</f>
        <v>30.2</v>
      </c>
    </row>
    <row r="5" spans="1:11" ht="14.4">
      <c r="A5" t="s">
        <v>2</v>
      </c>
      <c r="B5" t="s">
        <v>3016</v>
      </c>
      <c r="D5" s="284" t="s">
        <v>3024</v>
      </c>
      <c r="E5" s="284">
        <v>0.48699999999999999</v>
      </c>
      <c r="F5" s="286">
        <v>0.79</v>
      </c>
      <c r="G5" s="48">
        <f>E5*F5</f>
        <v>0.38473000000000002</v>
      </c>
      <c r="H5" s="48">
        <f>AVERAGE(G5:G13)</f>
        <v>0.36006444444444446</v>
      </c>
      <c r="J5" s="48" t="s">
        <v>6182</v>
      </c>
      <c r="K5">
        <f>H5*(1-K4%)</f>
        <v>0.25132498222222222</v>
      </c>
    </row>
    <row r="6" spans="1:11" ht="14.4">
      <c r="A6" t="s">
        <v>2</v>
      </c>
      <c r="B6" t="s">
        <v>3016</v>
      </c>
      <c r="D6" s="284" t="s">
        <v>3025</v>
      </c>
      <c r="E6" s="284">
        <v>0.48399999999999999</v>
      </c>
      <c r="F6" s="286">
        <v>0.79</v>
      </c>
      <c r="G6" s="48">
        <f>E6*F6</f>
        <v>0.38236000000000003</v>
      </c>
    </row>
    <row r="7" spans="1:11" ht="14.4">
      <c r="A7" t="s">
        <v>2</v>
      </c>
      <c r="B7" t="s">
        <v>3016</v>
      </c>
      <c r="D7" s="284" t="s">
        <v>3026</v>
      </c>
      <c r="E7" s="284">
        <v>0.47499999999999998</v>
      </c>
      <c r="F7" s="286">
        <v>0.79</v>
      </c>
      <c r="G7" s="48">
        <f t="shared" ref="G7:G13" si="0">E7*F7</f>
        <v>0.37524999999999997</v>
      </c>
    </row>
    <row r="8" spans="1:11" ht="14.4">
      <c r="A8" t="s">
        <v>2</v>
      </c>
      <c r="B8" t="s">
        <v>3016</v>
      </c>
      <c r="D8" s="284" t="s">
        <v>3027</v>
      </c>
      <c r="E8" s="284">
        <v>0.45100000000000001</v>
      </c>
      <c r="F8" s="286">
        <v>0.79</v>
      </c>
      <c r="G8" s="48">
        <f t="shared" si="0"/>
        <v>0.35629000000000005</v>
      </c>
    </row>
    <row r="9" spans="1:11" ht="14.4">
      <c r="A9" t="s">
        <v>2</v>
      </c>
      <c r="B9" t="s">
        <v>3016</v>
      </c>
      <c r="D9" s="284" t="s">
        <v>3028</v>
      </c>
      <c r="E9" s="284">
        <v>0.46700000000000003</v>
      </c>
      <c r="F9" s="286">
        <v>0.79</v>
      </c>
      <c r="G9" s="48">
        <f t="shared" si="0"/>
        <v>0.36893000000000004</v>
      </c>
    </row>
    <row r="10" spans="1:11" ht="14.4">
      <c r="A10" t="s">
        <v>2</v>
      </c>
      <c r="B10" t="s">
        <v>3016</v>
      </c>
      <c r="D10" s="284" t="s">
        <v>3029</v>
      </c>
      <c r="E10" s="284">
        <v>0.39500000000000002</v>
      </c>
      <c r="F10" s="286">
        <v>0.79</v>
      </c>
      <c r="G10" s="48">
        <f t="shared" si="0"/>
        <v>0.31205000000000005</v>
      </c>
    </row>
    <row r="11" spans="1:11" ht="14.4">
      <c r="A11" t="s">
        <v>2</v>
      </c>
      <c r="B11" t="s">
        <v>3016</v>
      </c>
      <c r="D11" s="284" t="s">
        <v>3030</v>
      </c>
      <c r="E11" s="284">
        <v>0.45200000000000001</v>
      </c>
      <c r="F11" s="286">
        <v>0.79</v>
      </c>
      <c r="G11" s="48">
        <f t="shared" si="0"/>
        <v>0.35708000000000001</v>
      </c>
    </row>
    <row r="12" spans="1:11" ht="14.4">
      <c r="A12" t="s">
        <v>2</v>
      </c>
      <c r="B12" t="s">
        <v>3016</v>
      </c>
      <c r="D12" s="284" t="s">
        <v>3031</v>
      </c>
      <c r="E12" s="284">
        <v>0.44400000000000001</v>
      </c>
      <c r="F12" s="286">
        <v>0.79</v>
      </c>
      <c r="G12" s="48">
        <f t="shared" si="0"/>
        <v>0.35076000000000002</v>
      </c>
    </row>
    <row r="13" spans="1:11" ht="14.4">
      <c r="A13" t="s">
        <v>2</v>
      </c>
      <c r="B13" t="s">
        <v>3016</v>
      </c>
      <c r="D13" s="288" t="s">
        <v>3032</v>
      </c>
      <c r="E13" s="288">
        <v>0.44700000000000001</v>
      </c>
      <c r="F13" s="286">
        <v>0.79</v>
      </c>
      <c r="G13" s="48">
        <f t="shared" si="0"/>
        <v>0.35313</v>
      </c>
    </row>
    <row r="14" spans="1:11" ht="14.4">
      <c r="A14" t="s">
        <v>2</v>
      </c>
      <c r="B14" t="s">
        <v>3016</v>
      </c>
      <c r="D14" s="48" t="s">
        <v>3033</v>
      </c>
      <c r="E14" s="48">
        <f>MAX(E5:E13)</f>
        <v>0.48699999999999999</v>
      </c>
    </row>
    <row r="15" spans="1:11" ht="14.4">
      <c r="A15" t="s">
        <v>2</v>
      </c>
      <c r="B15" t="s">
        <v>3016</v>
      </c>
      <c r="D15" s="48" t="s">
        <v>3034</v>
      </c>
      <c r="E15" s="48">
        <f>MIN(E5:E13)</f>
        <v>0.39500000000000002</v>
      </c>
    </row>
    <row r="16" spans="1:11" ht="14.4">
      <c r="A16" t="s">
        <v>2</v>
      </c>
      <c r="B16" t="s">
        <v>3016</v>
      </c>
    </row>
    <row r="17" spans="1:16" ht="14.4">
      <c r="A17" t="s">
        <v>2</v>
      </c>
      <c r="B17" t="s">
        <v>3016</v>
      </c>
      <c r="C17" t="s">
        <v>473</v>
      </c>
      <c r="D17" s="7" t="s">
        <v>3035</v>
      </c>
      <c r="H17" t="s">
        <v>6</v>
      </c>
    </row>
    <row r="18" spans="1:16" ht="14.4">
      <c r="A18" t="s">
        <v>2</v>
      </c>
      <c r="B18" t="s">
        <v>3016</v>
      </c>
      <c r="D18" s="7" t="s">
        <v>3036</v>
      </c>
    </row>
    <row r="19" spans="1:16" ht="14.4">
      <c r="A19" t="s">
        <v>2</v>
      </c>
      <c r="B19" t="s">
        <v>3016</v>
      </c>
      <c r="D19" s="289" t="s">
        <v>3037</v>
      </c>
      <c r="E19" s="289" t="s">
        <v>3038</v>
      </c>
      <c r="F19" s="289" t="s">
        <v>2</v>
      </c>
      <c r="G19" s="289" t="s">
        <v>3039</v>
      </c>
      <c r="H19" s="289" t="s">
        <v>1773</v>
      </c>
      <c r="I19" s="289" t="s">
        <v>103</v>
      </c>
      <c r="J19" s="289" t="s">
        <v>3040</v>
      </c>
      <c r="K19" s="289" t="s">
        <v>3041</v>
      </c>
    </row>
    <row r="20" spans="1:16" ht="14.4">
      <c r="A20" t="s">
        <v>2</v>
      </c>
      <c r="B20" t="s">
        <v>3016</v>
      </c>
      <c r="D20" s="290"/>
      <c r="E20" s="290"/>
      <c r="F20" s="291" t="s">
        <v>3042</v>
      </c>
      <c r="G20" s="291" t="s">
        <v>3042</v>
      </c>
      <c r="H20" s="291" t="s">
        <v>3042</v>
      </c>
      <c r="I20" s="291" t="s">
        <v>3042</v>
      </c>
      <c r="J20" s="291" t="s">
        <v>3042</v>
      </c>
      <c r="K20" s="291" t="s">
        <v>3042</v>
      </c>
      <c r="L20" s="48" t="s">
        <v>3043</v>
      </c>
      <c r="M20" s="48" t="s">
        <v>3023</v>
      </c>
      <c r="O20" t="s">
        <v>6180</v>
      </c>
      <c r="P20">
        <f>AVERAGE(26.25, 34.15)</f>
        <v>30.2</v>
      </c>
    </row>
    <row r="21" spans="1:16" ht="17.25" customHeight="1">
      <c r="A21" t="s">
        <v>2</v>
      </c>
      <c r="B21" t="s">
        <v>3016</v>
      </c>
      <c r="D21" s="639" t="s">
        <v>3044</v>
      </c>
      <c r="E21" s="293">
        <v>0.4</v>
      </c>
      <c r="F21" s="292" t="s">
        <v>3045</v>
      </c>
      <c r="G21" s="292" t="s">
        <v>3046</v>
      </c>
      <c r="H21" s="292" t="s">
        <v>3047</v>
      </c>
      <c r="I21" s="292" t="s">
        <v>3048</v>
      </c>
      <c r="J21" s="292" t="s">
        <v>3047</v>
      </c>
      <c r="K21" s="292" t="s">
        <v>3049</v>
      </c>
      <c r="L21" s="48">
        <v>35</v>
      </c>
      <c r="M21" s="48">
        <f>AVERAGE(L21:L35)/100</f>
        <v>0.35349333333333333</v>
      </c>
      <c r="O21" s="48" t="s">
        <v>6182</v>
      </c>
      <c r="P21">
        <f>M21*(1-P20%)</f>
        <v>0.24673834666666664</v>
      </c>
    </row>
    <row r="22" spans="1:16" ht="17.25" customHeight="1">
      <c r="A22" t="s">
        <v>2</v>
      </c>
      <c r="B22" t="s">
        <v>3016</v>
      </c>
      <c r="D22" s="640"/>
      <c r="E22" s="293">
        <v>0.7</v>
      </c>
      <c r="F22" s="292" t="s">
        <v>3050</v>
      </c>
      <c r="G22" s="292" t="s">
        <v>3051</v>
      </c>
      <c r="H22" s="292" t="s">
        <v>3052</v>
      </c>
      <c r="I22" s="292" t="s">
        <v>3053</v>
      </c>
      <c r="J22" s="292" t="s">
        <v>3054</v>
      </c>
      <c r="K22" s="292" t="s">
        <v>3055</v>
      </c>
      <c r="L22" s="48">
        <v>35.1</v>
      </c>
    </row>
    <row r="23" spans="1:16" ht="15.75" customHeight="1">
      <c r="A23" t="s">
        <v>2</v>
      </c>
      <c r="B23" t="s">
        <v>3016</v>
      </c>
      <c r="D23" s="640"/>
      <c r="E23" s="293">
        <v>1</v>
      </c>
      <c r="F23" s="292" t="s">
        <v>3056</v>
      </c>
      <c r="G23" s="292" t="s">
        <v>3057</v>
      </c>
      <c r="H23" s="292" t="s">
        <v>3058</v>
      </c>
      <c r="I23" s="292" t="s">
        <v>3059</v>
      </c>
      <c r="J23" s="292" t="s">
        <v>3054</v>
      </c>
      <c r="K23" s="292" t="s">
        <v>3060</v>
      </c>
      <c r="L23" s="48">
        <v>35.21</v>
      </c>
    </row>
    <row r="24" spans="1:16" ht="15" customHeight="1">
      <c r="A24" t="s">
        <v>2</v>
      </c>
      <c r="B24" t="s">
        <v>3016</v>
      </c>
      <c r="D24" s="640" t="s">
        <v>3061</v>
      </c>
      <c r="E24" s="293">
        <v>0.4</v>
      </c>
      <c r="F24" s="292" t="s">
        <v>3062</v>
      </c>
      <c r="G24" s="292" t="s">
        <v>3063</v>
      </c>
      <c r="H24" s="292" t="s">
        <v>3058</v>
      </c>
      <c r="I24" s="292" t="s">
        <v>3064</v>
      </c>
      <c r="J24" s="292" t="s">
        <v>3054</v>
      </c>
      <c r="K24" s="292" t="s">
        <v>3065</v>
      </c>
      <c r="L24" s="48">
        <v>34.92</v>
      </c>
    </row>
    <row r="25" spans="1:16" ht="15" customHeight="1">
      <c r="A25" t="s">
        <v>2</v>
      </c>
      <c r="B25" t="s">
        <v>3016</v>
      </c>
      <c r="D25" s="640"/>
      <c r="E25" s="293">
        <v>0.7</v>
      </c>
      <c r="F25" s="292" t="s">
        <v>3066</v>
      </c>
      <c r="G25" s="292" t="s">
        <v>3067</v>
      </c>
      <c r="H25" s="292" t="s">
        <v>3068</v>
      </c>
      <c r="I25" s="292" t="s">
        <v>3069</v>
      </c>
      <c r="J25" s="292" t="s">
        <v>3070</v>
      </c>
      <c r="K25" s="292" t="s">
        <v>3071</v>
      </c>
      <c r="L25" s="48">
        <v>35.049999999999997</v>
      </c>
    </row>
    <row r="26" spans="1:16" ht="15" customHeight="1">
      <c r="A26" t="s">
        <v>2</v>
      </c>
      <c r="B26" t="s">
        <v>3016</v>
      </c>
      <c r="D26" s="640"/>
      <c r="E26" s="293">
        <v>1</v>
      </c>
      <c r="F26" s="292" t="s">
        <v>3072</v>
      </c>
      <c r="G26" s="292" t="s">
        <v>3073</v>
      </c>
      <c r="H26" s="292" t="s">
        <v>3058</v>
      </c>
      <c r="I26" s="292" t="s">
        <v>3069</v>
      </c>
      <c r="J26" s="292" t="s">
        <v>3074</v>
      </c>
      <c r="K26" s="292" t="s">
        <v>3075</v>
      </c>
      <c r="L26" s="48">
        <v>35.14</v>
      </c>
    </row>
    <row r="27" spans="1:16" ht="15" customHeight="1">
      <c r="A27" t="s">
        <v>2</v>
      </c>
      <c r="B27" t="s">
        <v>3016</v>
      </c>
      <c r="D27" s="640" t="s">
        <v>3076</v>
      </c>
      <c r="E27" s="293">
        <v>0.4</v>
      </c>
      <c r="F27" s="292" t="s">
        <v>3077</v>
      </c>
      <c r="G27" s="292" t="s">
        <v>3078</v>
      </c>
      <c r="H27" s="292" t="s">
        <v>3079</v>
      </c>
      <c r="I27" s="292" t="s">
        <v>3080</v>
      </c>
      <c r="J27" s="292" t="s">
        <v>3081</v>
      </c>
      <c r="K27" s="292" t="s">
        <v>3082</v>
      </c>
      <c r="L27" s="48">
        <v>35.590000000000003</v>
      </c>
    </row>
    <row r="28" spans="1:16" ht="15" customHeight="1">
      <c r="A28" t="s">
        <v>2</v>
      </c>
      <c r="B28" t="s">
        <v>3016</v>
      </c>
      <c r="D28" s="640"/>
      <c r="E28" s="293">
        <v>0.7</v>
      </c>
      <c r="F28" s="292" t="s">
        <v>3083</v>
      </c>
      <c r="G28" s="292" t="s">
        <v>3084</v>
      </c>
      <c r="H28" s="292" t="s">
        <v>3052</v>
      </c>
      <c r="I28" s="292" t="s">
        <v>3085</v>
      </c>
      <c r="J28" s="292" t="s">
        <v>3070</v>
      </c>
      <c r="K28" s="292" t="s">
        <v>3086</v>
      </c>
      <c r="L28" s="48">
        <v>35.74</v>
      </c>
    </row>
    <row r="29" spans="1:16" ht="15" customHeight="1">
      <c r="A29" t="s">
        <v>2</v>
      </c>
      <c r="B29" t="s">
        <v>3016</v>
      </c>
      <c r="D29" s="640"/>
      <c r="E29" s="293">
        <v>1</v>
      </c>
      <c r="F29" s="292" t="s">
        <v>3087</v>
      </c>
      <c r="G29" s="292" t="s">
        <v>3088</v>
      </c>
      <c r="H29" s="292" t="s">
        <v>3079</v>
      </c>
      <c r="I29" s="292" t="s">
        <v>3089</v>
      </c>
      <c r="J29" s="292" t="s">
        <v>3090</v>
      </c>
      <c r="K29" s="292" t="s">
        <v>3091</v>
      </c>
      <c r="L29" s="48">
        <v>35.85</v>
      </c>
    </row>
    <row r="30" spans="1:16" ht="15" customHeight="1">
      <c r="A30" t="s">
        <v>2</v>
      </c>
      <c r="B30" t="s">
        <v>3016</v>
      </c>
      <c r="D30" s="640" t="s">
        <v>3092</v>
      </c>
      <c r="E30" s="293">
        <v>0.4</v>
      </c>
      <c r="F30" s="292" t="s">
        <v>3093</v>
      </c>
      <c r="G30" s="292" t="s">
        <v>3094</v>
      </c>
      <c r="H30" s="292" t="s">
        <v>3095</v>
      </c>
      <c r="I30" s="292" t="s">
        <v>3096</v>
      </c>
      <c r="J30" s="292" t="s">
        <v>3081</v>
      </c>
      <c r="K30" s="292" t="s">
        <v>3097</v>
      </c>
      <c r="L30" s="48">
        <v>35.82</v>
      </c>
    </row>
    <row r="31" spans="1:16" ht="15" customHeight="1">
      <c r="A31" t="s">
        <v>2</v>
      </c>
      <c r="B31" t="s">
        <v>3016</v>
      </c>
      <c r="D31" s="640"/>
      <c r="E31" s="293">
        <v>0.7</v>
      </c>
      <c r="F31" s="292" t="s">
        <v>3098</v>
      </c>
      <c r="G31" s="292" t="s">
        <v>3099</v>
      </c>
      <c r="H31" s="292" t="s">
        <v>3100</v>
      </c>
      <c r="I31" s="292" t="s">
        <v>3101</v>
      </c>
      <c r="J31" s="292" t="s">
        <v>3081</v>
      </c>
      <c r="K31" s="292" t="s">
        <v>3102</v>
      </c>
      <c r="L31" s="48">
        <v>36.119999999999997</v>
      </c>
    </row>
    <row r="32" spans="1:16" ht="15" customHeight="1">
      <c r="A32" t="s">
        <v>2</v>
      </c>
      <c r="B32" t="s">
        <v>3016</v>
      </c>
      <c r="D32" s="640"/>
      <c r="E32" s="293">
        <v>1</v>
      </c>
      <c r="F32" s="292" t="s">
        <v>3103</v>
      </c>
      <c r="G32" s="292" t="s">
        <v>3088</v>
      </c>
      <c r="H32" s="292" t="s">
        <v>3079</v>
      </c>
      <c r="I32" s="292" t="s">
        <v>3085</v>
      </c>
      <c r="J32" s="292" t="s">
        <v>3081</v>
      </c>
      <c r="K32" s="292" t="s">
        <v>3104</v>
      </c>
      <c r="L32" s="48">
        <v>36.130000000000003</v>
      </c>
    </row>
    <row r="33" spans="1:13" ht="15" customHeight="1">
      <c r="A33" t="s">
        <v>2</v>
      </c>
      <c r="B33" t="s">
        <v>3016</v>
      </c>
      <c r="D33" s="640" t="s">
        <v>3105</v>
      </c>
      <c r="E33" s="293">
        <v>0.4</v>
      </c>
      <c r="F33" s="292" t="s">
        <v>3106</v>
      </c>
      <c r="G33" s="292" t="s">
        <v>3107</v>
      </c>
      <c r="H33" s="292" t="s">
        <v>3108</v>
      </c>
      <c r="I33" s="292" t="s">
        <v>3109</v>
      </c>
      <c r="J33" s="292" t="s">
        <v>3070</v>
      </c>
      <c r="K33" s="292" t="s">
        <v>3110</v>
      </c>
      <c r="L33" s="48">
        <v>34.69</v>
      </c>
    </row>
    <row r="34" spans="1:13" ht="15" customHeight="1">
      <c r="A34" t="s">
        <v>2</v>
      </c>
      <c r="B34" t="s">
        <v>3016</v>
      </c>
      <c r="D34" s="640"/>
      <c r="E34" s="293">
        <v>0.7</v>
      </c>
      <c r="F34" s="292" t="s">
        <v>3111</v>
      </c>
      <c r="G34" s="292" t="s">
        <v>3112</v>
      </c>
      <c r="H34" s="292" t="s">
        <v>3113</v>
      </c>
      <c r="I34" s="292" t="s">
        <v>3114</v>
      </c>
      <c r="J34" s="292" t="s">
        <v>3090</v>
      </c>
      <c r="K34" s="292" t="s">
        <v>3115</v>
      </c>
      <c r="L34" s="48">
        <v>34.85</v>
      </c>
    </row>
    <row r="35" spans="1:13" ht="15" customHeight="1">
      <c r="A35" t="s">
        <v>2</v>
      </c>
      <c r="B35" t="s">
        <v>3016</v>
      </c>
      <c r="D35" s="641"/>
      <c r="E35" s="294">
        <v>1</v>
      </c>
      <c r="F35" s="290" t="s">
        <v>3116</v>
      </c>
      <c r="G35" s="290" t="s">
        <v>3117</v>
      </c>
      <c r="H35" s="290" t="s">
        <v>3058</v>
      </c>
      <c r="I35" s="290" t="s">
        <v>3118</v>
      </c>
      <c r="J35" s="290" t="s">
        <v>3081</v>
      </c>
      <c r="K35" s="290" t="s">
        <v>3119</v>
      </c>
      <c r="L35" s="48">
        <v>35.03</v>
      </c>
    </row>
    <row r="36" spans="1:13" ht="15" customHeight="1">
      <c r="A36" t="s">
        <v>2</v>
      </c>
      <c r="B36" t="s">
        <v>3016</v>
      </c>
      <c r="L36" s="48" t="s">
        <v>3033</v>
      </c>
      <c r="M36" s="48">
        <f>MAX(L21:L35)</f>
        <v>36.130000000000003</v>
      </c>
    </row>
    <row r="37" spans="1:13" ht="15" customHeight="1">
      <c r="A37" t="s">
        <v>2</v>
      </c>
      <c r="B37" t="s">
        <v>3016</v>
      </c>
      <c r="C37" t="s">
        <v>69</v>
      </c>
      <c r="D37" s="7" t="s">
        <v>6080</v>
      </c>
      <c r="L37" s="48" t="s">
        <v>3034</v>
      </c>
      <c r="M37" s="48">
        <f>MIN(L21:L35)</f>
        <v>34.69</v>
      </c>
    </row>
    <row r="38" spans="1:13" ht="15" customHeight="1">
      <c r="A38" t="s">
        <v>2</v>
      </c>
      <c r="B38" t="s">
        <v>3016</v>
      </c>
      <c r="D38" s="380" t="s">
        <v>6081</v>
      </c>
    </row>
    <row r="39" spans="1:13" ht="15" customHeight="1">
      <c r="A39" t="s">
        <v>2</v>
      </c>
      <c r="B39" t="s">
        <v>3016</v>
      </c>
      <c r="D39" t="s">
        <v>6079</v>
      </c>
    </row>
    <row r="40" spans="1:13" ht="15" customHeight="1">
      <c r="A40" t="s">
        <v>2</v>
      </c>
      <c r="B40" t="s">
        <v>3016</v>
      </c>
      <c r="D40" t="s">
        <v>4535</v>
      </c>
      <c r="E40" t="s">
        <v>6034</v>
      </c>
      <c r="F40" t="s">
        <v>4688</v>
      </c>
      <c r="G40" t="s">
        <v>4688</v>
      </c>
    </row>
    <row r="41" spans="1:13" ht="15" customHeight="1">
      <c r="A41" t="s">
        <v>2</v>
      </c>
      <c r="B41" t="s">
        <v>3016</v>
      </c>
      <c r="F41" t="s">
        <v>6035</v>
      </c>
      <c r="G41" t="s">
        <v>6036</v>
      </c>
    </row>
    <row r="42" spans="1:13" ht="15" customHeight="1">
      <c r="A42" t="s">
        <v>2</v>
      </c>
      <c r="B42" t="s">
        <v>3016</v>
      </c>
      <c r="D42" t="s">
        <v>6037</v>
      </c>
      <c r="E42" t="s">
        <v>6038</v>
      </c>
      <c r="F42" t="s">
        <v>6039</v>
      </c>
      <c r="G42" t="s">
        <v>6040</v>
      </c>
      <c r="H42">
        <v>340.7</v>
      </c>
    </row>
    <row r="43" spans="1:13" ht="14.4">
      <c r="A43" t="s">
        <v>2</v>
      </c>
      <c r="B43" t="s">
        <v>3016</v>
      </c>
      <c r="D43" t="s">
        <v>6041</v>
      </c>
      <c r="E43" t="s">
        <v>6042</v>
      </c>
      <c r="F43" t="s">
        <v>6043</v>
      </c>
      <c r="G43" t="s">
        <v>6044</v>
      </c>
      <c r="H43">
        <v>349.7</v>
      </c>
    </row>
    <row r="44" spans="1:13" ht="14.4">
      <c r="A44" t="s">
        <v>2</v>
      </c>
      <c r="B44" t="s">
        <v>3016</v>
      </c>
      <c r="D44" t="s">
        <v>6045</v>
      </c>
      <c r="E44" t="s">
        <v>6046</v>
      </c>
      <c r="F44" t="s">
        <v>6047</v>
      </c>
      <c r="G44" t="s">
        <v>6048</v>
      </c>
      <c r="H44">
        <v>357.7</v>
      </c>
    </row>
    <row r="45" spans="1:13" ht="14.4">
      <c r="A45" t="s">
        <v>2</v>
      </c>
      <c r="B45" t="s">
        <v>3016</v>
      </c>
      <c r="D45" t="s">
        <v>6049</v>
      </c>
      <c r="E45" t="s">
        <v>6050</v>
      </c>
      <c r="F45" t="s">
        <v>6051</v>
      </c>
      <c r="G45" t="s">
        <v>6052</v>
      </c>
      <c r="H45">
        <v>365.5</v>
      </c>
    </row>
    <row r="46" spans="1:13" ht="14.4">
      <c r="A46" t="s">
        <v>2</v>
      </c>
      <c r="B46" t="s">
        <v>3016</v>
      </c>
      <c r="D46" t="s">
        <v>6053</v>
      </c>
      <c r="E46" t="s">
        <v>6054</v>
      </c>
      <c r="F46" t="s">
        <v>6055</v>
      </c>
      <c r="G46" t="s">
        <v>6056</v>
      </c>
      <c r="H46">
        <v>361.7</v>
      </c>
    </row>
    <row r="47" spans="1:13" ht="14.4">
      <c r="A47" t="s">
        <v>2</v>
      </c>
      <c r="B47" t="s">
        <v>3016</v>
      </c>
      <c r="D47" t="s">
        <v>6057</v>
      </c>
      <c r="E47" t="s">
        <v>6058</v>
      </c>
      <c r="F47" t="s">
        <v>6059</v>
      </c>
      <c r="G47" t="s">
        <v>6060</v>
      </c>
      <c r="H47">
        <v>379.5</v>
      </c>
    </row>
    <row r="48" spans="1:13" ht="14.4">
      <c r="A48" t="s">
        <v>2</v>
      </c>
      <c r="B48" t="s">
        <v>3016</v>
      </c>
      <c r="D48" t="s">
        <v>6061</v>
      </c>
      <c r="E48" t="s">
        <v>6062</v>
      </c>
      <c r="F48" t="s">
        <v>6063</v>
      </c>
      <c r="G48" t="s">
        <v>6064</v>
      </c>
      <c r="H48">
        <v>371.3</v>
      </c>
    </row>
    <row r="49" spans="1:12" ht="14.4">
      <c r="A49" t="s">
        <v>2</v>
      </c>
      <c r="B49" t="s">
        <v>3016</v>
      </c>
      <c r="D49" t="s">
        <v>6065</v>
      </c>
      <c r="E49" t="s">
        <v>6066</v>
      </c>
      <c r="F49" t="s">
        <v>6067</v>
      </c>
      <c r="G49" t="s">
        <v>6068</v>
      </c>
      <c r="H49">
        <v>334.6</v>
      </c>
    </row>
    <row r="50" spans="1:12" ht="14.4">
      <c r="A50" t="s">
        <v>2</v>
      </c>
      <c r="B50" t="s">
        <v>3016</v>
      </c>
      <c r="D50" t="s">
        <v>6069</v>
      </c>
      <c r="E50" t="s">
        <v>6070</v>
      </c>
      <c r="F50" t="s">
        <v>6071</v>
      </c>
      <c r="G50" t="s">
        <v>6072</v>
      </c>
      <c r="H50">
        <v>364.8</v>
      </c>
    </row>
    <row r="51" spans="1:12" ht="14.4">
      <c r="A51" t="s">
        <v>2</v>
      </c>
      <c r="B51" t="s">
        <v>3016</v>
      </c>
      <c r="D51" t="s">
        <v>6073</v>
      </c>
      <c r="E51" t="s">
        <v>6074</v>
      </c>
      <c r="G51" t="s">
        <v>6075</v>
      </c>
      <c r="H51">
        <v>334.2</v>
      </c>
    </row>
    <row r="52" spans="1:12" ht="14.4">
      <c r="A52" t="s">
        <v>2</v>
      </c>
      <c r="B52" t="s">
        <v>3016</v>
      </c>
      <c r="D52" t="s">
        <v>6076</v>
      </c>
      <c r="E52" t="s">
        <v>6077</v>
      </c>
      <c r="G52" t="s">
        <v>6078</v>
      </c>
      <c r="H52">
        <v>345</v>
      </c>
    </row>
    <row r="53" spans="1:12" ht="14.4">
      <c r="A53" t="s">
        <v>2</v>
      </c>
      <c r="B53" t="s">
        <v>3016</v>
      </c>
      <c r="G53" s="48" t="s">
        <v>510</v>
      </c>
      <c r="H53" s="48">
        <f>AVERAGE(H42:H52)</f>
        <v>354.9727272727273</v>
      </c>
    </row>
    <row r="54" spans="1:12" ht="14.4">
      <c r="A54" t="s">
        <v>2</v>
      </c>
      <c r="B54" t="s">
        <v>3016</v>
      </c>
      <c r="G54" s="48" t="s">
        <v>3022</v>
      </c>
      <c r="H54" s="48">
        <f>H53/1000</f>
        <v>0.35497272727272727</v>
      </c>
    </row>
    <row r="55" spans="1:12" ht="14.4">
      <c r="A55" t="s">
        <v>2</v>
      </c>
      <c r="B55" t="s">
        <v>3016</v>
      </c>
    </row>
    <row r="56" spans="1:12" ht="14.4">
      <c r="A56" t="s">
        <v>2</v>
      </c>
      <c r="B56" t="s">
        <v>3016</v>
      </c>
    </row>
    <row r="57" spans="1:12" ht="14.4">
      <c r="A57" t="s">
        <v>2</v>
      </c>
      <c r="B57" t="s">
        <v>3016</v>
      </c>
    </row>
    <row r="58" spans="1:12" ht="14.4">
      <c r="A58" t="s">
        <v>2</v>
      </c>
      <c r="B58" t="s">
        <v>3016</v>
      </c>
      <c r="C58" s="383" t="s">
        <v>132</v>
      </c>
      <c r="D58" s="383" t="s">
        <v>6082</v>
      </c>
      <c r="E58" s="383"/>
      <c r="F58" s="383"/>
      <c r="G58" s="383"/>
      <c r="H58" s="383"/>
      <c r="I58" s="383"/>
      <c r="J58" s="383"/>
      <c r="K58" s="383"/>
      <c r="L58" s="383"/>
    </row>
    <row r="59" spans="1:12" ht="14.4">
      <c r="A59" t="s">
        <v>2</v>
      </c>
      <c r="B59" t="s">
        <v>3016</v>
      </c>
      <c r="C59" s="383"/>
      <c r="D59" s="383" t="s">
        <v>6083</v>
      </c>
      <c r="E59" s="383"/>
      <c r="F59" s="383"/>
      <c r="G59" s="383"/>
      <c r="H59" s="383"/>
      <c r="I59" s="383"/>
      <c r="J59" s="383"/>
      <c r="K59" s="383"/>
      <c r="L59" s="383"/>
    </row>
    <row r="60" spans="1:12" ht="14.4">
      <c r="A60" t="s">
        <v>2</v>
      </c>
      <c r="B60" t="s">
        <v>3016</v>
      </c>
      <c r="C60" s="383"/>
      <c r="D60" s="383" t="s">
        <v>6084</v>
      </c>
      <c r="E60" s="383"/>
      <c r="F60" s="383"/>
      <c r="G60" s="383"/>
      <c r="H60" s="383"/>
      <c r="I60" s="383"/>
      <c r="J60" s="383"/>
      <c r="K60" s="383"/>
      <c r="L60" s="383"/>
    </row>
    <row r="61" spans="1:12" ht="14.4">
      <c r="A61" t="s">
        <v>2</v>
      </c>
      <c r="B61" t="s">
        <v>3016</v>
      </c>
      <c r="C61" s="383"/>
      <c r="D61" s="383" t="s">
        <v>6085</v>
      </c>
      <c r="E61" s="383">
        <f>131.3/1000</f>
        <v>0.1313</v>
      </c>
      <c r="F61" s="383"/>
      <c r="G61" s="383"/>
      <c r="H61" s="383"/>
      <c r="I61" s="383"/>
      <c r="J61" s="383"/>
      <c r="K61" s="383"/>
      <c r="L61" s="383"/>
    </row>
    <row r="62" spans="1:12" ht="15" customHeight="1">
      <c r="A62" t="s">
        <v>2</v>
      </c>
      <c r="B62" t="s">
        <v>3016</v>
      </c>
      <c r="C62" s="383"/>
      <c r="D62" s="383"/>
      <c r="E62" s="383"/>
      <c r="F62" s="383"/>
      <c r="G62" s="383"/>
      <c r="H62" s="383"/>
      <c r="I62" s="383"/>
      <c r="J62" s="383"/>
      <c r="K62" s="383"/>
      <c r="L62" s="383"/>
    </row>
    <row r="63" spans="1:12" ht="15" customHeight="1">
      <c r="A63" t="s">
        <v>2</v>
      </c>
      <c r="B63" t="s">
        <v>3016</v>
      </c>
      <c r="C63" s="383"/>
      <c r="D63" s="383"/>
      <c r="E63" s="383"/>
      <c r="F63" s="383"/>
      <c r="G63" s="383"/>
      <c r="H63" s="383"/>
      <c r="I63" s="383"/>
      <c r="J63" s="383"/>
      <c r="K63" s="383"/>
      <c r="L63" s="383"/>
    </row>
    <row r="64" spans="1:12" ht="15" customHeight="1">
      <c r="A64" t="s">
        <v>2</v>
      </c>
      <c r="B64" t="s">
        <v>3016</v>
      </c>
      <c r="C64" s="383"/>
      <c r="D64" s="383"/>
      <c r="E64" s="383"/>
      <c r="F64" s="383"/>
      <c r="G64" s="383"/>
      <c r="H64" s="383"/>
      <c r="I64" s="383"/>
      <c r="J64" s="383"/>
      <c r="K64" s="383"/>
      <c r="L64" s="383"/>
    </row>
    <row r="65" spans="1:12" ht="15" customHeight="1">
      <c r="A65" t="s">
        <v>2</v>
      </c>
      <c r="B65" t="s">
        <v>3016</v>
      </c>
      <c r="C65" s="383"/>
      <c r="D65" s="384" t="s">
        <v>3120</v>
      </c>
      <c r="E65" s="383"/>
      <c r="F65" s="385" t="s">
        <v>6086</v>
      </c>
      <c r="G65" s="383"/>
      <c r="H65" s="383"/>
      <c r="I65" s="383"/>
      <c r="J65" s="383"/>
      <c r="K65" s="383"/>
      <c r="L65" s="383"/>
    </row>
    <row r="66" spans="1:12" ht="15" customHeight="1">
      <c r="A66" t="s">
        <v>2</v>
      </c>
      <c r="B66" t="s">
        <v>3016</v>
      </c>
      <c r="C66" s="383"/>
      <c r="D66" s="384" t="s">
        <v>3121</v>
      </c>
      <c r="E66" s="383"/>
      <c r="F66" s="383"/>
      <c r="G66" s="383"/>
      <c r="H66" s="383"/>
      <c r="I66" s="383"/>
      <c r="J66" s="383"/>
      <c r="K66" s="383"/>
      <c r="L66" s="383"/>
    </row>
    <row r="67" spans="1:12" ht="54.75" customHeight="1">
      <c r="A67" t="s">
        <v>2</v>
      </c>
      <c r="B67" t="s">
        <v>3016</v>
      </c>
      <c r="C67" s="383"/>
      <c r="D67" s="391" t="s">
        <v>3122</v>
      </c>
      <c r="E67" s="391" t="s">
        <v>3123</v>
      </c>
      <c r="F67" s="391" t="s">
        <v>3124</v>
      </c>
      <c r="G67" s="391" t="s">
        <v>3125</v>
      </c>
      <c r="H67" s="391" t="s">
        <v>3126</v>
      </c>
      <c r="I67" s="391" t="s">
        <v>3127</v>
      </c>
      <c r="J67" s="388" t="s">
        <v>3021</v>
      </c>
      <c r="K67" s="388" t="s">
        <v>3128</v>
      </c>
      <c r="L67" s="388" t="s">
        <v>3023</v>
      </c>
    </row>
    <row r="68" spans="1:12" ht="30.75" customHeight="1">
      <c r="A68" t="s">
        <v>2</v>
      </c>
      <c r="B68" t="s">
        <v>3016</v>
      </c>
      <c r="C68" s="383"/>
      <c r="D68" s="392" t="s">
        <v>3129</v>
      </c>
      <c r="E68" s="392">
        <v>376</v>
      </c>
      <c r="F68" s="392">
        <v>164</v>
      </c>
      <c r="G68" s="392">
        <v>289</v>
      </c>
      <c r="H68" s="392">
        <v>202</v>
      </c>
      <c r="I68" s="392" t="s">
        <v>3130</v>
      </c>
      <c r="J68" s="388">
        <v>0.79</v>
      </c>
      <c r="K68" s="388">
        <f t="shared" ref="K68:K75" si="1">G68*J68/1000</f>
        <v>0.22831000000000001</v>
      </c>
      <c r="L68" s="388">
        <f>AVERAGE(K68:K75)</f>
        <v>0.20224</v>
      </c>
    </row>
    <row r="69" spans="1:12" ht="32.25" customHeight="1">
      <c r="A69" t="s">
        <v>2</v>
      </c>
      <c r="B69" t="s">
        <v>3016</v>
      </c>
      <c r="C69" s="383"/>
      <c r="D69" s="393" t="s">
        <v>3131</v>
      </c>
      <c r="E69" s="392">
        <v>389</v>
      </c>
      <c r="F69" s="392">
        <v>169</v>
      </c>
      <c r="G69" s="392">
        <v>274</v>
      </c>
      <c r="H69" s="392">
        <v>192</v>
      </c>
      <c r="I69" s="392" t="s">
        <v>3132</v>
      </c>
      <c r="J69" s="388">
        <v>0.79</v>
      </c>
      <c r="K69" s="388">
        <f t="shared" si="1"/>
        <v>0.21646000000000001</v>
      </c>
      <c r="L69" s="383"/>
    </row>
    <row r="70" spans="1:12" ht="30" customHeight="1">
      <c r="A70" t="s">
        <v>2</v>
      </c>
      <c r="B70" t="s">
        <v>3016</v>
      </c>
      <c r="C70" s="383"/>
      <c r="D70" s="392" t="s">
        <v>3133</v>
      </c>
      <c r="E70" s="392">
        <v>391</v>
      </c>
      <c r="F70" s="392">
        <v>173</v>
      </c>
      <c r="G70" s="392">
        <v>177</v>
      </c>
      <c r="H70" s="392">
        <v>124</v>
      </c>
      <c r="I70" s="392" t="s">
        <v>3134</v>
      </c>
      <c r="J70" s="388">
        <v>0.79</v>
      </c>
      <c r="K70" s="388">
        <f t="shared" si="1"/>
        <v>0.13983000000000001</v>
      </c>
      <c r="L70" s="383"/>
    </row>
    <row r="71" spans="1:12" ht="15" customHeight="1">
      <c r="A71" t="s">
        <v>2</v>
      </c>
      <c r="B71" t="s">
        <v>3016</v>
      </c>
      <c r="C71" s="383"/>
      <c r="D71" s="392" t="s">
        <v>3135</v>
      </c>
      <c r="E71" s="392">
        <v>327</v>
      </c>
      <c r="F71" s="392">
        <v>156</v>
      </c>
      <c r="G71" s="392">
        <v>211</v>
      </c>
      <c r="H71" s="392">
        <v>148</v>
      </c>
      <c r="I71" s="392" t="s">
        <v>3136</v>
      </c>
      <c r="J71" s="388">
        <v>0.79</v>
      </c>
      <c r="K71" s="388">
        <f t="shared" si="1"/>
        <v>0.16669</v>
      </c>
      <c r="L71" s="383"/>
    </row>
    <row r="72" spans="1:12" ht="15" customHeight="1">
      <c r="A72" t="s">
        <v>2</v>
      </c>
      <c r="B72" t="s">
        <v>3016</v>
      </c>
      <c r="C72" s="383"/>
      <c r="D72" s="392" t="s">
        <v>3137</v>
      </c>
      <c r="E72" s="392">
        <v>386</v>
      </c>
      <c r="F72" s="392">
        <v>167</v>
      </c>
      <c r="G72" s="392">
        <v>250</v>
      </c>
      <c r="H72" s="392">
        <v>175</v>
      </c>
      <c r="I72" s="392" t="s">
        <v>3138</v>
      </c>
      <c r="J72" s="388">
        <v>0.79</v>
      </c>
      <c r="K72" s="388">
        <f t="shared" si="1"/>
        <v>0.19750000000000001</v>
      </c>
      <c r="L72" s="383"/>
    </row>
    <row r="73" spans="1:12" ht="30.75" customHeight="1">
      <c r="A73" t="s">
        <v>2</v>
      </c>
      <c r="B73" t="s">
        <v>3016</v>
      </c>
      <c r="C73" s="383"/>
      <c r="D73" s="392" t="s">
        <v>3139</v>
      </c>
      <c r="E73" s="392">
        <v>501</v>
      </c>
      <c r="F73" s="392">
        <v>209</v>
      </c>
      <c r="G73" s="392">
        <v>291</v>
      </c>
      <c r="H73" s="392">
        <v>204</v>
      </c>
      <c r="I73" s="392" t="s">
        <v>3140</v>
      </c>
      <c r="J73" s="388">
        <v>0.79</v>
      </c>
      <c r="K73" s="388">
        <f t="shared" si="1"/>
        <v>0.22989000000000001</v>
      </c>
      <c r="L73" s="383"/>
    </row>
    <row r="74" spans="1:12" ht="31.5" customHeight="1">
      <c r="A74" t="s">
        <v>2</v>
      </c>
      <c r="B74" t="s">
        <v>3016</v>
      </c>
      <c r="C74" s="383"/>
      <c r="D74" s="392" t="s">
        <v>3141</v>
      </c>
      <c r="E74" s="392">
        <v>386</v>
      </c>
      <c r="F74" s="392">
        <v>168</v>
      </c>
      <c r="G74" s="392">
        <v>300</v>
      </c>
      <c r="H74" s="392">
        <v>210</v>
      </c>
      <c r="I74" s="392" t="s">
        <v>3142</v>
      </c>
      <c r="J74" s="388">
        <v>0.79</v>
      </c>
      <c r="K74" s="388">
        <f t="shared" si="1"/>
        <v>0.23699999999999999</v>
      </c>
      <c r="L74" s="383"/>
    </row>
    <row r="75" spans="1:12" ht="32.25" customHeight="1">
      <c r="A75" t="s">
        <v>2</v>
      </c>
      <c r="B75" t="s">
        <v>3016</v>
      </c>
      <c r="C75" s="383"/>
      <c r="D75" s="394" t="s">
        <v>3143</v>
      </c>
      <c r="E75" s="394">
        <v>434</v>
      </c>
      <c r="F75" s="394">
        <v>188</v>
      </c>
      <c r="G75" s="394">
        <v>256</v>
      </c>
      <c r="H75" s="394">
        <v>179</v>
      </c>
      <c r="I75" s="394" t="s">
        <v>3144</v>
      </c>
      <c r="J75" s="388">
        <v>0.79</v>
      </c>
      <c r="K75" s="388">
        <f t="shared" si="1"/>
        <v>0.20224</v>
      </c>
      <c r="L75" s="383"/>
    </row>
    <row r="76" spans="1:12" ht="15" customHeight="1">
      <c r="A76" t="s">
        <v>2</v>
      </c>
      <c r="B76" t="s">
        <v>3016</v>
      </c>
      <c r="C76" s="383"/>
      <c r="D76" s="383"/>
      <c r="E76" s="383"/>
      <c r="F76" s="388" t="s">
        <v>3033</v>
      </c>
      <c r="G76" s="388">
        <f>MAX(G68:G75)</f>
        <v>300</v>
      </c>
      <c r="H76" s="383"/>
      <c r="I76" s="383"/>
      <c r="J76" s="383"/>
      <c r="K76" s="383"/>
      <c r="L76" s="383"/>
    </row>
    <row r="77" spans="1:12" ht="15" customHeight="1">
      <c r="A77" t="s">
        <v>2</v>
      </c>
      <c r="B77" t="s">
        <v>3016</v>
      </c>
      <c r="C77" s="383"/>
      <c r="D77" s="383"/>
      <c r="E77" s="383"/>
      <c r="F77" s="388" t="s">
        <v>3034</v>
      </c>
      <c r="G77" s="388">
        <f>MIN(G68:G75)</f>
        <v>177</v>
      </c>
      <c r="H77" s="383"/>
      <c r="I77" s="383"/>
      <c r="J77" s="383"/>
      <c r="K77" s="383"/>
      <c r="L77" s="383"/>
    </row>
    <row r="78" spans="1:12" ht="15" customHeight="1">
      <c r="A78" t="s">
        <v>2</v>
      </c>
      <c r="B78" t="s">
        <v>3016</v>
      </c>
    </row>
    <row r="79" spans="1:12" s="381" customFormat="1" ht="15" customHeight="1">
      <c r="A79" s="381" t="s">
        <v>2</v>
      </c>
      <c r="B79" s="381" t="s">
        <v>3016</v>
      </c>
      <c r="C79" s="383" t="s">
        <v>3145</v>
      </c>
      <c r="D79" s="384" t="s">
        <v>3146</v>
      </c>
      <c r="E79" s="383"/>
      <c r="F79" s="383"/>
      <c r="G79" s="385" t="s">
        <v>6086</v>
      </c>
      <c r="H79" s="383"/>
      <c r="I79" s="383"/>
      <c r="J79" s="383"/>
      <c r="K79" s="383"/>
      <c r="L79" s="383"/>
    </row>
    <row r="80" spans="1:12" s="381" customFormat="1" ht="15" customHeight="1">
      <c r="A80" s="381" t="s">
        <v>2</v>
      </c>
      <c r="B80" s="381" t="s">
        <v>3016</v>
      </c>
      <c r="C80" s="383"/>
      <c r="D80" s="384" t="s">
        <v>3148</v>
      </c>
      <c r="E80" s="383"/>
      <c r="F80" s="383"/>
      <c r="G80" s="383"/>
      <c r="H80" s="383"/>
      <c r="I80" s="383"/>
      <c r="J80" s="383"/>
      <c r="K80" s="383"/>
      <c r="L80" s="383"/>
    </row>
    <row r="81" spans="1:15" s="381" customFormat="1" ht="15" customHeight="1">
      <c r="A81" s="381" t="s">
        <v>2</v>
      </c>
      <c r="B81" s="381" t="s">
        <v>3016</v>
      </c>
      <c r="C81" s="383"/>
      <c r="D81" s="386" t="s">
        <v>230</v>
      </c>
      <c r="E81" s="386" t="s">
        <v>3149</v>
      </c>
      <c r="F81" s="387" t="s">
        <v>3150</v>
      </c>
      <c r="G81" s="388" t="s">
        <v>3151</v>
      </c>
      <c r="H81" s="388" t="s">
        <v>3152</v>
      </c>
      <c r="I81" s="388" t="s">
        <v>3153</v>
      </c>
      <c r="J81" s="388" t="s">
        <v>3154</v>
      </c>
      <c r="K81" s="388" t="s">
        <v>3155</v>
      </c>
      <c r="L81" s="388" t="s">
        <v>3023</v>
      </c>
    </row>
    <row r="82" spans="1:15" s="381" customFormat="1" ht="15" customHeight="1">
      <c r="A82" s="381" t="s">
        <v>2</v>
      </c>
      <c r="B82" s="381" t="s">
        <v>3016</v>
      </c>
      <c r="C82" s="383"/>
      <c r="D82" s="389" t="s">
        <v>3156</v>
      </c>
      <c r="E82" s="389">
        <v>67.599999999999994</v>
      </c>
      <c r="F82" s="387">
        <v>0.51</v>
      </c>
      <c r="G82" s="388">
        <f>$F$82*E82%</f>
        <v>0.34475999999999996</v>
      </c>
      <c r="H82" s="388">
        <v>69.2</v>
      </c>
      <c r="I82" s="388">
        <f>G82*H82%</f>
        <v>0.23857391999999999</v>
      </c>
      <c r="J82" s="388">
        <v>59</v>
      </c>
      <c r="K82" s="388">
        <f>I82*$J$82%</f>
        <v>0.14075861279999999</v>
      </c>
      <c r="L82" s="388">
        <f>AVERAGE(K82:K84)</f>
        <v>0.16404827280000001</v>
      </c>
    </row>
    <row r="83" spans="1:15" s="381" customFormat="1" ht="15" customHeight="1">
      <c r="A83" s="381" t="s">
        <v>2</v>
      </c>
      <c r="B83" s="381" t="s">
        <v>3016</v>
      </c>
      <c r="C83" s="383"/>
      <c r="D83" s="389" t="s">
        <v>3157</v>
      </c>
      <c r="E83" s="389">
        <v>74.599999999999994</v>
      </c>
      <c r="F83" s="383"/>
      <c r="G83" s="388">
        <f>$F$82*E83%</f>
        <v>0.38046000000000002</v>
      </c>
      <c r="H83" s="388">
        <v>75.2</v>
      </c>
      <c r="I83" s="388">
        <f>G83*H83%</f>
        <v>0.28610592000000001</v>
      </c>
      <c r="J83" s="383" t="s">
        <v>3158</v>
      </c>
      <c r="K83" s="388">
        <f>I83*$J$82%</f>
        <v>0.16880249280000001</v>
      </c>
      <c r="L83" s="383"/>
    </row>
    <row r="84" spans="1:15" s="381" customFormat="1" ht="15" customHeight="1">
      <c r="A84" s="381" t="s">
        <v>2</v>
      </c>
      <c r="B84" s="381" t="s">
        <v>3016</v>
      </c>
      <c r="C84" s="383"/>
      <c r="D84" s="389" t="s">
        <v>3159</v>
      </c>
      <c r="E84" s="389">
        <v>77.2</v>
      </c>
      <c r="F84" s="383"/>
      <c r="G84" s="388">
        <f>$F$82*E84%</f>
        <v>0.39372000000000001</v>
      </c>
      <c r="H84" s="388">
        <v>78.599999999999994</v>
      </c>
      <c r="I84" s="388">
        <f>G84*H84%</f>
        <v>0.30946392</v>
      </c>
      <c r="J84" s="383"/>
      <c r="K84" s="388">
        <f>I84*$J$82%</f>
        <v>0.18258371279999999</v>
      </c>
      <c r="L84" s="383"/>
    </row>
    <row r="85" spans="1:15" s="381" customFormat="1" ht="15" customHeight="1">
      <c r="A85" s="381" t="s">
        <v>2</v>
      </c>
      <c r="B85" s="381" t="s">
        <v>3016</v>
      </c>
      <c r="C85" s="383"/>
      <c r="D85" s="390" t="s">
        <v>3033</v>
      </c>
      <c r="E85" s="390">
        <f>MAX(E82:E84)</f>
        <v>77.2</v>
      </c>
      <c r="F85" s="383"/>
      <c r="G85" s="383"/>
      <c r="H85" s="383" t="s">
        <v>3147</v>
      </c>
      <c r="I85" s="383"/>
      <c r="J85" s="383"/>
      <c r="K85" s="383"/>
      <c r="L85" s="383"/>
    </row>
    <row r="86" spans="1:15" s="381" customFormat="1" ht="15" customHeight="1">
      <c r="A86" s="381" t="s">
        <v>2</v>
      </c>
      <c r="B86" s="381" t="s">
        <v>3016</v>
      </c>
      <c r="C86" s="383"/>
      <c r="D86" s="388" t="s">
        <v>3034</v>
      </c>
      <c r="E86" s="388">
        <f>MIN(E82:E84)</f>
        <v>67.599999999999994</v>
      </c>
      <c r="F86" s="383"/>
      <c r="G86" s="383"/>
      <c r="H86" s="383"/>
      <c r="I86" s="383"/>
      <c r="J86" s="383"/>
      <c r="K86" s="383"/>
      <c r="L86" s="383"/>
    </row>
    <row r="87" spans="1:15" ht="14.4">
      <c r="A87" s="381" t="s">
        <v>2</v>
      </c>
      <c r="B87" s="381" t="s">
        <v>3016</v>
      </c>
      <c r="C87" s="383"/>
      <c r="D87" s="383"/>
      <c r="E87" s="383"/>
      <c r="F87" s="383"/>
      <c r="G87" s="383"/>
      <c r="H87" s="383"/>
      <c r="I87" s="383"/>
      <c r="J87" s="383"/>
      <c r="K87" s="383"/>
      <c r="L87" s="383"/>
    </row>
    <row r="88" spans="1:15" ht="14.4">
      <c r="A88" s="381" t="s">
        <v>2</v>
      </c>
      <c r="B88" s="381" t="s">
        <v>3016</v>
      </c>
    </row>
    <row r="89" spans="1:15" ht="14.4">
      <c r="A89" s="381" t="s">
        <v>2</v>
      </c>
      <c r="B89" s="381" t="s">
        <v>3016</v>
      </c>
      <c r="C89" s="381" t="s">
        <v>3145</v>
      </c>
      <c r="D89" t="s">
        <v>6087</v>
      </c>
    </row>
    <row r="90" spans="1:15" ht="14.4">
      <c r="A90" s="381" t="s">
        <v>2</v>
      </c>
      <c r="B90" s="381" t="s">
        <v>3016</v>
      </c>
      <c r="D90" t="s">
        <v>6088</v>
      </c>
    </row>
    <row r="91" spans="1:15" ht="14.4">
      <c r="A91" s="381" t="s">
        <v>2</v>
      </c>
      <c r="B91" s="381" t="s">
        <v>3016</v>
      </c>
    </row>
    <row r="92" spans="1:15" ht="14.4">
      <c r="A92" s="381" t="s">
        <v>2</v>
      </c>
      <c r="B92" s="381" t="s">
        <v>3016</v>
      </c>
      <c r="D92" t="s">
        <v>6089</v>
      </c>
    </row>
    <row r="93" spans="1:15" ht="14.4">
      <c r="A93" s="381" t="s">
        <v>2</v>
      </c>
      <c r="B93" s="381" t="s">
        <v>3016</v>
      </c>
      <c r="E93" t="s">
        <v>6090</v>
      </c>
      <c r="G93" t="s">
        <v>6091</v>
      </c>
      <c r="I93" t="s">
        <v>6092</v>
      </c>
      <c r="K93" t="s">
        <v>6093</v>
      </c>
    </row>
    <row r="94" spans="1:15" ht="14.4">
      <c r="A94" s="381" t="s">
        <v>2</v>
      </c>
      <c r="B94" s="381" t="s">
        <v>3016</v>
      </c>
      <c r="D94" t="s">
        <v>6094</v>
      </c>
      <c r="E94" t="s">
        <v>6095</v>
      </c>
      <c r="F94" t="s">
        <v>6096</v>
      </c>
      <c r="G94" t="s">
        <v>6095</v>
      </c>
      <c r="H94" t="s">
        <v>6096</v>
      </c>
      <c r="I94" t="s">
        <v>6095</v>
      </c>
      <c r="J94" t="s">
        <v>6096</v>
      </c>
      <c r="K94" t="s">
        <v>6095</v>
      </c>
      <c r="L94" t="s">
        <v>6096</v>
      </c>
    </row>
    <row r="95" spans="1:15" ht="14.4">
      <c r="A95" s="381" t="s">
        <v>2</v>
      </c>
      <c r="B95" s="381" t="s">
        <v>3016</v>
      </c>
      <c r="D95" t="s">
        <v>6097</v>
      </c>
    </row>
    <row r="96" spans="1:15" ht="14.4">
      <c r="A96" s="381" t="s">
        <v>2</v>
      </c>
      <c r="B96" s="381" t="s">
        <v>3016</v>
      </c>
      <c r="D96">
        <v>5036</v>
      </c>
      <c r="E96" t="s">
        <v>6098</v>
      </c>
      <c r="F96" t="s">
        <v>6099</v>
      </c>
      <c r="G96" t="s">
        <v>6100</v>
      </c>
      <c r="H96" t="s">
        <v>6101</v>
      </c>
      <c r="I96" t="s">
        <v>6102</v>
      </c>
      <c r="J96" t="s">
        <v>6103</v>
      </c>
      <c r="K96">
        <v>93.1</v>
      </c>
      <c r="L96">
        <v>92.5</v>
      </c>
      <c r="N96" s="48">
        <v>37.6</v>
      </c>
      <c r="O96" s="48">
        <v>37.9</v>
      </c>
    </row>
    <row r="97" spans="1:15" ht="14.4">
      <c r="A97" s="381" t="s">
        <v>2</v>
      </c>
      <c r="B97" s="381" t="s">
        <v>3016</v>
      </c>
      <c r="D97">
        <v>5037</v>
      </c>
      <c r="E97" t="s">
        <v>6104</v>
      </c>
      <c r="F97" t="s">
        <v>6105</v>
      </c>
      <c r="G97" t="s">
        <v>6106</v>
      </c>
      <c r="H97" t="s">
        <v>6107</v>
      </c>
      <c r="I97" t="s">
        <v>6108</v>
      </c>
      <c r="J97" t="s">
        <v>6109</v>
      </c>
      <c r="K97">
        <v>90.1</v>
      </c>
      <c r="L97">
        <v>89.6</v>
      </c>
      <c r="N97" s="48">
        <v>36.299999999999997</v>
      </c>
      <c r="O97" s="48">
        <v>37</v>
      </c>
    </row>
    <row r="98" spans="1:15" ht="14.4">
      <c r="A98" s="381" t="s">
        <v>2</v>
      </c>
      <c r="B98" s="381" t="s">
        <v>3016</v>
      </c>
      <c r="D98">
        <v>5038</v>
      </c>
      <c r="E98" t="s">
        <v>1660</v>
      </c>
      <c r="F98" t="s">
        <v>6110</v>
      </c>
      <c r="G98" t="s">
        <v>6106</v>
      </c>
      <c r="H98" t="s">
        <v>6111</v>
      </c>
      <c r="I98" t="s">
        <v>6108</v>
      </c>
      <c r="J98" t="s">
        <v>6112</v>
      </c>
      <c r="K98">
        <v>94.6</v>
      </c>
      <c r="L98">
        <v>94</v>
      </c>
      <c r="N98" s="48">
        <v>36.299999999999997</v>
      </c>
      <c r="O98" s="48">
        <v>35.9</v>
      </c>
    </row>
    <row r="99" spans="1:15" ht="14.4">
      <c r="A99" s="381" t="s">
        <v>2</v>
      </c>
      <c r="B99" s="381" t="s">
        <v>3016</v>
      </c>
      <c r="D99">
        <v>5039</v>
      </c>
      <c r="E99" t="s">
        <v>6113</v>
      </c>
      <c r="F99" t="s">
        <v>6114</v>
      </c>
      <c r="G99" t="s">
        <v>6115</v>
      </c>
      <c r="H99" t="s">
        <v>6116</v>
      </c>
      <c r="I99" t="s">
        <v>6117</v>
      </c>
      <c r="J99" t="s">
        <v>6118</v>
      </c>
      <c r="K99">
        <v>92.5</v>
      </c>
      <c r="L99">
        <v>91.5</v>
      </c>
      <c r="N99" s="48">
        <v>35.700000000000003</v>
      </c>
      <c r="O99" s="48">
        <v>36</v>
      </c>
    </row>
    <row r="100" spans="1:15" ht="14.4">
      <c r="A100" s="381" t="s">
        <v>2</v>
      </c>
      <c r="B100" s="381" t="s">
        <v>3016</v>
      </c>
      <c r="D100">
        <v>5040</v>
      </c>
      <c r="E100" t="s">
        <v>6119</v>
      </c>
      <c r="F100" t="s">
        <v>6120</v>
      </c>
      <c r="G100" t="s">
        <v>6121</v>
      </c>
      <c r="H100" t="s">
        <v>6122</v>
      </c>
      <c r="I100" t="s">
        <v>6123</v>
      </c>
      <c r="J100" t="s">
        <v>6124</v>
      </c>
      <c r="K100">
        <v>93.7</v>
      </c>
      <c r="L100">
        <v>93.8</v>
      </c>
      <c r="N100" s="48">
        <v>35.4</v>
      </c>
      <c r="O100" s="48">
        <v>35.299999999999997</v>
      </c>
    </row>
    <row r="101" spans="1:15" ht="14.4">
      <c r="A101" s="381" t="s">
        <v>2</v>
      </c>
      <c r="B101" s="381" t="s">
        <v>3016</v>
      </c>
      <c r="D101">
        <v>5042</v>
      </c>
      <c r="E101" t="s">
        <v>6125</v>
      </c>
      <c r="F101" t="s">
        <v>6126</v>
      </c>
      <c r="G101" t="s">
        <v>6127</v>
      </c>
      <c r="H101" t="s">
        <v>6128</v>
      </c>
      <c r="I101" t="s">
        <v>6129</v>
      </c>
      <c r="J101" t="s">
        <v>6130</v>
      </c>
      <c r="K101">
        <v>95</v>
      </c>
      <c r="L101">
        <v>94</v>
      </c>
      <c r="N101" s="48">
        <v>34.6</v>
      </c>
      <c r="O101" s="48">
        <v>34.799999999999997</v>
      </c>
    </row>
    <row r="102" spans="1:15" ht="14.4">
      <c r="A102" s="381" t="s">
        <v>2</v>
      </c>
      <c r="B102" s="381" t="s">
        <v>3016</v>
      </c>
      <c r="D102">
        <v>5043</v>
      </c>
      <c r="E102" t="s">
        <v>6131</v>
      </c>
      <c r="F102" t="s">
        <v>6132</v>
      </c>
      <c r="G102" t="s">
        <v>6133</v>
      </c>
      <c r="H102" t="s">
        <v>6134</v>
      </c>
      <c r="I102" t="s">
        <v>6135</v>
      </c>
      <c r="J102" t="s">
        <v>6136</v>
      </c>
      <c r="K102">
        <v>92.5</v>
      </c>
      <c r="L102">
        <v>94.3</v>
      </c>
      <c r="N102" s="48">
        <v>36.200000000000003</v>
      </c>
      <c r="O102" s="48">
        <v>35.700000000000003</v>
      </c>
    </row>
    <row r="103" spans="1:15" ht="14.4">
      <c r="A103" s="381" t="s">
        <v>2</v>
      </c>
      <c r="B103" s="381" t="s">
        <v>3016</v>
      </c>
      <c r="D103">
        <v>5044</v>
      </c>
      <c r="E103" t="s">
        <v>6137</v>
      </c>
      <c r="F103" t="s">
        <v>3263</v>
      </c>
      <c r="G103" t="s">
        <v>6138</v>
      </c>
      <c r="H103" t="s">
        <v>6139</v>
      </c>
      <c r="I103" t="s">
        <v>6112</v>
      </c>
      <c r="J103" t="s">
        <v>6140</v>
      </c>
      <c r="K103">
        <v>92.8</v>
      </c>
      <c r="L103">
        <v>94</v>
      </c>
      <c r="N103" s="48">
        <v>35.9</v>
      </c>
      <c r="O103" s="48">
        <v>35.6</v>
      </c>
    </row>
    <row r="104" spans="1:15" ht="14.4">
      <c r="A104" s="381" t="s">
        <v>2</v>
      </c>
      <c r="B104" s="381" t="s">
        <v>3016</v>
      </c>
      <c r="N104" s="48"/>
      <c r="O104" s="48"/>
    </row>
    <row r="105" spans="1:15" ht="14.4">
      <c r="A105" s="381" t="s">
        <v>2</v>
      </c>
      <c r="B105" s="381" t="s">
        <v>3016</v>
      </c>
      <c r="D105" t="s">
        <v>6141</v>
      </c>
      <c r="E105" t="s">
        <v>6142</v>
      </c>
      <c r="G105" t="s">
        <v>6143</v>
      </c>
      <c r="I105" t="s">
        <v>6144</v>
      </c>
      <c r="K105" t="s">
        <v>6145</v>
      </c>
      <c r="N105" s="48"/>
      <c r="O105" s="48"/>
    </row>
    <row r="106" spans="1:15" ht="14.4">
      <c r="A106" s="381" t="s">
        <v>2</v>
      </c>
      <c r="B106" s="381" t="s">
        <v>3016</v>
      </c>
      <c r="D106" t="s">
        <v>6146</v>
      </c>
      <c r="N106" s="48"/>
      <c r="O106" s="48"/>
    </row>
    <row r="107" spans="1:15" ht="14.4">
      <c r="A107" s="381" t="s">
        <v>2</v>
      </c>
      <c r="B107" s="381" t="s">
        <v>3016</v>
      </c>
      <c r="D107">
        <v>4701</v>
      </c>
      <c r="E107" t="s">
        <v>6147</v>
      </c>
      <c r="F107" t="s">
        <v>6148</v>
      </c>
      <c r="G107" t="s">
        <v>6149</v>
      </c>
      <c r="H107" t="s">
        <v>6100</v>
      </c>
      <c r="I107" t="s">
        <v>6150</v>
      </c>
      <c r="J107" t="s">
        <v>6151</v>
      </c>
      <c r="K107">
        <v>88.3</v>
      </c>
      <c r="L107">
        <v>89.2</v>
      </c>
      <c r="N107" s="48">
        <v>37.200000000000003</v>
      </c>
      <c r="O107" s="48">
        <v>37.5</v>
      </c>
    </row>
    <row r="108" spans="1:15" ht="14.4">
      <c r="A108" s="381" t="s">
        <v>2</v>
      </c>
      <c r="B108" s="381" t="s">
        <v>3016</v>
      </c>
      <c r="D108">
        <v>4702</v>
      </c>
      <c r="E108" t="s">
        <v>6152</v>
      </c>
      <c r="F108" t="s">
        <v>6153</v>
      </c>
      <c r="G108" t="s">
        <v>6154</v>
      </c>
      <c r="H108" t="s">
        <v>6155</v>
      </c>
      <c r="I108" t="s">
        <v>6156</v>
      </c>
      <c r="J108" t="s">
        <v>6157</v>
      </c>
      <c r="K108">
        <v>86.8</v>
      </c>
      <c r="L108">
        <v>87.6</v>
      </c>
      <c r="N108" s="48">
        <v>35.200000000000003</v>
      </c>
      <c r="O108" s="48">
        <v>35.1</v>
      </c>
    </row>
    <row r="109" spans="1:15" ht="14.4">
      <c r="A109" s="381" t="s">
        <v>2</v>
      </c>
      <c r="B109" s="381" t="s">
        <v>3016</v>
      </c>
      <c r="D109">
        <v>4703</v>
      </c>
      <c r="E109" t="s">
        <v>6158</v>
      </c>
      <c r="F109" t="s">
        <v>6159</v>
      </c>
      <c r="G109" t="s">
        <v>6160</v>
      </c>
      <c r="H109" t="s">
        <v>6161</v>
      </c>
      <c r="I109" t="s">
        <v>6162</v>
      </c>
      <c r="J109" t="s">
        <v>6163</v>
      </c>
      <c r="K109">
        <v>88.5</v>
      </c>
      <c r="L109">
        <v>88.8</v>
      </c>
      <c r="N109" s="48">
        <v>34.200000000000003</v>
      </c>
      <c r="O109" s="48">
        <v>34.299999999999997</v>
      </c>
    </row>
    <row r="110" spans="1:15" ht="14.4">
      <c r="A110" s="381" t="s">
        <v>2</v>
      </c>
      <c r="B110" s="381" t="s">
        <v>3016</v>
      </c>
      <c r="D110">
        <v>4704</v>
      </c>
      <c r="E110" t="s">
        <v>6164</v>
      </c>
      <c r="F110" t="s">
        <v>6165</v>
      </c>
      <c r="G110" t="s">
        <v>6166</v>
      </c>
      <c r="H110" t="s">
        <v>6167</v>
      </c>
      <c r="I110" t="s">
        <v>6168</v>
      </c>
      <c r="J110" t="s">
        <v>6169</v>
      </c>
      <c r="K110">
        <v>88.4</v>
      </c>
      <c r="L110">
        <v>87.9</v>
      </c>
      <c r="N110" s="48">
        <v>37.200000000000003</v>
      </c>
      <c r="O110" s="48">
        <v>37</v>
      </c>
    </row>
    <row r="111" spans="1:15" ht="14.4">
      <c r="A111" s="381" t="s">
        <v>2</v>
      </c>
      <c r="B111" s="381" t="s">
        <v>3016</v>
      </c>
      <c r="N111" s="48"/>
      <c r="O111" s="48"/>
    </row>
    <row r="112" spans="1:15" ht="14.4">
      <c r="A112" s="381" t="s">
        <v>2</v>
      </c>
      <c r="B112" s="381" t="s">
        <v>3016</v>
      </c>
      <c r="D112" t="s">
        <v>6170</v>
      </c>
      <c r="E112" t="s">
        <v>6171</v>
      </c>
      <c r="G112" t="s">
        <v>6172</v>
      </c>
      <c r="I112" t="s">
        <v>6173</v>
      </c>
      <c r="K112" t="s">
        <v>6174</v>
      </c>
      <c r="M112" t="s">
        <v>510</v>
      </c>
      <c r="N112" s="48">
        <f>AVERAGE(N96:O110)</f>
        <v>35.995833333333344</v>
      </c>
      <c r="O112" s="48"/>
    </row>
    <row r="113" spans="1:14" ht="14.4">
      <c r="A113" s="381" t="s">
        <v>2</v>
      </c>
      <c r="B113" s="381" t="s">
        <v>3016</v>
      </c>
      <c r="D113" t="s">
        <v>1177</v>
      </c>
      <c r="E113" t="s">
        <v>6175</v>
      </c>
    </row>
    <row r="114" spans="1:14" ht="14.4">
      <c r="A114" s="381" t="s">
        <v>2</v>
      </c>
      <c r="B114" s="381" t="s">
        <v>3016</v>
      </c>
      <c r="D114" t="s">
        <v>1179</v>
      </c>
      <c r="E114" t="s">
        <v>6176</v>
      </c>
      <c r="M114" t="s">
        <v>4104</v>
      </c>
      <c r="N114">
        <f>MIN(N96:O110)</f>
        <v>34.200000000000003</v>
      </c>
    </row>
    <row r="115" spans="1:14" ht="14.4">
      <c r="A115" s="381" t="s">
        <v>2</v>
      </c>
      <c r="B115" s="381" t="s">
        <v>3016</v>
      </c>
      <c r="D115" t="s">
        <v>1861</v>
      </c>
      <c r="E115" t="s">
        <v>6177</v>
      </c>
      <c r="M115" t="s">
        <v>4103</v>
      </c>
      <c r="N115">
        <f>MAX(N96:O110)</f>
        <v>37.9</v>
      </c>
    </row>
    <row r="116" spans="1:14" ht="14.4">
      <c r="A116" s="381" t="s">
        <v>2</v>
      </c>
      <c r="B116" s="381" t="s">
        <v>3016</v>
      </c>
    </row>
    <row r="117" spans="1:14" ht="14.4">
      <c r="A117" s="381" t="s">
        <v>2</v>
      </c>
      <c r="B117" s="381" t="s">
        <v>3016</v>
      </c>
      <c r="D117" s="48" t="s">
        <v>6181</v>
      </c>
      <c r="E117" s="48">
        <f>N112/100</f>
        <v>0.35995833333333344</v>
      </c>
    </row>
    <row r="118" spans="1:14" ht="14.4">
      <c r="A118" s="381" t="s">
        <v>2</v>
      </c>
      <c r="B118" s="381" t="s">
        <v>3016</v>
      </c>
    </row>
    <row r="119" spans="1:14" ht="14.4">
      <c r="A119" s="381" t="s">
        <v>2</v>
      </c>
      <c r="B119" s="381" t="s">
        <v>3016</v>
      </c>
      <c r="D119" s="382" t="s">
        <v>6178</v>
      </c>
      <c r="F119" t="s">
        <v>6179</v>
      </c>
    </row>
    <row r="120" spans="1:14" ht="14.4">
      <c r="A120" s="381" t="s">
        <v>2</v>
      </c>
      <c r="B120" s="381" t="s">
        <v>3016</v>
      </c>
    </row>
    <row r="121" spans="1:14" ht="14.4">
      <c r="A121" s="381" t="s">
        <v>2</v>
      </c>
      <c r="B121" s="381" t="s">
        <v>3016</v>
      </c>
      <c r="D121" t="s">
        <v>6180</v>
      </c>
      <c r="E121">
        <f>AVERAGE(26.25, 34.15)</f>
        <v>30.2</v>
      </c>
    </row>
    <row r="122" spans="1:14" ht="14.4">
      <c r="A122" s="381" t="s">
        <v>2</v>
      </c>
      <c r="B122" s="381" t="s">
        <v>3016</v>
      </c>
      <c r="D122" s="48" t="s">
        <v>6182</v>
      </c>
      <c r="E122">
        <f>E117*(1-E121%)</f>
        <v>0.25125091666666671</v>
      </c>
    </row>
    <row r="123" spans="1:14" ht="14.4">
      <c r="A123" s="381" t="s">
        <v>2</v>
      </c>
      <c r="B123" s="381" t="s">
        <v>3016</v>
      </c>
    </row>
    <row r="124" spans="1:14" ht="14.4">
      <c r="A124" s="381" t="s">
        <v>2</v>
      </c>
      <c r="B124" s="381" t="s">
        <v>3016</v>
      </c>
    </row>
    <row r="125" spans="1:14" ht="14.4">
      <c r="A125" s="381" t="s">
        <v>2</v>
      </c>
      <c r="B125" s="381" t="s">
        <v>3016</v>
      </c>
    </row>
    <row r="126" spans="1:14" ht="14.4">
      <c r="A126" s="381" t="s">
        <v>2</v>
      </c>
      <c r="B126" s="381" t="s">
        <v>3016</v>
      </c>
    </row>
    <row r="127" spans="1:14" ht="14.4">
      <c r="A127" s="381" t="s">
        <v>2</v>
      </c>
      <c r="B127" s="381" t="s">
        <v>3016</v>
      </c>
    </row>
    <row r="128" spans="1:14" ht="14.4">
      <c r="A128" s="381" t="s">
        <v>2</v>
      </c>
      <c r="B128" s="381" t="s">
        <v>3016</v>
      </c>
    </row>
    <row r="129" spans="1:8" ht="15" customHeight="1">
      <c r="A129" t="s">
        <v>2</v>
      </c>
      <c r="B129" s="381" t="s">
        <v>3016</v>
      </c>
    </row>
    <row r="130" spans="1:8" ht="15" customHeight="1">
      <c r="A130" t="s">
        <v>2</v>
      </c>
      <c r="B130" t="s">
        <v>4567</v>
      </c>
      <c r="C130" t="s">
        <v>4</v>
      </c>
      <c r="D130" t="s">
        <v>4557</v>
      </c>
    </row>
    <row r="131" spans="1:8" ht="15" customHeight="1">
      <c r="A131" t="s">
        <v>2</v>
      </c>
      <c r="B131" t="s">
        <v>4567</v>
      </c>
      <c r="D131" s="26" t="s">
        <v>4558</v>
      </c>
    </row>
    <row r="132" spans="1:8" ht="15" customHeight="1">
      <c r="A132" t="s">
        <v>2</v>
      </c>
      <c r="B132" t="s">
        <v>4567</v>
      </c>
      <c r="D132" t="s">
        <v>4563</v>
      </c>
    </row>
    <row r="133" spans="1:8" ht="15" customHeight="1">
      <c r="A133" t="s">
        <v>2</v>
      </c>
      <c r="B133" t="s">
        <v>4567</v>
      </c>
      <c r="D133" t="s">
        <v>4559</v>
      </c>
      <c r="E133" t="s">
        <v>4560</v>
      </c>
      <c r="F133">
        <v>0.31</v>
      </c>
    </row>
    <row r="134" spans="1:8" ht="15" customHeight="1">
      <c r="A134" t="s">
        <v>2</v>
      </c>
      <c r="B134" t="s">
        <v>4567</v>
      </c>
      <c r="D134" t="s">
        <v>4564</v>
      </c>
      <c r="E134" t="s">
        <v>4561</v>
      </c>
      <c r="F134">
        <v>2.68</v>
      </c>
    </row>
    <row r="135" spans="1:8" ht="15" customHeight="1">
      <c r="A135" t="s">
        <v>2</v>
      </c>
      <c r="B135" t="s">
        <v>4567</v>
      </c>
      <c r="E135" t="s">
        <v>4562</v>
      </c>
      <c r="F135">
        <v>0.56000000000000005</v>
      </c>
    </row>
    <row r="136" spans="1:8" ht="15" customHeight="1">
      <c r="A136" t="s">
        <v>2</v>
      </c>
      <c r="B136" t="s">
        <v>4567</v>
      </c>
      <c r="E136" t="s">
        <v>4565</v>
      </c>
      <c r="F136">
        <v>3.31</v>
      </c>
    </row>
    <row r="137" spans="1:8" ht="15" customHeight="1">
      <c r="A137" t="s">
        <v>2</v>
      </c>
      <c r="B137" t="s">
        <v>4567</v>
      </c>
      <c r="E137" t="s">
        <v>510</v>
      </c>
      <c r="F137">
        <f>AVERAGE(F133:F136)</f>
        <v>1.7150000000000001</v>
      </c>
    </row>
    <row r="138" spans="1:8" ht="15" customHeight="1">
      <c r="A138" t="s">
        <v>2</v>
      </c>
      <c r="B138" t="s">
        <v>4567</v>
      </c>
      <c r="D138" t="s">
        <v>4566</v>
      </c>
      <c r="E138" s="140">
        <v>0.375</v>
      </c>
    </row>
    <row r="139" spans="1:8" ht="15" customHeight="1">
      <c r="A139" t="s">
        <v>2</v>
      </c>
      <c r="B139" t="s">
        <v>4567</v>
      </c>
      <c r="D139" t="s">
        <v>4569</v>
      </c>
      <c r="E139">
        <f>F137/(100/(1-E138))</f>
        <v>1.0718750000000001E-2</v>
      </c>
    </row>
    <row r="140" spans="1:8" ht="15" customHeight="1">
      <c r="A140" t="s">
        <v>2</v>
      </c>
      <c r="B140" t="s">
        <v>4568</v>
      </c>
    </row>
    <row r="141" spans="1:8" ht="15" customHeight="1">
      <c r="A141" t="s">
        <v>2</v>
      </c>
      <c r="B141" t="s">
        <v>4568</v>
      </c>
      <c r="C141" t="s">
        <v>4</v>
      </c>
      <c r="D141" s="7" t="s">
        <v>3160</v>
      </c>
      <c r="H141" t="s">
        <v>3161</v>
      </c>
    </row>
    <row r="142" spans="1:8" ht="15" customHeight="1">
      <c r="A142" t="s">
        <v>2</v>
      </c>
      <c r="B142" t="s">
        <v>4568</v>
      </c>
      <c r="D142" s="7" t="s">
        <v>3162</v>
      </c>
    </row>
    <row r="143" spans="1:8" ht="15" customHeight="1">
      <c r="A143" t="s">
        <v>2</v>
      </c>
      <c r="B143" t="s">
        <v>4568</v>
      </c>
      <c r="D143" s="284" t="s">
        <v>3163</v>
      </c>
      <c r="E143" s="284" t="s">
        <v>3164</v>
      </c>
      <c r="F143" s="285" t="s">
        <v>3023</v>
      </c>
    </row>
    <row r="144" spans="1:8" ht="15" customHeight="1">
      <c r="A144" t="s">
        <v>2</v>
      </c>
      <c r="B144" t="s">
        <v>4568</v>
      </c>
      <c r="D144" s="284" t="s">
        <v>3165</v>
      </c>
      <c r="E144" s="298">
        <v>38.9</v>
      </c>
      <c r="F144" s="286">
        <f>AVERAGE(E144:E146)/100</f>
        <v>0.49633333333333335</v>
      </c>
    </row>
    <row r="145" spans="1:13" ht="15" customHeight="1">
      <c r="A145" t="s">
        <v>2</v>
      </c>
      <c r="B145" t="s">
        <v>4568</v>
      </c>
      <c r="D145" s="284" t="s">
        <v>3166</v>
      </c>
      <c r="E145" s="298">
        <v>60.1</v>
      </c>
    </row>
    <row r="146" spans="1:13" ht="15" customHeight="1">
      <c r="A146" t="s">
        <v>2</v>
      </c>
      <c r="B146" t="s">
        <v>4568</v>
      </c>
      <c r="D146" s="284" t="s">
        <v>3167</v>
      </c>
      <c r="E146" s="298">
        <v>49.9</v>
      </c>
    </row>
    <row r="147" spans="1:13" ht="15" customHeight="1">
      <c r="A147" t="s">
        <v>2</v>
      </c>
      <c r="B147" t="s">
        <v>4568</v>
      </c>
      <c r="D147" s="297" t="s">
        <v>3033</v>
      </c>
      <c r="E147" s="299">
        <f>MAX(E144:E146)</f>
        <v>60.1</v>
      </c>
    </row>
    <row r="148" spans="1:13" ht="15" customHeight="1">
      <c r="A148" t="s">
        <v>2</v>
      </c>
      <c r="B148" t="s">
        <v>4568</v>
      </c>
      <c r="D148" s="48" t="s">
        <v>3034</v>
      </c>
      <c r="E148" s="51">
        <f>MIN(E144:E146)</f>
        <v>38.9</v>
      </c>
    </row>
    <row r="149" spans="1:13" ht="15" customHeight="1">
      <c r="A149" t="s">
        <v>2</v>
      </c>
      <c r="B149" t="s">
        <v>4568</v>
      </c>
    </row>
    <row r="150" spans="1:13" ht="15" customHeight="1">
      <c r="A150" t="s">
        <v>3168</v>
      </c>
      <c r="B150" t="s">
        <v>3016</v>
      </c>
      <c r="C150" s="383" t="s">
        <v>4</v>
      </c>
      <c r="D150" s="384" t="s">
        <v>3169</v>
      </c>
      <c r="E150" s="383"/>
      <c r="F150" s="383"/>
      <c r="G150" s="383" t="s">
        <v>6</v>
      </c>
      <c r="H150" s="385" t="s">
        <v>6216</v>
      </c>
      <c r="I150" s="383"/>
      <c r="J150" s="383"/>
      <c r="K150" s="383"/>
      <c r="L150" s="383"/>
      <c r="M150" s="383"/>
    </row>
    <row r="151" spans="1:13" ht="15" customHeight="1">
      <c r="A151" t="s">
        <v>3168</v>
      </c>
      <c r="B151" t="s">
        <v>3016</v>
      </c>
      <c r="C151" s="383"/>
      <c r="D151" s="384" t="s">
        <v>3170</v>
      </c>
      <c r="E151" s="383"/>
      <c r="F151" s="383"/>
      <c r="G151" s="383"/>
      <c r="H151" s="383"/>
      <c r="I151" s="383"/>
      <c r="J151" s="383"/>
      <c r="K151" s="383"/>
      <c r="L151" s="383"/>
      <c r="M151" s="383"/>
    </row>
    <row r="152" spans="1:13" ht="15" customHeight="1">
      <c r="A152" t="s">
        <v>3168</v>
      </c>
      <c r="B152" t="s">
        <v>3016</v>
      </c>
      <c r="C152" s="383"/>
      <c r="D152" s="391" t="s">
        <v>3171</v>
      </c>
      <c r="E152" s="391" t="s">
        <v>760</v>
      </c>
      <c r="F152" s="391" t="s">
        <v>3172</v>
      </c>
      <c r="G152" s="391" t="s">
        <v>699</v>
      </c>
      <c r="H152" s="391" t="s">
        <v>3173</v>
      </c>
      <c r="I152" s="391" t="s">
        <v>2900</v>
      </c>
      <c r="J152" s="388" t="s">
        <v>3174</v>
      </c>
      <c r="K152" s="388" t="s">
        <v>3175</v>
      </c>
      <c r="L152" s="388" t="s">
        <v>3176</v>
      </c>
      <c r="M152" s="388" t="s">
        <v>3177</v>
      </c>
    </row>
    <row r="153" spans="1:13" ht="15" customHeight="1">
      <c r="A153" t="s">
        <v>3168</v>
      </c>
      <c r="B153" t="s">
        <v>3016</v>
      </c>
      <c r="C153" s="383"/>
      <c r="D153" s="392" t="s">
        <v>3178</v>
      </c>
      <c r="E153" s="392" t="s">
        <v>3179</v>
      </c>
      <c r="F153" s="392" t="s">
        <v>3180</v>
      </c>
      <c r="G153" s="392" t="s">
        <v>3181</v>
      </c>
      <c r="H153" s="392" t="s">
        <v>3182</v>
      </c>
      <c r="I153" s="392" t="s">
        <v>1131</v>
      </c>
      <c r="J153" s="383"/>
      <c r="K153" s="388">
        <v>20.5</v>
      </c>
      <c r="L153" s="383"/>
      <c r="M153" s="388">
        <f>AVERAGE(L154:L157)</f>
        <v>9.046371810097914E-2</v>
      </c>
    </row>
    <row r="154" spans="1:13" ht="15" customHeight="1">
      <c r="A154" t="s">
        <v>3168</v>
      </c>
      <c r="B154" t="s">
        <v>3016</v>
      </c>
      <c r="C154" s="383"/>
      <c r="D154" s="392" t="s">
        <v>3183</v>
      </c>
      <c r="E154" s="392" t="s">
        <v>3179</v>
      </c>
      <c r="F154" s="392" t="s">
        <v>3180</v>
      </c>
      <c r="G154" s="392" t="s">
        <v>3181</v>
      </c>
      <c r="H154" s="392">
        <v>1.9</v>
      </c>
      <c r="I154" s="392" t="s">
        <v>1131</v>
      </c>
      <c r="J154" s="388">
        <f t="shared" ref="J154:J157" si="2">H154/100*(96.0846/150.13)</f>
        <v>1.2160177179777526E-2</v>
      </c>
      <c r="K154" s="383"/>
      <c r="L154" s="388">
        <f t="shared" ref="L154:L157" si="3">J154*$K$153/100</f>
        <v>2.492836321854393E-3</v>
      </c>
      <c r="M154" s="383"/>
    </row>
    <row r="155" spans="1:13" ht="15" customHeight="1">
      <c r="A155" t="s">
        <v>3168</v>
      </c>
      <c r="B155" t="s">
        <v>3016</v>
      </c>
      <c r="C155" s="383"/>
      <c r="D155" s="392" t="s">
        <v>3184</v>
      </c>
      <c r="E155" s="392" t="s">
        <v>3179</v>
      </c>
      <c r="F155" s="392" t="s">
        <v>3180</v>
      </c>
      <c r="G155" s="392" t="s">
        <v>3181</v>
      </c>
      <c r="H155" s="392">
        <v>89.3</v>
      </c>
      <c r="I155" s="392" t="s">
        <v>1131</v>
      </c>
      <c r="J155" s="388">
        <f t="shared" si="2"/>
        <v>0.57152832744954374</v>
      </c>
      <c r="K155" s="383"/>
      <c r="L155" s="388">
        <f t="shared" si="3"/>
        <v>0.11716330712715646</v>
      </c>
      <c r="M155" s="383"/>
    </row>
    <row r="156" spans="1:13" ht="15" customHeight="1">
      <c r="A156" t="s">
        <v>3168</v>
      </c>
      <c r="B156" t="s">
        <v>3016</v>
      </c>
      <c r="C156" s="383"/>
      <c r="D156" s="392" t="s">
        <v>3185</v>
      </c>
      <c r="E156" s="392" t="s">
        <v>3179</v>
      </c>
      <c r="F156" s="392" t="s">
        <v>3180</v>
      </c>
      <c r="G156" s="392" t="s">
        <v>3181</v>
      </c>
      <c r="H156" s="392">
        <v>93</v>
      </c>
      <c r="I156" s="392" t="s">
        <v>1131</v>
      </c>
      <c r="J156" s="388">
        <f t="shared" si="2"/>
        <v>0.59520867248384735</v>
      </c>
      <c r="K156" s="383"/>
      <c r="L156" s="388">
        <f t="shared" si="3"/>
        <v>0.12201777785918871</v>
      </c>
      <c r="M156" s="383"/>
    </row>
    <row r="157" spans="1:13" ht="15" customHeight="1">
      <c r="A157" t="s">
        <v>3168</v>
      </c>
      <c r="B157" t="s">
        <v>3016</v>
      </c>
      <c r="C157" s="383"/>
      <c r="D157" s="394" t="s">
        <v>3186</v>
      </c>
      <c r="E157" s="394" t="s">
        <v>3179</v>
      </c>
      <c r="F157" s="394" t="s">
        <v>3180</v>
      </c>
      <c r="G157" s="394" t="s">
        <v>3181</v>
      </c>
      <c r="H157" s="394">
        <v>91.6</v>
      </c>
      <c r="I157" s="394" t="s">
        <v>1131</v>
      </c>
      <c r="J157" s="388">
        <f t="shared" si="2"/>
        <v>0.58624854193032694</v>
      </c>
      <c r="K157" s="383"/>
      <c r="L157" s="388">
        <f t="shared" si="3"/>
        <v>0.12018095109571701</v>
      </c>
      <c r="M157" s="383"/>
    </row>
    <row r="158" spans="1:13" ht="15" customHeight="1">
      <c r="A158" t="s">
        <v>3168</v>
      </c>
      <c r="B158" t="s">
        <v>3016</v>
      </c>
      <c r="C158" s="383"/>
      <c r="D158" s="400" t="s">
        <v>3187</v>
      </c>
      <c r="E158" s="383"/>
      <c r="F158" s="383"/>
      <c r="G158" s="383"/>
      <c r="H158" s="383"/>
      <c r="I158" s="383"/>
      <c r="J158" s="383"/>
      <c r="K158" s="383"/>
      <c r="L158" s="383"/>
      <c r="M158" s="383"/>
    </row>
    <row r="159" spans="1:13" ht="15" customHeight="1">
      <c r="A159" t="s">
        <v>3168</v>
      </c>
      <c r="B159" t="s">
        <v>3016</v>
      </c>
      <c r="C159" s="383"/>
      <c r="D159" s="383"/>
      <c r="E159" s="383"/>
      <c r="F159" s="383"/>
      <c r="G159" s="388" t="s">
        <v>3033</v>
      </c>
      <c r="H159" s="388">
        <f>MAX(H154:H157)</f>
        <v>93</v>
      </c>
      <c r="I159" s="383"/>
      <c r="J159" s="383"/>
      <c r="K159" s="383"/>
      <c r="L159" s="383"/>
      <c r="M159" s="383"/>
    </row>
    <row r="160" spans="1:13" ht="15" customHeight="1">
      <c r="A160" t="s">
        <v>3168</v>
      </c>
      <c r="B160" t="s">
        <v>3016</v>
      </c>
      <c r="C160" s="383"/>
      <c r="D160" s="383"/>
      <c r="E160" s="383"/>
      <c r="F160" s="383"/>
      <c r="G160" s="388" t="s">
        <v>3034</v>
      </c>
      <c r="H160" s="388">
        <f>MIN(H154:H157)</f>
        <v>1.9</v>
      </c>
      <c r="I160" s="383"/>
      <c r="J160" s="383"/>
      <c r="K160" s="383"/>
      <c r="L160" s="383"/>
      <c r="M160" s="383"/>
    </row>
    <row r="161" spans="1:13" ht="15" customHeight="1">
      <c r="A161" t="s">
        <v>3168</v>
      </c>
      <c r="B161" t="s">
        <v>3016</v>
      </c>
      <c r="C161" s="383"/>
      <c r="D161" s="383"/>
      <c r="E161" s="383"/>
      <c r="F161" s="383"/>
      <c r="G161" s="383"/>
      <c r="H161" s="383"/>
      <c r="I161" s="383"/>
      <c r="J161" s="383"/>
      <c r="K161" s="383"/>
      <c r="L161" s="383"/>
      <c r="M161" s="383"/>
    </row>
    <row r="162" spans="1:13" ht="15" customHeight="1">
      <c r="A162" t="s">
        <v>3168</v>
      </c>
      <c r="B162" t="s">
        <v>3016</v>
      </c>
      <c r="C162" s="383"/>
      <c r="D162" s="383"/>
      <c r="E162" s="383"/>
      <c r="F162" s="383"/>
      <c r="G162" s="383"/>
      <c r="H162" s="383"/>
      <c r="I162" s="383"/>
      <c r="J162" s="383"/>
      <c r="K162" s="383"/>
      <c r="L162" s="383"/>
      <c r="M162" s="383"/>
    </row>
    <row r="163" spans="1:13" ht="15" customHeight="1">
      <c r="A163" t="s">
        <v>3168</v>
      </c>
      <c r="B163" t="s">
        <v>3016</v>
      </c>
      <c r="C163" s="383"/>
      <c r="D163" s="383"/>
      <c r="E163" s="383"/>
      <c r="F163" s="383"/>
      <c r="G163" s="383"/>
      <c r="H163" s="383"/>
      <c r="I163" s="383"/>
      <c r="J163" s="383"/>
      <c r="K163" s="383"/>
      <c r="L163" s="383"/>
      <c r="M163" s="383"/>
    </row>
    <row r="164" spans="1:13" ht="15" customHeight="1">
      <c r="A164" t="s">
        <v>3168</v>
      </c>
      <c r="B164" t="s">
        <v>3016</v>
      </c>
    </row>
    <row r="165" spans="1:13" ht="15" customHeight="1">
      <c r="A165" t="s">
        <v>3168</v>
      </c>
      <c r="B165" t="s">
        <v>3016</v>
      </c>
      <c r="C165" t="s">
        <v>473</v>
      </c>
      <c r="D165" s="7" t="s">
        <v>3188</v>
      </c>
      <c r="G165" t="s">
        <v>3189</v>
      </c>
    </row>
    <row r="166" spans="1:13" ht="15" customHeight="1">
      <c r="A166" t="s">
        <v>3168</v>
      </c>
      <c r="B166" t="s">
        <v>3016</v>
      </c>
      <c r="D166" s="7" t="s">
        <v>3190</v>
      </c>
    </row>
    <row r="167" spans="1:13" ht="15" customHeight="1">
      <c r="A167" t="s">
        <v>3168</v>
      </c>
      <c r="B167" t="s">
        <v>3016</v>
      </c>
      <c r="D167" s="295" t="s">
        <v>759</v>
      </c>
      <c r="E167" s="295" t="s">
        <v>3191</v>
      </c>
      <c r="F167" s="295" t="s">
        <v>3173</v>
      </c>
      <c r="G167" s="295" t="s">
        <v>3192</v>
      </c>
      <c r="H167" s="48" t="s">
        <v>3174</v>
      </c>
      <c r="I167" s="48" t="s">
        <v>3193</v>
      </c>
      <c r="J167" s="48" t="s">
        <v>3176</v>
      </c>
      <c r="K167" s="48" t="s">
        <v>3177</v>
      </c>
    </row>
    <row r="168" spans="1:13" ht="15" customHeight="1">
      <c r="A168" t="s">
        <v>3168</v>
      </c>
      <c r="B168" t="s">
        <v>3016</v>
      </c>
      <c r="D168" s="292">
        <v>1</v>
      </c>
      <c r="E168" s="292">
        <v>40</v>
      </c>
      <c r="F168" s="292">
        <v>62.4</v>
      </c>
      <c r="G168" s="292">
        <v>27.1</v>
      </c>
      <c r="H168" s="48">
        <f>F168/100*(96.0846/150.13)</f>
        <v>0.39936581895690398</v>
      </c>
      <c r="I168" s="51">
        <f>[1]MonoSugar!$J$2</f>
        <v>3.9367676767676767</v>
      </c>
      <c r="J168" s="48">
        <f>H168*$I$168/100</f>
        <v>1.5722104472753917E-2</v>
      </c>
      <c r="K168" s="48">
        <f>AVERAGE(J168:J174)</f>
        <v>1.1985945030739591E-2</v>
      </c>
    </row>
    <row r="169" spans="1:13" ht="15" customHeight="1">
      <c r="A169" t="s">
        <v>3168</v>
      </c>
      <c r="B169" t="s">
        <v>3016</v>
      </c>
      <c r="D169" s="292">
        <v>2</v>
      </c>
      <c r="E169" s="292">
        <v>50</v>
      </c>
      <c r="F169" s="292">
        <v>57.6</v>
      </c>
      <c r="G169" s="292">
        <v>14.8</v>
      </c>
      <c r="H169" s="48">
        <f t="shared" ref="H169:H174" si="4">F169/100*(96.0846/150.13)</f>
        <v>0.36864537134483449</v>
      </c>
      <c r="J169" s="48">
        <f t="shared" ref="J169:J174" si="5">H169*$I$168/100</f>
        <v>1.4512711821003615E-2</v>
      </c>
    </row>
    <row r="170" spans="1:13" ht="15" customHeight="1">
      <c r="A170" t="s">
        <v>3168</v>
      </c>
      <c r="B170" t="s">
        <v>3016</v>
      </c>
      <c r="D170" s="292">
        <v>3</v>
      </c>
      <c r="E170" s="292">
        <v>60</v>
      </c>
      <c r="F170" s="292">
        <v>50.8</v>
      </c>
      <c r="G170" s="292">
        <v>11.4</v>
      </c>
      <c r="H170" s="48">
        <f t="shared" si="4"/>
        <v>0.32512473722773594</v>
      </c>
      <c r="J170" s="48">
        <f t="shared" si="5"/>
        <v>1.2799405564357354E-2</v>
      </c>
    </row>
    <row r="171" spans="1:13" ht="15" customHeight="1">
      <c r="A171" t="s">
        <v>3168</v>
      </c>
      <c r="B171" t="s">
        <v>3016</v>
      </c>
      <c r="D171" s="292">
        <v>4</v>
      </c>
      <c r="E171" s="292">
        <v>70</v>
      </c>
      <c r="F171" s="292">
        <v>29</v>
      </c>
      <c r="G171" s="292">
        <v>8.5</v>
      </c>
      <c r="H171" s="48">
        <f t="shared" si="4"/>
        <v>0.18560270432292011</v>
      </c>
      <c r="J171" s="48">
        <f t="shared" si="5"/>
        <v>7.3067472709914026E-3</v>
      </c>
    </row>
    <row r="172" spans="1:13" ht="15" customHeight="1">
      <c r="A172" t="s">
        <v>3168</v>
      </c>
      <c r="B172" t="s">
        <v>3016</v>
      </c>
      <c r="D172" s="301" t="s">
        <v>3194</v>
      </c>
      <c r="E172" s="290">
        <v>70</v>
      </c>
      <c r="F172" s="290">
        <v>22.7</v>
      </c>
      <c r="G172" s="290">
        <v>6.8</v>
      </c>
      <c r="H172" s="48">
        <f t="shared" si="4"/>
        <v>0.14528211683207884</v>
      </c>
      <c r="J172" s="48">
        <f t="shared" si="5"/>
        <v>5.7194194155691311E-3</v>
      </c>
    </row>
    <row r="173" spans="1:13" ht="15" customHeight="1">
      <c r="A173" t="s">
        <v>3168</v>
      </c>
      <c r="B173" t="s">
        <v>3016</v>
      </c>
      <c r="D173" s="306" t="s">
        <v>3195</v>
      </c>
      <c r="F173">
        <v>36.6</v>
      </c>
      <c r="H173" s="48">
        <f t="shared" si="4"/>
        <v>0.23424341304203022</v>
      </c>
      <c r="J173" s="48">
        <f t="shared" si="5"/>
        <v>9.2216189695960467E-3</v>
      </c>
    </row>
    <row r="174" spans="1:13" ht="15" customHeight="1">
      <c r="A174" t="s">
        <v>3168</v>
      </c>
      <c r="B174" t="s">
        <v>3016</v>
      </c>
      <c r="D174" t="s">
        <v>3196</v>
      </c>
      <c r="F174">
        <v>73.900000000000006</v>
      </c>
      <c r="H174" s="48">
        <f t="shared" si="4"/>
        <v>0.47296689136082065</v>
      </c>
      <c r="J174" s="48">
        <f t="shared" si="5"/>
        <v>1.8619607700905681E-2</v>
      </c>
    </row>
    <row r="175" spans="1:13" ht="15" customHeight="1">
      <c r="A175" t="s">
        <v>3168</v>
      </c>
      <c r="B175" t="s">
        <v>3016</v>
      </c>
      <c r="E175" s="48" t="s">
        <v>3033</v>
      </c>
      <c r="F175" s="48">
        <f>MAX(F168:F174)</f>
        <v>73.900000000000006</v>
      </c>
    </row>
    <row r="176" spans="1:13" ht="15" customHeight="1">
      <c r="A176" t="s">
        <v>3168</v>
      </c>
      <c r="B176" t="s">
        <v>3016</v>
      </c>
      <c r="E176" s="48" t="s">
        <v>3034</v>
      </c>
      <c r="F176" s="48">
        <f>MIN(F168:F174)</f>
        <v>22.7</v>
      </c>
    </row>
    <row r="177" spans="1:13" ht="15" customHeight="1">
      <c r="A177" t="s">
        <v>3168</v>
      </c>
      <c r="B177" t="s">
        <v>3016</v>
      </c>
    </row>
    <row r="178" spans="1:13" ht="15" customHeight="1">
      <c r="A178" t="s">
        <v>3168</v>
      </c>
      <c r="B178" t="s">
        <v>3016</v>
      </c>
      <c r="C178" t="s">
        <v>69</v>
      </c>
      <c r="D178" s="7" t="s">
        <v>3197</v>
      </c>
      <c r="G178" t="s">
        <v>6</v>
      </c>
    </row>
    <row r="179" spans="1:13" ht="15" customHeight="1">
      <c r="A179" t="s">
        <v>3168</v>
      </c>
      <c r="B179" t="s">
        <v>3016</v>
      </c>
      <c r="D179" s="7" t="s">
        <v>3198</v>
      </c>
    </row>
    <row r="180" spans="1:13" ht="15" customHeight="1">
      <c r="A180" t="s">
        <v>3168</v>
      </c>
      <c r="B180" t="s">
        <v>3016</v>
      </c>
      <c r="D180" s="634" t="s">
        <v>3199</v>
      </c>
      <c r="E180" s="636" t="s">
        <v>3200</v>
      </c>
      <c r="F180" s="636"/>
      <c r="G180" s="636"/>
      <c r="H180" s="634" t="s">
        <v>3201</v>
      </c>
      <c r="I180" s="634" t="s">
        <v>3202</v>
      </c>
      <c r="J180" s="48" t="s">
        <v>3203</v>
      </c>
    </row>
    <row r="181" spans="1:13" ht="15" customHeight="1">
      <c r="A181" t="s">
        <v>3168</v>
      </c>
      <c r="B181" t="s">
        <v>3016</v>
      </c>
      <c r="D181" s="635"/>
      <c r="E181" s="291" t="s">
        <v>3204</v>
      </c>
      <c r="F181" s="291" t="s">
        <v>3205</v>
      </c>
      <c r="G181" s="291" t="s">
        <v>3206</v>
      </c>
      <c r="H181" s="635"/>
      <c r="I181" s="635"/>
      <c r="J181" s="48" t="s">
        <v>3207</v>
      </c>
      <c r="K181" s="48" t="s">
        <v>3193</v>
      </c>
      <c r="L181" s="48" t="s">
        <v>3176</v>
      </c>
      <c r="M181" s="48" t="s">
        <v>3177</v>
      </c>
    </row>
    <row r="182" spans="1:13" ht="15" customHeight="1">
      <c r="A182" t="s">
        <v>3168</v>
      </c>
      <c r="B182" t="s">
        <v>3016</v>
      </c>
      <c r="D182" s="292">
        <v>0</v>
      </c>
      <c r="E182" s="292" t="s">
        <v>3208</v>
      </c>
      <c r="F182" s="292" t="s">
        <v>3209</v>
      </c>
      <c r="G182" s="292">
        <v>48.26</v>
      </c>
      <c r="H182" s="292" t="s">
        <v>3210</v>
      </c>
      <c r="I182" s="292" t="s">
        <v>3211</v>
      </c>
      <c r="J182" s="48">
        <f>G182/100/(150/96)</f>
        <v>0.30886399999999997</v>
      </c>
      <c r="K182" s="51">
        <f>[1]MonoSugar!$J$2</f>
        <v>3.9367676767676767</v>
      </c>
      <c r="L182" s="48">
        <f>J182*$K$182/100</f>
        <v>1.2159258117171716E-2</v>
      </c>
      <c r="M182" s="48">
        <f>AVERAGE(L182:L193)</f>
        <v>1.5031103892255889E-2</v>
      </c>
    </row>
    <row r="183" spans="1:13" ht="15" customHeight="1">
      <c r="A183" t="s">
        <v>3168</v>
      </c>
      <c r="B183" t="s">
        <v>3016</v>
      </c>
      <c r="D183" s="292">
        <v>0.1</v>
      </c>
      <c r="E183" s="292" t="s">
        <v>3212</v>
      </c>
      <c r="F183" s="292" t="s">
        <v>3213</v>
      </c>
      <c r="G183" s="292">
        <v>49.72</v>
      </c>
      <c r="H183" s="292" t="s">
        <v>3214</v>
      </c>
      <c r="I183" s="292" t="s">
        <v>3215</v>
      </c>
      <c r="J183" s="48">
        <f t="shared" ref="J183:J193" si="6">G183/100/(150/96)</f>
        <v>0.31820799999999999</v>
      </c>
      <c r="L183" s="48">
        <f t="shared" ref="L183:L193" si="7">J183*$K$182/100</f>
        <v>1.2527109688888888E-2</v>
      </c>
    </row>
    <row r="184" spans="1:13" ht="15" customHeight="1">
      <c r="A184" t="s">
        <v>3168</v>
      </c>
      <c r="B184" t="s">
        <v>3016</v>
      </c>
      <c r="D184" s="292">
        <v>0.4</v>
      </c>
      <c r="E184" s="292" t="s">
        <v>3216</v>
      </c>
      <c r="F184" s="292" t="s">
        <v>3217</v>
      </c>
      <c r="G184" s="292">
        <v>55.07</v>
      </c>
      <c r="H184" s="292" t="s">
        <v>3218</v>
      </c>
      <c r="I184" s="292" t="s">
        <v>3219</v>
      </c>
      <c r="J184" s="48">
        <f t="shared" si="6"/>
        <v>0.35244799999999998</v>
      </c>
      <c r="L184" s="48">
        <f t="shared" si="7"/>
        <v>1.387505894141414E-2</v>
      </c>
    </row>
    <row r="185" spans="1:13" ht="15" customHeight="1">
      <c r="A185" t="s">
        <v>3168</v>
      </c>
      <c r="B185" t="s">
        <v>3016</v>
      </c>
      <c r="D185" s="292">
        <v>0.8</v>
      </c>
      <c r="E185" s="292" t="s">
        <v>3220</v>
      </c>
      <c r="F185" s="292" t="s">
        <v>3221</v>
      </c>
      <c r="G185" s="292">
        <v>56.76</v>
      </c>
      <c r="H185" s="292" t="s">
        <v>3222</v>
      </c>
      <c r="I185" s="292" t="s">
        <v>3223</v>
      </c>
      <c r="J185" s="48">
        <f t="shared" si="6"/>
        <v>0.36326399999999998</v>
      </c>
      <c r="L185" s="48">
        <f t="shared" si="7"/>
        <v>1.4300859733333332E-2</v>
      </c>
    </row>
    <row r="186" spans="1:13" ht="15" customHeight="1">
      <c r="A186" t="s">
        <v>3168</v>
      </c>
      <c r="B186" t="s">
        <v>3016</v>
      </c>
      <c r="D186" s="292">
        <v>1.2</v>
      </c>
      <c r="E186" s="292" t="s">
        <v>3224</v>
      </c>
      <c r="F186" s="292" t="s">
        <v>3225</v>
      </c>
      <c r="G186" s="292">
        <v>60.99</v>
      </c>
      <c r="H186" s="292" t="s">
        <v>3226</v>
      </c>
      <c r="I186" s="292" t="s">
        <v>3227</v>
      </c>
      <c r="J186" s="48">
        <f t="shared" si="6"/>
        <v>0.39033600000000002</v>
      </c>
      <c r="L186" s="48">
        <f t="shared" si="7"/>
        <v>1.5366621478787878E-2</v>
      </c>
    </row>
    <row r="187" spans="1:13" ht="15" customHeight="1">
      <c r="A187" t="s">
        <v>3168</v>
      </c>
      <c r="B187" t="s">
        <v>3016</v>
      </c>
      <c r="D187" s="292">
        <v>1.6</v>
      </c>
      <c r="E187" s="292" t="s">
        <v>3228</v>
      </c>
      <c r="F187" s="292" t="s">
        <v>3229</v>
      </c>
      <c r="G187" s="292">
        <v>71.2</v>
      </c>
      <c r="H187" s="292" t="s">
        <v>3230</v>
      </c>
      <c r="I187" s="292" t="s">
        <v>3231</v>
      </c>
      <c r="J187" s="48">
        <f t="shared" si="6"/>
        <v>0.45568000000000003</v>
      </c>
      <c r="L187" s="48">
        <f t="shared" si="7"/>
        <v>1.793906294949495E-2</v>
      </c>
    </row>
    <row r="188" spans="1:13" ht="15" customHeight="1">
      <c r="A188" t="s">
        <v>3168</v>
      </c>
      <c r="B188" t="s">
        <v>3016</v>
      </c>
      <c r="D188" s="292">
        <v>2</v>
      </c>
      <c r="E188" s="292" t="s">
        <v>3232</v>
      </c>
      <c r="F188" s="292" t="s">
        <v>3233</v>
      </c>
      <c r="G188" s="292">
        <v>69.37</v>
      </c>
      <c r="H188" s="292" t="s">
        <v>3234</v>
      </c>
      <c r="I188" s="292" t="s">
        <v>3235</v>
      </c>
      <c r="J188" s="48">
        <f t="shared" si="6"/>
        <v>0.44396800000000008</v>
      </c>
      <c r="L188" s="48">
        <f t="shared" si="7"/>
        <v>1.7477988719191921E-2</v>
      </c>
    </row>
    <row r="189" spans="1:13" ht="15" customHeight="1">
      <c r="A189" t="s">
        <v>3168</v>
      </c>
      <c r="B189" t="s">
        <v>3016</v>
      </c>
      <c r="D189" s="292">
        <v>2.4</v>
      </c>
      <c r="E189" s="292" t="s">
        <v>3236</v>
      </c>
      <c r="F189" s="292" t="s">
        <v>3237</v>
      </c>
      <c r="G189" s="292">
        <v>67.209999999999994</v>
      </c>
      <c r="H189" s="292" t="s">
        <v>3238</v>
      </c>
      <c r="I189" s="292" t="s">
        <v>3239</v>
      </c>
      <c r="J189" s="48">
        <f t="shared" si="6"/>
        <v>0.43014399999999997</v>
      </c>
      <c r="L189" s="48">
        <f t="shared" si="7"/>
        <v>1.6933769955555553E-2</v>
      </c>
    </row>
    <row r="190" spans="1:13" ht="15" customHeight="1">
      <c r="A190" t="s">
        <v>3168</v>
      </c>
      <c r="B190" t="s">
        <v>3016</v>
      </c>
      <c r="D190" s="292">
        <v>3.2</v>
      </c>
      <c r="E190" s="292" t="s">
        <v>3240</v>
      </c>
      <c r="F190" s="292" t="s">
        <v>3241</v>
      </c>
      <c r="G190" s="292">
        <v>64.739999999999995</v>
      </c>
      <c r="H190" s="292" t="s">
        <v>3242</v>
      </c>
      <c r="I190" s="292" t="s">
        <v>3243</v>
      </c>
      <c r="J190" s="48">
        <f t="shared" si="6"/>
        <v>0.41433599999999998</v>
      </c>
      <c r="L190" s="48">
        <f t="shared" si="7"/>
        <v>1.6311445721212122E-2</v>
      </c>
    </row>
    <row r="191" spans="1:13" ht="15" customHeight="1">
      <c r="A191" t="s">
        <v>3168</v>
      </c>
      <c r="B191" t="s">
        <v>3016</v>
      </c>
      <c r="D191" s="292">
        <v>4</v>
      </c>
      <c r="E191" s="292" t="s">
        <v>3244</v>
      </c>
      <c r="F191" s="292" t="s">
        <v>3245</v>
      </c>
      <c r="G191" s="292">
        <v>62.44</v>
      </c>
      <c r="H191" s="292" t="s">
        <v>3246</v>
      </c>
      <c r="I191" s="292" t="s">
        <v>3247</v>
      </c>
      <c r="J191" s="48">
        <f t="shared" si="6"/>
        <v>0.39961599999999997</v>
      </c>
      <c r="L191" s="48">
        <f t="shared" si="7"/>
        <v>1.5731953519191919E-2</v>
      </c>
    </row>
    <row r="192" spans="1:13" ht="15" customHeight="1">
      <c r="A192" t="s">
        <v>3168</v>
      </c>
      <c r="B192" t="s">
        <v>3016</v>
      </c>
      <c r="D192" s="292">
        <v>5</v>
      </c>
      <c r="E192" s="292" t="s">
        <v>3248</v>
      </c>
      <c r="F192" s="292" t="s">
        <v>3249</v>
      </c>
      <c r="G192" s="292">
        <v>58.58</v>
      </c>
      <c r="H192" s="292" t="s">
        <v>3250</v>
      </c>
      <c r="I192" s="292" t="s">
        <v>3251</v>
      </c>
      <c r="J192" s="48">
        <f t="shared" si="6"/>
        <v>0.37491199999999997</v>
      </c>
      <c r="L192" s="48">
        <f t="shared" si="7"/>
        <v>1.475941443232323E-2</v>
      </c>
    </row>
    <row r="193" spans="1:13" ht="15" customHeight="1">
      <c r="A193" t="s">
        <v>3168</v>
      </c>
      <c r="B193" t="s">
        <v>3016</v>
      </c>
      <c r="D193" s="290">
        <v>6</v>
      </c>
      <c r="E193" s="290" t="s">
        <v>3252</v>
      </c>
      <c r="F193" s="290" t="s">
        <v>3253</v>
      </c>
      <c r="G193" s="290">
        <v>51.56</v>
      </c>
      <c r="H193" s="290" t="s">
        <v>3254</v>
      </c>
      <c r="I193" s="290" t="s">
        <v>3255</v>
      </c>
      <c r="J193" s="48">
        <f t="shared" si="6"/>
        <v>0.32998400000000006</v>
      </c>
      <c r="L193" s="48">
        <f t="shared" si="7"/>
        <v>1.2990703450505053E-2</v>
      </c>
    </row>
    <row r="194" spans="1:13" ht="15" customHeight="1">
      <c r="A194" t="s">
        <v>3168</v>
      </c>
      <c r="B194" t="s">
        <v>3016</v>
      </c>
      <c r="F194" s="48" t="s">
        <v>3033</v>
      </c>
      <c r="G194" s="48">
        <f>MAX(G182:G193)</f>
        <v>71.2</v>
      </c>
    </row>
    <row r="195" spans="1:13" ht="15" customHeight="1">
      <c r="A195" t="s">
        <v>3168</v>
      </c>
      <c r="B195" t="s">
        <v>3016</v>
      </c>
      <c r="F195" s="48" t="s">
        <v>3034</v>
      </c>
      <c r="G195" s="48">
        <f>MIN(G182:G193)</f>
        <v>48.26</v>
      </c>
    </row>
    <row r="196" spans="1:13" ht="15" customHeight="1">
      <c r="A196" t="s">
        <v>3168</v>
      </c>
      <c r="B196" t="s">
        <v>3016</v>
      </c>
    </row>
    <row r="197" spans="1:13" ht="15" customHeight="1">
      <c r="A197" t="s">
        <v>3168</v>
      </c>
      <c r="B197" t="s">
        <v>3016</v>
      </c>
      <c r="C197" t="s">
        <v>132</v>
      </c>
      <c r="D197" s="7" t="s">
        <v>3256</v>
      </c>
      <c r="G197" t="s">
        <v>3189</v>
      </c>
    </row>
    <row r="198" spans="1:13" ht="15" customHeight="1">
      <c r="A198" t="s">
        <v>3168</v>
      </c>
      <c r="B198" t="s">
        <v>3016</v>
      </c>
      <c r="D198" s="7" t="s">
        <v>3257</v>
      </c>
    </row>
    <row r="199" spans="1:13" ht="15" customHeight="1">
      <c r="A199" t="s">
        <v>3168</v>
      </c>
      <c r="B199" t="s">
        <v>3016</v>
      </c>
      <c r="D199" s="634" t="s">
        <v>759</v>
      </c>
      <c r="E199" s="634" t="s">
        <v>3258</v>
      </c>
      <c r="F199" s="634" t="s">
        <v>1494</v>
      </c>
      <c r="G199" s="636" t="s">
        <v>156</v>
      </c>
      <c r="H199" s="636"/>
    </row>
    <row r="200" spans="1:13" ht="15" customHeight="1">
      <c r="A200" t="s">
        <v>3168</v>
      </c>
      <c r="B200" t="s">
        <v>3016</v>
      </c>
      <c r="D200" s="635"/>
      <c r="E200" s="635"/>
      <c r="F200" s="635"/>
      <c r="G200" s="291" t="s">
        <v>3168</v>
      </c>
      <c r="H200" s="291" t="s">
        <v>3259</v>
      </c>
      <c r="I200" t="s">
        <v>3260</v>
      </c>
      <c r="J200" s="48" t="s">
        <v>3174</v>
      </c>
      <c r="K200" s="48" t="s">
        <v>3175</v>
      </c>
      <c r="L200" s="48" t="s">
        <v>3176</v>
      </c>
      <c r="M200" s="48" t="s">
        <v>3177</v>
      </c>
    </row>
    <row r="201" spans="1:13" ht="15" customHeight="1">
      <c r="A201" t="s">
        <v>3168</v>
      </c>
      <c r="B201" t="s">
        <v>3016</v>
      </c>
      <c r="D201" s="292">
        <v>1</v>
      </c>
      <c r="E201" s="292">
        <v>443</v>
      </c>
      <c r="F201" s="292">
        <v>50</v>
      </c>
      <c r="G201" s="292" t="s">
        <v>3261</v>
      </c>
      <c r="H201" s="292" t="s">
        <v>3262</v>
      </c>
      <c r="I201">
        <v>55.6</v>
      </c>
      <c r="J201" s="48">
        <f>I201/100*(96.0846/150.13)</f>
        <v>0.35584518483980554</v>
      </c>
      <c r="K201" s="51">
        <f>[1]MonoSugar!$J$2*132/150</f>
        <v>3.4643555555555552</v>
      </c>
      <c r="L201" s="48">
        <f>J201*$K$153/100</f>
        <v>7.2948262892160137E-2</v>
      </c>
      <c r="M201" s="48">
        <f>AVERAGE(L201:L207)</f>
        <v>8.9367244981968005E-2</v>
      </c>
    </row>
    <row r="202" spans="1:13" ht="15" customHeight="1">
      <c r="A202" t="s">
        <v>3168</v>
      </c>
      <c r="B202" t="s">
        <v>3016</v>
      </c>
      <c r="D202" s="292">
        <v>2</v>
      </c>
      <c r="E202" s="292">
        <v>443</v>
      </c>
      <c r="F202" s="292">
        <v>100</v>
      </c>
      <c r="G202" s="292" t="s">
        <v>3263</v>
      </c>
      <c r="H202" s="292" t="s">
        <v>3264</v>
      </c>
      <c r="I202">
        <v>66.8</v>
      </c>
      <c r="J202" s="48">
        <f t="shared" ref="J202:J207" si="8">I202/100*(96.0846/150.13)</f>
        <v>0.42752622926796768</v>
      </c>
      <c r="L202" s="48">
        <f t="shared" ref="L202:L207" si="9">J202*$K$153/100</f>
        <v>8.7642876999933381E-2</v>
      </c>
    </row>
    <row r="203" spans="1:13" ht="15" customHeight="1">
      <c r="A203" t="s">
        <v>3168</v>
      </c>
      <c r="B203" t="s">
        <v>3016</v>
      </c>
      <c r="D203" s="292">
        <v>3</v>
      </c>
      <c r="E203" s="292">
        <v>443</v>
      </c>
      <c r="F203" s="292">
        <v>130</v>
      </c>
      <c r="G203" s="292" t="s">
        <v>3265</v>
      </c>
      <c r="H203" s="292" t="s">
        <v>3266</v>
      </c>
      <c r="I203">
        <v>60.6</v>
      </c>
      <c r="J203" s="48">
        <f t="shared" si="8"/>
        <v>0.3878456511023779</v>
      </c>
      <c r="L203" s="48">
        <f t="shared" si="9"/>
        <v>7.9508358475987473E-2</v>
      </c>
    </row>
    <row r="204" spans="1:13" ht="15" customHeight="1">
      <c r="A204" t="s">
        <v>3168</v>
      </c>
      <c r="B204" t="s">
        <v>3016</v>
      </c>
      <c r="D204" s="292">
        <v>4</v>
      </c>
      <c r="E204" s="292">
        <v>458</v>
      </c>
      <c r="F204" s="292">
        <v>60</v>
      </c>
      <c r="G204" s="292" t="s">
        <v>3267</v>
      </c>
      <c r="H204" s="292" t="s">
        <v>3268</v>
      </c>
      <c r="I204">
        <v>66.2</v>
      </c>
      <c r="J204" s="48">
        <f t="shared" si="8"/>
        <v>0.42368617331645908</v>
      </c>
      <c r="L204" s="48">
        <f t="shared" si="9"/>
        <v>8.6855665529874115E-2</v>
      </c>
    </row>
    <row r="205" spans="1:13" ht="15" customHeight="1">
      <c r="A205" t="s">
        <v>3168</v>
      </c>
      <c r="B205" t="s">
        <v>3016</v>
      </c>
      <c r="D205" s="292">
        <v>5</v>
      </c>
      <c r="E205" s="292">
        <v>458</v>
      </c>
      <c r="F205" s="292">
        <v>80</v>
      </c>
      <c r="G205" s="292" t="s">
        <v>3269</v>
      </c>
      <c r="H205" s="292" t="s">
        <v>3270</v>
      </c>
      <c r="I205">
        <v>71.2</v>
      </c>
      <c r="J205" s="48">
        <f t="shared" si="8"/>
        <v>0.45568663957903155</v>
      </c>
      <c r="L205" s="48">
        <f t="shared" si="9"/>
        <v>9.3415761113701465E-2</v>
      </c>
    </row>
    <row r="206" spans="1:13" ht="15" customHeight="1">
      <c r="A206" t="s">
        <v>3168</v>
      </c>
      <c r="B206" t="s">
        <v>3016</v>
      </c>
      <c r="D206" s="292">
        <v>6</v>
      </c>
      <c r="E206" s="292">
        <v>458</v>
      </c>
      <c r="F206" s="292">
        <v>100</v>
      </c>
      <c r="G206" s="292" t="s">
        <v>3271</v>
      </c>
      <c r="H206" s="292" t="s">
        <v>3272</v>
      </c>
      <c r="I206">
        <v>79.599999999999994</v>
      </c>
      <c r="J206" s="48">
        <f t="shared" si="8"/>
        <v>0.5094474229001531</v>
      </c>
      <c r="L206" s="48">
        <f t="shared" si="9"/>
        <v>0.10443672169453139</v>
      </c>
    </row>
    <row r="207" spans="1:13" ht="15" customHeight="1">
      <c r="A207" t="s">
        <v>3168</v>
      </c>
      <c r="B207" t="s">
        <v>3016</v>
      </c>
      <c r="D207" s="290">
        <v>7</v>
      </c>
      <c r="E207" s="290">
        <v>458</v>
      </c>
      <c r="F207" s="290">
        <v>120</v>
      </c>
      <c r="G207" s="290" t="s">
        <v>3273</v>
      </c>
      <c r="H207" s="290" t="s">
        <v>1497</v>
      </c>
      <c r="I207">
        <v>76.8</v>
      </c>
      <c r="J207" s="48">
        <f t="shared" si="8"/>
        <v>0.49152716179311262</v>
      </c>
      <c r="L207" s="48">
        <f t="shared" si="9"/>
        <v>0.10076306816758809</v>
      </c>
    </row>
    <row r="208" spans="1:13" ht="15" customHeight="1">
      <c r="A208" t="s">
        <v>3168</v>
      </c>
      <c r="B208" t="s">
        <v>3016</v>
      </c>
      <c r="H208" s="48" t="s">
        <v>3033</v>
      </c>
      <c r="I208" s="48">
        <f>MAX(I201:I207)</f>
        <v>79.599999999999994</v>
      </c>
    </row>
    <row r="209" spans="1:14" ht="15" customHeight="1">
      <c r="A209" t="s">
        <v>3168</v>
      </c>
      <c r="B209" t="s">
        <v>3016</v>
      </c>
      <c r="H209" s="48" t="s">
        <v>3034</v>
      </c>
      <c r="I209" s="48">
        <f>MIN(I201:I207)</f>
        <v>55.6</v>
      </c>
    </row>
    <row r="210" spans="1:14" ht="15" customHeight="1">
      <c r="A210" t="s">
        <v>3168</v>
      </c>
      <c r="B210" t="s">
        <v>3016</v>
      </c>
    </row>
    <row r="211" spans="1:14" ht="15" customHeight="1">
      <c r="A211" t="s">
        <v>3168</v>
      </c>
      <c r="B211" t="s">
        <v>3016</v>
      </c>
      <c r="C211" t="s">
        <v>3145</v>
      </c>
      <c r="D211" s="7" t="s">
        <v>3274</v>
      </c>
    </row>
    <row r="212" spans="1:14" ht="15" customHeight="1">
      <c r="A212" t="s">
        <v>3168</v>
      </c>
      <c r="B212" t="s">
        <v>3016</v>
      </c>
      <c r="D212" s="7" t="s">
        <v>3275</v>
      </c>
    </row>
    <row r="213" spans="1:14" ht="15" customHeight="1">
      <c r="A213" t="s">
        <v>3168</v>
      </c>
      <c r="B213" t="s">
        <v>3016</v>
      </c>
      <c r="D213" s="295" t="s">
        <v>759</v>
      </c>
      <c r="E213" s="295" t="s">
        <v>3171</v>
      </c>
      <c r="F213" s="295" t="s">
        <v>760</v>
      </c>
      <c r="G213" s="295" t="s">
        <v>3173</v>
      </c>
      <c r="H213" s="295" t="s">
        <v>3276</v>
      </c>
      <c r="I213" s="295" t="s">
        <v>3277</v>
      </c>
      <c r="J213" t="s">
        <v>3260</v>
      </c>
      <c r="K213" s="48" t="s">
        <v>3174</v>
      </c>
      <c r="L213" s="48" t="s">
        <v>3175</v>
      </c>
      <c r="M213" s="48" t="s">
        <v>3176</v>
      </c>
      <c r="N213" s="48" t="s">
        <v>3177</v>
      </c>
    </row>
    <row r="214" spans="1:14" ht="15" customHeight="1">
      <c r="A214" t="s">
        <v>3168</v>
      </c>
      <c r="B214" t="s">
        <v>3016</v>
      </c>
      <c r="D214" s="292">
        <v>1</v>
      </c>
      <c r="E214" s="292" t="s">
        <v>410</v>
      </c>
      <c r="F214" s="292" t="s">
        <v>3278</v>
      </c>
      <c r="G214" s="292" t="s">
        <v>3279</v>
      </c>
      <c r="H214" s="292" t="s">
        <v>3280</v>
      </c>
      <c r="I214" s="292" t="s">
        <v>3281</v>
      </c>
      <c r="J214">
        <v>45.6</v>
      </c>
      <c r="K214" s="48">
        <f>J214/100*(96.0846/150.13)</f>
        <v>0.2918442523146606</v>
      </c>
      <c r="L214" s="51">
        <f>[1]MonoSugar!$J$2*132/150</f>
        <v>3.4643555555555552</v>
      </c>
      <c r="M214" s="48">
        <f>K214*$K$153/100</f>
        <v>5.9828071724505417E-2</v>
      </c>
      <c r="N214" s="48">
        <f>AVERAGE(M214:M220)</f>
        <v>6.4420138633184562E-2</v>
      </c>
    </row>
    <row r="215" spans="1:14" ht="15" customHeight="1">
      <c r="A215" t="s">
        <v>3168</v>
      </c>
      <c r="B215" t="s">
        <v>3016</v>
      </c>
      <c r="D215" s="292">
        <v>2</v>
      </c>
      <c r="E215" s="292" t="s">
        <v>3282</v>
      </c>
      <c r="F215" s="292" t="s">
        <v>3278</v>
      </c>
      <c r="G215" s="292" t="s">
        <v>3283</v>
      </c>
      <c r="H215" s="292" t="s">
        <v>3284</v>
      </c>
      <c r="I215" s="292" t="s">
        <v>3285</v>
      </c>
      <c r="J215">
        <v>51.2</v>
      </c>
      <c r="K215" s="48">
        <f t="shared" ref="K215:K220" si="10">J215/100*(96.0846/150.13)</f>
        <v>0.32768477452874173</v>
      </c>
      <c r="M215" s="48">
        <f t="shared" ref="M215:M220" si="11">K215*$K$153/100</f>
        <v>6.7175378778392053E-2</v>
      </c>
    </row>
    <row r="216" spans="1:14" ht="15" customHeight="1">
      <c r="A216" t="s">
        <v>3168</v>
      </c>
      <c r="B216" t="s">
        <v>3016</v>
      </c>
      <c r="D216" s="292">
        <v>3</v>
      </c>
      <c r="E216" s="292" t="s">
        <v>3286</v>
      </c>
      <c r="F216" s="292" t="s">
        <v>3278</v>
      </c>
      <c r="G216" s="292" t="s">
        <v>3287</v>
      </c>
      <c r="H216" s="292" t="s">
        <v>3288</v>
      </c>
      <c r="I216" s="292" t="s">
        <v>3289</v>
      </c>
      <c r="J216">
        <v>53.8</v>
      </c>
      <c r="K216" s="48">
        <f t="shared" si="10"/>
        <v>0.34432501698527934</v>
      </c>
      <c r="M216" s="48">
        <f t="shared" si="11"/>
        <v>7.0586628481982258E-2</v>
      </c>
    </row>
    <row r="217" spans="1:14" ht="15" customHeight="1">
      <c r="A217" t="s">
        <v>3168</v>
      </c>
      <c r="B217" t="s">
        <v>3016</v>
      </c>
      <c r="D217" s="292">
        <v>4</v>
      </c>
      <c r="E217" s="292" t="s">
        <v>3290</v>
      </c>
      <c r="F217" s="292" t="s">
        <v>3278</v>
      </c>
      <c r="G217" s="292" t="s">
        <v>3291</v>
      </c>
      <c r="H217" s="292" t="s">
        <v>3292</v>
      </c>
      <c r="I217" s="292" t="s">
        <v>3293</v>
      </c>
      <c r="J217">
        <v>24</v>
      </c>
      <c r="K217" s="48">
        <f t="shared" si="10"/>
        <v>0.15360223806034767</v>
      </c>
      <c r="M217" s="48">
        <f t="shared" si="11"/>
        <v>3.1488458802371271E-2</v>
      </c>
    </row>
    <row r="218" spans="1:14" ht="15" customHeight="1">
      <c r="A218" t="s">
        <v>3168</v>
      </c>
      <c r="B218" t="s">
        <v>3016</v>
      </c>
      <c r="D218" s="292">
        <v>5</v>
      </c>
      <c r="E218" s="292" t="s">
        <v>3294</v>
      </c>
      <c r="F218" s="292" t="s">
        <v>3278</v>
      </c>
      <c r="G218" s="292" t="s">
        <v>3295</v>
      </c>
      <c r="H218" s="292" t="s">
        <v>3296</v>
      </c>
      <c r="I218" s="292" t="s">
        <v>3297</v>
      </c>
      <c r="J218">
        <v>44.9</v>
      </c>
      <c r="K218" s="48">
        <f t="shared" si="10"/>
        <v>0.28736418703790045</v>
      </c>
      <c r="M218" s="48">
        <f t="shared" si="11"/>
        <v>5.8909658342769594E-2</v>
      </c>
    </row>
    <row r="219" spans="1:14" ht="15" customHeight="1">
      <c r="A219" t="s">
        <v>3168</v>
      </c>
      <c r="B219" t="s">
        <v>3016</v>
      </c>
      <c r="D219" s="292">
        <v>6</v>
      </c>
      <c r="E219" s="292" t="s">
        <v>3298</v>
      </c>
      <c r="F219" s="292" t="s">
        <v>3278</v>
      </c>
      <c r="G219" s="292" t="s">
        <v>3299</v>
      </c>
      <c r="H219" s="292" t="s">
        <v>3300</v>
      </c>
      <c r="I219" s="292" t="s">
        <v>3301</v>
      </c>
      <c r="J219">
        <v>58</v>
      </c>
      <c r="K219" s="48">
        <f t="shared" si="10"/>
        <v>0.37120540864584023</v>
      </c>
      <c r="M219" s="48">
        <f t="shared" si="11"/>
        <v>7.6097108772397254E-2</v>
      </c>
    </row>
    <row r="220" spans="1:14" ht="15" customHeight="1">
      <c r="A220" t="s">
        <v>3168</v>
      </c>
      <c r="B220" t="s">
        <v>3016</v>
      </c>
      <c r="D220" s="290">
        <v>7</v>
      </c>
      <c r="E220" s="290" t="s">
        <v>3302</v>
      </c>
      <c r="F220" s="290" t="s">
        <v>3278</v>
      </c>
      <c r="G220" s="290" t="s">
        <v>3303</v>
      </c>
      <c r="H220" s="290" t="s">
        <v>3304</v>
      </c>
      <c r="I220" s="290" t="s">
        <v>3305</v>
      </c>
      <c r="J220">
        <v>66.2</v>
      </c>
      <c r="K220" s="48">
        <f t="shared" si="10"/>
        <v>0.42368617331645908</v>
      </c>
      <c r="M220" s="48">
        <f t="shared" si="11"/>
        <v>8.6855665529874115E-2</v>
      </c>
    </row>
    <row r="221" spans="1:14" ht="15" customHeight="1">
      <c r="A221" t="s">
        <v>3168</v>
      </c>
      <c r="B221" t="s">
        <v>3016</v>
      </c>
      <c r="D221" s="292"/>
      <c r="E221" s="292"/>
      <c r="F221" s="292"/>
      <c r="G221" s="292"/>
      <c r="H221" s="292"/>
      <c r="I221" s="48" t="s">
        <v>3033</v>
      </c>
      <c r="J221" s="48">
        <f>MAX(J214:J220)</f>
        <v>66.2</v>
      </c>
    </row>
    <row r="222" spans="1:14" ht="15" customHeight="1">
      <c r="A222" t="s">
        <v>3168</v>
      </c>
      <c r="B222" t="s">
        <v>3016</v>
      </c>
      <c r="I222" s="48" t="s">
        <v>3034</v>
      </c>
      <c r="J222" s="48">
        <f>MIN(J214:J220)</f>
        <v>24</v>
      </c>
    </row>
    <row r="223" spans="1:14" ht="15" customHeight="1">
      <c r="A223" t="s">
        <v>3168</v>
      </c>
      <c r="B223" t="s">
        <v>4568</v>
      </c>
      <c r="C223" t="s">
        <v>638</v>
      </c>
      <c r="D223" t="s">
        <v>639</v>
      </c>
    </row>
    <row r="224" spans="1:14" ht="15" customHeight="1">
      <c r="A224" t="s">
        <v>3168</v>
      </c>
      <c r="B224" t="s">
        <v>4568</v>
      </c>
      <c r="D224" t="s">
        <v>640</v>
      </c>
    </row>
    <row r="225" spans="1:8" ht="15" customHeight="1">
      <c r="A225" t="s">
        <v>3168</v>
      </c>
      <c r="B225" t="s">
        <v>4568</v>
      </c>
    </row>
    <row r="226" spans="1:8" ht="15" customHeight="1">
      <c r="A226" t="s">
        <v>3168</v>
      </c>
      <c r="B226" t="s">
        <v>4568</v>
      </c>
      <c r="D226" s="48" t="s">
        <v>641</v>
      </c>
      <c r="E226" s="48">
        <v>0.72719999999999996</v>
      </c>
    </row>
    <row r="227" spans="1:8" ht="15" customHeight="1">
      <c r="A227" t="s">
        <v>3168</v>
      </c>
      <c r="B227" t="s">
        <v>4568</v>
      </c>
      <c r="D227" s="48" t="s">
        <v>4570</v>
      </c>
      <c r="E227" s="48">
        <v>0</v>
      </c>
    </row>
    <row r="228" spans="1:8" ht="15" customHeight="1">
      <c r="A228" t="s">
        <v>3168</v>
      </c>
      <c r="B228" t="s">
        <v>4568</v>
      </c>
      <c r="D228" s="48" t="s">
        <v>643</v>
      </c>
      <c r="E228" s="48">
        <f>E226*E227</f>
        <v>0</v>
      </c>
    </row>
    <row r="229" spans="1:8" ht="15" customHeight="1">
      <c r="A229" t="s">
        <v>3168</v>
      </c>
      <c r="B229" t="s">
        <v>4567</v>
      </c>
    </row>
    <row r="230" spans="1:8" ht="15" customHeight="1">
      <c r="A230" t="s">
        <v>3168</v>
      </c>
      <c r="B230" t="s">
        <v>4567</v>
      </c>
      <c r="D230" s="48" t="s">
        <v>641</v>
      </c>
      <c r="E230" s="48">
        <v>0.72719999999999996</v>
      </c>
    </row>
    <row r="231" spans="1:8" ht="15" customHeight="1">
      <c r="A231" t="s">
        <v>3168</v>
      </c>
      <c r="B231" t="s">
        <v>4567</v>
      </c>
      <c r="D231" s="48" t="s">
        <v>4571</v>
      </c>
      <c r="E231" s="60">
        <v>0.155</v>
      </c>
    </row>
    <row r="232" spans="1:8" ht="15" customHeight="1">
      <c r="A232" t="s">
        <v>3168</v>
      </c>
      <c r="B232" t="s">
        <v>4567</v>
      </c>
      <c r="D232" s="48" t="s">
        <v>643</v>
      </c>
      <c r="E232" s="48">
        <f>E230*E231</f>
        <v>0.112716</v>
      </c>
    </row>
    <row r="233" spans="1:8" ht="15" customHeight="1">
      <c r="A233" t="s">
        <v>3168</v>
      </c>
      <c r="B233" t="s">
        <v>4567</v>
      </c>
    </row>
    <row r="234" spans="1:8" ht="15" customHeight="1">
      <c r="A234" t="s">
        <v>3168</v>
      </c>
      <c r="B234" t="s">
        <v>4567</v>
      </c>
    </row>
    <row r="235" spans="1:8" ht="15" customHeight="1">
      <c r="A235" t="s">
        <v>679</v>
      </c>
      <c r="B235" t="s">
        <v>3016</v>
      </c>
      <c r="C235" t="s">
        <v>4</v>
      </c>
      <c r="D235" s="7" t="s">
        <v>3306</v>
      </c>
      <c r="G235" t="s">
        <v>3307</v>
      </c>
    </row>
    <row r="236" spans="1:8" ht="15" customHeight="1">
      <c r="A236" t="s">
        <v>679</v>
      </c>
      <c r="B236" t="s">
        <v>3016</v>
      </c>
      <c r="D236" s="7" t="s">
        <v>3308</v>
      </c>
    </row>
    <row r="237" spans="1:8" ht="15" customHeight="1">
      <c r="A237" t="s">
        <v>679</v>
      </c>
      <c r="B237" t="s">
        <v>3016</v>
      </c>
      <c r="D237" s="48" t="s">
        <v>3309</v>
      </c>
      <c r="E237" s="48" t="s">
        <v>3310</v>
      </c>
      <c r="F237" s="48" t="s">
        <v>3311</v>
      </c>
      <c r="G237" s="48" t="s">
        <v>3312</v>
      </c>
      <c r="H237" s="48" t="s">
        <v>3177</v>
      </c>
    </row>
    <row r="238" spans="1:8" ht="15" customHeight="1">
      <c r="A238" t="s">
        <v>679</v>
      </c>
      <c r="B238" t="s">
        <v>3016</v>
      </c>
      <c r="D238" s="48">
        <v>1</v>
      </c>
      <c r="E238" s="48">
        <v>16.399999999999999</v>
      </c>
      <c r="F238" s="51">
        <f>[1]MonoSugar!$E$2</f>
        <v>8.1666666666666661</v>
      </c>
      <c r="G238" s="48">
        <f>E238/100*$F$238/100*(126/162)</f>
        <v>1.0417037037037035E-2</v>
      </c>
      <c r="H238" s="48">
        <f>AVERAGE(G238:G243)</f>
        <v>1.0882839506172838E-2</v>
      </c>
    </row>
    <row r="239" spans="1:8" ht="15" customHeight="1">
      <c r="A239" t="s">
        <v>679</v>
      </c>
      <c r="B239" t="s">
        <v>3016</v>
      </c>
      <c r="D239" s="48">
        <v>2</v>
      </c>
      <c r="E239" s="48">
        <v>10.7</v>
      </c>
      <c r="F239" t="s">
        <v>3313</v>
      </c>
      <c r="G239" s="48">
        <f t="shared" ref="G239:G243" si="12">E239/100*$F$238/100*(126/162)</f>
        <v>6.7964814814814806E-3</v>
      </c>
    </row>
    <row r="240" spans="1:8" ht="15" customHeight="1">
      <c r="A240" t="s">
        <v>679</v>
      </c>
      <c r="B240" t="s">
        <v>3016</v>
      </c>
      <c r="D240" s="48">
        <v>3</v>
      </c>
      <c r="E240" s="48">
        <v>10.5</v>
      </c>
      <c r="G240" s="48">
        <f t="shared" si="12"/>
        <v>6.669444444444444E-3</v>
      </c>
    </row>
    <row r="241" spans="1:9" ht="15" customHeight="1">
      <c r="A241" t="s">
        <v>679</v>
      </c>
      <c r="B241" t="s">
        <v>3016</v>
      </c>
      <c r="D241" s="48">
        <v>4</v>
      </c>
      <c r="E241" s="48">
        <v>30.9</v>
      </c>
      <c r="G241" s="48">
        <f t="shared" si="12"/>
        <v>1.962722222222222E-2</v>
      </c>
    </row>
    <row r="242" spans="1:9" ht="15" customHeight="1">
      <c r="A242" t="s">
        <v>679</v>
      </c>
      <c r="B242" t="s">
        <v>3016</v>
      </c>
      <c r="D242" s="48">
        <v>5</v>
      </c>
      <c r="E242" s="48">
        <v>18.7</v>
      </c>
      <c r="G242" s="48">
        <f t="shared" si="12"/>
        <v>1.1877962962962963E-2</v>
      </c>
    </row>
    <row r="243" spans="1:9" ht="15" customHeight="1">
      <c r="A243" t="s">
        <v>679</v>
      </c>
      <c r="B243" t="s">
        <v>3016</v>
      </c>
      <c r="D243" s="48">
        <v>6</v>
      </c>
      <c r="E243" s="48">
        <v>15.6</v>
      </c>
      <c r="G243" s="48">
        <f t="shared" si="12"/>
        <v>9.9088888888888872E-3</v>
      </c>
    </row>
    <row r="244" spans="1:9" ht="15" customHeight="1">
      <c r="A244" t="s">
        <v>679</v>
      </c>
      <c r="B244" t="s">
        <v>3016</v>
      </c>
      <c r="D244" s="48" t="s">
        <v>3033</v>
      </c>
      <c r="E244" s="48">
        <f>MAX(E238:E243)</f>
        <v>30.9</v>
      </c>
    </row>
    <row r="245" spans="1:9" ht="15" customHeight="1">
      <c r="A245" t="s">
        <v>679</v>
      </c>
      <c r="B245" t="s">
        <v>3016</v>
      </c>
      <c r="D245" s="48" t="s">
        <v>3034</v>
      </c>
      <c r="E245" s="48">
        <f>MIN(E238:E243)</f>
        <v>10.5</v>
      </c>
    </row>
    <row r="246" spans="1:9" ht="15" customHeight="1">
      <c r="A246" t="s">
        <v>679</v>
      </c>
      <c r="B246" t="s">
        <v>3016</v>
      </c>
    </row>
    <row r="247" spans="1:9" ht="15" customHeight="1">
      <c r="A247" t="s">
        <v>679</v>
      </c>
      <c r="B247" t="s">
        <v>3016</v>
      </c>
      <c r="C247" t="s">
        <v>473</v>
      </c>
      <c r="D247" s="7" t="s">
        <v>3314</v>
      </c>
    </row>
    <row r="248" spans="1:9" ht="15" customHeight="1">
      <c r="A248" t="s">
        <v>679</v>
      </c>
      <c r="B248" t="s">
        <v>3016</v>
      </c>
      <c r="D248" s="7" t="s">
        <v>3315</v>
      </c>
    </row>
    <row r="249" spans="1:9" ht="15" customHeight="1">
      <c r="A249" t="s">
        <v>679</v>
      </c>
      <c r="B249" t="s">
        <v>3016</v>
      </c>
      <c r="D249" s="345" t="s">
        <v>3316</v>
      </c>
    </row>
    <row r="250" spans="1:9" ht="15" customHeight="1">
      <c r="A250" t="s">
        <v>679</v>
      </c>
      <c r="B250" t="s">
        <v>3016</v>
      </c>
      <c r="D250" s="48" t="s">
        <v>3317</v>
      </c>
      <c r="E250" s="48">
        <v>3.46</v>
      </c>
    </row>
    <row r="251" spans="1:9" ht="15" customHeight="1">
      <c r="A251" t="s">
        <v>679</v>
      </c>
      <c r="B251" t="s">
        <v>3016</v>
      </c>
      <c r="D251" s="48" t="s">
        <v>3318</v>
      </c>
      <c r="E251" s="48">
        <f>E250/100</f>
        <v>3.4599999999999999E-2</v>
      </c>
    </row>
    <row r="252" spans="1:9" ht="15" customHeight="1">
      <c r="A252" t="s">
        <v>679</v>
      </c>
      <c r="B252" t="s">
        <v>3016</v>
      </c>
    </row>
    <row r="253" spans="1:9" ht="15" customHeight="1">
      <c r="A253" t="s">
        <v>679</v>
      </c>
      <c r="B253" t="s">
        <v>3016</v>
      </c>
      <c r="C253" t="s">
        <v>69</v>
      </c>
      <c r="D253" s="7" t="s">
        <v>3319</v>
      </c>
      <c r="G253" t="s">
        <v>3320</v>
      </c>
    </row>
    <row r="254" spans="1:9" ht="15" customHeight="1">
      <c r="A254" t="s">
        <v>679</v>
      </c>
      <c r="B254" t="s">
        <v>3016</v>
      </c>
      <c r="D254" s="7" t="s">
        <v>3321</v>
      </c>
    </row>
    <row r="255" spans="1:9" ht="15" customHeight="1">
      <c r="A255" t="s">
        <v>679</v>
      </c>
      <c r="B255" t="s">
        <v>3016</v>
      </c>
      <c r="D255" s="284" t="s">
        <v>759</v>
      </c>
      <c r="E255" s="284" t="s">
        <v>3322</v>
      </c>
      <c r="F255" s="284" t="s">
        <v>3322</v>
      </c>
      <c r="G255" s="284" t="s">
        <v>6808</v>
      </c>
      <c r="H255" s="48" t="s">
        <v>3324</v>
      </c>
      <c r="I255" s="48" t="s">
        <v>3177</v>
      </c>
    </row>
    <row r="256" spans="1:9" ht="15" customHeight="1">
      <c r="A256" t="s">
        <v>679</v>
      </c>
      <c r="B256" t="s">
        <v>3016</v>
      </c>
      <c r="D256" s="284" t="s">
        <v>3325</v>
      </c>
      <c r="E256" s="284" t="s">
        <v>3016</v>
      </c>
      <c r="F256" s="284" t="s">
        <v>3326</v>
      </c>
      <c r="G256" s="284">
        <v>100</v>
      </c>
      <c r="H256" s="48">
        <f>G256/1000</f>
        <v>0.1</v>
      </c>
      <c r="I256" s="48">
        <f>AVERAGE(H256:H257)</f>
        <v>0.21500000000000002</v>
      </c>
    </row>
    <row r="257" spans="1:8" ht="15" customHeight="1">
      <c r="A257" t="s">
        <v>679</v>
      </c>
      <c r="B257" t="s">
        <v>3016</v>
      </c>
      <c r="D257" s="284">
        <v>7</v>
      </c>
      <c r="E257" s="284" t="s">
        <v>3016</v>
      </c>
      <c r="F257" s="284" t="s">
        <v>3327</v>
      </c>
      <c r="G257" s="284">
        <v>330</v>
      </c>
      <c r="H257" s="48">
        <f>G257/1000</f>
        <v>0.33</v>
      </c>
    </row>
    <row r="258" spans="1:8" ht="15" customHeight="1">
      <c r="A258" t="s">
        <v>679</v>
      </c>
      <c r="B258" t="s">
        <v>3016</v>
      </c>
      <c r="D258" t="s">
        <v>6807</v>
      </c>
    </row>
    <row r="259" spans="1:8" ht="15" customHeight="1">
      <c r="A259" t="s">
        <v>679</v>
      </c>
      <c r="B259" t="s">
        <v>3016</v>
      </c>
    </row>
    <row r="260" spans="1:8" ht="15" customHeight="1">
      <c r="A260" t="s">
        <v>679</v>
      </c>
      <c r="B260" t="s">
        <v>4572</v>
      </c>
      <c r="C260" t="s">
        <v>638</v>
      </c>
      <c r="D260" t="s">
        <v>680</v>
      </c>
    </row>
    <row r="261" spans="1:8" ht="15" customHeight="1">
      <c r="A261" t="s">
        <v>679</v>
      </c>
      <c r="B261" t="s">
        <v>4572</v>
      </c>
      <c r="D261" s="184" t="s">
        <v>681</v>
      </c>
    </row>
    <row r="262" spans="1:8" ht="15" customHeight="1">
      <c r="A262" t="s">
        <v>679</v>
      </c>
      <c r="B262" t="s">
        <v>4572</v>
      </c>
      <c r="D262">
        <v>180</v>
      </c>
      <c r="E262">
        <v>126</v>
      </c>
    </row>
    <row r="263" spans="1:8" ht="15" customHeight="1">
      <c r="A263" t="s">
        <v>679</v>
      </c>
      <c r="B263" t="s">
        <v>4572</v>
      </c>
      <c r="D263" s="48" t="s">
        <v>809</v>
      </c>
      <c r="E263" s="48">
        <f>1/180*126</f>
        <v>0.70000000000000007</v>
      </c>
    </row>
    <row r="264" spans="1:8" ht="15" customHeight="1">
      <c r="A264" t="s">
        <v>679</v>
      </c>
      <c r="B264" t="s">
        <v>4572</v>
      </c>
      <c r="D264" s="48" t="s">
        <v>4573</v>
      </c>
      <c r="E264" s="51">
        <f>[1]MonoSugar!$L$3</f>
        <v>16.694444444444443</v>
      </c>
    </row>
    <row r="265" spans="1:8" ht="15" customHeight="1">
      <c r="A265" t="s">
        <v>679</v>
      </c>
      <c r="B265" t="s">
        <v>4572</v>
      </c>
      <c r="D265" s="48" t="s">
        <v>4575</v>
      </c>
      <c r="E265" s="48">
        <f>E263*E264%</f>
        <v>0.11686111111111111</v>
      </c>
    </row>
    <row r="266" spans="1:8" ht="15" customHeight="1">
      <c r="A266" t="s">
        <v>679</v>
      </c>
      <c r="B266" t="s">
        <v>4567</v>
      </c>
      <c r="C266" t="s">
        <v>638</v>
      </c>
      <c r="D266" t="s">
        <v>680</v>
      </c>
    </row>
    <row r="267" spans="1:8" ht="15" customHeight="1">
      <c r="A267" t="s">
        <v>679</v>
      </c>
      <c r="B267" t="s">
        <v>4567</v>
      </c>
      <c r="D267" s="184" t="s">
        <v>681</v>
      </c>
    </row>
    <row r="268" spans="1:8" ht="15" customHeight="1">
      <c r="A268" t="s">
        <v>679</v>
      </c>
      <c r="B268" t="s">
        <v>4567</v>
      </c>
      <c r="D268">
        <v>180</v>
      </c>
      <c r="E268">
        <v>126</v>
      </c>
    </row>
    <row r="269" spans="1:8" ht="15" customHeight="1">
      <c r="A269" t="s">
        <v>679</v>
      </c>
      <c r="B269" t="s">
        <v>4567</v>
      </c>
      <c r="D269" s="48" t="s">
        <v>809</v>
      </c>
      <c r="E269" s="48">
        <f>1/180*126</f>
        <v>0.70000000000000007</v>
      </c>
    </row>
    <row r="270" spans="1:8" ht="15" customHeight="1">
      <c r="A270" t="s">
        <v>679</v>
      </c>
      <c r="B270" t="s">
        <v>4567</v>
      </c>
      <c r="D270" s="48" t="s">
        <v>4574</v>
      </c>
      <c r="E270" s="51">
        <f>[1]MonoSugar!$L$4</f>
        <v>54.255555555555553</v>
      </c>
    </row>
    <row r="271" spans="1:8" ht="15" customHeight="1">
      <c r="A271" t="s">
        <v>679</v>
      </c>
      <c r="B271" t="s">
        <v>4567</v>
      </c>
      <c r="D271" s="48" t="s">
        <v>4576</v>
      </c>
      <c r="E271" s="48">
        <f>E269*E270%</f>
        <v>0.37978888888888895</v>
      </c>
    </row>
    <row r="272" spans="1:8" ht="15" customHeight="1">
      <c r="A272" t="s">
        <v>679</v>
      </c>
      <c r="B272" t="s">
        <v>4567</v>
      </c>
    </row>
    <row r="273" spans="1:7" ht="15" customHeight="1">
      <c r="A273" t="s">
        <v>823</v>
      </c>
      <c r="B273" t="s">
        <v>3016</v>
      </c>
      <c r="C273" t="s">
        <v>4</v>
      </c>
      <c r="D273" s="7" t="s">
        <v>3328</v>
      </c>
    </row>
    <row r="274" spans="1:7" ht="15" customHeight="1">
      <c r="A274" t="s">
        <v>823</v>
      </c>
      <c r="B274" t="s">
        <v>3016</v>
      </c>
      <c r="D274" s="7" t="s">
        <v>3329</v>
      </c>
    </row>
    <row r="275" spans="1:7" ht="15" customHeight="1">
      <c r="A275" t="s">
        <v>823</v>
      </c>
      <c r="B275" t="s">
        <v>3016</v>
      </c>
    </row>
    <row r="276" spans="1:7" ht="15" customHeight="1">
      <c r="A276" t="s">
        <v>823</v>
      </c>
      <c r="B276" t="s">
        <v>3016</v>
      </c>
    </row>
    <row r="277" spans="1:7" ht="15" customHeight="1">
      <c r="A277" t="s">
        <v>823</v>
      </c>
      <c r="B277" t="s">
        <v>3016</v>
      </c>
    </row>
    <row r="278" spans="1:7" ht="15" customHeight="1">
      <c r="A278" t="s">
        <v>823</v>
      </c>
      <c r="B278" t="s">
        <v>3016</v>
      </c>
    </row>
    <row r="279" spans="1:7" ht="15" customHeight="1">
      <c r="A279" t="s">
        <v>823</v>
      </c>
      <c r="B279" t="s">
        <v>3016</v>
      </c>
    </row>
    <row r="280" spans="1:7" ht="15" customHeight="1">
      <c r="A280" t="s">
        <v>823</v>
      </c>
      <c r="B280" t="s">
        <v>3016</v>
      </c>
    </row>
    <row r="281" spans="1:7" ht="15" customHeight="1">
      <c r="A281" t="s">
        <v>823</v>
      </c>
      <c r="B281" t="s">
        <v>3016</v>
      </c>
      <c r="G281" s="48" t="s">
        <v>3330</v>
      </c>
    </row>
    <row r="282" spans="1:7" ht="15" customHeight="1">
      <c r="A282" t="s">
        <v>823</v>
      </c>
      <c r="B282" t="s">
        <v>3016</v>
      </c>
      <c r="D282" s="347" t="s">
        <v>3331</v>
      </c>
      <c r="E282" s="51">
        <v>105</v>
      </c>
      <c r="F282" s="48" t="s">
        <v>3332</v>
      </c>
      <c r="G282" s="51">
        <f>E282/2000</f>
        <v>5.2499999999999998E-2</v>
      </c>
    </row>
    <row r="283" spans="1:7" ht="15" customHeight="1">
      <c r="A283" t="s">
        <v>823</v>
      </c>
      <c r="B283" t="s">
        <v>3016</v>
      </c>
    </row>
    <row r="284" spans="1:7" ht="15" customHeight="1">
      <c r="A284" t="s">
        <v>823</v>
      </c>
      <c r="B284" t="s">
        <v>4568</v>
      </c>
      <c r="C284" t="s">
        <v>638</v>
      </c>
      <c r="D284" t="s">
        <v>824</v>
      </c>
    </row>
    <row r="285" spans="1:7" ht="15" customHeight="1">
      <c r="A285" t="s">
        <v>823</v>
      </c>
      <c r="B285" t="s">
        <v>4568</v>
      </c>
      <c r="D285" t="s">
        <v>825</v>
      </c>
    </row>
    <row r="286" spans="1:7" ht="15" customHeight="1">
      <c r="A286" t="s">
        <v>823</v>
      </c>
      <c r="B286" t="s">
        <v>4568</v>
      </c>
      <c r="D286" t="s">
        <v>836</v>
      </c>
      <c r="E286">
        <v>0.86699999999999999</v>
      </c>
    </row>
    <row r="287" spans="1:7" ht="15" customHeight="1">
      <c r="A287" t="s">
        <v>823</v>
      </c>
      <c r="B287" t="s">
        <v>4568</v>
      </c>
      <c r="D287" s="48" t="s">
        <v>4577</v>
      </c>
      <c r="E287" s="51">
        <f>[1]MonoSugar!$L$3</f>
        <v>16.694444444444443</v>
      </c>
    </row>
    <row r="288" spans="1:7" ht="15" customHeight="1">
      <c r="A288" t="s">
        <v>823</v>
      </c>
      <c r="B288" t="s">
        <v>4568</v>
      </c>
      <c r="D288" s="48" t="s">
        <v>840</v>
      </c>
      <c r="E288" s="48">
        <f>E286*E287%</f>
        <v>0.14474083333333332</v>
      </c>
    </row>
    <row r="289" spans="1:5" ht="15" customHeight="1">
      <c r="A289" t="s">
        <v>823</v>
      </c>
      <c r="B289" t="s">
        <v>4568</v>
      </c>
    </row>
    <row r="290" spans="1:5" ht="15" customHeight="1">
      <c r="A290" t="s">
        <v>823</v>
      </c>
      <c r="B290" t="s">
        <v>4568</v>
      </c>
    </row>
    <row r="291" spans="1:5" ht="15" customHeight="1">
      <c r="A291" t="s">
        <v>823</v>
      </c>
      <c r="B291" t="s">
        <v>4568</v>
      </c>
    </row>
    <row r="292" spans="1:5" ht="15" customHeight="1">
      <c r="A292" t="s">
        <v>823</v>
      </c>
      <c r="B292" t="s">
        <v>4568</v>
      </c>
    </row>
    <row r="293" spans="1:5" ht="15" customHeight="1">
      <c r="A293" t="s">
        <v>823</v>
      </c>
      <c r="B293" t="s">
        <v>4567</v>
      </c>
      <c r="C293" t="s">
        <v>638</v>
      </c>
      <c r="D293" t="s">
        <v>824</v>
      </c>
    </row>
    <row r="294" spans="1:5" ht="15" customHeight="1">
      <c r="A294" t="s">
        <v>823</v>
      </c>
      <c r="B294" t="s">
        <v>4567</v>
      </c>
      <c r="D294" t="s">
        <v>825</v>
      </c>
    </row>
    <row r="295" spans="1:5" ht="15" customHeight="1">
      <c r="A295" t="s">
        <v>823</v>
      </c>
      <c r="B295" t="s">
        <v>4567</v>
      </c>
      <c r="D295" t="s">
        <v>836</v>
      </c>
      <c r="E295">
        <v>0.86699999999999999</v>
      </c>
    </row>
    <row r="296" spans="1:5" ht="15" customHeight="1">
      <c r="A296" t="s">
        <v>823</v>
      </c>
      <c r="B296" t="s">
        <v>4567</v>
      </c>
      <c r="D296" s="48" t="s">
        <v>4578</v>
      </c>
      <c r="E296" s="51">
        <f>[1]MonoSugar!$L$4</f>
        <v>54.255555555555553</v>
      </c>
    </row>
    <row r="297" spans="1:5" ht="15" customHeight="1">
      <c r="A297" t="s">
        <v>823</v>
      </c>
      <c r="B297" t="s">
        <v>4567</v>
      </c>
      <c r="D297" s="48" t="s">
        <v>840</v>
      </c>
      <c r="E297" s="48">
        <f>E295*E296%</f>
        <v>0.47039566666666666</v>
      </c>
    </row>
    <row r="298" spans="1:5" ht="15" customHeight="1">
      <c r="A298" t="s">
        <v>823</v>
      </c>
      <c r="B298" t="s">
        <v>4567</v>
      </c>
    </row>
    <row r="299" spans="1:5" ht="15" customHeight="1">
      <c r="A299" t="s">
        <v>823</v>
      </c>
      <c r="B299" t="s">
        <v>4567</v>
      </c>
    </row>
    <row r="300" spans="1:5" ht="15" customHeight="1">
      <c r="A300" t="s">
        <v>843</v>
      </c>
      <c r="B300" t="s">
        <v>3016</v>
      </c>
      <c r="C300" t="s">
        <v>638</v>
      </c>
      <c r="D300" t="s">
        <v>3333</v>
      </c>
      <c r="E300" s="142">
        <f>[1]MonoSugar!$H$2</f>
        <v>83.123061728395058</v>
      </c>
    </row>
    <row r="301" spans="1:5" ht="15" customHeight="1">
      <c r="A301" t="s">
        <v>843</v>
      </c>
      <c r="B301" t="s">
        <v>3016</v>
      </c>
      <c r="D301" s="48" t="s">
        <v>3334</v>
      </c>
      <c r="E301" s="48">
        <f>E300%*17%</f>
        <v>0.14130920493827159</v>
      </c>
    </row>
    <row r="302" spans="1:5" ht="15" customHeight="1">
      <c r="A302" t="s">
        <v>843</v>
      </c>
      <c r="B302" t="s">
        <v>4568</v>
      </c>
    </row>
    <row r="303" spans="1:5" ht="15" customHeight="1">
      <c r="A303" t="s">
        <v>843</v>
      </c>
      <c r="B303" t="s">
        <v>4568</v>
      </c>
      <c r="C303" t="s">
        <v>638</v>
      </c>
      <c r="D303" t="s">
        <v>4579</v>
      </c>
      <c r="E303" s="142">
        <f>[1]MonoSugar!$H$3</f>
        <v>16.694444444444443</v>
      </c>
    </row>
    <row r="304" spans="1:5" ht="15" customHeight="1">
      <c r="A304" t="s">
        <v>843</v>
      </c>
      <c r="B304" t="s">
        <v>4568</v>
      </c>
      <c r="D304" s="48" t="s">
        <v>3335</v>
      </c>
      <c r="E304" s="48">
        <f>E303%*17%</f>
        <v>2.8380555555555555E-2</v>
      </c>
    </row>
    <row r="305" spans="1:8" ht="15" customHeight="1">
      <c r="A305" t="s">
        <v>843</v>
      </c>
      <c r="B305" t="s">
        <v>4568</v>
      </c>
    </row>
    <row r="306" spans="1:8" ht="15" customHeight="1">
      <c r="A306" t="s">
        <v>843</v>
      </c>
      <c r="B306" t="s">
        <v>4567</v>
      </c>
      <c r="C306" t="s">
        <v>638</v>
      </c>
      <c r="D306" t="s">
        <v>4580</v>
      </c>
      <c r="E306" s="142">
        <f>[1]MonoSugar!$H$4</f>
        <v>54.255555555555553</v>
      </c>
    </row>
    <row r="307" spans="1:8" ht="15" customHeight="1">
      <c r="A307" t="s">
        <v>843</v>
      </c>
      <c r="B307" t="s">
        <v>4567</v>
      </c>
      <c r="D307" s="48" t="s">
        <v>3335</v>
      </c>
      <c r="E307" s="48">
        <f>E306%*17%</f>
        <v>9.2234444444444452E-2</v>
      </c>
    </row>
    <row r="308" spans="1:8" ht="15" customHeight="1">
      <c r="A308" t="s">
        <v>843</v>
      </c>
      <c r="B308" t="s">
        <v>4567</v>
      </c>
    </row>
    <row r="309" spans="1:8" ht="15" customHeight="1">
      <c r="A309" t="s">
        <v>3336</v>
      </c>
      <c r="B309" t="s">
        <v>3016</v>
      </c>
      <c r="C309" t="s">
        <v>4</v>
      </c>
      <c r="D309" s="7" t="s">
        <v>3337</v>
      </c>
      <c r="F309" t="s">
        <v>3338</v>
      </c>
    </row>
    <row r="310" spans="1:8" ht="15" customHeight="1">
      <c r="A310" t="s">
        <v>3336</v>
      </c>
      <c r="B310" t="s">
        <v>3016</v>
      </c>
      <c r="D310" s="7" t="s">
        <v>3339</v>
      </c>
    </row>
    <row r="311" spans="1:8" ht="15" customHeight="1">
      <c r="A311" t="s">
        <v>3336</v>
      </c>
      <c r="B311" t="s">
        <v>3016</v>
      </c>
      <c r="D311" s="284" t="s">
        <v>230</v>
      </c>
      <c r="E311" s="284" t="s">
        <v>3340</v>
      </c>
      <c r="F311" s="285" t="s">
        <v>3341</v>
      </c>
      <c r="G311" s="48" t="s">
        <v>3342</v>
      </c>
      <c r="H311" s="48" t="s">
        <v>3177</v>
      </c>
    </row>
    <row r="312" spans="1:8" ht="15" customHeight="1">
      <c r="A312" t="s">
        <v>3336</v>
      </c>
      <c r="B312" t="s">
        <v>3016</v>
      </c>
      <c r="D312" s="284">
        <v>1</v>
      </c>
      <c r="E312" s="284">
        <v>0.79</v>
      </c>
      <c r="F312" s="286">
        <f>[1]MonoSugar!$K$2</f>
        <v>87.059829405162731</v>
      </c>
      <c r="G312" s="48">
        <f>$F$312/100*E312</f>
        <v>0.68777265230078555</v>
      </c>
      <c r="H312" s="48">
        <f>AVERAGE(G312:G320)</f>
        <v>0.70131529243047752</v>
      </c>
    </row>
    <row r="313" spans="1:8" ht="15" customHeight="1">
      <c r="A313" t="s">
        <v>3336</v>
      </c>
      <c r="B313" t="s">
        <v>3016</v>
      </c>
      <c r="D313" s="284">
        <v>2</v>
      </c>
      <c r="E313" s="284">
        <v>0.84</v>
      </c>
      <c r="G313" s="48">
        <f t="shared" ref="G313:G320" si="13">$F$312/100*E313</f>
        <v>0.73130256700336682</v>
      </c>
    </row>
    <row r="314" spans="1:8" ht="15" customHeight="1">
      <c r="A314" t="s">
        <v>3336</v>
      </c>
      <c r="B314" t="s">
        <v>3016</v>
      </c>
      <c r="D314" s="284">
        <v>3</v>
      </c>
      <c r="E314" s="284">
        <v>0.84</v>
      </c>
      <c r="G314" s="48">
        <f t="shared" si="13"/>
        <v>0.73130256700336682</v>
      </c>
    </row>
    <row r="315" spans="1:8" ht="15" customHeight="1">
      <c r="A315" t="s">
        <v>3336</v>
      </c>
      <c r="B315" t="s">
        <v>3016</v>
      </c>
      <c r="D315" s="284">
        <v>4</v>
      </c>
      <c r="E315" s="284">
        <v>0.79</v>
      </c>
      <c r="G315" s="48">
        <f t="shared" si="13"/>
        <v>0.68777265230078555</v>
      </c>
    </row>
    <row r="316" spans="1:8" ht="15" customHeight="1">
      <c r="A316" t="s">
        <v>3336</v>
      </c>
      <c r="B316" t="s">
        <v>3016</v>
      </c>
      <c r="D316" s="284">
        <v>5</v>
      </c>
      <c r="E316" s="284">
        <v>0.81</v>
      </c>
      <c r="G316" s="48">
        <f t="shared" si="13"/>
        <v>0.7051846181818181</v>
      </c>
    </row>
    <row r="317" spans="1:8" ht="15" customHeight="1">
      <c r="A317" t="s">
        <v>3336</v>
      </c>
      <c r="B317" t="s">
        <v>3016</v>
      </c>
      <c r="D317" s="284">
        <v>6</v>
      </c>
      <c r="E317" s="284">
        <v>0.82</v>
      </c>
      <c r="G317" s="48">
        <f t="shared" si="13"/>
        <v>0.71389060112233427</v>
      </c>
    </row>
    <row r="318" spans="1:8" ht="15" customHeight="1">
      <c r="A318" t="s">
        <v>3336</v>
      </c>
      <c r="B318" t="s">
        <v>3016</v>
      </c>
      <c r="D318" s="284">
        <v>7</v>
      </c>
      <c r="E318" s="284">
        <v>0.77</v>
      </c>
      <c r="G318" s="48">
        <f t="shared" si="13"/>
        <v>0.67036068641975299</v>
      </c>
    </row>
    <row r="319" spans="1:8" ht="15" customHeight="1">
      <c r="A319" t="s">
        <v>3336</v>
      </c>
      <c r="B319" t="s">
        <v>3016</v>
      </c>
      <c r="D319" s="284">
        <v>8</v>
      </c>
      <c r="E319" s="284">
        <v>0.8</v>
      </c>
      <c r="G319" s="48">
        <f t="shared" si="13"/>
        <v>0.69647863524130182</v>
      </c>
    </row>
    <row r="320" spans="1:8" ht="15" customHeight="1">
      <c r="A320" t="s">
        <v>3336</v>
      </c>
      <c r="B320" t="s">
        <v>3016</v>
      </c>
      <c r="D320" s="284">
        <v>9</v>
      </c>
      <c r="E320" s="284">
        <v>0.79</v>
      </c>
      <c r="G320" s="48">
        <f t="shared" si="13"/>
        <v>0.68777265230078555</v>
      </c>
    </row>
    <row r="321" spans="1:8" ht="15" customHeight="1">
      <c r="A321" t="s">
        <v>3336</v>
      </c>
      <c r="B321" t="s">
        <v>3016</v>
      </c>
      <c r="D321" s="297" t="s">
        <v>3033</v>
      </c>
      <c r="E321" s="297">
        <f>MAX(E312:E320)</f>
        <v>0.84</v>
      </c>
    </row>
    <row r="322" spans="1:8" ht="15" customHeight="1">
      <c r="A322" t="s">
        <v>3336</v>
      </c>
      <c r="B322" t="s">
        <v>3016</v>
      </c>
      <c r="D322" s="48" t="s">
        <v>3034</v>
      </c>
      <c r="E322" s="48">
        <f>MIN(E312:E320)</f>
        <v>0.77</v>
      </c>
    </row>
    <row r="323" spans="1:8" ht="15" customHeight="1">
      <c r="A323" t="s">
        <v>3336</v>
      </c>
      <c r="B323" t="s">
        <v>3016</v>
      </c>
    </row>
    <row r="324" spans="1:8" ht="15" customHeight="1">
      <c r="A324" t="s">
        <v>3336</v>
      </c>
      <c r="B324" t="s">
        <v>3016</v>
      </c>
      <c r="C324" t="s">
        <v>473</v>
      </c>
      <c r="D324" s="7" t="s">
        <v>3343</v>
      </c>
    </row>
    <row r="325" spans="1:8" ht="15" customHeight="1">
      <c r="A325" t="s">
        <v>3336</v>
      </c>
      <c r="B325" t="s">
        <v>3016</v>
      </c>
      <c r="D325" s="7" t="s">
        <v>3344</v>
      </c>
    </row>
    <row r="326" spans="1:8" ht="15" customHeight="1">
      <c r="A326" t="s">
        <v>3336</v>
      </c>
      <c r="B326" t="s">
        <v>3016</v>
      </c>
      <c r="D326" t="s">
        <v>3345</v>
      </c>
    </row>
    <row r="327" spans="1:8" ht="15" customHeight="1">
      <c r="A327" t="s">
        <v>3336</v>
      </c>
      <c r="B327" t="s">
        <v>3016</v>
      </c>
      <c r="D327" s="48" t="s">
        <v>3340</v>
      </c>
      <c r="E327" s="48">
        <v>0.64</v>
      </c>
    </row>
    <row r="328" spans="1:8" ht="15" customHeight="1">
      <c r="A328" t="s">
        <v>3336</v>
      </c>
      <c r="B328" t="s">
        <v>3016</v>
      </c>
      <c r="D328" s="48" t="s">
        <v>3341</v>
      </c>
      <c r="E328" s="286">
        <f>[1]MonoSugar!$K$2</f>
        <v>87.059829405162731</v>
      </c>
    </row>
    <row r="329" spans="1:8" ht="15" customHeight="1">
      <c r="A329" t="s">
        <v>3336</v>
      </c>
      <c r="B329" t="s">
        <v>3016</v>
      </c>
      <c r="D329" s="48" t="s">
        <v>3342</v>
      </c>
      <c r="E329" s="48">
        <f>E328/100*E327</f>
        <v>0.5571829081930415</v>
      </c>
    </row>
    <row r="330" spans="1:8" ht="15" customHeight="1">
      <c r="A330" t="s">
        <v>3336</v>
      </c>
      <c r="B330" t="s">
        <v>3016</v>
      </c>
    </row>
    <row r="331" spans="1:8" ht="15" customHeight="1">
      <c r="A331" t="s">
        <v>3336</v>
      </c>
      <c r="B331" t="s">
        <v>3016</v>
      </c>
      <c r="C331" t="s">
        <v>69</v>
      </c>
      <c r="D331" s="7" t="s">
        <v>3346</v>
      </c>
      <c r="G331" t="s">
        <v>6</v>
      </c>
      <c r="H331" s="318" t="s">
        <v>3347</v>
      </c>
    </row>
    <row r="332" spans="1:8" ht="15" customHeight="1">
      <c r="A332" t="s">
        <v>3336</v>
      </c>
      <c r="B332" t="s">
        <v>3016</v>
      </c>
      <c r="D332" s="7" t="s">
        <v>3348</v>
      </c>
    </row>
    <row r="333" spans="1:8" ht="15" customHeight="1">
      <c r="A333" t="s">
        <v>3336</v>
      </c>
      <c r="B333" t="s">
        <v>3016</v>
      </c>
      <c r="D333" s="289" t="s">
        <v>3349</v>
      </c>
      <c r="E333" s="637" t="s">
        <v>3350</v>
      </c>
      <c r="F333" s="638"/>
      <c r="G333" s="331" t="s">
        <v>3351</v>
      </c>
    </row>
    <row r="334" spans="1:8" ht="15" customHeight="1">
      <c r="A334" t="s">
        <v>3336</v>
      </c>
      <c r="B334" t="s">
        <v>3016</v>
      </c>
      <c r="D334" s="290" t="s">
        <v>14</v>
      </c>
      <c r="E334" s="291" t="s">
        <v>3352</v>
      </c>
      <c r="F334" s="301" t="s">
        <v>3353</v>
      </c>
      <c r="G334" s="301" t="s">
        <v>3353</v>
      </c>
      <c r="H334" s="48" t="s">
        <v>3023</v>
      </c>
    </row>
    <row r="335" spans="1:8" ht="15" customHeight="1">
      <c r="A335" t="s">
        <v>3336</v>
      </c>
      <c r="B335" t="s">
        <v>3016</v>
      </c>
      <c r="D335" s="348" t="s">
        <v>1496</v>
      </c>
      <c r="E335" s="348">
        <v>5.57</v>
      </c>
      <c r="F335" s="348">
        <v>7.0000000000000007E-2</v>
      </c>
      <c r="G335" s="348">
        <v>0.06</v>
      </c>
      <c r="H335" s="48">
        <f>AVERAGE(F335:G340)</f>
        <v>0.17083333333333336</v>
      </c>
    </row>
    <row r="336" spans="1:8" ht="15" customHeight="1">
      <c r="A336" t="s">
        <v>3336</v>
      </c>
      <c r="B336" t="s">
        <v>3016</v>
      </c>
      <c r="D336" s="348" t="s">
        <v>3354</v>
      </c>
      <c r="E336" s="348">
        <v>11.4</v>
      </c>
      <c r="F336" s="348">
        <v>0.17</v>
      </c>
      <c r="G336" s="348">
        <v>0.11</v>
      </c>
    </row>
    <row r="337" spans="1:9" ht="15" customHeight="1">
      <c r="A337" t="s">
        <v>3336</v>
      </c>
      <c r="B337" t="s">
        <v>3016</v>
      </c>
      <c r="D337" s="348" t="s">
        <v>3355</v>
      </c>
      <c r="E337" s="348">
        <v>24.21</v>
      </c>
      <c r="F337" s="348">
        <v>0.39</v>
      </c>
      <c r="G337" s="348">
        <v>0.26</v>
      </c>
    </row>
    <row r="338" spans="1:9" ht="15" customHeight="1">
      <c r="A338" t="s">
        <v>3336</v>
      </c>
      <c r="B338" t="s">
        <v>3016</v>
      </c>
      <c r="D338" s="348" t="s">
        <v>3356</v>
      </c>
      <c r="E338" s="348">
        <v>12.2</v>
      </c>
      <c r="F338" s="348">
        <v>0.18</v>
      </c>
      <c r="G338" s="348">
        <v>0.13</v>
      </c>
    </row>
    <row r="339" spans="1:9" ht="15" customHeight="1">
      <c r="A339" t="s">
        <v>3336</v>
      </c>
      <c r="B339" t="s">
        <v>3016</v>
      </c>
      <c r="D339" s="348" t="s">
        <v>3357</v>
      </c>
      <c r="E339" s="348">
        <v>12.36</v>
      </c>
      <c r="F339" s="348">
        <v>0.16</v>
      </c>
      <c r="G339" s="348">
        <v>0.13</v>
      </c>
    </row>
    <row r="340" spans="1:9" ht="15" customHeight="1">
      <c r="A340" t="s">
        <v>3336</v>
      </c>
      <c r="B340" t="s">
        <v>3016</v>
      </c>
      <c r="D340" s="290" t="s">
        <v>3358</v>
      </c>
      <c r="E340" s="290">
        <v>19.14</v>
      </c>
      <c r="F340" s="290">
        <v>0.2</v>
      </c>
      <c r="G340" s="290">
        <v>0.19</v>
      </c>
    </row>
    <row r="341" spans="1:9" ht="15" customHeight="1">
      <c r="A341" t="s">
        <v>3336</v>
      </c>
      <c r="B341" t="s">
        <v>3016</v>
      </c>
      <c r="E341" s="48" t="s">
        <v>3033</v>
      </c>
      <c r="F341" s="48">
        <f>MAX(F335:G340)</f>
        <v>0.39</v>
      </c>
    </row>
    <row r="342" spans="1:9" ht="15" customHeight="1">
      <c r="A342" t="s">
        <v>3336</v>
      </c>
      <c r="B342" t="s">
        <v>3016</v>
      </c>
      <c r="E342" s="48" t="s">
        <v>3034</v>
      </c>
      <c r="F342" s="48">
        <f>MIN(F335:G340)</f>
        <v>0.06</v>
      </c>
    </row>
    <row r="343" spans="1:9" ht="15" customHeight="1">
      <c r="A343" t="s">
        <v>3336</v>
      </c>
      <c r="B343" t="s">
        <v>3016</v>
      </c>
    </row>
    <row r="344" spans="1:9" ht="15" customHeight="1">
      <c r="A344" t="s">
        <v>3336</v>
      </c>
      <c r="B344" t="s">
        <v>3016</v>
      </c>
      <c r="C344" t="s">
        <v>132</v>
      </c>
      <c r="D344" s="7" t="s">
        <v>3359</v>
      </c>
      <c r="G344" t="s">
        <v>3320</v>
      </c>
    </row>
    <row r="345" spans="1:9" ht="15" customHeight="1">
      <c r="A345" t="s">
        <v>3336</v>
      </c>
      <c r="B345" t="s">
        <v>3016</v>
      </c>
      <c r="D345" s="7" t="s">
        <v>3360</v>
      </c>
    </row>
    <row r="346" spans="1:9" ht="15" customHeight="1">
      <c r="A346" t="s">
        <v>3336</v>
      </c>
      <c r="B346" t="s">
        <v>3016</v>
      </c>
      <c r="D346" s="295" t="s">
        <v>3361</v>
      </c>
      <c r="E346" s="300" t="s">
        <v>3362</v>
      </c>
      <c r="F346" s="300" t="s">
        <v>3363</v>
      </c>
      <c r="H346" s="48" t="s">
        <v>3324</v>
      </c>
      <c r="I346" s="48" t="s">
        <v>3177</v>
      </c>
    </row>
    <row r="347" spans="1:9" ht="15" customHeight="1">
      <c r="A347" t="s">
        <v>3336</v>
      </c>
      <c r="B347" t="s">
        <v>3016</v>
      </c>
      <c r="D347" s="348" t="s">
        <v>3364</v>
      </c>
      <c r="E347" s="348" t="s">
        <v>3365</v>
      </c>
      <c r="F347" s="348" t="s">
        <v>3366</v>
      </c>
      <c r="H347" s="48">
        <v>0.09</v>
      </c>
      <c r="I347" s="48">
        <f>AVERAGE(H347:H352)</f>
        <v>0.17500000000000002</v>
      </c>
    </row>
    <row r="348" spans="1:9" ht="15" customHeight="1">
      <c r="A348" t="s">
        <v>3336</v>
      </c>
      <c r="B348" t="s">
        <v>3016</v>
      </c>
      <c r="D348" s="348" t="s">
        <v>3367</v>
      </c>
      <c r="E348" s="348" t="s">
        <v>3368</v>
      </c>
      <c r="F348" s="348" t="s">
        <v>3366</v>
      </c>
      <c r="H348" s="48">
        <v>0.31</v>
      </c>
    </row>
    <row r="349" spans="1:9" ht="15" customHeight="1">
      <c r="A349" t="s">
        <v>3336</v>
      </c>
      <c r="B349" t="s">
        <v>3016</v>
      </c>
      <c r="D349" s="348" t="s">
        <v>3181</v>
      </c>
      <c r="E349" s="348" t="s">
        <v>3369</v>
      </c>
      <c r="F349" s="348" t="s">
        <v>3370</v>
      </c>
      <c r="H349" s="48">
        <v>0.27</v>
      </c>
    </row>
    <row r="350" spans="1:9" ht="15" customHeight="1">
      <c r="A350" t="s">
        <v>3336</v>
      </c>
      <c r="B350" t="s">
        <v>3016</v>
      </c>
      <c r="D350" s="348" t="s">
        <v>3371</v>
      </c>
      <c r="E350" s="348" t="s">
        <v>3372</v>
      </c>
      <c r="F350" s="348" t="s">
        <v>3373</v>
      </c>
      <c r="H350" s="48">
        <v>0.05</v>
      </c>
    </row>
    <row r="351" spans="1:9" ht="15" customHeight="1">
      <c r="A351" t="s">
        <v>3336</v>
      </c>
      <c r="B351" t="s">
        <v>3016</v>
      </c>
      <c r="D351" s="290" t="s">
        <v>3374</v>
      </c>
      <c r="E351" s="290" t="s">
        <v>3375</v>
      </c>
      <c r="F351" s="290" t="s">
        <v>3376</v>
      </c>
      <c r="H351" s="48">
        <v>0.15</v>
      </c>
    </row>
    <row r="352" spans="1:9" ht="15" customHeight="1">
      <c r="A352" t="s">
        <v>3336</v>
      </c>
      <c r="B352" t="s">
        <v>3016</v>
      </c>
      <c r="H352" s="48">
        <v>0.18</v>
      </c>
    </row>
    <row r="353" spans="1:15" ht="15" customHeight="1">
      <c r="A353" t="s">
        <v>3336</v>
      </c>
      <c r="B353" t="s">
        <v>3016</v>
      </c>
      <c r="G353" s="48" t="s">
        <v>3033</v>
      </c>
      <c r="H353" s="48">
        <f>MAX(H347:H352)</f>
        <v>0.31</v>
      </c>
    </row>
    <row r="354" spans="1:15" ht="15" customHeight="1">
      <c r="A354" t="s">
        <v>3336</v>
      </c>
      <c r="B354" t="s">
        <v>3016</v>
      </c>
      <c r="G354" s="48" t="s">
        <v>3034</v>
      </c>
      <c r="H354" s="48">
        <f>MIN(H347:H352)</f>
        <v>0.05</v>
      </c>
    </row>
    <row r="355" spans="1:15" ht="15" customHeight="1">
      <c r="A355" t="s">
        <v>3336</v>
      </c>
      <c r="B355" t="s">
        <v>3016</v>
      </c>
    </row>
    <row r="356" spans="1:15" ht="15" customHeight="1">
      <c r="A356" t="s">
        <v>3336</v>
      </c>
      <c r="B356" t="s">
        <v>3016</v>
      </c>
      <c r="C356" t="s">
        <v>3145</v>
      </c>
      <c r="D356" s="7" t="s">
        <v>3377</v>
      </c>
    </row>
    <row r="357" spans="1:15" ht="15" customHeight="1">
      <c r="A357" t="s">
        <v>3336</v>
      </c>
      <c r="B357" t="s">
        <v>3016</v>
      </c>
      <c r="D357" s="7" t="s">
        <v>3378</v>
      </c>
    </row>
    <row r="358" spans="1:15" ht="15" customHeight="1">
      <c r="A358" t="s">
        <v>3336</v>
      </c>
      <c r="B358" t="s">
        <v>3016</v>
      </c>
      <c r="D358" s="295" t="s">
        <v>3379</v>
      </c>
      <c r="E358" s="302" t="s">
        <v>14</v>
      </c>
      <c r="F358" s="295" t="s">
        <v>3380</v>
      </c>
      <c r="G358" s="295" t="s">
        <v>3381</v>
      </c>
      <c r="H358" s="295" t="s">
        <v>3382</v>
      </c>
      <c r="I358" s="295" t="s">
        <v>3383</v>
      </c>
      <c r="J358" s="295" t="s">
        <v>3384</v>
      </c>
      <c r="K358" s="295" t="s">
        <v>3385</v>
      </c>
      <c r="L358" s="48" t="s">
        <v>3386</v>
      </c>
      <c r="M358" s="285" t="s">
        <v>3341</v>
      </c>
      <c r="N358" s="48" t="s">
        <v>3342</v>
      </c>
      <c r="O358" s="48" t="s">
        <v>3177</v>
      </c>
    </row>
    <row r="359" spans="1:15" ht="15" customHeight="1">
      <c r="A359" t="s">
        <v>3336</v>
      </c>
      <c r="B359" t="s">
        <v>3016</v>
      </c>
      <c r="D359" s="338" t="s">
        <v>3387</v>
      </c>
      <c r="E359" s="338" t="s">
        <v>3388</v>
      </c>
      <c r="F359" s="338" t="s">
        <v>3389</v>
      </c>
      <c r="G359" s="338" t="s">
        <v>3390</v>
      </c>
      <c r="H359" s="338" t="s">
        <v>3391</v>
      </c>
      <c r="I359" s="338" t="s">
        <v>3392</v>
      </c>
      <c r="J359" s="338" t="s">
        <v>3393</v>
      </c>
      <c r="K359" s="338" t="s">
        <v>3394</v>
      </c>
      <c r="L359" s="48">
        <v>26</v>
      </c>
      <c r="M359" s="286">
        <f>[1]MonoSugar!$K$2</f>
        <v>87.059829405162731</v>
      </c>
      <c r="N359" s="48">
        <f>L359/100*M359/100</f>
        <v>0.22635555645342312</v>
      </c>
      <c r="O359" s="48">
        <f>AVERAGE(N359:N360)</f>
        <v>0.20023760763187429</v>
      </c>
    </row>
    <row r="360" spans="1:15" ht="15" customHeight="1">
      <c r="A360" t="s">
        <v>3336</v>
      </c>
      <c r="B360" t="s">
        <v>3016</v>
      </c>
      <c r="D360" s="290"/>
      <c r="E360" s="290" t="s">
        <v>3395</v>
      </c>
      <c r="F360" s="290" t="s">
        <v>3396</v>
      </c>
      <c r="G360" s="290" t="s">
        <v>3397</v>
      </c>
      <c r="H360" s="290" t="s">
        <v>3398</v>
      </c>
      <c r="I360" s="290" t="s">
        <v>3399</v>
      </c>
      <c r="J360" s="290" t="s">
        <v>3400</v>
      </c>
      <c r="K360" s="290" t="s">
        <v>3401</v>
      </c>
      <c r="L360" s="48">
        <v>20</v>
      </c>
      <c r="N360" s="48">
        <f>L360/100*M359/100</f>
        <v>0.17411965881032546</v>
      </c>
    </row>
    <row r="361" spans="1:15" ht="15" customHeight="1">
      <c r="A361" t="s">
        <v>3336</v>
      </c>
      <c r="B361" t="s">
        <v>3016</v>
      </c>
      <c r="D361" s="306" t="s">
        <v>3402</v>
      </c>
    </row>
    <row r="362" spans="1:15" ht="15" customHeight="1">
      <c r="A362" t="s">
        <v>3336</v>
      </c>
      <c r="B362" t="s">
        <v>3016</v>
      </c>
    </row>
    <row r="363" spans="1:15" ht="15" customHeight="1">
      <c r="A363" t="s">
        <v>3336</v>
      </c>
      <c r="B363" t="s">
        <v>4572</v>
      </c>
      <c r="C363" t="s">
        <v>638</v>
      </c>
      <c r="D363" t="s">
        <v>883</v>
      </c>
      <c r="E363">
        <v>0.66714285714285715</v>
      </c>
    </row>
    <row r="364" spans="1:15" ht="15" customHeight="1">
      <c r="A364" t="s">
        <v>3336</v>
      </c>
      <c r="B364" t="s">
        <v>4572</v>
      </c>
      <c r="D364" s="48" t="s">
        <v>4582</v>
      </c>
      <c r="E364" s="51">
        <f>[1]MonoSugar!$K$3</f>
        <v>16.694444444444443</v>
      </c>
    </row>
    <row r="365" spans="1:15" ht="15" customHeight="1">
      <c r="A365" t="s">
        <v>3336</v>
      </c>
      <c r="B365" t="s">
        <v>4572</v>
      </c>
      <c r="D365" s="48" t="s">
        <v>3403</v>
      </c>
      <c r="E365" s="48">
        <f>E363*E364%</f>
        <v>0.11137579365079364</v>
      </c>
    </row>
    <row r="366" spans="1:15" ht="15" customHeight="1">
      <c r="A366" t="s">
        <v>3336</v>
      </c>
      <c r="B366" t="s">
        <v>4581</v>
      </c>
      <c r="C366" t="s">
        <v>638</v>
      </c>
      <c r="D366" t="s">
        <v>883</v>
      </c>
      <c r="E366">
        <v>0.66714285714285715</v>
      </c>
    </row>
    <row r="367" spans="1:15" ht="15" customHeight="1">
      <c r="A367" t="s">
        <v>3336</v>
      </c>
      <c r="B367" t="s">
        <v>4581</v>
      </c>
      <c r="D367" s="48" t="s">
        <v>4583</v>
      </c>
      <c r="E367" s="51">
        <f>[1]MonoSugar!$K$4</f>
        <v>69.75555555555556</v>
      </c>
    </row>
    <row r="368" spans="1:15" ht="15" customHeight="1">
      <c r="A368" t="s">
        <v>3336</v>
      </c>
      <c r="B368" t="s">
        <v>4581</v>
      </c>
      <c r="D368" s="48" t="s">
        <v>4584</v>
      </c>
      <c r="E368" s="48">
        <f>E366*E367%</f>
        <v>0.46536920634920637</v>
      </c>
    </row>
    <row r="369" spans="1:6" ht="15" customHeight="1">
      <c r="A369" t="s">
        <v>3336</v>
      </c>
      <c r="B369" t="s">
        <v>4581</v>
      </c>
    </row>
    <row r="370" spans="1:6" ht="15" customHeight="1">
      <c r="A370" t="s">
        <v>4585</v>
      </c>
      <c r="B370" t="s">
        <v>3016</v>
      </c>
      <c r="C370" t="s">
        <v>197</v>
      </c>
      <c r="D370" t="s">
        <v>4586</v>
      </c>
    </row>
    <row r="371" spans="1:6" ht="15" customHeight="1">
      <c r="A371" t="s">
        <v>4585</v>
      </c>
      <c r="B371" t="s">
        <v>3016</v>
      </c>
      <c r="D371" t="s">
        <v>4587</v>
      </c>
    </row>
    <row r="372" spans="1:6" ht="15" customHeight="1">
      <c r="A372" t="s">
        <v>4585</v>
      </c>
      <c r="B372" t="s">
        <v>3016</v>
      </c>
      <c r="D372" s="352" t="s">
        <v>4589</v>
      </c>
      <c r="E372" s="352" t="s">
        <v>4588</v>
      </c>
      <c r="F372">
        <v>0.09</v>
      </c>
    </row>
    <row r="373" spans="1:6" ht="15" customHeight="1">
      <c r="A373" t="s">
        <v>4585</v>
      </c>
      <c r="B373" t="s">
        <v>3016</v>
      </c>
      <c r="F373">
        <v>0.12</v>
      </c>
    </row>
    <row r="374" spans="1:6" ht="15" customHeight="1">
      <c r="A374" t="s">
        <v>4585</v>
      </c>
      <c r="B374" t="s">
        <v>3016</v>
      </c>
      <c r="D374" s="352" t="s">
        <v>4590</v>
      </c>
      <c r="E374" s="352" t="s">
        <v>4588</v>
      </c>
      <c r="F374">
        <v>0.22</v>
      </c>
    </row>
    <row r="375" spans="1:6" ht="15" customHeight="1">
      <c r="A375" t="s">
        <v>4585</v>
      </c>
      <c r="B375" t="s">
        <v>3016</v>
      </c>
      <c r="D375" s="352" t="s">
        <v>4591</v>
      </c>
      <c r="E375" s="352" t="s">
        <v>4588</v>
      </c>
      <c r="F375" t="s">
        <v>4592</v>
      </c>
    </row>
    <row r="376" spans="1:6" ht="15" customHeight="1">
      <c r="A376" t="s">
        <v>4585</v>
      </c>
      <c r="B376" t="s">
        <v>3016</v>
      </c>
      <c r="D376" s="352" t="s">
        <v>510</v>
      </c>
      <c r="E376" s="352" t="s">
        <v>4593</v>
      </c>
      <c r="F376">
        <f>AVERAGE(F372:F375)</f>
        <v>0.14333333333333334</v>
      </c>
    </row>
    <row r="377" spans="1:6" ht="15" customHeight="1">
      <c r="A377" t="s">
        <v>4585</v>
      </c>
      <c r="B377" t="s">
        <v>3016</v>
      </c>
      <c r="D377" s="352" t="s">
        <v>3333</v>
      </c>
      <c r="E377" s="142">
        <f>[1]MonoSugar!$H$2</f>
        <v>83.123061728395058</v>
      </c>
      <c r="F377">
        <f>F376*E377%</f>
        <v>0.11914305514403292</v>
      </c>
    </row>
    <row r="378" spans="1:6" ht="15" customHeight="1">
      <c r="A378" t="s">
        <v>4585</v>
      </c>
      <c r="B378" t="s">
        <v>3016</v>
      </c>
    </row>
    <row r="379" spans="1:6" ht="15" customHeight="1">
      <c r="A379" t="s">
        <v>4585</v>
      </c>
      <c r="B379" t="s">
        <v>3016</v>
      </c>
    </row>
    <row r="380" spans="1:6" ht="15" customHeight="1">
      <c r="A380" t="s">
        <v>4585</v>
      </c>
      <c r="B380" t="s">
        <v>4572</v>
      </c>
      <c r="C380" t="s">
        <v>638</v>
      </c>
      <c r="D380" t="s">
        <v>680</v>
      </c>
    </row>
    <row r="381" spans="1:6" ht="15" customHeight="1">
      <c r="A381" t="s">
        <v>4585</v>
      </c>
      <c r="B381" t="s">
        <v>4572</v>
      </c>
      <c r="D381" s="184" t="s">
        <v>681</v>
      </c>
    </row>
    <row r="382" spans="1:6" ht="15" customHeight="1">
      <c r="A382" t="s">
        <v>4585</v>
      </c>
      <c r="B382" t="s">
        <v>4572</v>
      </c>
      <c r="D382">
        <v>180</v>
      </c>
      <c r="E382">
        <v>126</v>
      </c>
    </row>
    <row r="383" spans="1:6" ht="15" customHeight="1">
      <c r="A383" t="s">
        <v>4585</v>
      </c>
      <c r="B383" t="s">
        <v>4572</v>
      </c>
      <c r="D383" s="48" t="s">
        <v>809</v>
      </c>
      <c r="E383" s="48">
        <f>1/180*126</f>
        <v>0.70000000000000007</v>
      </c>
    </row>
    <row r="384" spans="1:6" ht="15" customHeight="1">
      <c r="A384" t="s">
        <v>4585</v>
      </c>
      <c r="B384" t="s">
        <v>4572</v>
      </c>
      <c r="D384" s="48" t="s">
        <v>4573</v>
      </c>
      <c r="E384" s="51">
        <f>[1]MonoSugar!$L$3</f>
        <v>16.694444444444443</v>
      </c>
    </row>
    <row r="385" spans="1:7" ht="15" customHeight="1">
      <c r="A385" t="s">
        <v>4585</v>
      </c>
      <c r="B385" t="s">
        <v>4572</v>
      </c>
      <c r="D385" s="48" t="s">
        <v>4575</v>
      </c>
      <c r="E385" s="48">
        <f>E383*E384%</f>
        <v>0.11686111111111111</v>
      </c>
    </row>
    <row r="386" spans="1:7" ht="15" customHeight="1">
      <c r="A386" t="s">
        <v>4585</v>
      </c>
    </row>
    <row r="387" spans="1:7" ht="15" customHeight="1">
      <c r="A387" t="s">
        <v>4585</v>
      </c>
      <c r="B387" t="s">
        <v>4581</v>
      </c>
      <c r="C387" t="s">
        <v>638</v>
      </c>
      <c r="D387" t="s">
        <v>680</v>
      </c>
    </row>
    <row r="388" spans="1:7" ht="15" customHeight="1">
      <c r="A388" t="s">
        <v>4585</v>
      </c>
      <c r="B388" t="s">
        <v>4581</v>
      </c>
      <c r="D388" s="184" t="s">
        <v>681</v>
      </c>
    </row>
    <row r="389" spans="1:7" ht="15" customHeight="1">
      <c r="A389" t="s">
        <v>4585</v>
      </c>
      <c r="B389" t="s">
        <v>4581</v>
      </c>
      <c r="D389">
        <v>180</v>
      </c>
      <c r="E389">
        <v>126</v>
      </c>
    </row>
    <row r="390" spans="1:7" ht="15" customHeight="1">
      <c r="A390" t="s">
        <v>4585</v>
      </c>
      <c r="B390" t="s">
        <v>4581</v>
      </c>
      <c r="D390" s="48" t="s">
        <v>809</v>
      </c>
      <c r="E390" s="48">
        <f>1/180*126</f>
        <v>0.70000000000000007</v>
      </c>
    </row>
    <row r="391" spans="1:7" ht="15" customHeight="1">
      <c r="A391" t="s">
        <v>4585</v>
      </c>
      <c r="B391" t="s">
        <v>4581</v>
      </c>
      <c r="D391" s="48" t="s">
        <v>4574</v>
      </c>
      <c r="E391" s="51">
        <f>[1]MonoSugar!$L$4</f>
        <v>54.255555555555553</v>
      </c>
    </row>
    <row r="392" spans="1:7" ht="15" customHeight="1">
      <c r="A392" t="s">
        <v>4585</v>
      </c>
      <c r="B392" t="s">
        <v>4581</v>
      </c>
      <c r="D392" s="48" t="s">
        <v>6224</v>
      </c>
      <c r="E392" s="48">
        <f>E390*E391%</f>
        <v>0.37978888888888895</v>
      </c>
    </row>
    <row r="393" spans="1:7" ht="15" customHeight="1">
      <c r="A393" t="s">
        <v>931</v>
      </c>
      <c r="B393" t="s">
        <v>3016</v>
      </c>
    </row>
    <row r="394" spans="1:7" ht="15" customHeight="1">
      <c r="A394" t="s">
        <v>931</v>
      </c>
      <c r="B394" t="s">
        <v>3016</v>
      </c>
      <c r="C394" t="s">
        <v>197</v>
      </c>
      <c r="D394" t="s">
        <v>4598</v>
      </c>
    </row>
    <row r="395" spans="1:7" ht="15" customHeight="1">
      <c r="A395" t="s">
        <v>931</v>
      </c>
      <c r="B395" t="s">
        <v>3016</v>
      </c>
      <c r="D395" t="s">
        <v>4599</v>
      </c>
    </row>
    <row r="396" spans="1:7" ht="15" customHeight="1" thickBot="1">
      <c r="A396" t="s">
        <v>931</v>
      </c>
      <c r="B396" t="s">
        <v>3016</v>
      </c>
      <c r="D396" s="160" t="s">
        <v>4594</v>
      </c>
    </row>
    <row r="397" spans="1:7" ht="15" customHeight="1" thickBot="1">
      <c r="A397" t="s">
        <v>931</v>
      </c>
      <c r="B397" t="s">
        <v>3016</v>
      </c>
      <c r="D397" s="177" t="s">
        <v>4595</v>
      </c>
      <c r="E397" s="177" t="s">
        <v>4596</v>
      </c>
      <c r="F397" s="177" t="s">
        <v>1491</v>
      </c>
      <c r="G397" s="177" t="s">
        <v>4597</v>
      </c>
    </row>
    <row r="398" spans="1:7" ht="15" customHeight="1">
      <c r="A398" t="s">
        <v>931</v>
      </c>
      <c r="B398" t="s">
        <v>3016</v>
      </c>
      <c r="D398" s="175">
        <v>220</v>
      </c>
      <c r="E398" s="156">
        <v>0.1</v>
      </c>
      <c r="F398" s="156">
        <v>36.24</v>
      </c>
      <c r="G398" s="156">
        <v>33.630000000000003</v>
      </c>
    </row>
    <row r="399" spans="1:7" ht="15" customHeight="1">
      <c r="A399" t="s">
        <v>931</v>
      </c>
      <c r="B399" t="s">
        <v>3016</v>
      </c>
      <c r="D399" s="175"/>
      <c r="E399" s="156">
        <v>0.3</v>
      </c>
      <c r="F399" s="156">
        <v>21.57</v>
      </c>
      <c r="G399" s="156">
        <v>41.16</v>
      </c>
    </row>
    <row r="400" spans="1:7" ht="15" customHeight="1">
      <c r="A400" t="s">
        <v>931</v>
      </c>
      <c r="B400" t="s">
        <v>3016</v>
      </c>
      <c r="D400" s="175"/>
      <c r="E400" s="156">
        <v>0.5</v>
      </c>
      <c r="F400" s="156">
        <v>16.850000000000001</v>
      </c>
      <c r="G400" s="156">
        <v>44.9</v>
      </c>
    </row>
    <row r="401" spans="1:10" ht="15" customHeight="1">
      <c r="A401" t="s">
        <v>931</v>
      </c>
      <c r="B401" t="s">
        <v>3016</v>
      </c>
      <c r="D401" s="175">
        <v>230</v>
      </c>
      <c r="E401" s="156">
        <v>0.1</v>
      </c>
      <c r="F401" s="156">
        <v>21.78</v>
      </c>
      <c r="G401" s="156">
        <v>35.83</v>
      </c>
    </row>
    <row r="402" spans="1:10" ht="15" customHeight="1">
      <c r="A402" t="s">
        <v>931</v>
      </c>
      <c r="B402" t="s">
        <v>3016</v>
      </c>
      <c r="D402" s="175"/>
      <c r="E402" s="156">
        <v>0.3</v>
      </c>
      <c r="F402" s="156">
        <v>12.63</v>
      </c>
      <c r="G402" s="156">
        <v>42.15</v>
      </c>
    </row>
    <row r="403" spans="1:10" ht="15" customHeight="1">
      <c r="A403" t="s">
        <v>931</v>
      </c>
      <c r="B403" t="s">
        <v>3016</v>
      </c>
      <c r="D403" s="175"/>
      <c r="E403" s="156">
        <v>0.5</v>
      </c>
      <c r="F403" s="156">
        <v>9.7799999999999994</v>
      </c>
      <c r="G403" s="156">
        <v>45.39</v>
      </c>
    </row>
    <row r="404" spans="1:10" ht="15" customHeight="1">
      <c r="A404" t="s">
        <v>931</v>
      </c>
      <c r="B404" t="s">
        <v>3016</v>
      </c>
      <c r="D404" s="175">
        <v>240</v>
      </c>
      <c r="E404" s="156">
        <v>0.1</v>
      </c>
      <c r="F404" s="156">
        <v>26.92</v>
      </c>
      <c r="G404" s="156">
        <v>38.159999999999997</v>
      </c>
    </row>
    <row r="405" spans="1:10" ht="15" customHeight="1">
      <c r="A405" t="s">
        <v>931</v>
      </c>
      <c r="B405" t="s">
        <v>3016</v>
      </c>
      <c r="D405" s="175"/>
      <c r="E405" s="156">
        <v>0.3</v>
      </c>
      <c r="F405" s="156">
        <v>7.67</v>
      </c>
      <c r="G405" s="156">
        <v>43</v>
      </c>
    </row>
    <row r="406" spans="1:10" ht="15" customHeight="1" thickBot="1">
      <c r="A406" t="s">
        <v>931</v>
      </c>
      <c r="B406" t="s">
        <v>3016</v>
      </c>
      <c r="D406" s="178"/>
      <c r="E406" s="158">
        <v>0.5</v>
      </c>
      <c r="F406" s="158">
        <v>4.28</v>
      </c>
      <c r="G406" s="158">
        <v>45.45</v>
      </c>
    </row>
    <row r="407" spans="1:10" ht="15" customHeight="1">
      <c r="A407" t="s">
        <v>931</v>
      </c>
      <c r="B407" t="s">
        <v>3016</v>
      </c>
      <c r="F407" t="s">
        <v>510</v>
      </c>
      <c r="G407">
        <f>AVERAGE(G398:G406)</f>
        <v>41.074444444444445</v>
      </c>
    </row>
    <row r="408" spans="1:10" ht="15" customHeight="1">
      <c r="A408" t="s">
        <v>931</v>
      </c>
      <c r="B408" t="s">
        <v>3016</v>
      </c>
      <c r="D408" s="48" t="s">
        <v>4600</v>
      </c>
      <c r="E408" s="48">
        <f>G407/100*0.716</f>
        <v>0.29409302222222222</v>
      </c>
    </row>
    <row r="409" spans="1:10" ht="15" customHeight="1">
      <c r="A409" t="s">
        <v>931</v>
      </c>
      <c r="B409" t="s">
        <v>3016</v>
      </c>
      <c r="D409" s="48" t="s">
        <v>4601</v>
      </c>
      <c r="E409" s="51">
        <f>[1]MonoSugar!$K$2*162/180</f>
        <v>78.353846464646466</v>
      </c>
    </row>
    <row r="410" spans="1:10" ht="15" customHeight="1">
      <c r="A410" t="s">
        <v>931</v>
      </c>
      <c r="B410" t="s">
        <v>3016</v>
      </c>
      <c r="D410" s="48" t="s">
        <v>4602</v>
      </c>
      <c r="E410" s="48">
        <f>E408*E409%</f>
        <v>0.23043319509523863</v>
      </c>
    </row>
    <row r="411" spans="1:10" ht="15" customHeight="1">
      <c r="A411" t="s">
        <v>931</v>
      </c>
      <c r="B411" t="s">
        <v>3016</v>
      </c>
    </row>
    <row r="412" spans="1:10" s="383" customFormat="1" ht="15" customHeight="1">
      <c r="A412" t="s">
        <v>931</v>
      </c>
      <c r="B412" s="383" t="s">
        <v>3016</v>
      </c>
      <c r="C412" s="383" t="s">
        <v>226</v>
      </c>
      <c r="D412" s="383" t="s">
        <v>4623</v>
      </c>
      <c r="G412" s="385" t="s">
        <v>815</v>
      </c>
    </row>
    <row r="413" spans="1:10" s="383" customFormat="1" ht="15" customHeight="1">
      <c r="A413" t="s">
        <v>931</v>
      </c>
      <c r="B413" s="383" t="s">
        <v>3016</v>
      </c>
      <c r="D413" s="383" t="s">
        <v>4624</v>
      </c>
    </row>
    <row r="414" spans="1:10" s="383" customFormat="1" ht="15" customHeight="1" thickBot="1">
      <c r="A414" t="s">
        <v>931</v>
      </c>
      <c r="B414" s="383" t="s">
        <v>3016</v>
      </c>
      <c r="D414" s="401" t="s">
        <v>4603</v>
      </c>
    </row>
    <row r="415" spans="1:10" s="383" customFormat="1" ht="15" customHeight="1">
      <c r="A415" t="s">
        <v>931</v>
      </c>
      <c r="B415" s="383" t="s">
        <v>3016</v>
      </c>
      <c r="D415" s="630" t="s">
        <v>4604</v>
      </c>
      <c r="E415" s="402" t="s">
        <v>4605</v>
      </c>
      <c r="F415" s="630" t="s">
        <v>4606</v>
      </c>
      <c r="G415" s="630" t="s">
        <v>4607</v>
      </c>
      <c r="H415" s="632" t="s">
        <v>4608</v>
      </c>
      <c r="I415" s="632" t="s">
        <v>4609</v>
      </c>
      <c r="J415" s="632"/>
    </row>
    <row r="416" spans="1:10" s="383" customFormat="1" ht="15" customHeight="1" thickBot="1">
      <c r="A416" t="s">
        <v>931</v>
      </c>
      <c r="B416" s="383" t="s">
        <v>3016</v>
      </c>
      <c r="D416" s="631"/>
      <c r="E416" s="403" t="s">
        <v>588</v>
      </c>
      <c r="F416" s="631"/>
      <c r="G416" s="631"/>
      <c r="H416" s="633"/>
      <c r="I416" s="404" t="s">
        <v>156</v>
      </c>
      <c r="J416" s="404" t="s">
        <v>4610</v>
      </c>
    </row>
    <row r="417" spans="1:10" s="383" customFormat="1" ht="15" customHeight="1">
      <c r="A417" t="s">
        <v>931</v>
      </c>
      <c r="B417" s="383" t="s">
        <v>3016</v>
      </c>
      <c r="D417" s="405">
        <v>1</v>
      </c>
      <c r="E417" s="405">
        <v>85</v>
      </c>
      <c r="F417" s="405">
        <v>60</v>
      </c>
      <c r="G417" s="405">
        <v>150</v>
      </c>
      <c r="H417" s="406">
        <v>1</v>
      </c>
      <c r="I417" s="406">
        <v>11.3</v>
      </c>
      <c r="J417" s="406">
        <v>8.1300000000000008</v>
      </c>
    </row>
    <row r="418" spans="1:10" s="383" customFormat="1" ht="15" customHeight="1">
      <c r="A418" t="s">
        <v>931</v>
      </c>
      <c r="B418" s="383" t="s">
        <v>3016</v>
      </c>
      <c r="D418" s="405">
        <v>2</v>
      </c>
      <c r="E418" s="405">
        <v>85</v>
      </c>
      <c r="F418" s="405">
        <v>60</v>
      </c>
      <c r="G418" s="405">
        <v>180</v>
      </c>
      <c r="H418" s="406">
        <v>0.5</v>
      </c>
      <c r="I418" s="406">
        <v>13.92</v>
      </c>
      <c r="J418" s="406">
        <v>10.02</v>
      </c>
    </row>
    <row r="419" spans="1:10" s="383" customFormat="1" ht="15" customHeight="1">
      <c r="A419" t="s">
        <v>931</v>
      </c>
      <c r="B419" s="383" t="s">
        <v>3016</v>
      </c>
      <c r="D419" s="405">
        <v>3</v>
      </c>
      <c r="E419" s="405">
        <v>85</v>
      </c>
      <c r="F419" s="405">
        <v>60</v>
      </c>
      <c r="G419" s="405">
        <v>180</v>
      </c>
      <c r="H419" s="406">
        <v>1.5</v>
      </c>
      <c r="I419" s="406">
        <v>14.45</v>
      </c>
      <c r="J419" s="406">
        <v>10.41</v>
      </c>
    </row>
    <row r="420" spans="1:10" s="383" customFormat="1" ht="15" customHeight="1">
      <c r="A420" t="s">
        <v>931</v>
      </c>
      <c r="B420" s="383" t="s">
        <v>3016</v>
      </c>
      <c r="D420" s="405">
        <v>4</v>
      </c>
      <c r="E420" s="405">
        <v>120</v>
      </c>
      <c r="F420" s="405">
        <v>60</v>
      </c>
      <c r="G420" s="405">
        <v>120</v>
      </c>
      <c r="H420" s="406">
        <v>1</v>
      </c>
      <c r="I420" s="406">
        <v>6.62</v>
      </c>
      <c r="J420" s="406">
        <v>1.1599999999999999</v>
      </c>
    </row>
    <row r="421" spans="1:10" s="383" customFormat="1" ht="15" customHeight="1">
      <c r="A421" t="s">
        <v>931</v>
      </c>
      <c r="B421" s="383" t="s">
        <v>3016</v>
      </c>
      <c r="D421" s="405">
        <v>5</v>
      </c>
      <c r="E421" s="405">
        <v>50</v>
      </c>
      <c r="F421" s="405">
        <v>60</v>
      </c>
      <c r="G421" s="405">
        <v>150</v>
      </c>
      <c r="H421" s="406">
        <v>0.5</v>
      </c>
      <c r="I421" s="406">
        <v>2.54</v>
      </c>
      <c r="J421" s="406">
        <v>1.83</v>
      </c>
    </row>
    <row r="422" spans="1:10" s="383" customFormat="1" ht="15" customHeight="1">
      <c r="A422" t="s">
        <v>931</v>
      </c>
      <c r="B422" s="383" t="s">
        <v>3016</v>
      </c>
      <c r="D422" s="405">
        <v>6</v>
      </c>
      <c r="E422" s="405">
        <v>85</v>
      </c>
      <c r="F422" s="405">
        <v>90</v>
      </c>
      <c r="G422" s="405">
        <v>150</v>
      </c>
      <c r="H422" s="406">
        <v>0.5</v>
      </c>
      <c r="I422" s="406">
        <v>6.62</v>
      </c>
      <c r="J422" s="406">
        <v>4.7699999999999996</v>
      </c>
    </row>
    <row r="423" spans="1:10" s="383" customFormat="1" ht="15" customHeight="1">
      <c r="A423" t="s">
        <v>931</v>
      </c>
      <c r="B423" s="383" t="s">
        <v>3016</v>
      </c>
      <c r="D423" s="405">
        <v>7</v>
      </c>
      <c r="E423" s="405">
        <v>120</v>
      </c>
      <c r="F423" s="405">
        <v>60</v>
      </c>
      <c r="G423" s="405">
        <v>150</v>
      </c>
      <c r="H423" s="406">
        <v>0.5</v>
      </c>
      <c r="I423" s="406">
        <v>6.78</v>
      </c>
      <c r="J423" s="406">
        <v>4.88</v>
      </c>
    </row>
    <row r="424" spans="1:10" s="383" customFormat="1" ht="15" customHeight="1">
      <c r="A424" t="s">
        <v>931</v>
      </c>
      <c r="B424" s="383" t="s">
        <v>3016</v>
      </c>
      <c r="D424" s="405">
        <v>8</v>
      </c>
      <c r="E424" s="405">
        <v>85</v>
      </c>
      <c r="F424" s="405">
        <v>60</v>
      </c>
      <c r="G424" s="405">
        <v>120</v>
      </c>
      <c r="H424" s="406">
        <v>1.5</v>
      </c>
      <c r="I424" s="406">
        <v>1.59</v>
      </c>
      <c r="J424" s="406">
        <v>1.1499999999999999</v>
      </c>
    </row>
    <row r="425" spans="1:10" s="383" customFormat="1" ht="15" customHeight="1">
      <c r="A425" t="s">
        <v>931</v>
      </c>
      <c r="B425" s="383" t="s">
        <v>3016</v>
      </c>
      <c r="D425" s="405">
        <v>9</v>
      </c>
      <c r="E425" s="405">
        <v>50</v>
      </c>
      <c r="F425" s="405">
        <v>60</v>
      </c>
      <c r="G425" s="405">
        <v>150</v>
      </c>
      <c r="H425" s="406">
        <v>1.5</v>
      </c>
      <c r="I425" s="406">
        <v>8.35</v>
      </c>
      <c r="J425" s="406">
        <v>6.01</v>
      </c>
    </row>
    <row r="426" spans="1:10" s="383" customFormat="1" ht="15" customHeight="1">
      <c r="A426" t="s">
        <v>931</v>
      </c>
      <c r="B426" s="383" t="s">
        <v>3016</v>
      </c>
      <c r="D426" s="405">
        <v>10</v>
      </c>
      <c r="E426" s="405">
        <v>85</v>
      </c>
      <c r="F426" s="405">
        <v>30</v>
      </c>
      <c r="G426" s="405">
        <v>150</v>
      </c>
      <c r="H426" s="406">
        <v>0.5</v>
      </c>
      <c r="I426" s="406">
        <v>1.71</v>
      </c>
      <c r="J426" s="406">
        <v>1.23</v>
      </c>
    </row>
    <row r="427" spans="1:10" s="383" customFormat="1" ht="15" customHeight="1">
      <c r="A427" t="s">
        <v>931</v>
      </c>
      <c r="B427" s="383" t="s">
        <v>3016</v>
      </c>
      <c r="D427" s="405">
        <v>11</v>
      </c>
      <c r="E427" s="405">
        <v>85</v>
      </c>
      <c r="F427" s="405">
        <v>90</v>
      </c>
      <c r="G427" s="405">
        <v>150</v>
      </c>
      <c r="H427" s="406">
        <v>1.5</v>
      </c>
      <c r="I427" s="406">
        <v>14.78</v>
      </c>
      <c r="J427" s="406">
        <v>10.64</v>
      </c>
    </row>
    <row r="428" spans="1:10" s="383" customFormat="1" ht="15" customHeight="1">
      <c r="A428" t="s">
        <v>931</v>
      </c>
      <c r="B428" s="383" t="s">
        <v>3016</v>
      </c>
      <c r="D428" s="405">
        <v>12</v>
      </c>
      <c r="E428" s="405">
        <v>85</v>
      </c>
      <c r="F428" s="405">
        <v>60</v>
      </c>
      <c r="G428" s="405">
        <v>150</v>
      </c>
      <c r="H428" s="406">
        <v>1</v>
      </c>
      <c r="I428" s="406">
        <v>12.46</v>
      </c>
      <c r="J428" s="406">
        <v>8.9700000000000006</v>
      </c>
    </row>
    <row r="429" spans="1:10" s="383" customFormat="1" ht="15" customHeight="1">
      <c r="A429" t="s">
        <v>931</v>
      </c>
      <c r="B429" s="383" t="s">
        <v>3016</v>
      </c>
      <c r="D429" s="405">
        <v>13</v>
      </c>
      <c r="E429" s="405">
        <v>50</v>
      </c>
      <c r="F429" s="405">
        <v>30</v>
      </c>
      <c r="G429" s="405">
        <v>150</v>
      </c>
      <c r="H429" s="406">
        <v>1</v>
      </c>
      <c r="I429" s="406">
        <v>2.1</v>
      </c>
      <c r="J429" s="406">
        <v>1.51</v>
      </c>
    </row>
    <row r="430" spans="1:10" s="383" customFormat="1" ht="15" customHeight="1">
      <c r="A430" t="s">
        <v>931</v>
      </c>
      <c r="B430" s="383" t="s">
        <v>3016</v>
      </c>
      <c r="D430" s="405">
        <v>14</v>
      </c>
      <c r="E430" s="405">
        <v>120</v>
      </c>
      <c r="F430" s="405">
        <v>30</v>
      </c>
      <c r="G430" s="405">
        <v>150</v>
      </c>
      <c r="H430" s="406">
        <v>1</v>
      </c>
      <c r="I430" s="406">
        <v>6.24</v>
      </c>
      <c r="J430" s="406">
        <v>4.49</v>
      </c>
    </row>
    <row r="431" spans="1:10" s="383" customFormat="1" ht="15" customHeight="1">
      <c r="A431" t="s">
        <v>931</v>
      </c>
      <c r="B431" s="383" t="s">
        <v>3016</v>
      </c>
      <c r="D431" s="405">
        <v>15</v>
      </c>
      <c r="E431" s="405">
        <v>50</v>
      </c>
      <c r="F431" s="405">
        <v>90</v>
      </c>
      <c r="G431" s="405">
        <v>150</v>
      </c>
      <c r="H431" s="406">
        <v>1</v>
      </c>
      <c r="I431" s="406">
        <v>9.17</v>
      </c>
      <c r="J431" s="406">
        <v>6.6</v>
      </c>
    </row>
    <row r="432" spans="1:10" s="383" customFormat="1" ht="15" customHeight="1">
      <c r="A432" t="s">
        <v>931</v>
      </c>
      <c r="B432" s="383" t="s">
        <v>3016</v>
      </c>
      <c r="D432" s="405">
        <v>16</v>
      </c>
      <c r="E432" s="405">
        <v>85</v>
      </c>
      <c r="F432" s="405">
        <v>60</v>
      </c>
      <c r="G432" s="405">
        <v>150</v>
      </c>
      <c r="H432" s="406">
        <v>1</v>
      </c>
      <c r="I432" s="406">
        <v>10.52</v>
      </c>
      <c r="J432" s="406">
        <v>7.58</v>
      </c>
    </row>
    <row r="433" spans="1:10" s="383" customFormat="1" ht="15" customHeight="1">
      <c r="A433" t="s">
        <v>931</v>
      </c>
      <c r="B433" s="383" t="s">
        <v>3016</v>
      </c>
      <c r="D433" s="405">
        <v>17</v>
      </c>
      <c r="E433" s="405">
        <v>85</v>
      </c>
      <c r="F433" s="405">
        <v>90</v>
      </c>
      <c r="G433" s="405">
        <v>180</v>
      </c>
      <c r="H433" s="406">
        <v>1</v>
      </c>
      <c r="I433" s="406">
        <v>15.06</v>
      </c>
      <c r="J433" s="406">
        <v>10.84</v>
      </c>
    </row>
    <row r="434" spans="1:10" s="383" customFormat="1" ht="15" customHeight="1">
      <c r="A434" t="s">
        <v>931</v>
      </c>
      <c r="B434" s="383" t="s">
        <v>3016</v>
      </c>
      <c r="D434" s="405">
        <v>18</v>
      </c>
      <c r="E434" s="405">
        <v>50</v>
      </c>
      <c r="F434" s="405">
        <v>60</v>
      </c>
      <c r="G434" s="405">
        <v>120</v>
      </c>
      <c r="H434" s="406">
        <v>1</v>
      </c>
      <c r="I434" s="406">
        <v>0.63</v>
      </c>
      <c r="J434" s="406">
        <v>0.45</v>
      </c>
    </row>
    <row r="435" spans="1:10" s="383" customFormat="1" ht="15" customHeight="1">
      <c r="A435" t="s">
        <v>931</v>
      </c>
      <c r="B435" s="383" t="s">
        <v>3016</v>
      </c>
      <c r="D435" s="405">
        <v>19</v>
      </c>
      <c r="E435" s="405">
        <v>50</v>
      </c>
      <c r="F435" s="405">
        <v>60</v>
      </c>
      <c r="G435" s="405">
        <v>180</v>
      </c>
      <c r="H435" s="406">
        <v>1</v>
      </c>
      <c r="I435" s="406">
        <v>9.08</v>
      </c>
      <c r="J435" s="406">
        <v>6.54</v>
      </c>
    </row>
    <row r="436" spans="1:10" s="383" customFormat="1" ht="15" customHeight="1">
      <c r="A436" t="s">
        <v>931</v>
      </c>
      <c r="B436" s="383" t="s">
        <v>3016</v>
      </c>
      <c r="D436" s="405">
        <v>20</v>
      </c>
      <c r="E436" s="405">
        <v>120</v>
      </c>
      <c r="F436" s="405">
        <v>90</v>
      </c>
      <c r="G436" s="405">
        <v>150</v>
      </c>
      <c r="H436" s="406">
        <v>1</v>
      </c>
      <c r="I436" s="406">
        <v>16.21</v>
      </c>
      <c r="J436" s="406">
        <v>11.67</v>
      </c>
    </row>
    <row r="437" spans="1:10" s="383" customFormat="1" ht="15" customHeight="1">
      <c r="A437" t="s">
        <v>931</v>
      </c>
      <c r="B437" s="383" t="s">
        <v>3016</v>
      </c>
      <c r="D437" s="405">
        <v>21</v>
      </c>
      <c r="E437" s="405">
        <v>85</v>
      </c>
      <c r="F437" s="405">
        <v>60</v>
      </c>
      <c r="G437" s="405">
        <v>120</v>
      </c>
      <c r="H437" s="406">
        <v>0.5</v>
      </c>
      <c r="I437" s="406">
        <v>1.34</v>
      </c>
      <c r="J437" s="406">
        <v>0.97</v>
      </c>
    </row>
    <row r="438" spans="1:10" s="383" customFormat="1" ht="15" customHeight="1">
      <c r="A438" t="s">
        <v>931</v>
      </c>
      <c r="B438" s="383" t="s">
        <v>3016</v>
      </c>
      <c r="D438" s="405">
        <v>22</v>
      </c>
      <c r="E438" s="405">
        <v>120</v>
      </c>
      <c r="F438" s="405">
        <v>60</v>
      </c>
      <c r="G438" s="405">
        <v>180</v>
      </c>
      <c r="H438" s="406">
        <v>1</v>
      </c>
      <c r="I438" s="406">
        <v>19.899999999999999</v>
      </c>
      <c r="J438" s="406">
        <v>14.47</v>
      </c>
    </row>
    <row r="439" spans="1:10" s="383" customFormat="1" ht="15" customHeight="1">
      <c r="A439" t="s">
        <v>931</v>
      </c>
      <c r="B439" s="383" t="s">
        <v>3016</v>
      </c>
      <c r="D439" s="405">
        <v>23</v>
      </c>
      <c r="E439" s="405">
        <v>85</v>
      </c>
      <c r="F439" s="405">
        <v>30</v>
      </c>
      <c r="G439" s="405">
        <v>150</v>
      </c>
      <c r="H439" s="406">
        <v>1.5</v>
      </c>
      <c r="I439" s="406">
        <v>7.83</v>
      </c>
      <c r="J439" s="406">
        <v>5.63</v>
      </c>
    </row>
    <row r="440" spans="1:10" s="383" customFormat="1" ht="15" customHeight="1">
      <c r="A440" t="s">
        <v>931</v>
      </c>
      <c r="B440" s="383" t="s">
        <v>3016</v>
      </c>
      <c r="D440" s="405">
        <v>24</v>
      </c>
      <c r="E440" s="405">
        <v>120</v>
      </c>
      <c r="F440" s="405">
        <v>60</v>
      </c>
      <c r="G440" s="405">
        <v>150</v>
      </c>
      <c r="H440" s="406">
        <v>1.5</v>
      </c>
      <c r="I440" s="406">
        <v>16.41</v>
      </c>
      <c r="J440" s="406">
        <v>11.82</v>
      </c>
    </row>
    <row r="441" spans="1:10" s="383" customFormat="1" ht="15" customHeight="1">
      <c r="A441" t="s">
        <v>931</v>
      </c>
      <c r="B441" s="383" t="s">
        <v>3016</v>
      </c>
      <c r="D441" s="405">
        <v>25</v>
      </c>
      <c r="E441" s="405">
        <v>85</v>
      </c>
      <c r="F441" s="405">
        <v>30</v>
      </c>
      <c r="G441" s="405">
        <v>120</v>
      </c>
      <c r="H441" s="406">
        <v>1</v>
      </c>
      <c r="I441" s="406">
        <v>1.01</v>
      </c>
      <c r="J441" s="406">
        <v>0.73</v>
      </c>
    </row>
    <row r="442" spans="1:10" s="383" customFormat="1" ht="15" customHeight="1">
      <c r="A442" t="s">
        <v>931</v>
      </c>
      <c r="B442" s="383" t="s">
        <v>3016</v>
      </c>
      <c r="D442" s="405">
        <v>26</v>
      </c>
      <c r="E442" s="405">
        <v>85</v>
      </c>
      <c r="F442" s="405">
        <v>90</v>
      </c>
      <c r="G442" s="405">
        <v>120</v>
      </c>
      <c r="H442" s="406">
        <v>1</v>
      </c>
      <c r="I442" s="406">
        <v>2.2799999999999998</v>
      </c>
      <c r="J442" s="406">
        <v>1.64</v>
      </c>
    </row>
    <row r="443" spans="1:10" s="383" customFormat="1" ht="15" customHeight="1" thickBot="1">
      <c r="A443" t="s">
        <v>931</v>
      </c>
      <c r="B443" s="383" t="s">
        <v>3016</v>
      </c>
      <c r="D443" s="407">
        <v>27</v>
      </c>
      <c r="E443" s="407">
        <v>85</v>
      </c>
      <c r="F443" s="407">
        <v>30</v>
      </c>
      <c r="G443" s="407">
        <v>180</v>
      </c>
      <c r="H443" s="408">
        <v>1</v>
      </c>
      <c r="I443" s="408">
        <v>12.6</v>
      </c>
      <c r="J443" s="408">
        <v>9.07</v>
      </c>
    </row>
    <row r="444" spans="1:10" s="383" customFormat="1" ht="15" customHeight="1">
      <c r="A444" t="s">
        <v>931</v>
      </c>
      <c r="B444" s="383" t="s">
        <v>3016</v>
      </c>
      <c r="H444" s="383" t="s">
        <v>510</v>
      </c>
      <c r="I444" s="383">
        <f>AVERAGE(I417:I443)</f>
        <v>8.5740740740740744</v>
      </c>
    </row>
    <row r="445" spans="1:10" s="383" customFormat="1" ht="15" customHeight="1">
      <c r="A445" t="s">
        <v>931</v>
      </c>
      <c r="B445" s="383" t="s">
        <v>3016</v>
      </c>
      <c r="H445" s="383" t="s">
        <v>4104</v>
      </c>
      <c r="I445" s="383">
        <f>MIN(I417:I443)</f>
        <v>0.63</v>
      </c>
    </row>
    <row r="446" spans="1:10" s="383" customFormat="1" ht="15" customHeight="1">
      <c r="A446" t="s">
        <v>931</v>
      </c>
      <c r="B446" s="383" t="s">
        <v>3016</v>
      </c>
      <c r="H446" s="383" t="s">
        <v>4103</v>
      </c>
      <c r="I446" s="383">
        <f>MAX(I417:I443)</f>
        <v>19.899999999999999</v>
      </c>
    </row>
    <row r="447" spans="1:10" s="383" customFormat="1" ht="15" customHeight="1">
      <c r="A447" t="s">
        <v>931</v>
      </c>
      <c r="B447" s="383" t="s">
        <v>3016</v>
      </c>
    </row>
    <row r="448" spans="1:10" s="383" customFormat="1" ht="15" customHeight="1">
      <c r="A448" t="s">
        <v>931</v>
      </c>
      <c r="B448" s="383" t="s">
        <v>3016</v>
      </c>
    </row>
    <row r="449" spans="1:5" s="383" customFormat="1" ht="15" customHeight="1">
      <c r="A449" t="s">
        <v>931</v>
      </c>
      <c r="B449" s="383" t="s">
        <v>3016</v>
      </c>
    </row>
    <row r="450" spans="1:5" s="383" customFormat="1" ht="15" customHeight="1">
      <c r="A450" t="s">
        <v>931</v>
      </c>
      <c r="B450" s="383" t="s">
        <v>3016</v>
      </c>
      <c r="D450" s="388" t="s">
        <v>4611</v>
      </c>
      <c r="E450" s="388">
        <f>I444/100</f>
        <v>8.5740740740740742E-2</v>
      </c>
    </row>
    <row r="451" spans="1:5" s="383" customFormat="1" ht="15" customHeight="1">
      <c r="A451" t="s">
        <v>931</v>
      </c>
      <c r="B451" s="383" t="s">
        <v>3016</v>
      </c>
      <c r="D451" s="388" t="s">
        <v>4612</v>
      </c>
      <c r="E451" s="409">
        <f>[1]MonoSugar!$K$2</f>
        <v>87.059829405162731</v>
      </c>
    </row>
    <row r="452" spans="1:5" s="383" customFormat="1" ht="15" customHeight="1">
      <c r="A452" t="s">
        <v>931</v>
      </c>
      <c r="B452" s="383" t="s">
        <v>3016</v>
      </c>
      <c r="D452" s="388" t="s">
        <v>4602</v>
      </c>
      <c r="E452" s="388">
        <f>E450*E451%</f>
        <v>7.4645742619611752E-2</v>
      </c>
    </row>
    <row r="453" spans="1:5" ht="15" customHeight="1">
      <c r="A453" t="s">
        <v>931</v>
      </c>
      <c r="B453" t="s">
        <v>3016</v>
      </c>
    </row>
    <row r="454" spans="1:5" ht="15" customHeight="1">
      <c r="A454" t="s">
        <v>931</v>
      </c>
      <c r="B454" t="s">
        <v>3016</v>
      </c>
      <c r="C454" t="s">
        <v>396</v>
      </c>
      <c r="D454" t="s">
        <v>4613</v>
      </c>
    </row>
    <row r="455" spans="1:5" ht="15" customHeight="1">
      <c r="A455" t="s">
        <v>931</v>
      </c>
      <c r="B455" t="s">
        <v>3016</v>
      </c>
      <c r="D455" t="s">
        <v>4614</v>
      </c>
    </row>
    <row r="456" spans="1:5" ht="15" customHeight="1">
      <c r="A456" t="s">
        <v>931</v>
      </c>
      <c r="B456" t="s">
        <v>3016</v>
      </c>
      <c r="D456" t="s">
        <v>4615</v>
      </c>
    </row>
    <row r="457" spans="1:5" ht="15" customHeight="1">
      <c r="A457" t="s">
        <v>931</v>
      </c>
      <c r="B457" t="s">
        <v>3016</v>
      </c>
    </row>
    <row r="458" spans="1:5" ht="15" customHeight="1">
      <c r="A458" t="s">
        <v>931</v>
      </c>
      <c r="B458" t="s">
        <v>3016</v>
      </c>
    </row>
    <row r="459" spans="1:5" ht="15" customHeight="1">
      <c r="A459" t="s">
        <v>931</v>
      </c>
      <c r="B459" t="s">
        <v>3016</v>
      </c>
    </row>
    <row r="460" spans="1:5" ht="15" customHeight="1">
      <c r="A460" t="s">
        <v>931</v>
      </c>
      <c r="B460" t="s">
        <v>3016</v>
      </c>
    </row>
    <row r="461" spans="1:5" ht="15" customHeight="1">
      <c r="A461" t="s">
        <v>931</v>
      </c>
      <c r="B461" t="s">
        <v>3016</v>
      </c>
    </row>
    <row r="462" spans="1:5" ht="15" customHeight="1">
      <c r="A462" t="s">
        <v>931</v>
      </c>
      <c r="B462" t="s">
        <v>3016</v>
      </c>
    </row>
    <row r="463" spans="1:5" ht="15" customHeight="1">
      <c r="A463" t="s">
        <v>931</v>
      </c>
      <c r="B463" t="s">
        <v>3016</v>
      </c>
    </row>
    <row r="464" spans="1:5" ht="15" customHeight="1">
      <c r="A464" t="s">
        <v>931</v>
      </c>
      <c r="B464" t="s">
        <v>3016</v>
      </c>
    </row>
    <row r="465" spans="1:5" ht="15" customHeight="1">
      <c r="A465" t="s">
        <v>931</v>
      </c>
      <c r="B465" t="s">
        <v>3016</v>
      </c>
    </row>
    <row r="466" spans="1:5" ht="15" customHeight="1">
      <c r="A466" t="s">
        <v>931</v>
      </c>
      <c r="B466" t="s">
        <v>3016</v>
      </c>
    </row>
    <row r="467" spans="1:5" ht="15" customHeight="1">
      <c r="A467" t="s">
        <v>931</v>
      </c>
      <c r="B467" t="s">
        <v>3016</v>
      </c>
    </row>
    <row r="468" spans="1:5" ht="15" customHeight="1">
      <c r="A468" t="s">
        <v>931</v>
      </c>
      <c r="B468" t="s">
        <v>3016</v>
      </c>
    </row>
    <row r="469" spans="1:5" ht="15" customHeight="1">
      <c r="A469" t="s">
        <v>931</v>
      </c>
      <c r="B469" t="s">
        <v>3016</v>
      </c>
    </row>
    <row r="470" spans="1:5" ht="15" customHeight="1">
      <c r="A470" t="s">
        <v>931</v>
      </c>
      <c r="B470" t="s">
        <v>3016</v>
      </c>
    </row>
    <row r="471" spans="1:5" ht="15" customHeight="1">
      <c r="A471" t="s">
        <v>931</v>
      </c>
      <c r="B471" t="s">
        <v>3016</v>
      </c>
    </row>
    <row r="472" spans="1:5" ht="15" customHeight="1">
      <c r="A472" t="s">
        <v>931</v>
      </c>
      <c r="B472" t="s">
        <v>3016</v>
      </c>
    </row>
    <row r="473" spans="1:5" ht="15" customHeight="1">
      <c r="A473" t="s">
        <v>931</v>
      </c>
      <c r="B473" t="s">
        <v>3016</v>
      </c>
    </row>
    <row r="474" spans="1:5" ht="15" customHeight="1">
      <c r="A474" t="s">
        <v>931</v>
      </c>
      <c r="B474" t="s">
        <v>3016</v>
      </c>
      <c r="D474" s="48" t="s">
        <v>4619</v>
      </c>
      <c r="E474" s="48">
        <v>63.63</v>
      </c>
    </row>
    <row r="475" spans="1:5" ht="15" customHeight="1">
      <c r="A475" t="s">
        <v>931</v>
      </c>
      <c r="B475" t="s">
        <v>3016</v>
      </c>
      <c r="D475" s="48"/>
      <c r="E475" s="48">
        <v>60</v>
      </c>
    </row>
    <row r="476" spans="1:5" ht="15" customHeight="1">
      <c r="A476" t="s">
        <v>931</v>
      </c>
      <c r="B476" t="s">
        <v>3016</v>
      </c>
      <c r="D476" s="48"/>
      <c r="E476" s="48">
        <v>55.58</v>
      </c>
    </row>
    <row r="477" spans="1:5" ht="15" customHeight="1">
      <c r="A477" t="s">
        <v>931</v>
      </c>
      <c r="B477" t="s">
        <v>3016</v>
      </c>
      <c r="D477" s="48"/>
      <c r="E477" s="48">
        <v>36.36</v>
      </c>
    </row>
    <row r="478" spans="1:5" ht="15" customHeight="1">
      <c r="A478" t="s">
        <v>931</v>
      </c>
      <c r="B478" t="s">
        <v>3016</v>
      </c>
      <c r="D478" s="48"/>
      <c r="E478" s="48">
        <v>22.86</v>
      </c>
    </row>
    <row r="479" spans="1:5" ht="15" customHeight="1">
      <c r="A479" t="s">
        <v>931</v>
      </c>
      <c r="B479" t="s">
        <v>3016</v>
      </c>
      <c r="D479" s="48" t="s">
        <v>510</v>
      </c>
      <c r="E479" s="48">
        <f>AVERAGE(E474:E478)</f>
        <v>47.686</v>
      </c>
    </row>
    <row r="480" spans="1:5" ht="15" customHeight="1">
      <c r="A480" t="s">
        <v>931</v>
      </c>
      <c r="B480" t="s">
        <v>3016</v>
      </c>
      <c r="D480" s="48" t="s">
        <v>4617</v>
      </c>
      <c r="E480" s="48">
        <v>180</v>
      </c>
    </row>
    <row r="481" spans="1:15" ht="15" customHeight="1">
      <c r="A481" t="s">
        <v>931</v>
      </c>
      <c r="B481" t="s">
        <v>3016</v>
      </c>
      <c r="D481" s="48" t="s">
        <v>4618</v>
      </c>
      <c r="E481" s="48">
        <v>116</v>
      </c>
    </row>
    <row r="482" spans="1:15" ht="15" customHeight="1">
      <c r="A482" t="s">
        <v>931</v>
      </c>
      <c r="B482" t="s">
        <v>3016</v>
      </c>
      <c r="D482" s="48" t="s">
        <v>4620</v>
      </c>
      <c r="E482" s="48">
        <f>E479/100*E481/E480</f>
        <v>0.30730977777777774</v>
      </c>
    </row>
    <row r="483" spans="1:15" ht="15" customHeight="1">
      <c r="A483" t="s">
        <v>931</v>
      </c>
      <c r="B483" t="s">
        <v>3016</v>
      </c>
      <c r="D483" s="48" t="s">
        <v>4621</v>
      </c>
      <c r="E483" s="51">
        <f>[1]MonoSugar!$L$2</f>
        <v>83.123061728395058</v>
      </c>
    </row>
    <row r="484" spans="1:15" ht="15" customHeight="1">
      <c r="A484" t="s">
        <v>931</v>
      </c>
      <c r="B484" t="s">
        <v>3016</v>
      </c>
      <c r="D484" s="48" t="s">
        <v>4622</v>
      </c>
      <c r="E484" s="48">
        <f>E482*E483%</f>
        <v>0.25544529627961587</v>
      </c>
    </row>
    <row r="485" spans="1:15" ht="15" customHeight="1">
      <c r="A485" t="s">
        <v>931</v>
      </c>
      <c r="B485" t="s">
        <v>3016</v>
      </c>
    </row>
    <row r="486" spans="1:15" ht="15" customHeight="1">
      <c r="A486" t="s">
        <v>931</v>
      </c>
      <c r="B486" t="s">
        <v>3016</v>
      </c>
      <c r="C486" t="s">
        <v>420</v>
      </c>
      <c r="D486" t="s">
        <v>4639</v>
      </c>
    </row>
    <row r="487" spans="1:15" ht="15" customHeight="1">
      <c r="A487" t="s">
        <v>931</v>
      </c>
      <c r="B487" t="s">
        <v>3016</v>
      </c>
      <c r="D487" t="s">
        <v>4638</v>
      </c>
    </row>
    <row r="488" spans="1:15" ht="15" customHeight="1">
      <c r="A488" t="s">
        <v>931</v>
      </c>
      <c r="B488" t="s">
        <v>3016</v>
      </c>
    </row>
    <row r="489" spans="1:15" ht="15" customHeight="1" thickBot="1">
      <c r="A489" t="s">
        <v>931</v>
      </c>
      <c r="B489" t="s">
        <v>3016</v>
      </c>
      <c r="D489" s="160" t="s">
        <v>4625</v>
      </c>
    </row>
    <row r="490" spans="1:15" ht="15" customHeight="1">
      <c r="A490" t="s">
        <v>931</v>
      </c>
      <c r="B490" t="s">
        <v>3016</v>
      </c>
      <c r="D490" s="628" t="s">
        <v>4604</v>
      </c>
      <c r="E490" s="200" t="s">
        <v>4626</v>
      </c>
      <c r="F490" s="200" t="s">
        <v>3814</v>
      </c>
      <c r="G490" s="200" t="s">
        <v>4627</v>
      </c>
      <c r="H490" s="628" t="s">
        <v>4628</v>
      </c>
      <c r="I490" s="628"/>
      <c r="J490" s="628"/>
      <c r="K490" s="628"/>
      <c r="L490" s="628"/>
      <c r="M490" s="628"/>
      <c r="N490" s="628" t="s">
        <v>1119</v>
      </c>
      <c r="O490" s="628"/>
    </row>
    <row r="491" spans="1:15" ht="15" customHeight="1" thickBot="1">
      <c r="A491" t="s">
        <v>931</v>
      </c>
      <c r="B491" t="s">
        <v>3016</v>
      </c>
      <c r="D491" s="629"/>
      <c r="E491" s="354" t="s">
        <v>4629</v>
      </c>
      <c r="F491" s="354" t="s">
        <v>4630</v>
      </c>
      <c r="G491" s="354" t="s">
        <v>4104</v>
      </c>
      <c r="H491" s="354" t="s">
        <v>679</v>
      </c>
      <c r="I491" s="354" t="s">
        <v>4631</v>
      </c>
      <c r="J491" s="354" t="s">
        <v>4632</v>
      </c>
      <c r="K491" s="354" t="s">
        <v>4633</v>
      </c>
      <c r="L491" s="354" t="s">
        <v>4634</v>
      </c>
      <c r="M491" s="354" t="s">
        <v>4635</v>
      </c>
      <c r="N491" s="354" t="s">
        <v>4636</v>
      </c>
      <c r="O491" s="354" t="s">
        <v>4637</v>
      </c>
    </row>
    <row r="492" spans="1:15" ht="15" customHeight="1">
      <c r="A492" t="s">
        <v>931</v>
      </c>
      <c r="B492" t="s">
        <v>3016</v>
      </c>
      <c r="D492" s="175">
        <v>1</v>
      </c>
      <c r="E492" s="175">
        <v>60</v>
      </c>
      <c r="F492" s="175">
        <v>200</v>
      </c>
      <c r="G492" s="175">
        <v>10</v>
      </c>
      <c r="H492" s="175">
        <v>0</v>
      </c>
      <c r="I492" s="175">
        <v>0.05</v>
      </c>
      <c r="J492" s="175">
        <v>0.33</v>
      </c>
      <c r="K492" s="175">
        <v>0.14000000000000001</v>
      </c>
      <c r="L492" s="175">
        <v>5.35</v>
      </c>
      <c r="M492" s="175">
        <v>1.56</v>
      </c>
      <c r="N492" s="175">
        <v>66</v>
      </c>
      <c r="O492" s="175">
        <v>28.6</v>
      </c>
    </row>
    <row r="493" spans="1:15" ht="15" customHeight="1">
      <c r="A493" t="s">
        <v>931</v>
      </c>
      <c r="B493" t="s">
        <v>3016</v>
      </c>
      <c r="D493" s="175">
        <v>2</v>
      </c>
      <c r="E493" s="175">
        <v>60</v>
      </c>
      <c r="F493" s="175">
        <v>180</v>
      </c>
      <c r="G493" s="175">
        <v>30</v>
      </c>
      <c r="H493" s="175">
        <v>0.03</v>
      </c>
      <c r="I493" s="175">
        <v>0.08</v>
      </c>
      <c r="J493" s="175">
        <v>0.37</v>
      </c>
      <c r="K493" s="175">
        <v>0.12</v>
      </c>
      <c r="L493" s="175">
        <v>5.2</v>
      </c>
      <c r="M493" s="175">
        <v>1.57</v>
      </c>
      <c r="N493" s="175">
        <v>66</v>
      </c>
      <c r="O493" s="175">
        <v>28</v>
      </c>
    </row>
    <row r="494" spans="1:15" ht="15" customHeight="1">
      <c r="A494" t="s">
        <v>931</v>
      </c>
      <c r="B494" t="s">
        <v>3016</v>
      </c>
      <c r="D494" s="175">
        <v>3</v>
      </c>
      <c r="E494" s="175">
        <v>60</v>
      </c>
      <c r="F494" s="175">
        <v>180</v>
      </c>
      <c r="G494" s="175">
        <v>30</v>
      </c>
      <c r="H494" s="175">
        <v>0.01</v>
      </c>
      <c r="I494" s="175">
        <v>7.0000000000000007E-2</v>
      </c>
      <c r="J494" s="175">
        <v>0.57999999999999996</v>
      </c>
      <c r="K494" s="175">
        <v>0</v>
      </c>
      <c r="L494" s="175">
        <v>5.26</v>
      </c>
      <c r="M494" s="175">
        <v>1.6</v>
      </c>
      <c r="N494" s="175">
        <v>65.3</v>
      </c>
      <c r="O494" s="175">
        <v>27.9</v>
      </c>
    </row>
    <row r="495" spans="1:15" ht="15" customHeight="1">
      <c r="A495" t="s">
        <v>931</v>
      </c>
      <c r="B495" t="s">
        <v>3016</v>
      </c>
      <c r="D495" s="175">
        <v>4</v>
      </c>
      <c r="E495" s="175">
        <v>60</v>
      </c>
      <c r="F495" s="175">
        <v>180</v>
      </c>
      <c r="G495" s="175">
        <v>30</v>
      </c>
      <c r="H495" s="175">
        <v>0.01</v>
      </c>
      <c r="I495" s="175">
        <v>0.04</v>
      </c>
      <c r="J495" s="175">
        <v>0.4</v>
      </c>
      <c r="K495" s="175">
        <v>0.21</v>
      </c>
      <c r="L495" s="175">
        <v>5.27</v>
      </c>
      <c r="M495" s="175">
        <v>1.57</v>
      </c>
      <c r="N495" s="175">
        <v>64.3</v>
      </c>
      <c r="O495" s="175">
        <v>25.9</v>
      </c>
    </row>
    <row r="496" spans="1:15" ht="15" customHeight="1">
      <c r="A496" t="s">
        <v>931</v>
      </c>
      <c r="B496" t="s">
        <v>3016</v>
      </c>
      <c r="D496" s="175">
        <v>5</v>
      </c>
      <c r="E496" s="175">
        <v>60</v>
      </c>
      <c r="F496" s="175">
        <v>180</v>
      </c>
      <c r="G496" s="175">
        <v>30</v>
      </c>
      <c r="H496" s="175">
        <v>0.01</v>
      </c>
      <c r="I496" s="175">
        <v>0.04</v>
      </c>
      <c r="J496" s="175">
        <v>0.34</v>
      </c>
      <c r="K496" s="175">
        <v>0.15</v>
      </c>
      <c r="L496" s="175">
        <v>5.19</v>
      </c>
      <c r="M496" s="175">
        <v>1.56</v>
      </c>
      <c r="N496" s="175">
        <v>63.9</v>
      </c>
      <c r="O496" s="175">
        <v>26.4</v>
      </c>
    </row>
    <row r="497" spans="1:15" ht="15" customHeight="1">
      <c r="A497" t="s">
        <v>931</v>
      </c>
      <c r="B497" t="s">
        <v>3016</v>
      </c>
      <c r="D497" s="175">
        <v>6</v>
      </c>
      <c r="E497" s="175">
        <v>60</v>
      </c>
      <c r="F497" s="175">
        <v>160</v>
      </c>
      <c r="G497" s="175">
        <v>10</v>
      </c>
      <c r="H497" s="175">
        <v>0.4</v>
      </c>
      <c r="I497" s="175">
        <v>3.49</v>
      </c>
      <c r="J497" s="175">
        <v>1.1399999999999999</v>
      </c>
      <c r="K497" s="175">
        <v>0.22</v>
      </c>
      <c r="L497" s="175">
        <v>1.35</v>
      </c>
      <c r="M497" s="175">
        <v>1.71</v>
      </c>
      <c r="N497" s="175">
        <v>24.7</v>
      </c>
      <c r="O497" s="175">
        <v>52.8</v>
      </c>
    </row>
    <row r="498" spans="1:15" ht="15" customHeight="1">
      <c r="A498" t="s">
        <v>931</v>
      </c>
      <c r="B498" t="s">
        <v>3016</v>
      </c>
      <c r="D498" s="175">
        <v>7</v>
      </c>
      <c r="E498" s="175">
        <v>60</v>
      </c>
      <c r="F498" s="175">
        <v>180</v>
      </c>
      <c r="G498" s="175">
        <v>30</v>
      </c>
      <c r="H498" s="175">
        <v>0.01</v>
      </c>
      <c r="I498" s="175">
        <v>7.0000000000000007E-2</v>
      </c>
      <c r="J498" s="175">
        <v>0.35</v>
      </c>
      <c r="K498" s="175">
        <v>0.15</v>
      </c>
      <c r="L498" s="175">
        <v>5.26</v>
      </c>
      <c r="M498" s="175">
        <v>1.53</v>
      </c>
      <c r="N498" s="175">
        <v>63.2</v>
      </c>
      <c r="O498" s="175">
        <v>25.2</v>
      </c>
    </row>
    <row r="499" spans="1:15" ht="15" customHeight="1">
      <c r="A499" t="s">
        <v>931</v>
      </c>
      <c r="B499" t="s">
        <v>3016</v>
      </c>
      <c r="D499" s="175">
        <v>8</v>
      </c>
      <c r="E499" s="175">
        <v>20</v>
      </c>
      <c r="F499" s="175">
        <v>180</v>
      </c>
      <c r="G499" s="175">
        <v>50</v>
      </c>
      <c r="H499" s="175">
        <v>1.03</v>
      </c>
      <c r="I499" s="175">
        <v>1.85</v>
      </c>
      <c r="J499" s="175">
        <v>0.39</v>
      </c>
      <c r="K499" s="175">
        <v>0</v>
      </c>
      <c r="L499" s="175">
        <v>2.4300000000000002</v>
      </c>
      <c r="M499" s="175">
        <v>1.87</v>
      </c>
      <c r="N499" s="175">
        <v>31.2</v>
      </c>
      <c r="O499" s="175">
        <v>42.2</v>
      </c>
    </row>
    <row r="500" spans="1:15" ht="15" customHeight="1">
      <c r="A500" t="s">
        <v>931</v>
      </c>
      <c r="B500" t="s">
        <v>3016</v>
      </c>
      <c r="D500" s="175">
        <v>9</v>
      </c>
      <c r="E500" s="175">
        <v>100</v>
      </c>
      <c r="F500" s="175">
        <v>200</v>
      </c>
      <c r="G500" s="175">
        <v>30</v>
      </c>
      <c r="H500" s="175">
        <v>0</v>
      </c>
      <c r="I500" s="175">
        <v>0.08</v>
      </c>
      <c r="J500" s="175">
        <v>0.36</v>
      </c>
      <c r="K500" s="175">
        <v>0.11</v>
      </c>
      <c r="L500" s="175">
        <v>5.58</v>
      </c>
      <c r="M500" s="175">
        <v>1.54</v>
      </c>
      <c r="N500" s="175">
        <v>69.099999999999994</v>
      </c>
      <c r="O500" s="175">
        <v>6.1</v>
      </c>
    </row>
    <row r="501" spans="1:15" ht="15" customHeight="1">
      <c r="A501" t="s">
        <v>931</v>
      </c>
      <c r="B501" t="s">
        <v>3016</v>
      </c>
      <c r="D501" s="175">
        <v>10</v>
      </c>
      <c r="E501" s="175">
        <v>60</v>
      </c>
      <c r="F501" s="175">
        <v>200</v>
      </c>
      <c r="G501" s="175">
        <v>50</v>
      </c>
      <c r="H501" s="175">
        <v>0</v>
      </c>
      <c r="I501" s="175">
        <v>0.08</v>
      </c>
      <c r="J501" s="175">
        <v>0.36</v>
      </c>
      <c r="K501" s="175">
        <v>0.1</v>
      </c>
      <c r="L501" s="175">
        <v>4.92</v>
      </c>
      <c r="M501" s="175">
        <v>1.53</v>
      </c>
      <c r="N501" s="175">
        <v>64.599999999999994</v>
      </c>
      <c r="O501" s="175">
        <v>0</v>
      </c>
    </row>
    <row r="502" spans="1:15" ht="15" customHeight="1">
      <c r="A502" t="s">
        <v>931</v>
      </c>
      <c r="B502" t="s">
        <v>3016</v>
      </c>
      <c r="D502" s="175">
        <v>11</v>
      </c>
      <c r="E502" s="175">
        <v>100</v>
      </c>
      <c r="F502" s="175">
        <v>180</v>
      </c>
      <c r="G502" s="175">
        <v>10</v>
      </c>
      <c r="H502" s="175">
        <v>0</v>
      </c>
      <c r="I502" s="175">
        <v>0.15</v>
      </c>
      <c r="J502" s="175">
        <v>0.45</v>
      </c>
      <c r="K502" s="175">
        <v>0.15</v>
      </c>
      <c r="L502" s="175">
        <v>5.89</v>
      </c>
      <c r="M502" s="175">
        <v>1.54</v>
      </c>
      <c r="N502" s="175">
        <v>62.9</v>
      </c>
      <c r="O502" s="175">
        <v>28.1</v>
      </c>
    </row>
    <row r="503" spans="1:15" ht="15" customHeight="1">
      <c r="A503" t="s">
        <v>931</v>
      </c>
      <c r="B503" t="s">
        <v>3016</v>
      </c>
      <c r="D503" s="175">
        <v>12</v>
      </c>
      <c r="E503" s="175">
        <v>20</v>
      </c>
      <c r="F503" s="175">
        <v>160</v>
      </c>
      <c r="G503" s="175">
        <v>30</v>
      </c>
      <c r="H503" s="175">
        <v>0.26</v>
      </c>
      <c r="I503" s="175">
        <v>3.33</v>
      </c>
      <c r="J503" s="175">
        <v>1.63</v>
      </c>
      <c r="K503" s="175">
        <v>0.28999999999999998</v>
      </c>
      <c r="L503" s="175">
        <v>1.35</v>
      </c>
      <c r="M503" s="175">
        <v>1.8</v>
      </c>
      <c r="N503" s="175">
        <v>4.4000000000000004</v>
      </c>
      <c r="O503" s="175">
        <v>44.2</v>
      </c>
    </row>
    <row r="504" spans="1:15" ht="15" customHeight="1">
      <c r="A504" t="s">
        <v>931</v>
      </c>
      <c r="B504" t="s">
        <v>3016</v>
      </c>
      <c r="D504" s="175">
        <v>13</v>
      </c>
      <c r="E504" s="175">
        <v>20</v>
      </c>
      <c r="F504" s="175">
        <v>200</v>
      </c>
      <c r="G504" s="175">
        <v>30</v>
      </c>
      <c r="H504" s="175">
        <v>0</v>
      </c>
      <c r="I504" s="175">
        <v>0</v>
      </c>
      <c r="J504" s="175">
        <v>0.47</v>
      </c>
      <c r="K504" s="175">
        <v>0.11</v>
      </c>
      <c r="L504" s="175">
        <v>4.87</v>
      </c>
      <c r="M504" s="175">
        <v>1.73</v>
      </c>
      <c r="N504" s="175">
        <v>40.9</v>
      </c>
      <c r="O504" s="175">
        <v>14.1</v>
      </c>
    </row>
    <row r="505" spans="1:15" ht="15" customHeight="1">
      <c r="A505" t="s">
        <v>931</v>
      </c>
      <c r="B505" t="s">
        <v>3016</v>
      </c>
      <c r="D505" s="175">
        <v>14</v>
      </c>
      <c r="E505" s="175">
        <v>100</v>
      </c>
      <c r="F505" s="175">
        <v>180</v>
      </c>
      <c r="G505" s="175">
        <v>50</v>
      </c>
      <c r="H505" s="175">
        <v>0</v>
      </c>
      <c r="I505" s="175">
        <v>0.05</v>
      </c>
      <c r="J505" s="175">
        <v>0.47</v>
      </c>
      <c r="K505" s="175">
        <v>0.13</v>
      </c>
      <c r="L505" s="175">
        <v>6.23</v>
      </c>
      <c r="M505" s="175">
        <v>1.61</v>
      </c>
      <c r="N505" s="175">
        <v>59</v>
      </c>
      <c r="O505" s="175">
        <v>0.9</v>
      </c>
    </row>
    <row r="506" spans="1:15" ht="15" customHeight="1">
      <c r="A506" t="s">
        <v>931</v>
      </c>
      <c r="B506" t="s">
        <v>3016</v>
      </c>
      <c r="D506" s="175">
        <v>15</v>
      </c>
      <c r="E506" s="175">
        <v>20</v>
      </c>
      <c r="F506" s="175">
        <v>180</v>
      </c>
      <c r="G506" s="175">
        <v>10</v>
      </c>
      <c r="H506" s="175">
        <v>0.72</v>
      </c>
      <c r="I506" s="175">
        <v>6.09</v>
      </c>
      <c r="J506" s="175">
        <v>0.59</v>
      </c>
      <c r="K506" s="175">
        <v>0.15</v>
      </c>
      <c r="L506" s="175">
        <v>2.2599999999999998</v>
      </c>
      <c r="M506" s="175">
        <v>1.76</v>
      </c>
      <c r="N506" s="175">
        <v>21.9</v>
      </c>
      <c r="O506" s="175">
        <v>46.9</v>
      </c>
    </row>
    <row r="507" spans="1:15" ht="15" customHeight="1">
      <c r="A507" t="s">
        <v>931</v>
      </c>
      <c r="B507" t="s">
        <v>3016</v>
      </c>
      <c r="D507" s="175">
        <v>16</v>
      </c>
      <c r="E507" s="175">
        <v>60</v>
      </c>
      <c r="F507" s="175">
        <v>160</v>
      </c>
      <c r="G507" s="175">
        <v>50</v>
      </c>
      <c r="H507" s="175">
        <v>0.63</v>
      </c>
      <c r="I507" s="175">
        <v>0.88</v>
      </c>
      <c r="J507" s="175">
        <v>0.43</v>
      </c>
      <c r="K507" s="175">
        <v>0</v>
      </c>
      <c r="L507" s="175">
        <v>3.34</v>
      </c>
      <c r="M507" s="175">
        <v>1.8</v>
      </c>
      <c r="N507" s="175">
        <v>28.2</v>
      </c>
      <c r="O507" s="175">
        <v>37.299999999999997</v>
      </c>
    </row>
    <row r="508" spans="1:15" ht="15" customHeight="1" thickBot="1">
      <c r="A508" t="s">
        <v>931</v>
      </c>
      <c r="B508" t="s">
        <v>3016</v>
      </c>
      <c r="D508" s="178">
        <v>17</v>
      </c>
      <c r="E508" s="178">
        <v>100</v>
      </c>
      <c r="F508" s="178">
        <v>160</v>
      </c>
      <c r="G508" s="178">
        <v>30</v>
      </c>
      <c r="H508" s="178">
        <v>0.23</v>
      </c>
      <c r="I508" s="178">
        <v>2.5099999999999998</v>
      </c>
      <c r="J508" s="178">
        <v>0.45</v>
      </c>
      <c r="K508" s="178">
        <v>0.14000000000000001</v>
      </c>
      <c r="L508" s="178">
        <v>5.01</v>
      </c>
      <c r="M508" s="178">
        <v>1.84</v>
      </c>
      <c r="N508" s="178">
        <v>34.200000000000003</v>
      </c>
      <c r="O508" s="178">
        <v>31.3</v>
      </c>
    </row>
    <row r="509" spans="1:15" ht="15" customHeight="1">
      <c r="A509" t="s">
        <v>931</v>
      </c>
      <c r="B509" t="s">
        <v>3016</v>
      </c>
      <c r="M509" t="s">
        <v>510</v>
      </c>
      <c r="N509">
        <f>AVERAGE(N492:N508)</f>
        <v>48.811764705882354</v>
      </c>
    </row>
    <row r="510" spans="1:15" ht="15" customHeight="1">
      <c r="A510" t="s">
        <v>931</v>
      </c>
      <c r="B510" t="s">
        <v>3016</v>
      </c>
      <c r="N510">
        <f>MIN(N492:N508)</f>
        <v>4.4000000000000004</v>
      </c>
    </row>
    <row r="511" spans="1:15" ht="15" customHeight="1">
      <c r="A511" t="s">
        <v>931</v>
      </c>
      <c r="B511" t="s">
        <v>3016</v>
      </c>
      <c r="N511">
        <f>MAX(N492:N508)</f>
        <v>69.099999999999994</v>
      </c>
    </row>
    <row r="512" spans="1:15" ht="15" customHeight="1">
      <c r="A512" t="s">
        <v>931</v>
      </c>
      <c r="B512" t="s">
        <v>3016</v>
      </c>
    </row>
    <row r="513" spans="1:9" ht="15" customHeight="1">
      <c r="A513" t="s">
        <v>931</v>
      </c>
      <c r="B513" t="s">
        <v>3016</v>
      </c>
    </row>
    <row r="514" spans="1:9" ht="15" customHeight="1">
      <c r="A514" t="s">
        <v>931</v>
      </c>
      <c r="B514" t="s">
        <v>3016</v>
      </c>
    </row>
    <row r="515" spans="1:9" ht="15" customHeight="1">
      <c r="A515" t="s">
        <v>931</v>
      </c>
      <c r="B515" t="s">
        <v>3016</v>
      </c>
    </row>
    <row r="516" spans="1:9" ht="15" customHeight="1">
      <c r="A516" t="s">
        <v>931</v>
      </c>
      <c r="B516" t="s">
        <v>3016</v>
      </c>
    </row>
    <row r="517" spans="1:9" ht="15" customHeight="1">
      <c r="A517" t="s">
        <v>931</v>
      </c>
      <c r="B517" t="s">
        <v>3016</v>
      </c>
    </row>
    <row r="518" spans="1:9" ht="15" customHeight="1">
      <c r="A518" t="s">
        <v>931</v>
      </c>
      <c r="B518" t="s">
        <v>3016</v>
      </c>
      <c r="D518" s="48" t="s">
        <v>4640</v>
      </c>
      <c r="E518" s="48">
        <f>N509</f>
        <v>48.811764705882354</v>
      </c>
    </row>
    <row r="519" spans="1:9" ht="15" customHeight="1">
      <c r="A519" t="s">
        <v>931</v>
      </c>
      <c r="B519" t="s">
        <v>3016</v>
      </c>
      <c r="D519" s="48" t="s">
        <v>4641</v>
      </c>
      <c r="E519" s="48">
        <f>E518*116/180/0.9</f>
        <v>34.951633986928101</v>
      </c>
    </row>
    <row r="520" spans="1:9" ht="15" customHeight="1">
      <c r="A520" t="s">
        <v>931</v>
      </c>
      <c r="B520" t="s">
        <v>3016</v>
      </c>
      <c r="D520" s="48" t="s">
        <v>4642</v>
      </c>
      <c r="E520" s="51">
        <f>[1]MonoSugar!$H$2</f>
        <v>83.123061728395058</v>
      </c>
    </row>
    <row r="521" spans="1:9" ht="15" customHeight="1">
      <c r="A521" t="s">
        <v>931</v>
      </c>
      <c r="B521" t="s">
        <v>3016</v>
      </c>
      <c r="D521" s="48" t="s">
        <v>4643</v>
      </c>
      <c r="E521" s="48">
        <f>E519*E520%/100</f>
        <v>0.29052868294036949</v>
      </c>
    </row>
    <row r="522" spans="1:9" ht="15" customHeight="1">
      <c r="A522" t="s">
        <v>931</v>
      </c>
      <c r="B522" t="s">
        <v>3016</v>
      </c>
    </row>
    <row r="523" spans="1:9" ht="15" customHeight="1">
      <c r="A523" t="s">
        <v>931</v>
      </c>
      <c r="B523" t="s">
        <v>3016</v>
      </c>
      <c r="C523" t="s">
        <v>425</v>
      </c>
      <c r="D523" t="s">
        <v>4648</v>
      </c>
    </row>
    <row r="524" spans="1:9" ht="15" customHeight="1">
      <c r="A524" t="s">
        <v>931</v>
      </c>
      <c r="B524" t="s">
        <v>3016</v>
      </c>
      <c r="D524" t="s">
        <v>4649</v>
      </c>
    </row>
    <row r="525" spans="1:9" ht="15" customHeight="1" thickBot="1">
      <c r="A525" t="s">
        <v>931</v>
      </c>
      <c r="B525" t="s">
        <v>3016</v>
      </c>
      <c r="D525" s="160" t="s">
        <v>4644</v>
      </c>
    </row>
    <row r="526" spans="1:9" ht="15" customHeight="1" thickBot="1">
      <c r="A526" t="s">
        <v>931</v>
      </c>
      <c r="B526" t="s">
        <v>3016</v>
      </c>
      <c r="D526" s="177" t="s">
        <v>1490</v>
      </c>
      <c r="E526" s="177" t="s">
        <v>4645</v>
      </c>
      <c r="F526" s="177" t="s">
        <v>1494</v>
      </c>
      <c r="G526" s="177" t="s">
        <v>4646</v>
      </c>
      <c r="H526" s="177" t="s">
        <v>1494</v>
      </c>
      <c r="I526" s="177" t="s">
        <v>4647</v>
      </c>
    </row>
    <row r="527" spans="1:9" ht="15" customHeight="1">
      <c r="A527" t="s">
        <v>931</v>
      </c>
      <c r="B527" t="s">
        <v>3016</v>
      </c>
      <c r="D527" s="617">
        <v>160</v>
      </c>
      <c r="E527" s="175">
        <v>0.1</v>
      </c>
      <c r="F527" s="175">
        <v>40.869999999999997</v>
      </c>
      <c r="G527" s="175">
        <v>12.18</v>
      </c>
      <c r="H527" s="175">
        <v>462.84</v>
      </c>
      <c r="I527" s="175">
        <v>9.24</v>
      </c>
    </row>
    <row r="528" spans="1:9" ht="15" customHeight="1">
      <c r="A528" t="s">
        <v>931</v>
      </c>
      <c r="B528" t="s">
        <v>3016</v>
      </c>
      <c r="D528" s="615"/>
      <c r="E528" s="175">
        <v>0.3</v>
      </c>
      <c r="F528" s="175">
        <v>34.479999999999997</v>
      </c>
      <c r="G528" s="175">
        <v>30.38</v>
      </c>
      <c r="H528" s="175">
        <v>172.62</v>
      </c>
      <c r="I528" s="175">
        <v>36.520000000000003</v>
      </c>
    </row>
    <row r="529" spans="1:9" ht="15" customHeight="1">
      <c r="A529" t="s">
        <v>931</v>
      </c>
      <c r="B529" t="s">
        <v>3016</v>
      </c>
      <c r="D529" s="615"/>
      <c r="E529" s="175">
        <v>0.5</v>
      </c>
      <c r="F529" s="175">
        <v>18.82</v>
      </c>
      <c r="G529" s="175">
        <v>30.37</v>
      </c>
      <c r="H529" s="175">
        <v>94.26</v>
      </c>
      <c r="I529" s="175">
        <v>44.44</v>
      </c>
    </row>
    <row r="530" spans="1:9" ht="15" customHeight="1">
      <c r="A530" t="s">
        <v>931</v>
      </c>
      <c r="B530" t="s">
        <v>3016</v>
      </c>
      <c r="D530" s="615"/>
      <c r="E530" s="615"/>
      <c r="F530" s="615"/>
      <c r="G530" s="615"/>
      <c r="H530" s="615"/>
      <c r="I530" s="615"/>
    </row>
    <row r="531" spans="1:9" ht="15" customHeight="1">
      <c r="A531" t="s">
        <v>931</v>
      </c>
      <c r="B531" t="s">
        <v>3016</v>
      </c>
      <c r="D531" s="615">
        <v>180</v>
      </c>
      <c r="E531" s="175">
        <v>0.1</v>
      </c>
      <c r="F531" s="175">
        <v>29.66</v>
      </c>
      <c r="G531" s="175">
        <v>30.62</v>
      </c>
      <c r="H531" s="175">
        <v>147.35</v>
      </c>
      <c r="I531" s="175">
        <v>27.23</v>
      </c>
    </row>
    <row r="532" spans="1:9" ht="15" customHeight="1">
      <c r="A532" t="s">
        <v>931</v>
      </c>
      <c r="B532" t="s">
        <v>3016</v>
      </c>
      <c r="D532" s="615"/>
      <c r="E532" s="175">
        <v>0.3</v>
      </c>
      <c r="F532" s="175">
        <v>8.73</v>
      </c>
      <c r="G532" s="175">
        <v>35.14</v>
      </c>
      <c r="H532" s="175">
        <v>37.799999999999997</v>
      </c>
      <c r="I532" s="175">
        <v>43.58</v>
      </c>
    </row>
    <row r="533" spans="1:9" ht="15" customHeight="1">
      <c r="A533" t="s">
        <v>931</v>
      </c>
      <c r="B533" t="s">
        <v>3016</v>
      </c>
      <c r="D533" s="615"/>
      <c r="E533" s="175">
        <v>0.5</v>
      </c>
      <c r="F533" s="175">
        <v>3.91</v>
      </c>
      <c r="G533" s="175">
        <v>27.85</v>
      </c>
      <c r="H533" s="175">
        <v>21.28</v>
      </c>
      <c r="I533" s="175">
        <v>47.1</v>
      </c>
    </row>
    <row r="534" spans="1:9" ht="15" customHeight="1">
      <c r="A534" t="s">
        <v>931</v>
      </c>
      <c r="B534" t="s">
        <v>3016</v>
      </c>
      <c r="D534" s="615"/>
      <c r="E534" s="615"/>
      <c r="F534" s="615"/>
      <c r="G534" s="615"/>
      <c r="H534" s="615"/>
      <c r="I534" s="615"/>
    </row>
    <row r="535" spans="1:9" ht="15" customHeight="1">
      <c r="A535" t="s">
        <v>931</v>
      </c>
      <c r="B535" t="s">
        <v>3016</v>
      </c>
      <c r="D535" s="615">
        <v>200</v>
      </c>
      <c r="E535" s="175">
        <v>0.1</v>
      </c>
      <c r="F535" s="175">
        <v>12.63</v>
      </c>
      <c r="G535" s="175">
        <v>30.83</v>
      </c>
      <c r="H535" s="175">
        <v>62.34</v>
      </c>
      <c r="I535" s="175">
        <v>25.28</v>
      </c>
    </row>
    <row r="536" spans="1:9" ht="15" customHeight="1">
      <c r="A536" t="s">
        <v>931</v>
      </c>
      <c r="B536" t="s">
        <v>3016</v>
      </c>
      <c r="D536" s="615"/>
      <c r="E536" s="175">
        <v>0.3</v>
      </c>
      <c r="F536" s="175">
        <v>3.23</v>
      </c>
      <c r="G536" s="175">
        <v>27.79</v>
      </c>
      <c r="H536" s="175">
        <v>17.62</v>
      </c>
      <c r="I536" s="175">
        <v>42.83</v>
      </c>
    </row>
    <row r="537" spans="1:9" ht="15" customHeight="1" thickBot="1">
      <c r="A537" t="s">
        <v>931</v>
      </c>
      <c r="B537" t="s">
        <v>3016</v>
      </c>
      <c r="D537" s="627"/>
      <c r="E537" s="178">
        <v>0.5</v>
      </c>
      <c r="F537" s="178">
        <v>1.6</v>
      </c>
      <c r="G537" s="178">
        <v>23.89</v>
      </c>
      <c r="H537" s="178">
        <v>10.039999999999999</v>
      </c>
      <c r="I537" s="178">
        <v>45.38</v>
      </c>
    </row>
    <row r="538" spans="1:9" ht="15" customHeight="1">
      <c r="A538" t="s">
        <v>931</v>
      </c>
      <c r="B538" t="s">
        <v>3016</v>
      </c>
      <c r="H538" t="s">
        <v>510</v>
      </c>
      <c r="I538">
        <f>AVERAGE(I527:I529,I531:I533,I535:I537)</f>
        <v>35.733333333333327</v>
      </c>
    </row>
    <row r="539" spans="1:9" ht="15" customHeight="1">
      <c r="A539" t="s">
        <v>931</v>
      </c>
      <c r="B539" t="s">
        <v>3016</v>
      </c>
    </row>
    <row r="540" spans="1:9" ht="15" customHeight="1">
      <c r="A540" t="s">
        <v>931</v>
      </c>
      <c r="B540" t="s">
        <v>3016</v>
      </c>
    </row>
    <row r="541" spans="1:9" ht="15" customHeight="1">
      <c r="A541" t="s">
        <v>931</v>
      </c>
      <c r="B541" t="s">
        <v>3016</v>
      </c>
    </row>
    <row r="542" spans="1:9" ht="15" customHeight="1">
      <c r="A542" t="s">
        <v>931</v>
      </c>
      <c r="B542" t="s">
        <v>3016</v>
      </c>
    </row>
    <row r="543" spans="1:9" ht="15" customHeight="1">
      <c r="A543" t="s">
        <v>931</v>
      </c>
      <c r="B543" t="s">
        <v>3016</v>
      </c>
    </row>
    <row r="544" spans="1:9" ht="15" customHeight="1">
      <c r="A544" t="s">
        <v>931</v>
      </c>
      <c r="B544" t="s">
        <v>3016</v>
      </c>
    </row>
    <row r="545" spans="1:5" ht="15" customHeight="1">
      <c r="A545" t="s">
        <v>931</v>
      </c>
      <c r="B545" t="s">
        <v>3016</v>
      </c>
    </row>
    <row r="546" spans="1:5" ht="15" customHeight="1">
      <c r="A546" t="s">
        <v>931</v>
      </c>
      <c r="B546" t="s">
        <v>3016</v>
      </c>
      <c r="D546" s="48" t="s">
        <v>4640</v>
      </c>
      <c r="E546" s="48">
        <f>I538</f>
        <v>35.733333333333327</v>
      </c>
    </row>
    <row r="547" spans="1:5" ht="15" customHeight="1">
      <c r="A547" t="s">
        <v>931</v>
      </c>
      <c r="B547" t="s">
        <v>3016</v>
      </c>
      <c r="D547" s="48" t="s">
        <v>4650</v>
      </c>
      <c r="E547" s="48">
        <f>E546*116/162</f>
        <v>25.586831275720158</v>
      </c>
    </row>
    <row r="548" spans="1:5" ht="15" customHeight="1">
      <c r="A548" t="s">
        <v>931</v>
      </c>
      <c r="B548" t="s">
        <v>3016</v>
      </c>
      <c r="D548" s="48" t="s">
        <v>4642</v>
      </c>
      <c r="E548" s="48">
        <f>[1]MonoSugar!$H$2*162/180</f>
        <v>74.810755555555559</v>
      </c>
    </row>
    <row r="549" spans="1:5" ht="15" customHeight="1">
      <c r="A549" t="s">
        <v>931</v>
      </c>
      <c r="B549" t="s">
        <v>3016</v>
      </c>
      <c r="D549" s="48" t="s">
        <v>4651</v>
      </c>
      <c r="E549" s="48">
        <f>E547*E548%/100</f>
        <v>0.19141701800091446</v>
      </c>
    </row>
    <row r="550" spans="1:5" ht="15" customHeight="1">
      <c r="A550" t="s">
        <v>931</v>
      </c>
    </row>
    <row r="552" spans="1:5" ht="15" customHeight="1">
      <c r="A552" t="s">
        <v>931</v>
      </c>
      <c r="B552" t="s">
        <v>4652</v>
      </c>
      <c r="C552" t="s">
        <v>638</v>
      </c>
      <c r="D552" t="s">
        <v>940</v>
      </c>
      <c r="E552">
        <v>0.52103333333333335</v>
      </c>
    </row>
    <row r="553" spans="1:5" ht="15" customHeight="1">
      <c r="A553" t="s">
        <v>931</v>
      </c>
      <c r="B553" t="s">
        <v>4652</v>
      </c>
      <c r="D553" t="s">
        <v>4653</v>
      </c>
      <c r="E553" s="142">
        <f>[1]MonoSugar!$L$3</f>
        <v>16.694444444444443</v>
      </c>
    </row>
    <row r="554" spans="1:5" ht="15" customHeight="1">
      <c r="A554" t="s">
        <v>931</v>
      </c>
      <c r="B554" t="s">
        <v>4652</v>
      </c>
      <c r="D554" s="48" t="s">
        <v>942</v>
      </c>
      <c r="E554" s="48">
        <f>E552*E553%</f>
        <v>8.6983620370370357E-2</v>
      </c>
    </row>
    <row r="555" spans="1:5" ht="15" customHeight="1">
      <c r="A555" t="s">
        <v>931</v>
      </c>
      <c r="B555" t="s">
        <v>4559</v>
      </c>
      <c r="C555" t="s">
        <v>638</v>
      </c>
      <c r="D555" t="s">
        <v>940</v>
      </c>
      <c r="E555">
        <v>0.52103333333333335</v>
      </c>
    </row>
    <row r="556" spans="1:5" ht="15" customHeight="1">
      <c r="A556" t="s">
        <v>931</v>
      </c>
      <c r="B556" t="s">
        <v>4559</v>
      </c>
      <c r="D556" t="s">
        <v>4654</v>
      </c>
      <c r="E556" s="142">
        <f>[1]MonoSugar!$L$4</f>
        <v>54.255555555555553</v>
      </c>
    </row>
    <row r="557" spans="1:5" ht="15" customHeight="1">
      <c r="A557" t="s">
        <v>931</v>
      </c>
      <c r="B557" t="s">
        <v>4559</v>
      </c>
      <c r="D557" s="48" t="s">
        <v>942</v>
      </c>
      <c r="E557" s="48">
        <f>E555*E556%</f>
        <v>0.28268952962962962</v>
      </c>
    </row>
    <row r="561" spans="1:8" ht="15" customHeight="1">
      <c r="A561" t="s">
        <v>982</v>
      </c>
      <c r="B561" t="s">
        <v>3331</v>
      </c>
      <c r="C561" t="s">
        <v>197</v>
      </c>
      <c r="D561" t="s">
        <v>4655</v>
      </c>
    </row>
    <row r="562" spans="1:8" ht="15" customHeight="1">
      <c r="A562" t="s">
        <v>982</v>
      </c>
      <c r="B562" t="s">
        <v>3331</v>
      </c>
      <c r="D562" t="s">
        <v>4656</v>
      </c>
    </row>
    <row r="563" spans="1:8" ht="15" customHeight="1">
      <c r="A563" t="s">
        <v>982</v>
      </c>
      <c r="B563" t="s">
        <v>3331</v>
      </c>
      <c r="D563" s="161"/>
    </row>
    <row r="564" spans="1:8" ht="15" customHeight="1">
      <c r="A564" t="s">
        <v>982</v>
      </c>
      <c r="B564" t="s">
        <v>3331</v>
      </c>
      <c r="D564" t="s">
        <v>4663</v>
      </c>
    </row>
    <row r="565" spans="1:8" ht="15" customHeight="1">
      <c r="A565" t="s">
        <v>982</v>
      </c>
      <c r="B565" t="s">
        <v>3331</v>
      </c>
      <c r="D565" t="s">
        <v>4664</v>
      </c>
      <c r="E565" t="s">
        <v>4657</v>
      </c>
      <c r="F565" t="s">
        <v>4658</v>
      </c>
      <c r="G565" t="s">
        <v>4665</v>
      </c>
      <c r="H565" t="s">
        <v>4659</v>
      </c>
    </row>
    <row r="566" spans="1:8" ht="15" customHeight="1">
      <c r="A566" t="s">
        <v>982</v>
      </c>
      <c r="B566" t="s">
        <v>3331</v>
      </c>
      <c r="D566" t="s">
        <v>4660</v>
      </c>
      <c r="E566" t="s">
        <v>4666</v>
      </c>
      <c r="F566" t="s">
        <v>4667</v>
      </c>
      <c r="G566" t="s">
        <v>4668</v>
      </c>
      <c r="H566" t="s">
        <v>4669</v>
      </c>
    </row>
    <row r="567" spans="1:8" ht="15" customHeight="1">
      <c r="A567" t="s">
        <v>982</v>
      </c>
      <c r="B567" t="s">
        <v>3331</v>
      </c>
      <c r="D567" t="s">
        <v>4661</v>
      </c>
      <c r="E567" t="s">
        <v>4670</v>
      </c>
      <c r="F567" t="s">
        <v>4671</v>
      </c>
      <c r="G567" t="s">
        <v>4672</v>
      </c>
      <c r="H567" t="s">
        <v>3980</v>
      </c>
    </row>
    <row r="568" spans="1:8" ht="15" customHeight="1">
      <c r="A568" t="s">
        <v>982</v>
      </c>
      <c r="B568" t="s">
        <v>3331</v>
      </c>
      <c r="D568" t="s">
        <v>4673</v>
      </c>
      <c r="E568" t="s">
        <v>4674</v>
      </c>
      <c r="F568" t="s">
        <v>4675</v>
      </c>
      <c r="G568" t="s">
        <v>4676</v>
      </c>
      <c r="H568" t="s">
        <v>4677</v>
      </c>
    </row>
    <row r="569" spans="1:8" ht="15" customHeight="1">
      <c r="A569" t="s">
        <v>982</v>
      </c>
      <c r="B569" t="s">
        <v>3331</v>
      </c>
      <c r="D569" t="s">
        <v>4678</v>
      </c>
      <c r="E569" t="s">
        <v>4679</v>
      </c>
      <c r="F569" t="s">
        <v>4680</v>
      </c>
      <c r="G569" t="s">
        <v>4668</v>
      </c>
      <c r="H569" t="s">
        <v>4669</v>
      </c>
    </row>
    <row r="570" spans="1:8" ht="15" customHeight="1">
      <c r="A570" t="s">
        <v>982</v>
      </c>
      <c r="B570" t="s">
        <v>3331</v>
      </c>
      <c r="D570" t="s">
        <v>4662</v>
      </c>
    </row>
    <row r="571" spans="1:8" ht="15" customHeight="1">
      <c r="A571" t="s">
        <v>982</v>
      </c>
      <c r="B571" t="s">
        <v>3331</v>
      </c>
      <c r="D571" t="s">
        <v>4681</v>
      </c>
    </row>
    <row r="572" spans="1:8" ht="15" customHeight="1">
      <c r="A572" t="s">
        <v>982</v>
      </c>
      <c r="B572" t="s">
        <v>3331</v>
      </c>
    </row>
    <row r="573" spans="1:8" ht="15" customHeight="1">
      <c r="A573" t="s">
        <v>982</v>
      </c>
      <c r="B573" t="s">
        <v>3331</v>
      </c>
      <c r="D573" s="161"/>
    </row>
    <row r="574" spans="1:8" ht="15" customHeight="1">
      <c r="A574" t="s">
        <v>982</v>
      </c>
      <c r="B574" t="s">
        <v>3331</v>
      </c>
      <c r="D574" s="161"/>
    </row>
    <row r="575" spans="1:8" ht="15" customHeight="1">
      <c r="A575" t="s">
        <v>982</v>
      </c>
      <c r="B575" t="s">
        <v>3331</v>
      </c>
      <c r="D575" s="48" t="s">
        <v>4616</v>
      </c>
      <c r="E575" s="48">
        <v>0.59</v>
      </c>
    </row>
    <row r="576" spans="1:8" ht="15" customHeight="1">
      <c r="A576" t="s">
        <v>982</v>
      </c>
      <c r="B576" t="s">
        <v>3331</v>
      </c>
      <c r="D576" s="48"/>
      <c r="E576" s="48">
        <v>0.54</v>
      </c>
    </row>
    <row r="577" spans="1:14" ht="15" customHeight="1">
      <c r="A577" t="s">
        <v>982</v>
      </c>
      <c r="B577" t="s">
        <v>3331</v>
      </c>
      <c r="D577" s="48"/>
      <c r="E577" s="48">
        <v>0.7</v>
      </c>
    </row>
    <row r="578" spans="1:14" ht="15" customHeight="1">
      <c r="A578" t="s">
        <v>982</v>
      </c>
      <c r="B578" t="s">
        <v>3331</v>
      </c>
      <c r="D578" s="48"/>
      <c r="E578" s="48">
        <v>0.59</v>
      </c>
    </row>
    <row r="579" spans="1:14" ht="15" customHeight="1">
      <c r="A579" t="s">
        <v>982</v>
      </c>
      <c r="B579" t="s">
        <v>3331</v>
      </c>
      <c r="D579" s="48" t="s">
        <v>510</v>
      </c>
      <c r="E579" s="48">
        <f>AVERAGE(E575:E578)</f>
        <v>0.60499999999999998</v>
      </c>
    </row>
    <row r="580" spans="1:14" ht="15" customHeight="1">
      <c r="A580" t="s">
        <v>982</v>
      </c>
      <c r="B580" t="s">
        <v>3331</v>
      </c>
    </row>
    <row r="581" spans="1:14" ht="15" customHeight="1">
      <c r="A581" t="s">
        <v>982</v>
      </c>
      <c r="B581" t="s">
        <v>3331</v>
      </c>
      <c r="C581" t="s">
        <v>226</v>
      </c>
      <c r="D581" t="s">
        <v>4800</v>
      </c>
    </row>
    <row r="582" spans="1:14" ht="15" customHeight="1">
      <c r="A582" t="s">
        <v>982</v>
      </c>
      <c r="B582" t="s">
        <v>3331</v>
      </c>
      <c r="D582" t="s">
        <v>4801</v>
      </c>
      <c r="F582" t="s">
        <v>4802</v>
      </c>
    </row>
    <row r="583" spans="1:14" ht="15" customHeight="1">
      <c r="A583" t="s">
        <v>982</v>
      </c>
      <c r="B583" t="s">
        <v>3331</v>
      </c>
      <c r="D583" t="s">
        <v>4682</v>
      </c>
    </row>
    <row r="584" spans="1:14" ht="15" customHeight="1">
      <c r="A584" t="s">
        <v>982</v>
      </c>
      <c r="B584" t="s">
        <v>3331</v>
      </c>
      <c r="D584" t="s">
        <v>400</v>
      </c>
      <c r="E584" t="s">
        <v>1212</v>
      </c>
      <c r="F584" t="s">
        <v>4683</v>
      </c>
      <c r="G584" t="s">
        <v>4684</v>
      </c>
      <c r="H584" t="s">
        <v>2049</v>
      </c>
      <c r="I584" t="s">
        <v>4685</v>
      </c>
      <c r="M584" t="s">
        <v>4686</v>
      </c>
      <c r="N584" t="s">
        <v>207</v>
      </c>
    </row>
    <row r="585" spans="1:14" ht="15" customHeight="1">
      <c r="A585" t="s">
        <v>982</v>
      </c>
      <c r="B585" t="s">
        <v>3331</v>
      </c>
      <c r="H585" t="s">
        <v>430</v>
      </c>
      <c r="I585" t="s">
        <v>4688</v>
      </c>
      <c r="J585" t="s">
        <v>4689</v>
      </c>
      <c r="K585" t="s">
        <v>4690</v>
      </c>
      <c r="L585" t="s">
        <v>4691</v>
      </c>
      <c r="M585" t="s">
        <v>4687</v>
      </c>
    </row>
    <row r="586" spans="1:14" ht="15" customHeight="1">
      <c r="A586" t="s">
        <v>982</v>
      </c>
      <c r="B586" t="s">
        <v>3331</v>
      </c>
      <c r="L586" t="s">
        <v>4692</v>
      </c>
    </row>
    <row r="587" spans="1:14" ht="15" customHeight="1">
      <c r="A587" t="s">
        <v>982</v>
      </c>
      <c r="B587" t="s">
        <v>3331</v>
      </c>
      <c r="D587" t="s">
        <v>4693</v>
      </c>
      <c r="E587" t="s">
        <v>4694</v>
      </c>
      <c r="F587" t="s">
        <v>4695</v>
      </c>
      <c r="G587" t="s">
        <v>4696</v>
      </c>
      <c r="H587" t="s">
        <v>4697</v>
      </c>
      <c r="I587" t="s">
        <v>4698</v>
      </c>
      <c r="J587">
        <v>68</v>
      </c>
      <c r="K587">
        <v>1.89</v>
      </c>
      <c r="L587" t="s">
        <v>4699</v>
      </c>
      <c r="M587" t="s">
        <v>4700</v>
      </c>
      <c r="N587" t="s">
        <v>4701</v>
      </c>
    </row>
    <row r="588" spans="1:14" ht="15" customHeight="1">
      <c r="A588" t="s">
        <v>982</v>
      </c>
      <c r="B588" t="s">
        <v>3331</v>
      </c>
      <c r="D588" t="s">
        <v>4702</v>
      </c>
      <c r="E588" t="s">
        <v>3181</v>
      </c>
      <c r="F588" t="s">
        <v>4703</v>
      </c>
      <c r="G588" t="s">
        <v>4704</v>
      </c>
      <c r="H588" t="s">
        <v>4705</v>
      </c>
      <c r="I588" t="s">
        <v>4706</v>
      </c>
      <c r="J588" t="s">
        <v>4707</v>
      </c>
      <c r="K588" t="s">
        <v>4708</v>
      </c>
      <c r="L588" t="s">
        <v>4709</v>
      </c>
      <c r="M588" t="s">
        <v>4710</v>
      </c>
      <c r="N588" t="s">
        <v>1226</v>
      </c>
    </row>
    <row r="589" spans="1:14" ht="15" customHeight="1">
      <c r="A589" t="s">
        <v>982</v>
      </c>
      <c r="B589" t="s">
        <v>3331</v>
      </c>
      <c r="D589" t="s">
        <v>4711</v>
      </c>
      <c r="E589" t="s">
        <v>4712</v>
      </c>
      <c r="F589" t="s">
        <v>4713</v>
      </c>
      <c r="G589" t="s">
        <v>4714</v>
      </c>
      <c r="H589" t="s">
        <v>4715</v>
      </c>
      <c r="I589" t="s">
        <v>4709</v>
      </c>
      <c r="J589">
        <v>45.6</v>
      </c>
      <c r="K589">
        <v>0.21</v>
      </c>
      <c r="L589" t="s">
        <v>4716</v>
      </c>
      <c r="M589" t="s">
        <v>4710</v>
      </c>
      <c r="N589" t="s">
        <v>4717</v>
      </c>
    </row>
    <row r="590" spans="1:14" ht="15" customHeight="1">
      <c r="A590" t="s">
        <v>982</v>
      </c>
      <c r="B590" t="s">
        <v>3331</v>
      </c>
      <c r="D590" t="s">
        <v>4718</v>
      </c>
      <c r="E590" t="s">
        <v>1013</v>
      </c>
      <c r="F590" t="s">
        <v>4719</v>
      </c>
      <c r="G590" t="s">
        <v>4720</v>
      </c>
      <c r="H590" t="s">
        <v>4721</v>
      </c>
      <c r="I590" t="s">
        <v>4722</v>
      </c>
      <c r="J590">
        <v>122.99</v>
      </c>
      <c r="K590">
        <v>1.37</v>
      </c>
      <c r="L590" t="s">
        <v>4723</v>
      </c>
      <c r="M590" t="s">
        <v>4710</v>
      </c>
      <c r="N590" t="s">
        <v>2505</v>
      </c>
    </row>
    <row r="591" spans="1:14" ht="15" customHeight="1">
      <c r="A591" t="s">
        <v>982</v>
      </c>
      <c r="B591" t="s">
        <v>3331</v>
      </c>
      <c r="F591" t="s">
        <v>4724</v>
      </c>
      <c r="I591" t="s">
        <v>4725</v>
      </c>
      <c r="J591">
        <v>118.6</v>
      </c>
      <c r="K591">
        <v>1.32</v>
      </c>
      <c r="L591" t="s">
        <v>4723</v>
      </c>
    </row>
    <row r="592" spans="1:14" ht="15" customHeight="1">
      <c r="A592" t="s">
        <v>982</v>
      </c>
      <c r="B592" t="s">
        <v>3331</v>
      </c>
      <c r="D592" t="s">
        <v>4718</v>
      </c>
      <c r="E592" t="s">
        <v>3181</v>
      </c>
      <c r="F592" t="s">
        <v>4719</v>
      </c>
      <c r="G592" t="s">
        <v>4720</v>
      </c>
      <c r="H592" t="s">
        <v>4726</v>
      </c>
      <c r="I592" t="s">
        <v>4727</v>
      </c>
      <c r="J592">
        <v>97.59</v>
      </c>
      <c r="K592">
        <v>1.63</v>
      </c>
      <c r="L592" t="s">
        <v>4728</v>
      </c>
      <c r="M592" t="s">
        <v>4710</v>
      </c>
      <c r="N592" t="s">
        <v>915</v>
      </c>
    </row>
    <row r="593" spans="1:14" ht="15" customHeight="1">
      <c r="A593" t="s">
        <v>982</v>
      </c>
      <c r="B593" t="s">
        <v>3331</v>
      </c>
      <c r="D593" t="s">
        <v>4718</v>
      </c>
      <c r="E593" t="s">
        <v>1013</v>
      </c>
      <c r="F593" t="s">
        <v>4729</v>
      </c>
      <c r="G593" t="s">
        <v>4730</v>
      </c>
      <c r="H593" t="s">
        <v>4731</v>
      </c>
      <c r="I593" t="s">
        <v>4732</v>
      </c>
      <c r="J593">
        <v>64.95</v>
      </c>
      <c r="K593">
        <v>0.56999999999999995</v>
      </c>
      <c r="L593" t="s">
        <v>4709</v>
      </c>
      <c r="M593" t="s">
        <v>4710</v>
      </c>
      <c r="N593" t="s">
        <v>1232</v>
      </c>
    </row>
    <row r="594" spans="1:14" ht="15" customHeight="1">
      <c r="A594" t="s">
        <v>982</v>
      </c>
      <c r="B594" t="s">
        <v>3331</v>
      </c>
      <c r="D594" t="s">
        <v>4733</v>
      </c>
      <c r="E594" t="s">
        <v>3181</v>
      </c>
      <c r="F594" t="s">
        <v>4734</v>
      </c>
      <c r="G594" t="s">
        <v>4735</v>
      </c>
      <c r="H594" t="s">
        <v>4736</v>
      </c>
      <c r="I594" t="s">
        <v>4737</v>
      </c>
      <c r="J594">
        <v>101.9</v>
      </c>
      <c r="K594">
        <v>1.06</v>
      </c>
      <c r="L594" t="s">
        <v>4738</v>
      </c>
      <c r="M594" t="s">
        <v>4739</v>
      </c>
      <c r="N594" t="s">
        <v>4090</v>
      </c>
    </row>
    <row r="595" spans="1:14" ht="15" customHeight="1">
      <c r="A595" t="s">
        <v>982</v>
      </c>
      <c r="B595" t="s">
        <v>3331</v>
      </c>
      <c r="D595" t="s">
        <v>4740</v>
      </c>
      <c r="E595" t="s">
        <v>3181</v>
      </c>
      <c r="F595" t="s">
        <v>4719</v>
      </c>
      <c r="G595" t="s">
        <v>4720</v>
      </c>
      <c r="H595" t="s">
        <v>4741</v>
      </c>
      <c r="I595" t="s">
        <v>4742</v>
      </c>
      <c r="J595">
        <v>104.11</v>
      </c>
      <c r="K595">
        <v>1.24</v>
      </c>
      <c r="L595" t="s">
        <v>4709</v>
      </c>
      <c r="M595" t="s">
        <v>4710</v>
      </c>
      <c r="N595" t="s">
        <v>4743</v>
      </c>
    </row>
    <row r="596" spans="1:14" ht="15" customHeight="1">
      <c r="A596" t="s">
        <v>982</v>
      </c>
      <c r="B596" t="s">
        <v>3331</v>
      </c>
      <c r="D596" t="s">
        <v>4744</v>
      </c>
      <c r="E596" t="s">
        <v>3181</v>
      </c>
      <c r="F596" t="s">
        <v>4719</v>
      </c>
      <c r="G596" t="s">
        <v>4720</v>
      </c>
      <c r="H596" t="s">
        <v>4745</v>
      </c>
      <c r="I596" t="s">
        <v>4746</v>
      </c>
      <c r="J596">
        <v>92.3</v>
      </c>
      <c r="K596">
        <v>1.92</v>
      </c>
      <c r="L596" t="s">
        <v>4747</v>
      </c>
      <c r="M596" t="s">
        <v>4710</v>
      </c>
      <c r="N596" t="s">
        <v>4748</v>
      </c>
    </row>
    <row r="597" spans="1:14" ht="15" customHeight="1">
      <c r="A597" t="s">
        <v>982</v>
      </c>
      <c r="B597" t="s">
        <v>3331</v>
      </c>
      <c r="D597" t="s">
        <v>4749</v>
      </c>
      <c r="E597" t="s">
        <v>3181</v>
      </c>
      <c r="F597" t="s">
        <v>4750</v>
      </c>
      <c r="G597" t="s">
        <v>4751</v>
      </c>
      <c r="H597" t="s">
        <v>4752</v>
      </c>
      <c r="I597">
        <v>65</v>
      </c>
      <c r="J597">
        <v>74.8</v>
      </c>
      <c r="K597">
        <v>0.7</v>
      </c>
      <c r="L597" t="s">
        <v>4709</v>
      </c>
      <c r="M597" t="s">
        <v>4710</v>
      </c>
      <c r="N597" t="s">
        <v>4753</v>
      </c>
    </row>
    <row r="598" spans="1:14" ht="15" customHeight="1">
      <c r="A598" t="s">
        <v>982</v>
      </c>
      <c r="B598" t="s">
        <v>3331</v>
      </c>
      <c r="D598" t="s">
        <v>4754</v>
      </c>
      <c r="E598" t="s">
        <v>3181</v>
      </c>
      <c r="F598" t="s">
        <v>4755</v>
      </c>
      <c r="G598" t="s">
        <v>4756</v>
      </c>
      <c r="H598" t="s">
        <v>4757</v>
      </c>
      <c r="I598" t="s">
        <v>4758</v>
      </c>
      <c r="J598">
        <v>20.100000000000001</v>
      </c>
      <c r="K598">
        <v>0.32</v>
      </c>
      <c r="L598" t="s">
        <v>4759</v>
      </c>
      <c r="M598" t="s">
        <v>4700</v>
      </c>
      <c r="N598" t="s">
        <v>4760</v>
      </c>
    </row>
    <row r="599" spans="1:14" ht="15" customHeight="1">
      <c r="A599" t="s">
        <v>982</v>
      </c>
      <c r="B599" t="s">
        <v>3331</v>
      </c>
      <c r="D599" t="s">
        <v>4761</v>
      </c>
      <c r="E599" t="s">
        <v>1013</v>
      </c>
      <c r="F599" t="s">
        <v>4762</v>
      </c>
      <c r="G599" t="s">
        <v>4763</v>
      </c>
      <c r="H599" t="s">
        <v>4764</v>
      </c>
      <c r="I599" t="s">
        <v>4765</v>
      </c>
      <c r="J599">
        <v>86.15</v>
      </c>
      <c r="K599" t="s">
        <v>4766</v>
      </c>
      <c r="L599" t="s">
        <v>4709</v>
      </c>
      <c r="M599" t="s">
        <v>4709</v>
      </c>
      <c r="N599" t="s">
        <v>4767</v>
      </c>
    </row>
    <row r="600" spans="1:14" ht="15" customHeight="1">
      <c r="A600" t="s">
        <v>982</v>
      </c>
      <c r="B600" t="s">
        <v>3331</v>
      </c>
      <c r="D600" t="s">
        <v>4768</v>
      </c>
      <c r="E600" t="s">
        <v>3181</v>
      </c>
      <c r="F600" t="s">
        <v>4769</v>
      </c>
      <c r="G600" t="s">
        <v>4770</v>
      </c>
      <c r="H600" t="s">
        <v>4771</v>
      </c>
      <c r="I600" t="s">
        <v>4772</v>
      </c>
      <c r="J600">
        <v>20.95</v>
      </c>
      <c r="K600">
        <v>0.57999999999999996</v>
      </c>
      <c r="L600" t="s">
        <v>2748</v>
      </c>
      <c r="M600" t="s">
        <v>4773</v>
      </c>
      <c r="N600" t="s">
        <v>4774</v>
      </c>
    </row>
    <row r="601" spans="1:14" ht="15" customHeight="1">
      <c r="A601" t="s">
        <v>982</v>
      </c>
      <c r="B601" t="s">
        <v>3331</v>
      </c>
      <c r="D601" t="s">
        <v>4775</v>
      </c>
      <c r="E601" t="s">
        <v>3181</v>
      </c>
      <c r="F601" t="s">
        <v>4776</v>
      </c>
      <c r="G601" t="s">
        <v>4777</v>
      </c>
      <c r="H601" t="s">
        <v>4778</v>
      </c>
      <c r="I601" t="s">
        <v>4779</v>
      </c>
      <c r="J601">
        <v>31.2</v>
      </c>
      <c r="K601">
        <v>0.43</v>
      </c>
      <c r="L601" t="s">
        <v>4780</v>
      </c>
      <c r="M601" t="s">
        <v>4773</v>
      </c>
      <c r="N601" t="s">
        <v>4781</v>
      </c>
    </row>
    <row r="602" spans="1:14" ht="15" customHeight="1">
      <c r="A602" t="s">
        <v>982</v>
      </c>
      <c r="B602" t="s">
        <v>3331</v>
      </c>
      <c r="D602" t="s">
        <v>4782</v>
      </c>
      <c r="E602" t="s">
        <v>1013</v>
      </c>
      <c r="F602" t="s">
        <v>4783</v>
      </c>
      <c r="G602" t="s">
        <v>4784</v>
      </c>
      <c r="H602" t="s">
        <v>4785</v>
      </c>
      <c r="I602" t="s">
        <v>4709</v>
      </c>
      <c r="J602">
        <v>24</v>
      </c>
      <c r="K602" t="s">
        <v>4766</v>
      </c>
      <c r="L602" t="s">
        <v>4766</v>
      </c>
      <c r="M602" t="s">
        <v>4786</v>
      </c>
      <c r="N602" t="s">
        <v>2501</v>
      </c>
    </row>
    <row r="603" spans="1:14" ht="15" customHeight="1">
      <c r="A603" t="s">
        <v>982</v>
      </c>
      <c r="B603" t="s">
        <v>3331</v>
      </c>
      <c r="D603" t="s">
        <v>4787</v>
      </c>
      <c r="E603" t="s">
        <v>1013</v>
      </c>
      <c r="F603" t="s">
        <v>4788</v>
      </c>
      <c r="G603" t="s">
        <v>4789</v>
      </c>
      <c r="H603" t="s">
        <v>4790</v>
      </c>
      <c r="I603" t="s">
        <v>4791</v>
      </c>
      <c r="J603">
        <v>60.3</v>
      </c>
      <c r="K603">
        <v>1</v>
      </c>
      <c r="L603" t="s">
        <v>4699</v>
      </c>
      <c r="M603" t="s">
        <v>4710</v>
      </c>
      <c r="N603" t="s">
        <v>4792</v>
      </c>
    </row>
    <row r="604" spans="1:14" ht="15" customHeight="1">
      <c r="A604" t="s">
        <v>982</v>
      </c>
      <c r="B604" t="s">
        <v>3331</v>
      </c>
      <c r="D604" t="s">
        <v>4793</v>
      </c>
      <c r="E604" t="s">
        <v>2034</v>
      </c>
      <c r="F604" t="s">
        <v>4794</v>
      </c>
      <c r="G604" t="s">
        <v>4795</v>
      </c>
      <c r="H604" t="s">
        <v>4796</v>
      </c>
      <c r="I604" t="s">
        <v>4797</v>
      </c>
      <c r="J604">
        <v>20.399999999999999</v>
      </c>
      <c r="K604">
        <v>0.28299999999999997</v>
      </c>
      <c r="L604" t="s">
        <v>4766</v>
      </c>
      <c r="M604" t="s">
        <v>4710</v>
      </c>
      <c r="N604" t="s">
        <v>4798</v>
      </c>
    </row>
    <row r="605" spans="1:14" ht="15" customHeight="1">
      <c r="A605" t="s">
        <v>982</v>
      </c>
      <c r="B605" t="s">
        <v>3331</v>
      </c>
      <c r="D605" t="s">
        <v>4799</v>
      </c>
    </row>
    <row r="606" spans="1:14" ht="14.4">
      <c r="A606" t="s">
        <v>982</v>
      </c>
      <c r="B606" t="s">
        <v>3331</v>
      </c>
    </row>
    <row r="607" spans="1:14" ht="14.4">
      <c r="A607" t="s">
        <v>982</v>
      </c>
      <c r="B607" t="s">
        <v>3331</v>
      </c>
      <c r="D607" t="s">
        <v>4616</v>
      </c>
      <c r="E607" t="s">
        <v>4616</v>
      </c>
      <c r="F607" t="s">
        <v>905</v>
      </c>
      <c r="G607" t="s">
        <v>1212</v>
      </c>
    </row>
    <row r="608" spans="1:14" ht="14.4">
      <c r="A608" t="s">
        <v>982</v>
      </c>
      <c r="B608" t="s">
        <v>3331</v>
      </c>
      <c r="D608" t="s">
        <v>4698</v>
      </c>
      <c r="E608">
        <v>0.85</v>
      </c>
      <c r="F608" t="s">
        <v>6220</v>
      </c>
      <c r="G608" t="s">
        <v>4694</v>
      </c>
    </row>
    <row r="609" spans="1:7" ht="14.4">
      <c r="A609" t="s">
        <v>982</v>
      </c>
      <c r="B609" t="s">
        <v>3331</v>
      </c>
      <c r="D609" t="s">
        <v>4706</v>
      </c>
      <c r="E609">
        <v>0.39600000000000002</v>
      </c>
      <c r="F609" t="s">
        <v>6221</v>
      </c>
      <c r="G609" t="s">
        <v>3181</v>
      </c>
    </row>
    <row r="610" spans="1:7" ht="14.4">
      <c r="A610" t="s">
        <v>982</v>
      </c>
      <c r="B610" t="s">
        <v>3331</v>
      </c>
      <c r="D610" t="s">
        <v>4709</v>
      </c>
      <c r="E610" t="s">
        <v>4709</v>
      </c>
      <c r="G610" t="s">
        <v>4712</v>
      </c>
    </row>
    <row r="611" spans="1:7" ht="14.4">
      <c r="A611" t="s">
        <v>982</v>
      </c>
      <c r="B611" t="s">
        <v>3331</v>
      </c>
      <c r="D611" t="s">
        <v>4722</v>
      </c>
      <c r="E611">
        <v>0.77</v>
      </c>
      <c r="F611" t="s">
        <v>6221</v>
      </c>
      <c r="G611" t="s">
        <v>1013</v>
      </c>
    </row>
    <row r="612" spans="1:7" ht="14.4">
      <c r="A612" t="s">
        <v>982</v>
      </c>
      <c r="B612" t="s">
        <v>3331</v>
      </c>
      <c r="D612" t="s">
        <v>4725</v>
      </c>
      <c r="E612">
        <v>0.74</v>
      </c>
      <c r="F612" t="s">
        <v>6221</v>
      </c>
    </row>
    <row r="613" spans="1:7" ht="14.4">
      <c r="A613" t="s">
        <v>982</v>
      </c>
      <c r="B613" t="s">
        <v>3331</v>
      </c>
      <c r="D613" t="s">
        <v>4727</v>
      </c>
      <c r="E613">
        <v>0.68</v>
      </c>
      <c r="F613" t="s">
        <v>6221</v>
      </c>
      <c r="G613" t="s">
        <v>3181</v>
      </c>
    </row>
    <row r="614" spans="1:7" ht="14.4">
      <c r="A614" t="s">
        <v>982</v>
      </c>
      <c r="B614" t="s">
        <v>3331</v>
      </c>
      <c r="D614" t="s">
        <v>4732</v>
      </c>
      <c r="E614">
        <v>0.54</v>
      </c>
      <c r="F614" t="s">
        <v>6221</v>
      </c>
      <c r="G614" t="s">
        <v>1013</v>
      </c>
    </row>
    <row r="615" spans="1:7" ht="14.4">
      <c r="A615" t="s">
        <v>982</v>
      </c>
      <c r="B615" t="s">
        <v>3331</v>
      </c>
      <c r="D615" t="s">
        <v>4737</v>
      </c>
      <c r="E615">
        <v>77.2</v>
      </c>
      <c r="F615" t="s">
        <v>6222</v>
      </c>
      <c r="G615" t="s">
        <v>3181</v>
      </c>
    </row>
    <row r="616" spans="1:7" ht="14.4">
      <c r="A616" t="s">
        <v>982</v>
      </c>
      <c r="B616" t="s">
        <v>3331</v>
      </c>
      <c r="D616" t="s">
        <v>4742</v>
      </c>
      <c r="E616">
        <v>0.69</v>
      </c>
      <c r="F616" t="s">
        <v>6221</v>
      </c>
      <c r="G616" t="s">
        <v>3181</v>
      </c>
    </row>
    <row r="617" spans="1:7" ht="14.4">
      <c r="A617" t="s">
        <v>982</v>
      </c>
      <c r="B617" t="s">
        <v>3331</v>
      </c>
      <c r="D617" t="s">
        <v>4746</v>
      </c>
      <c r="E617">
        <v>0.66</v>
      </c>
      <c r="F617" t="s">
        <v>6221</v>
      </c>
      <c r="G617" t="s">
        <v>3181</v>
      </c>
    </row>
    <row r="618" spans="1:7" ht="14.4">
      <c r="A618" t="s">
        <v>982</v>
      </c>
      <c r="B618" t="s">
        <v>3331</v>
      </c>
      <c r="D618">
        <v>65</v>
      </c>
      <c r="E618">
        <v>65</v>
      </c>
      <c r="G618" t="s">
        <v>3181</v>
      </c>
    </row>
    <row r="619" spans="1:7" ht="14.4">
      <c r="A619" t="s">
        <v>982</v>
      </c>
      <c r="B619" t="s">
        <v>3331</v>
      </c>
      <c r="D619" t="s">
        <v>4758</v>
      </c>
      <c r="E619">
        <v>0.57999999999999996</v>
      </c>
      <c r="F619" t="s">
        <v>6221</v>
      </c>
      <c r="G619" t="s">
        <v>3181</v>
      </c>
    </row>
    <row r="620" spans="1:7" ht="14.4">
      <c r="A620" t="s">
        <v>982</v>
      </c>
      <c r="B620" t="s">
        <v>3331</v>
      </c>
      <c r="D620" t="s">
        <v>4765</v>
      </c>
      <c r="E620">
        <v>86.5</v>
      </c>
      <c r="F620" t="s">
        <v>6222</v>
      </c>
      <c r="G620" t="s">
        <v>1013</v>
      </c>
    </row>
    <row r="621" spans="1:7" ht="14.4">
      <c r="A621" t="s">
        <v>982</v>
      </c>
      <c r="B621" t="s">
        <v>3331</v>
      </c>
      <c r="D621" t="s">
        <v>4772</v>
      </c>
      <c r="E621">
        <v>0.7</v>
      </c>
      <c r="F621" t="s">
        <v>6221</v>
      </c>
      <c r="G621" t="s">
        <v>3181</v>
      </c>
    </row>
    <row r="622" spans="1:7" ht="14.4">
      <c r="A622" t="s">
        <v>982</v>
      </c>
      <c r="B622" t="s">
        <v>3331</v>
      </c>
      <c r="D622" t="s">
        <v>4779</v>
      </c>
      <c r="E622">
        <v>0.78</v>
      </c>
      <c r="F622" t="s">
        <v>6221</v>
      </c>
      <c r="G622" t="s">
        <v>3181</v>
      </c>
    </row>
    <row r="623" spans="1:7" ht="14.4">
      <c r="A623" t="s">
        <v>982</v>
      </c>
      <c r="B623" t="s">
        <v>3331</v>
      </c>
      <c r="D623" t="s">
        <v>4709</v>
      </c>
      <c r="E623" t="s">
        <v>4709</v>
      </c>
      <c r="G623" t="s">
        <v>1013</v>
      </c>
    </row>
    <row r="624" spans="1:7" ht="14.4">
      <c r="A624" t="s">
        <v>982</v>
      </c>
      <c r="B624" t="s">
        <v>3331</v>
      </c>
      <c r="D624" t="s">
        <v>4791</v>
      </c>
      <c r="E624">
        <v>0.6</v>
      </c>
      <c r="F624" t="s">
        <v>6221</v>
      </c>
      <c r="G624" t="s">
        <v>1013</v>
      </c>
    </row>
    <row r="625" spans="1:9" ht="14.4">
      <c r="A625" t="s">
        <v>982</v>
      </c>
      <c r="B625" t="s">
        <v>3331</v>
      </c>
      <c r="D625" t="s">
        <v>4797</v>
      </c>
      <c r="E625">
        <v>0.20399999999999999</v>
      </c>
      <c r="F625" t="s">
        <v>6220</v>
      </c>
      <c r="G625" t="s">
        <v>2034</v>
      </c>
    </row>
    <row r="626" spans="1:9" ht="14.4">
      <c r="A626" t="s">
        <v>982</v>
      </c>
      <c r="B626" t="s">
        <v>3331</v>
      </c>
    </row>
    <row r="627" spans="1:9" ht="14.4">
      <c r="A627" t="s">
        <v>982</v>
      </c>
      <c r="B627" t="s">
        <v>3331</v>
      </c>
    </row>
    <row r="628" spans="1:9" ht="14.4">
      <c r="A628" t="s">
        <v>982</v>
      </c>
      <c r="B628" t="s">
        <v>3331</v>
      </c>
      <c r="D628" t="s">
        <v>6216</v>
      </c>
      <c r="E628">
        <v>0.39600000000000002</v>
      </c>
      <c r="F628" t="s">
        <v>6221</v>
      </c>
      <c r="G628" t="s">
        <v>6223</v>
      </c>
    </row>
    <row r="629" spans="1:9" ht="14.4">
      <c r="A629" t="s">
        <v>982</v>
      </c>
      <c r="B629" t="s">
        <v>3331</v>
      </c>
      <c r="E629">
        <v>0.68</v>
      </c>
      <c r="F629" t="s">
        <v>6221</v>
      </c>
      <c r="H629">
        <v>0.77</v>
      </c>
      <c r="I629" t="s">
        <v>6221</v>
      </c>
    </row>
    <row r="630" spans="1:9" ht="14.4">
      <c r="A630" t="s">
        <v>982</v>
      </c>
      <c r="B630" t="s">
        <v>3331</v>
      </c>
      <c r="E630">
        <v>0.69</v>
      </c>
      <c r="F630" t="s">
        <v>6221</v>
      </c>
      <c r="H630">
        <v>0.54</v>
      </c>
      <c r="I630" t="s">
        <v>6221</v>
      </c>
    </row>
    <row r="631" spans="1:9" ht="14.4">
      <c r="A631" t="s">
        <v>982</v>
      </c>
      <c r="B631" t="s">
        <v>3331</v>
      </c>
      <c r="E631">
        <v>0.66</v>
      </c>
      <c r="F631" t="s">
        <v>6221</v>
      </c>
      <c r="H631">
        <v>0.6</v>
      </c>
      <c r="I631" t="s">
        <v>6221</v>
      </c>
    </row>
    <row r="632" spans="1:9" ht="14.4">
      <c r="A632" t="s">
        <v>982</v>
      </c>
      <c r="B632" t="s">
        <v>3331</v>
      </c>
      <c r="E632">
        <v>0.57999999999999996</v>
      </c>
      <c r="F632" t="s">
        <v>6221</v>
      </c>
      <c r="G632" t="s">
        <v>510</v>
      </c>
      <c r="H632">
        <f>AVERAGE(H628:H631)</f>
        <v>0.63666666666666671</v>
      </c>
    </row>
    <row r="633" spans="1:9" ht="14.4">
      <c r="A633" t="s">
        <v>982</v>
      </c>
      <c r="B633" t="s">
        <v>3331</v>
      </c>
      <c r="E633">
        <v>0.7</v>
      </c>
      <c r="F633" t="s">
        <v>6221</v>
      </c>
    </row>
    <row r="634" spans="1:9" ht="14.4">
      <c r="A634" t="s">
        <v>982</v>
      </c>
      <c r="B634" t="s">
        <v>3331</v>
      </c>
      <c r="E634">
        <v>0.78</v>
      </c>
      <c r="F634" t="s">
        <v>6221</v>
      </c>
    </row>
    <row r="635" spans="1:9" ht="14.4">
      <c r="A635" t="s">
        <v>982</v>
      </c>
      <c r="B635" t="s">
        <v>3331</v>
      </c>
      <c r="D635" t="s">
        <v>510</v>
      </c>
      <c r="E635">
        <f>AVERAGE(E628:E634)</f>
        <v>0.6408571428571429</v>
      </c>
    </row>
    <row r="636" spans="1:9" ht="14.4">
      <c r="A636" t="s">
        <v>982</v>
      </c>
      <c r="B636" t="s">
        <v>3331</v>
      </c>
    </row>
    <row r="637" spans="1:9" ht="14.4">
      <c r="A637" t="s">
        <v>982</v>
      </c>
      <c r="B637" t="s">
        <v>3331</v>
      </c>
    </row>
    <row r="638" spans="1:9" ht="14.4">
      <c r="A638" t="s">
        <v>982</v>
      </c>
      <c r="B638" t="s">
        <v>3331</v>
      </c>
    </row>
    <row r="639" spans="1:9" ht="14.4">
      <c r="A639" t="s">
        <v>982</v>
      </c>
      <c r="B639" t="s">
        <v>3331</v>
      </c>
    </row>
    <row r="640" spans="1:9" ht="14.4">
      <c r="A640" t="s">
        <v>982</v>
      </c>
      <c r="B640" t="s">
        <v>3331</v>
      </c>
      <c r="C640" t="s">
        <v>425</v>
      </c>
      <c r="D640" t="s">
        <v>6218</v>
      </c>
    </row>
    <row r="641" spans="1:5" ht="14.4">
      <c r="A641" t="s">
        <v>982</v>
      </c>
      <c r="B641" t="s">
        <v>3331</v>
      </c>
      <c r="D641" t="s">
        <v>6219</v>
      </c>
    </row>
    <row r="642" spans="1:5" ht="14.4">
      <c r="A642" t="s">
        <v>982</v>
      </c>
      <c r="B642" t="s">
        <v>3331</v>
      </c>
      <c r="D642" t="s">
        <v>6217</v>
      </c>
    </row>
    <row r="643" spans="1:5" ht="14.4">
      <c r="A643" t="s">
        <v>982</v>
      </c>
      <c r="B643" t="s">
        <v>3331</v>
      </c>
    </row>
    <row r="644" spans="1:5" ht="14.4">
      <c r="A644" t="s">
        <v>982</v>
      </c>
      <c r="B644" t="s">
        <v>3331</v>
      </c>
      <c r="D644" t="s">
        <v>4806</v>
      </c>
      <c r="E644">
        <f>694/1000</f>
        <v>0.69399999999999995</v>
      </c>
    </row>
    <row r="645" spans="1:5" ht="14.4"/>
    <row r="646" spans="1:5" ht="14.4"/>
    <row r="647" spans="1:5" ht="15" customHeight="1">
      <c r="A647" t="s">
        <v>982</v>
      </c>
    </row>
    <row r="648" spans="1:5" ht="15" customHeight="1">
      <c r="A648" t="s">
        <v>982</v>
      </c>
      <c r="B648" t="s">
        <v>4652</v>
      </c>
      <c r="C648" t="s">
        <v>638</v>
      </c>
      <c r="D648" t="s">
        <v>984</v>
      </c>
    </row>
    <row r="649" spans="1:5" ht="15" customHeight="1">
      <c r="A649" t="s">
        <v>982</v>
      </c>
      <c r="B649" t="s">
        <v>4652</v>
      </c>
      <c r="D649" t="s">
        <v>985</v>
      </c>
    </row>
    <row r="650" spans="1:5" ht="15" customHeight="1">
      <c r="A650" t="s">
        <v>982</v>
      </c>
      <c r="B650" t="s">
        <v>4652</v>
      </c>
      <c r="D650" s="199" t="s">
        <v>986</v>
      </c>
    </row>
    <row r="651" spans="1:5" ht="15" customHeight="1">
      <c r="A651" t="s">
        <v>982</v>
      </c>
      <c r="B651" t="s">
        <v>4652</v>
      </c>
      <c r="D651" t="s">
        <v>987</v>
      </c>
      <c r="E651">
        <v>0.76</v>
      </c>
    </row>
    <row r="652" spans="1:5" ht="15" customHeight="1">
      <c r="A652" t="s">
        <v>982</v>
      </c>
      <c r="B652" t="s">
        <v>4652</v>
      </c>
      <c r="D652" t="s">
        <v>4803</v>
      </c>
      <c r="E652">
        <v>16.694444444444443</v>
      </c>
    </row>
    <row r="653" spans="1:5" ht="15" customHeight="1">
      <c r="A653" t="s">
        <v>982</v>
      </c>
      <c r="B653" t="s">
        <v>4652</v>
      </c>
      <c r="D653" s="48" t="s">
        <v>2099</v>
      </c>
      <c r="E653" s="48">
        <f>E651*E652%</f>
        <v>0.12687777777777776</v>
      </c>
    </row>
    <row r="654" spans="1:5" ht="15" customHeight="1">
      <c r="A654" t="s">
        <v>982</v>
      </c>
    </row>
    <row r="655" spans="1:5" ht="15" customHeight="1">
      <c r="A655" t="s">
        <v>982</v>
      </c>
      <c r="B655" t="s">
        <v>4559</v>
      </c>
      <c r="C655" t="s">
        <v>638</v>
      </c>
      <c r="D655" t="s">
        <v>984</v>
      </c>
    </row>
    <row r="656" spans="1:5" ht="15" customHeight="1">
      <c r="A656" t="s">
        <v>982</v>
      </c>
      <c r="B656" t="s">
        <v>4559</v>
      </c>
      <c r="D656" t="s">
        <v>985</v>
      </c>
    </row>
    <row r="657" spans="1:5" ht="15" customHeight="1">
      <c r="A657" t="s">
        <v>982</v>
      </c>
      <c r="B657" t="s">
        <v>4559</v>
      </c>
      <c r="D657" s="199" t="s">
        <v>986</v>
      </c>
    </row>
    <row r="658" spans="1:5" ht="15" customHeight="1">
      <c r="A658" t="s">
        <v>982</v>
      </c>
      <c r="B658" t="s">
        <v>4559</v>
      </c>
      <c r="D658" t="s">
        <v>987</v>
      </c>
      <c r="E658">
        <v>0.76</v>
      </c>
    </row>
    <row r="659" spans="1:5" ht="15" customHeight="1">
      <c r="A659" t="s">
        <v>982</v>
      </c>
      <c r="B659" t="s">
        <v>4559</v>
      </c>
      <c r="D659" t="s">
        <v>4804</v>
      </c>
      <c r="E659">
        <v>69.75555555555556</v>
      </c>
    </row>
    <row r="660" spans="1:5" ht="15" customHeight="1">
      <c r="A660" t="s">
        <v>982</v>
      </c>
      <c r="B660" t="s">
        <v>4559</v>
      </c>
      <c r="D660" s="48" t="s">
        <v>2099</v>
      </c>
      <c r="E660" s="48">
        <f>E658*E659%</f>
        <v>0.53014222222222229</v>
      </c>
    </row>
    <row r="662" spans="1:5" ht="15" customHeight="1">
      <c r="A662" t="s">
        <v>1186</v>
      </c>
      <c r="B662" t="s">
        <v>3331</v>
      </c>
      <c r="C662" t="s">
        <v>638</v>
      </c>
      <c r="D662" t="s">
        <v>1187</v>
      </c>
    </row>
    <row r="663" spans="1:5" ht="15" customHeight="1">
      <c r="A663" t="s">
        <v>1186</v>
      </c>
      <c r="D663" t="s">
        <v>1188</v>
      </c>
    </row>
    <row r="664" spans="1:5" ht="15" customHeight="1">
      <c r="A664" t="s">
        <v>1186</v>
      </c>
      <c r="D664" t="s">
        <v>1194</v>
      </c>
      <c r="E664">
        <v>95.2</v>
      </c>
    </row>
    <row r="665" spans="1:5" ht="15" customHeight="1">
      <c r="A665" t="s">
        <v>1186</v>
      </c>
      <c r="D665" t="s">
        <v>1193</v>
      </c>
      <c r="E665">
        <v>0.96257777777777775</v>
      </c>
    </row>
    <row r="666" spans="1:5" ht="15" customHeight="1">
      <c r="A666" t="s">
        <v>1186</v>
      </c>
      <c r="D666" s="48" t="s">
        <v>4805</v>
      </c>
      <c r="E666" s="51">
        <f>[1]MonoSugar!$K$2</f>
        <v>87.059829405162731</v>
      </c>
    </row>
    <row r="667" spans="1:5" ht="15" customHeight="1">
      <c r="A667" t="s">
        <v>1186</v>
      </c>
      <c r="D667" s="48" t="s">
        <v>4806</v>
      </c>
      <c r="E667" s="48">
        <f>E665*E666%</f>
        <v>0.83801857122533963</v>
      </c>
    </row>
    <row r="668" spans="1:5" ht="15" customHeight="1">
      <c r="A668" t="s">
        <v>1186</v>
      </c>
    </row>
    <row r="669" spans="1:5" ht="15" customHeight="1">
      <c r="A669" t="s">
        <v>1186</v>
      </c>
      <c r="B669" t="s">
        <v>4652</v>
      </c>
      <c r="C669" t="s">
        <v>638</v>
      </c>
      <c r="D669" t="s">
        <v>1187</v>
      </c>
    </row>
    <row r="670" spans="1:5" ht="15" customHeight="1">
      <c r="A670" t="s">
        <v>1186</v>
      </c>
      <c r="D670" t="s">
        <v>1188</v>
      </c>
    </row>
    <row r="671" spans="1:5" ht="15" customHeight="1">
      <c r="A671" t="s">
        <v>1186</v>
      </c>
      <c r="D671" t="s">
        <v>1194</v>
      </c>
      <c r="E671">
        <v>95.2</v>
      </c>
    </row>
    <row r="672" spans="1:5" ht="15" customHeight="1">
      <c r="A672" t="s">
        <v>1186</v>
      </c>
      <c r="D672" t="s">
        <v>1193</v>
      </c>
      <c r="E672">
        <v>0.96257777777777775</v>
      </c>
    </row>
    <row r="673" spans="1:5" ht="15" customHeight="1">
      <c r="A673" t="s">
        <v>1186</v>
      </c>
      <c r="D673" s="48" t="s">
        <v>4805</v>
      </c>
      <c r="E673" s="48">
        <v>16.694444444444443</v>
      </c>
    </row>
    <row r="674" spans="1:5" ht="15" customHeight="1">
      <c r="A674" t="s">
        <v>1186</v>
      </c>
      <c r="D674" s="48" t="s">
        <v>4806</v>
      </c>
      <c r="E674" s="48">
        <f>E672*E673%</f>
        <v>0.16069701234567899</v>
      </c>
    </row>
    <row r="675" spans="1:5" ht="15" customHeight="1">
      <c r="A675" t="s">
        <v>1186</v>
      </c>
    </row>
    <row r="676" spans="1:5" ht="15" customHeight="1">
      <c r="A676" t="s">
        <v>1186</v>
      </c>
      <c r="B676" t="s">
        <v>4559</v>
      </c>
      <c r="C676" t="s">
        <v>638</v>
      </c>
      <c r="D676" t="s">
        <v>1187</v>
      </c>
    </row>
    <row r="677" spans="1:5" ht="15" customHeight="1">
      <c r="A677" t="s">
        <v>1186</v>
      </c>
      <c r="D677" t="s">
        <v>1188</v>
      </c>
    </row>
    <row r="678" spans="1:5" ht="15" customHeight="1">
      <c r="A678" t="s">
        <v>1186</v>
      </c>
      <c r="D678" t="s">
        <v>1194</v>
      </c>
      <c r="E678">
        <v>95.2</v>
      </c>
    </row>
    <row r="679" spans="1:5" ht="15" customHeight="1">
      <c r="A679" t="s">
        <v>1186</v>
      </c>
      <c r="D679" t="s">
        <v>1193</v>
      </c>
      <c r="E679">
        <v>0.96257777777777775</v>
      </c>
    </row>
    <row r="680" spans="1:5" ht="15" customHeight="1">
      <c r="A680" t="s">
        <v>1186</v>
      </c>
      <c r="D680" s="48" t="s">
        <v>4805</v>
      </c>
      <c r="E680" s="51">
        <f>[1]MonoSugar!$L$4</f>
        <v>54.255555555555553</v>
      </c>
    </row>
    <row r="681" spans="1:5" ht="15" customHeight="1">
      <c r="A681" t="s">
        <v>1186</v>
      </c>
      <c r="D681" s="48" t="s">
        <v>4806</v>
      </c>
      <c r="E681" s="48">
        <f>E679*E680%</f>
        <v>0.52225192098765427</v>
      </c>
    </row>
    <row r="682" spans="1:5" ht="15" customHeight="1">
      <c r="A682" t="s">
        <v>1201</v>
      </c>
      <c r="B682" t="s">
        <v>3331</v>
      </c>
      <c r="C682" t="s">
        <v>197</v>
      </c>
      <c r="D682" s="355" t="s">
        <v>4807</v>
      </c>
    </row>
    <row r="683" spans="1:5" ht="15" customHeight="1">
      <c r="A683" t="s">
        <v>1201</v>
      </c>
      <c r="B683" t="s">
        <v>3331</v>
      </c>
      <c r="D683" t="s">
        <v>4808</v>
      </c>
    </row>
    <row r="684" spans="1:5" ht="15" customHeight="1">
      <c r="A684" t="s">
        <v>1201</v>
      </c>
      <c r="B684" t="s">
        <v>3331</v>
      </c>
      <c r="D684" t="s">
        <v>4809</v>
      </c>
    </row>
    <row r="685" spans="1:5" ht="15" customHeight="1">
      <c r="A685" t="s">
        <v>1201</v>
      </c>
      <c r="B685" t="s">
        <v>3331</v>
      </c>
      <c r="D685" s="48" t="s">
        <v>4811</v>
      </c>
      <c r="E685" s="51">
        <v>0.42</v>
      </c>
    </row>
    <row r="686" spans="1:5" ht="15" customHeight="1">
      <c r="A686" t="s">
        <v>1201</v>
      </c>
      <c r="B686" t="s">
        <v>3331</v>
      </c>
      <c r="D686" s="48" t="s">
        <v>4812</v>
      </c>
      <c r="E686" s="51">
        <v>0.34</v>
      </c>
    </row>
    <row r="687" spans="1:5" ht="15" customHeight="1">
      <c r="A687" t="s">
        <v>1201</v>
      </c>
      <c r="B687" t="s">
        <v>3331</v>
      </c>
      <c r="D687" s="48" t="s">
        <v>4813</v>
      </c>
      <c r="E687" s="51">
        <f>AVERAGE(E685:E686)</f>
        <v>0.38</v>
      </c>
    </row>
    <row r="688" spans="1:5" ht="15" customHeight="1">
      <c r="A688" t="s">
        <v>1201</v>
      </c>
      <c r="B688" t="s">
        <v>3331</v>
      </c>
      <c r="D688" s="48" t="s">
        <v>4814</v>
      </c>
      <c r="E688" s="51">
        <f>[1]MonoSugar!$J$2</f>
        <v>3.9367676767676767</v>
      </c>
    </row>
    <row r="689" spans="1:5" ht="15" customHeight="1">
      <c r="A689" t="s">
        <v>1201</v>
      </c>
      <c r="B689" t="s">
        <v>3331</v>
      </c>
      <c r="D689" s="48" t="s">
        <v>4806</v>
      </c>
      <c r="E689" s="48">
        <f>E687*E688%</f>
        <v>1.4959717171717171E-2</v>
      </c>
    </row>
    <row r="690" spans="1:5" ht="15" customHeight="1">
      <c r="A690" t="s">
        <v>1201</v>
      </c>
      <c r="B690" t="s">
        <v>3331</v>
      </c>
    </row>
    <row r="691" spans="1:5" ht="15" customHeight="1">
      <c r="A691" t="s">
        <v>1201</v>
      </c>
      <c r="B691" t="s">
        <v>3331</v>
      </c>
      <c r="C691" t="s">
        <v>226</v>
      </c>
      <c r="D691" t="s">
        <v>4815</v>
      </c>
    </row>
    <row r="692" spans="1:5" ht="15" customHeight="1">
      <c r="A692" t="s">
        <v>1201</v>
      </c>
      <c r="B692" t="s">
        <v>3331</v>
      </c>
      <c r="D692" t="s">
        <v>4816</v>
      </c>
    </row>
    <row r="693" spans="1:5" ht="15" customHeight="1">
      <c r="A693" t="s">
        <v>1201</v>
      </c>
      <c r="B693" t="s">
        <v>3331</v>
      </c>
      <c r="D693" s="356" t="s">
        <v>4815</v>
      </c>
    </row>
    <row r="694" spans="1:5" ht="15" customHeight="1">
      <c r="A694" t="s">
        <v>1201</v>
      </c>
      <c r="B694" t="s">
        <v>3331</v>
      </c>
    </row>
    <row r="695" spans="1:5" ht="15" customHeight="1">
      <c r="A695" t="s">
        <v>1201</v>
      </c>
      <c r="B695" t="s">
        <v>3331</v>
      </c>
    </row>
    <row r="696" spans="1:5" ht="15" customHeight="1">
      <c r="A696" t="s">
        <v>1201</v>
      </c>
      <c r="B696" t="s">
        <v>3331</v>
      </c>
    </row>
    <row r="697" spans="1:5" ht="15" customHeight="1">
      <c r="A697" t="s">
        <v>1201</v>
      </c>
      <c r="B697" t="s">
        <v>3331</v>
      </c>
    </row>
    <row r="698" spans="1:5" ht="15" customHeight="1">
      <c r="A698" t="s">
        <v>1201</v>
      </c>
      <c r="B698" t="s">
        <v>3331</v>
      </c>
    </row>
    <row r="699" spans="1:5" ht="15" customHeight="1">
      <c r="A699" t="s">
        <v>1201</v>
      </c>
      <c r="B699" t="s">
        <v>3331</v>
      </c>
    </row>
    <row r="700" spans="1:5" ht="15" customHeight="1">
      <c r="A700" t="s">
        <v>1201</v>
      </c>
      <c r="B700" t="s">
        <v>3331</v>
      </c>
    </row>
    <row r="701" spans="1:5" ht="15" customHeight="1">
      <c r="A701" t="s">
        <v>1201</v>
      </c>
      <c r="B701" t="s">
        <v>3331</v>
      </c>
    </row>
    <row r="702" spans="1:5" ht="15" customHeight="1">
      <c r="A702" t="s">
        <v>1201</v>
      </c>
      <c r="B702" t="s">
        <v>3331</v>
      </c>
    </row>
    <row r="703" spans="1:5" ht="15" customHeight="1">
      <c r="A703" t="s">
        <v>1201</v>
      </c>
      <c r="B703" t="s">
        <v>3331</v>
      </c>
    </row>
    <row r="704" spans="1:5" ht="15" customHeight="1">
      <c r="A704" t="s">
        <v>1201</v>
      </c>
      <c r="B704" t="s">
        <v>3331</v>
      </c>
    </row>
    <row r="705" spans="1:5" ht="15" customHeight="1">
      <c r="A705" t="s">
        <v>1201</v>
      </c>
      <c r="B705" t="s">
        <v>3331</v>
      </c>
    </row>
    <row r="706" spans="1:5" ht="15" customHeight="1">
      <c r="A706" t="s">
        <v>1201</v>
      </c>
      <c r="B706" t="s">
        <v>3331</v>
      </c>
    </row>
    <row r="707" spans="1:5" ht="15" customHeight="1">
      <c r="A707" t="s">
        <v>1201</v>
      </c>
      <c r="B707" t="s">
        <v>3331</v>
      </c>
    </row>
    <row r="708" spans="1:5" ht="15" customHeight="1">
      <c r="A708" t="s">
        <v>1201</v>
      </c>
      <c r="B708" t="s">
        <v>3331</v>
      </c>
      <c r="D708" t="s">
        <v>4616</v>
      </c>
      <c r="E708">
        <v>0.97</v>
      </c>
    </row>
    <row r="709" spans="1:5" ht="15" customHeight="1">
      <c r="A709" t="s">
        <v>1201</v>
      </c>
      <c r="B709" t="s">
        <v>3331</v>
      </c>
      <c r="E709">
        <v>0.94</v>
      </c>
    </row>
    <row r="710" spans="1:5" ht="15" customHeight="1">
      <c r="A710" t="s">
        <v>1201</v>
      </c>
      <c r="B710" t="s">
        <v>3331</v>
      </c>
      <c r="E710">
        <v>0.91</v>
      </c>
    </row>
    <row r="711" spans="1:5" ht="15" customHeight="1">
      <c r="A711" t="s">
        <v>1201</v>
      </c>
      <c r="B711" t="s">
        <v>3331</v>
      </c>
      <c r="E711">
        <v>0.94</v>
      </c>
    </row>
    <row r="712" spans="1:5" ht="15" customHeight="1">
      <c r="A712" t="s">
        <v>1201</v>
      </c>
      <c r="B712" t="s">
        <v>3331</v>
      </c>
      <c r="E712">
        <v>0.98</v>
      </c>
    </row>
    <row r="713" spans="1:5" ht="15" customHeight="1">
      <c r="A713" t="s">
        <v>1201</v>
      </c>
      <c r="B713" t="s">
        <v>3331</v>
      </c>
      <c r="E713">
        <v>0.93</v>
      </c>
    </row>
    <row r="714" spans="1:5" ht="15" customHeight="1">
      <c r="A714" t="s">
        <v>1201</v>
      </c>
      <c r="B714" t="s">
        <v>3331</v>
      </c>
      <c r="E714">
        <v>0.96</v>
      </c>
    </row>
    <row r="715" spans="1:5" ht="15" customHeight="1">
      <c r="A715" t="s">
        <v>1201</v>
      </c>
      <c r="B715" t="s">
        <v>3331</v>
      </c>
      <c r="E715">
        <v>0.98</v>
      </c>
    </row>
    <row r="716" spans="1:5" ht="15" customHeight="1">
      <c r="A716" t="s">
        <v>1201</v>
      </c>
      <c r="B716" t="s">
        <v>3331</v>
      </c>
      <c r="E716">
        <v>0.95</v>
      </c>
    </row>
    <row r="717" spans="1:5" ht="15" customHeight="1">
      <c r="A717" t="s">
        <v>1201</v>
      </c>
      <c r="B717" t="s">
        <v>3331</v>
      </c>
      <c r="D717" t="s">
        <v>510</v>
      </c>
      <c r="E717">
        <f>AVERAGE(E708:E716)</f>
        <v>0.95111111111111102</v>
      </c>
    </row>
    <row r="718" spans="1:5" ht="15" customHeight="1">
      <c r="A718" t="s">
        <v>1201</v>
      </c>
      <c r="B718" t="s">
        <v>3331</v>
      </c>
      <c r="D718" s="48" t="s">
        <v>4814</v>
      </c>
      <c r="E718" s="51">
        <f>[1]MonoSugar!$J$2</f>
        <v>3.9367676767676767</v>
      </c>
    </row>
    <row r="719" spans="1:5" ht="15" customHeight="1">
      <c r="A719" t="s">
        <v>1201</v>
      </c>
      <c r="B719" t="s">
        <v>3331</v>
      </c>
      <c r="D719" s="48" t="s">
        <v>4806</v>
      </c>
      <c r="E719" s="48">
        <f>E717*E718%</f>
        <v>3.7443034792368123E-2</v>
      </c>
    </row>
    <row r="720" spans="1:5" ht="15" customHeight="1">
      <c r="A720" t="s">
        <v>1201</v>
      </c>
      <c r="B720" t="s">
        <v>3331</v>
      </c>
    </row>
    <row r="721" spans="1:8" ht="15" customHeight="1">
      <c r="A721" t="s">
        <v>1201</v>
      </c>
      <c r="B721" t="s">
        <v>3331</v>
      </c>
      <c r="C721" t="s">
        <v>396</v>
      </c>
      <c r="D721" t="s">
        <v>4817</v>
      </c>
    </row>
    <row r="722" spans="1:8" ht="15" customHeight="1">
      <c r="A722" t="s">
        <v>1201</v>
      </c>
      <c r="B722" t="s">
        <v>3331</v>
      </c>
      <c r="D722" t="s">
        <v>4818</v>
      </c>
    </row>
    <row r="723" spans="1:8" ht="15" customHeight="1" thickBot="1">
      <c r="A723" t="s">
        <v>1201</v>
      </c>
      <c r="B723" t="s">
        <v>3331</v>
      </c>
      <c r="D723" s="160" t="s">
        <v>4819</v>
      </c>
    </row>
    <row r="724" spans="1:8" ht="15" customHeight="1" thickBot="1">
      <c r="A724" t="s">
        <v>1201</v>
      </c>
      <c r="B724" t="s">
        <v>3331</v>
      </c>
      <c r="D724" s="177" t="s">
        <v>4446</v>
      </c>
      <c r="E724" s="357" t="s">
        <v>14</v>
      </c>
      <c r="F724" s="177" t="s">
        <v>4820</v>
      </c>
      <c r="G724" s="357" t="s">
        <v>14</v>
      </c>
      <c r="H724" s="357" t="s">
        <v>14</v>
      </c>
    </row>
    <row r="725" spans="1:8" ht="15" customHeight="1">
      <c r="A725" t="s">
        <v>1201</v>
      </c>
      <c r="B725" t="s">
        <v>3331</v>
      </c>
      <c r="D725" s="175" t="s">
        <v>4821</v>
      </c>
      <c r="E725" s="175" t="s">
        <v>1286</v>
      </c>
      <c r="F725" s="175" t="s">
        <v>202</v>
      </c>
      <c r="G725" s="175"/>
      <c r="H725" s="175"/>
    </row>
    <row r="726" spans="1:8" ht="15" customHeight="1">
      <c r="A726" t="s">
        <v>1201</v>
      </c>
      <c r="B726" t="s">
        <v>3331</v>
      </c>
      <c r="D726" s="175"/>
      <c r="E726" s="175"/>
      <c r="F726" s="175" t="s">
        <v>4822</v>
      </c>
      <c r="G726" s="175" t="s">
        <v>4823</v>
      </c>
      <c r="H726" s="175" t="s">
        <v>4824</v>
      </c>
    </row>
    <row r="727" spans="1:8" ht="15" customHeight="1">
      <c r="A727" t="s">
        <v>1201</v>
      </c>
      <c r="B727" t="s">
        <v>3331</v>
      </c>
      <c r="D727" s="175" t="s">
        <v>4825</v>
      </c>
      <c r="E727" s="175" t="s">
        <v>588</v>
      </c>
      <c r="F727" s="175" t="s">
        <v>4826</v>
      </c>
      <c r="G727" s="175" t="s">
        <v>4826</v>
      </c>
      <c r="H727" s="175" t="s">
        <v>4826</v>
      </c>
    </row>
    <row r="728" spans="1:8" ht="15" customHeight="1">
      <c r="A728" t="s">
        <v>1201</v>
      </c>
      <c r="B728" t="s">
        <v>3331</v>
      </c>
      <c r="D728" s="175" t="s">
        <v>4827</v>
      </c>
      <c r="E728" s="175" t="s">
        <v>588</v>
      </c>
      <c r="F728" s="175" t="s">
        <v>4828</v>
      </c>
      <c r="G728" s="175" t="s">
        <v>4829</v>
      </c>
      <c r="H728" s="175" t="s">
        <v>4830</v>
      </c>
    </row>
    <row r="729" spans="1:8" ht="15" customHeight="1">
      <c r="A729" t="s">
        <v>1201</v>
      </c>
      <c r="B729" t="s">
        <v>3331</v>
      </c>
      <c r="D729" s="175" t="s">
        <v>4831</v>
      </c>
      <c r="E729" s="175" t="s">
        <v>19</v>
      </c>
      <c r="F729" s="175" t="s">
        <v>4832</v>
      </c>
      <c r="G729" s="175" t="s">
        <v>4833</v>
      </c>
      <c r="H729" s="175" t="s">
        <v>4834</v>
      </c>
    </row>
    <row r="730" spans="1:8" ht="15" customHeight="1">
      <c r="A730" t="s">
        <v>1201</v>
      </c>
      <c r="B730" t="s">
        <v>3331</v>
      </c>
      <c r="D730" s="175" t="s">
        <v>4835</v>
      </c>
      <c r="E730" s="175" t="s">
        <v>588</v>
      </c>
      <c r="F730" s="175" t="s">
        <v>4836</v>
      </c>
      <c r="G730" s="175" t="s">
        <v>4837</v>
      </c>
      <c r="H730" s="175" t="s">
        <v>4838</v>
      </c>
    </row>
    <row r="731" spans="1:8" ht="15" customHeight="1">
      <c r="A731" t="s">
        <v>1201</v>
      </c>
      <c r="B731" t="s">
        <v>3331</v>
      </c>
      <c r="D731" s="175" t="s">
        <v>4839</v>
      </c>
      <c r="E731" s="175" t="s">
        <v>588</v>
      </c>
      <c r="F731" s="175" t="s">
        <v>4836</v>
      </c>
      <c r="G731" s="175" t="s">
        <v>4840</v>
      </c>
      <c r="H731" s="175" t="s">
        <v>4841</v>
      </c>
    </row>
    <row r="732" spans="1:8" ht="15" customHeight="1">
      <c r="A732" t="s">
        <v>1201</v>
      </c>
      <c r="B732" t="s">
        <v>3331</v>
      </c>
      <c r="D732" s="175" t="s">
        <v>4842</v>
      </c>
      <c r="E732" s="175" t="s">
        <v>19</v>
      </c>
      <c r="F732" s="175" t="s">
        <v>4836</v>
      </c>
      <c r="G732" s="175" t="s">
        <v>4843</v>
      </c>
      <c r="H732" s="175" t="s">
        <v>4844</v>
      </c>
    </row>
    <row r="733" spans="1:8" ht="15" customHeight="1">
      <c r="A733" t="s">
        <v>1201</v>
      </c>
      <c r="B733" t="s">
        <v>3331</v>
      </c>
      <c r="D733" s="175" t="s">
        <v>4845</v>
      </c>
      <c r="E733" s="175" t="s">
        <v>588</v>
      </c>
      <c r="F733" s="175" t="s">
        <v>4836</v>
      </c>
      <c r="G733" s="175" t="s">
        <v>4836</v>
      </c>
      <c r="H733" s="175" t="s">
        <v>4836</v>
      </c>
    </row>
    <row r="734" spans="1:8" ht="15" customHeight="1">
      <c r="A734" t="s">
        <v>1201</v>
      </c>
      <c r="B734" t="s">
        <v>3331</v>
      </c>
      <c r="D734" s="175" t="s">
        <v>4846</v>
      </c>
      <c r="E734" s="175" t="s">
        <v>588</v>
      </c>
      <c r="F734" s="175" t="s">
        <v>4847</v>
      </c>
      <c r="G734" s="175" t="s">
        <v>4848</v>
      </c>
      <c r="H734" s="175" t="s">
        <v>4849</v>
      </c>
    </row>
    <row r="735" spans="1:8" ht="15" customHeight="1">
      <c r="A735" t="s">
        <v>1201</v>
      </c>
      <c r="B735" t="s">
        <v>3331</v>
      </c>
      <c r="D735" s="175" t="s">
        <v>4850</v>
      </c>
      <c r="E735" s="175" t="s">
        <v>19</v>
      </c>
      <c r="F735" s="229" t="s">
        <v>4851</v>
      </c>
      <c r="G735" s="229" t="s">
        <v>4852</v>
      </c>
      <c r="H735" s="229" t="s">
        <v>4853</v>
      </c>
    </row>
    <row r="736" spans="1:8" ht="15" customHeight="1">
      <c r="A736" t="s">
        <v>1201</v>
      </c>
      <c r="B736" t="s">
        <v>3331</v>
      </c>
      <c r="D736" s="175" t="s">
        <v>4854</v>
      </c>
      <c r="E736" s="175" t="s">
        <v>19</v>
      </c>
      <c r="F736" s="175" t="s">
        <v>4855</v>
      </c>
      <c r="G736" s="175" t="s">
        <v>4855</v>
      </c>
      <c r="H736" s="175" t="s">
        <v>4855</v>
      </c>
    </row>
    <row r="737" spans="1:8" ht="15" customHeight="1">
      <c r="A737" t="s">
        <v>1201</v>
      </c>
      <c r="B737" t="s">
        <v>3331</v>
      </c>
      <c r="D737" s="175" t="s">
        <v>4856</v>
      </c>
      <c r="E737" s="175" t="s">
        <v>4857</v>
      </c>
      <c r="F737" s="175" t="s">
        <v>4841</v>
      </c>
      <c r="G737" s="175" t="s">
        <v>4858</v>
      </c>
      <c r="H737" s="175" t="s">
        <v>4859</v>
      </c>
    </row>
    <row r="738" spans="1:8" ht="15" customHeight="1">
      <c r="A738" t="s">
        <v>1201</v>
      </c>
      <c r="B738" t="s">
        <v>3331</v>
      </c>
      <c r="D738" s="175" t="s">
        <v>1699</v>
      </c>
      <c r="E738" s="175" t="s">
        <v>4860</v>
      </c>
      <c r="F738" s="175" t="s">
        <v>4861</v>
      </c>
      <c r="G738" s="175" t="s">
        <v>4862</v>
      </c>
      <c r="H738" s="175" t="s">
        <v>4863</v>
      </c>
    </row>
    <row r="739" spans="1:8" ht="15" customHeight="1">
      <c r="A739" t="s">
        <v>1201</v>
      </c>
      <c r="B739" t="s">
        <v>3331</v>
      </c>
      <c r="D739" s="175" t="s">
        <v>4864</v>
      </c>
      <c r="E739" s="175" t="s">
        <v>4865</v>
      </c>
      <c r="F739" s="175" t="s">
        <v>4866</v>
      </c>
      <c r="G739" s="175" t="s">
        <v>4867</v>
      </c>
      <c r="H739" s="175" t="s">
        <v>4868</v>
      </c>
    </row>
    <row r="740" spans="1:8" ht="15" customHeight="1" thickBot="1">
      <c r="A740" t="s">
        <v>1201</v>
      </c>
      <c r="B740" t="s">
        <v>3331</v>
      </c>
      <c r="D740" s="178" t="s">
        <v>4869</v>
      </c>
      <c r="E740" s="178" t="s">
        <v>4870</v>
      </c>
      <c r="F740" s="178" t="s">
        <v>4871</v>
      </c>
      <c r="G740" s="178" t="s">
        <v>4872</v>
      </c>
      <c r="H740" s="178" t="s">
        <v>4873</v>
      </c>
    </row>
    <row r="741" spans="1:8" ht="15" customHeight="1">
      <c r="A741" t="s">
        <v>1201</v>
      </c>
      <c r="B741" t="s">
        <v>3331</v>
      </c>
      <c r="D741" t="s">
        <v>4874</v>
      </c>
    </row>
    <row r="742" spans="1:8" ht="15" customHeight="1">
      <c r="A742" t="s">
        <v>1201</v>
      </c>
      <c r="B742" t="s">
        <v>3331</v>
      </c>
      <c r="E742" s="358" t="s">
        <v>4616</v>
      </c>
    </row>
    <row r="743" spans="1:8" ht="15" customHeight="1">
      <c r="A743" t="s">
        <v>1201</v>
      </c>
      <c r="B743" t="s">
        <v>3331</v>
      </c>
      <c r="E743">
        <v>45</v>
      </c>
    </row>
    <row r="744" spans="1:8" ht="15" customHeight="1">
      <c r="A744" t="s">
        <v>1201</v>
      </c>
      <c r="B744" t="s">
        <v>3331</v>
      </c>
      <c r="E744">
        <v>10</v>
      </c>
    </row>
    <row r="745" spans="1:8" ht="15" customHeight="1">
      <c r="A745" t="s">
        <v>1201</v>
      </c>
      <c r="B745" t="s">
        <v>3331</v>
      </c>
      <c r="E745">
        <v>54</v>
      </c>
    </row>
    <row r="746" spans="1:8" ht="15" customHeight="1">
      <c r="A746" t="s">
        <v>1201</v>
      </c>
      <c r="B746" t="s">
        <v>3331</v>
      </c>
      <c r="D746" t="s">
        <v>4875</v>
      </c>
      <c r="E746">
        <f>AVERAGE(E743:E745)</f>
        <v>36.333333333333336</v>
      </c>
    </row>
    <row r="747" spans="1:8" ht="15" customHeight="1">
      <c r="A747" t="s">
        <v>1201</v>
      </c>
      <c r="B747" t="s">
        <v>3331</v>
      </c>
      <c r="D747" s="48" t="s">
        <v>4814</v>
      </c>
      <c r="E747" s="51">
        <f>[1]MonoSugar!$J$2</f>
        <v>3.9367676767676767</v>
      </c>
    </row>
    <row r="748" spans="1:8" ht="15" customHeight="1">
      <c r="A748" t="s">
        <v>1201</v>
      </c>
      <c r="B748" t="s">
        <v>3331</v>
      </c>
      <c r="D748" s="48" t="s">
        <v>4806</v>
      </c>
      <c r="E748" s="48">
        <f>E746%*E747%</f>
        <v>1.4303589225589226E-2</v>
      </c>
    </row>
    <row r="749" spans="1:8" ht="15" customHeight="1">
      <c r="A749" t="s">
        <v>1201</v>
      </c>
      <c r="B749" t="s">
        <v>3331</v>
      </c>
    </row>
    <row r="750" spans="1:8" ht="15" customHeight="1">
      <c r="A750" t="s">
        <v>1201</v>
      </c>
      <c r="B750" t="s">
        <v>3331</v>
      </c>
    </row>
    <row r="751" spans="1:8" ht="15" customHeight="1">
      <c r="A751" t="s">
        <v>1201</v>
      </c>
      <c r="B751" t="s">
        <v>3331</v>
      </c>
    </row>
    <row r="752" spans="1:8" ht="15" customHeight="1">
      <c r="A752" t="s">
        <v>1201</v>
      </c>
      <c r="B752" t="s">
        <v>3331</v>
      </c>
      <c r="C752" t="s">
        <v>420</v>
      </c>
      <c r="D752" t="s">
        <v>4879</v>
      </c>
    </row>
    <row r="753" spans="1:6" ht="15" customHeight="1">
      <c r="A753" t="s">
        <v>1201</v>
      </c>
      <c r="B753" t="s">
        <v>3331</v>
      </c>
      <c r="D753" t="s">
        <v>4878</v>
      </c>
    </row>
    <row r="754" spans="1:6" ht="15" customHeight="1">
      <c r="A754" t="s">
        <v>1201</v>
      </c>
      <c r="B754" t="s">
        <v>3331</v>
      </c>
      <c r="D754" t="s">
        <v>4877</v>
      </c>
    </row>
    <row r="755" spans="1:6" ht="15" customHeight="1">
      <c r="A755" t="s">
        <v>1201</v>
      </c>
      <c r="B755" t="s">
        <v>3331</v>
      </c>
      <c r="D755" t="s">
        <v>4876</v>
      </c>
    </row>
    <row r="756" spans="1:6" ht="15" customHeight="1">
      <c r="A756" t="s">
        <v>1201</v>
      </c>
      <c r="B756" t="s">
        <v>3331</v>
      </c>
    </row>
    <row r="757" spans="1:6" ht="15" customHeight="1">
      <c r="A757" t="s">
        <v>1201</v>
      </c>
      <c r="B757" t="s">
        <v>3331</v>
      </c>
      <c r="D757" t="s">
        <v>4880</v>
      </c>
      <c r="E757" s="140">
        <v>0.86839999999999995</v>
      </c>
    </row>
    <row r="758" spans="1:6" ht="15" customHeight="1">
      <c r="A758" t="s">
        <v>1201</v>
      </c>
      <c r="B758" t="s">
        <v>3331</v>
      </c>
      <c r="D758" s="48" t="s">
        <v>4814</v>
      </c>
      <c r="E758" s="51">
        <f>[1]MonoSugar!$J$2</f>
        <v>3.9367676767676767</v>
      </c>
    </row>
    <row r="759" spans="1:6" ht="15" customHeight="1">
      <c r="A759" t="s">
        <v>1201</v>
      </c>
      <c r="B759" t="s">
        <v>3331</v>
      </c>
      <c r="D759" s="48" t="s">
        <v>4806</v>
      </c>
      <c r="E759" s="48">
        <f>E757*E758%</f>
        <v>3.4186890505050499E-2</v>
      </c>
    </row>
    <row r="760" spans="1:6" ht="15" customHeight="1">
      <c r="A760" t="s">
        <v>1201</v>
      </c>
      <c r="B760" t="s">
        <v>3331</v>
      </c>
    </row>
    <row r="761" spans="1:6" ht="15" customHeight="1">
      <c r="A761" t="s">
        <v>1201</v>
      </c>
      <c r="B761" t="s">
        <v>3331</v>
      </c>
    </row>
    <row r="762" spans="1:6" ht="15" customHeight="1">
      <c r="A762" t="s">
        <v>1201</v>
      </c>
      <c r="B762" t="s">
        <v>3331</v>
      </c>
      <c r="C762" t="s">
        <v>425</v>
      </c>
      <c r="D762" t="s">
        <v>4882</v>
      </c>
    </row>
    <row r="763" spans="1:6" ht="15" customHeight="1">
      <c r="A763" t="s">
        <v>1201</v>
      </c>
      <c r="B763" t="s">
        <v>3331</v>
      </c>
      <c r="D763" t="s">
        <v>4881</v>
      </c>
    </row>
    <row r="764" spans="1:6" ht="15" customHeight="1">
      <c r="A764" t="s">
        <v>1201</v>
      </c>
      <c r="B764" t="s">
        <v>3331</v>
      </c>
      <c r="E764" t="s">
        <v>4616</v>
      </c>
      <c r="F764" t="s">
        <v>905</v>
      </c>
    </row>
    <row r="765" spans="1:6" ht="15" customHeight="1">
      <c r="A765" t="s">
        <v>1201</v>
      </c>
      <c r="B765" t="s">
        <v>3331</v>
      </c>
      <c r="E765" s="142">
        <v>1.02</v>
      </c>
      <c r="F765" t="s">
        <v>4810</v>
      </c>
    </row>
    <row r="766" spans="1:6" ht="15" customHeight="1">
      <c r="A766" t="s">
        <v>1201</v>
      </c>
      <c r="B766" t="s">
        <v>3331</v>
      </c>
      <c r="E766" s="142">
        <v>1.49</v>
      </c>
      <c r="F766" t="s">
        <v>4883</v>
      </c>
    </row>
    <row r="767" spans="1:6" ht="15" customHeight="1">
      <c r="A767" t="s">
        <v>1201</v>
      </c>
      <c r="B767" t="s">
        <v>3331</v>
      </c>
      <c r="E767" s="142">
        <v>1</v>
      </c>
      <c r="F767" t="s">
        <v>4810</v>
      </c>
    </row>
    <row r="768" spans="1:6" ht="15" customHeight="1">
      <c r="A768" t="s">
        <v>1201</v>
      </c>
      <c r="B768" t="s">
        <v>3331</v>
      </c>
      <c r="E768" s="142">
        <v>1.67</v>
      </c>
      <c r="F768" t="s">
        <v>4883</v>
      </c>
    </row>
    <row r="769" spans="1:6" ht="15" customHeight="1">
      <c r="A769" t="s">
        <v>1201</v>
      </c>
      <c r="B769" t="s">
        <v>3331</v>
      </c>
      <c r="E769" s="142">
        <v>2.74</v>
      </c>
      <c r="F769" t="s">
        <v>4810</v>
      </c>
    </row>
    <row r="770" spans="1:6" ht="15" customHeight="1">
      <c r="A770" t="s">
        <v>1201</v>
      </c>
      <c r="B770" t="s">
        <v>3331</v>
      </c>
      <c r="E770" s="142">
        <v>1.67</v>
      </c>
      <c r="F770" t="s">
        <v>4883</v>
      </c>
    </row>
    <row r="771" spans="1:6" ht="15" customHeight="1">
      <c r="A771" t="s">
        <v>1201</v>
      </c>
      <c r="B771" t="s">
        <v>3331</v>
      </c>
    </row>
    <row r="772" spans="1:6" ht="15" customHeight="1">
      <c r="A772" t="s">
        <v>1201</v>
      </c>
      <c r="B772" t="s">
        <v>3331</v>
      </c>
    </row>
    <row r="773" spans="1:6" ht="15" customHeight="1">
      <c r="A773" t="s">
        <v>1201</v>
      </c>
      <c r="B773" t="s">
        <v>3331</v>
      </c>
      <c r="D773" t="s">
        <v>4880</v>
      </c>
      <c r="E773" s="142">
        <f>AVERAGE(E765,E767,E769)</f>
        <v>1.5866666666666667</v>
      </c>
    </row>
    <row r="774" spans="1:6" ht="15" customHeight="1">
      <c r="A774" t="s">
        <v>1201</v>
      </c>
      <c r="B774" t="s">
        <v>3331</v>
      </c>
      <c r="D774" t="s">
        <v>4884</v>
      </c>
      <c r="E774" s="142">
        <f>AVERAGE(E766,E768,E770)</f>
        <v>1.61</v>
      </c>
    </row>
    <row r="775" spans="1:6" ht="15" customHeight="1">
      <c r="A775" t="s">
        <v>1201</v>
      </c>
      <c r="B775" t="s">
        <v>3331</v>
      </c>
    </row>
    <row r="776" spans="1:6" ht="15" customHeight="1">
      <c r="A776" t="s">
        <v>1201</v>
      </c>
      <c r="B776" t="s">
        <v>3331</v>
      </c>
      <c r="D776" t="s">
        <v>4885</v>
      </c>
      <c r="E776" s="140">
        <f>E773</f>
        <v>1.5866666666666667</v>
      </c>
    </row>
    <row r="777" spans="1:6" ht="15" customHeight="1">
      <c r="A777" t="s">
        <v>1201</v>
      </c>
      <c r="B777" t="s">
        <v>3331</v>
      </c>
      <c r="D777" s="48" t="s">
        <v>4814</v>
      </c>
      <c r="E777" s="51">
        <f>[1]MonoSugar!$J$2</f>
        <v>3.9367676767676767</v>
      </c>
    </row>
    <row r="778" spans="1:6" ht="15" customHeight="1">
      <c r="A778" t="s">
        <v>1201</v>
      </c>
      <c r="B778" t="s">
        <v>3331</v>
      </c>
      <c r="D778" s="48" t="s">
        <v>4806</v>
      </c>
      <c r="E778" s="48">
        <f>E776*E777%</f>
        <v>6.2463380471380468E-2</v>
      </c>
    </row>
    <row r="779" spans="1:6" ht="15" customHeight="1">
      <c r="A779" t="s">
        <v>1201</v>
      </c>
      <c r="B779" t="s">
        <v>3331</v>
      </c>
    </row>
    <row r="780" spans="1:6" ht="15" customHeight="1">
      <c r="A780" t="s">
        <v>1201</v>
      </c>
      <c r="B780" t="s">
        <v>3331</v>
      </c>
      <c r="D780" t="s">
        <v>4886</v>
      </c>
      <c r="E780" s="140">
        <f>E774</f>
        <v>1.61</v>
      </c>
    </row>
    <row r="781" spans="1:6" ht="15" customHeight="1">
      <c r="A781" t="s">
        <v>1201</v>
      </c>
      <c r="B781" t="s">
        <v>3331</v>
      </c>
      <c r="D781" s="48" t="s">
        <v>4887</v>
      </c>
      <c r="E781" s="51">
        <f>[1]MonoSugar!$H$2</f>
        <v>83.123061728395058</v>
      </c>
    </row>
    <row r="782" spans="1:6" ht="15" customHeight="1">
      <c r="A782" t="s">
        <v>1201</v>
      </c>
      <c r="B782" t="s">
        <v>3331</v>
      </c>
      <c r="D782" s="48" t="s">
        <v>4806</v>
      </c>
      <c r="E782" s="48">
        <f>E780*E781%</f>
        <v>1.3382812938271604</v>
      </c>
    </row>
    <row r="783" spans="1:6" ht="15" customHeight="1">
      <c r="A783" t="s">
        <v>1201</v>
      </c>
      <c r="B783" t="s">
        <v>4652</v>
      </c>
    </row>
    <row r="784" spans="1:6" ht="15" customHeight="1">
      <c r="A784" t="s">
        <v>1201</v>
      </c>
      <c r="B784" t="s">
        <v>4652</v>
      </c>
      <c r="C784" t="s">
        <v>638</v>
      </c>
      <c r="D784" t="s">
        <v>1202</v>
      </c>
    </row>
    <row r="785" spans="1:5" ht="15" customHeight="1">
      <c r="A785" t="s">
        <v>1201</v>
      </c>
      <c r="B785" t="s">
        <v>4652</v>
      </c>
      <c r="D785" t="s">
        <v>1203</v>
      </c>
    </row>
    <row r="786" spans="1:5" ht="15" customHeight="1">
      <c r="A786" t="s">
        <v>1201</v>
      </c>
      <c r="B786" t="s">
        <v>4652</v>
      </c>
      <c r="D786" t="s">
        <v>1205</v>
      </c>
      <c r="E786">
        <v>0.48590909090909096</v>
      </c>
    </row>
    <row r="787" spans="1:5" ht="15" customHeight="1">
      <c r="A787" t="s">
        <v>1201</v>
      </c>
      <c r="B787" t="s">
        <v>4652</v>
      </c>
      <c r="D787" s="48" t="s">
        <v>4888</v>
      </c>
      <c r="E787" s="51">
        <f>[1]MonoSugar!$J$3</f>
        <v>0</v>
      </c>
    </row>
    <row r="788" spans="1:5" ht="15" customHeight="1">
      <c r="A788" t="s">
        <v>1201</v>
      </c>
      <c r="B788" t="s">
        <v>4652</v>
      </c>
      <c r="D788" s="48" t="s">
        <v>4889</v>
      </c>
      <c r="E788" s="48">
        <f>E786*E787%</f>
        <v>0</v>
      </c>
    </row>
    <row r="789" spans="1:5" ht="15" customHeight="1">
      <c r="A789" t="s">
        <v>1201</v>
      </c>
      <c r="B789" t="s">
        <v>4652</v>
      </c>
    </row>
    <row r="790" spans="1:5" ht="15" customHeight="1">
      <c r="A790" t="s">
        <v>1201</v>
      </c>
      <c r="B790" t="s">
        <v>4652</v>
      </c>
    </row>
    <row r="791" spans="1:5" ht="15" customHeight="1">
      <c r="A791" t="s">
        <v>1201</v>
      </c>
      <c r="B791" t="s">
        <v>4559</v>
      </c>
    </row>
    <row r="792" spans="1:5" ht="15" customHeight="1">
      <c r="A792" t="s">
        <v>1201</v>
      </c>
      <c r="B792" t="s">
        <v>4559</v>
      </c>
      <c r="C792" t="s">
        <v>638</v>
      </c>
      <c r="D792" t="s">
        <v>1202</v>
      </c>
    </row>
    <row r="793" spans="1:5" ht="15" customHeight="1">
      <c r="A793" t="s">
        <v>1201</v>
      </c>
      <c r="B793" t="s">
        <v>4559</v>
      </c>
      <c r="D793" t="s">
        <v>1203</v>
      </c>
    </row>
    <row r="794" spans="1:5" ht="15" customHeight="1">
      <c r="A794" t="s">
        <v>1201</v>
      </c>
      <c r="B794" t="s">
        <v>4559</v>
      </c>
      <c r="D794" t="s">
        <v>1205</v>
      </c>
      <c r="E794">
        <v>0.48590909090909096</v>
      </c>
    </row>
    <row r="795" spans="1:5" ht="15" customHeight="1">
      <c r="A795" t="s">
        <v>1201</v>
      </c>
      <c r="B795" t="s">
        <v>4559</v>
      </c>
      <c r="D795" s="48" t="s">
        <v>4890</v>
      </c>
      <c r="E795" s="51">
        <f>[1]MonoSugar!$J$4</f>
        <v>15.5</v>
      </c>
    </row>
    <row r="796" spans="1:5" ht="15" customHeight="1">
      <c r="A796" t="s">
        <v>1201</v>
      </c>
      <c r="B796" t="s">
        <v>4559</v>
      </c>
      <c r="D796" s="48" t="s">
        <v>4891</v>
      </c>
      <c r="E796" s="48">
        <f>E794*E795%</f>
        <v>7.53159090909091E-2</v>
      </c>
    </row>
    <row r="797" spans="1:5" ht="15" customHeight="1">
      <c r="A797" t="s">
        <v>1201</v>
      </c>
      <c r="B797" t="s">
        <v>4559</v>
      </c>
    </row>
  </sheetData>
  <mergeCells count="27">
    <mergeCell ref="E333:F333"/>
    <mergeCell ref="D21:D23"/>
    <mergeCell ref="D33:D35"/>
    <mergeCell ref="D30:D32"/>
    <mergeCell ref="D27:D29"/>
    <mergeCell ref="D24:D26"/>
    <mergeCell ref="D180:D181"/>
    <mergeCell ref="E180:G180"/>
    <mergeCell ref="H180:H181"/>
    <mergeCell ref="I180:I181"/>
    <mergeCell ref="D199:D200"/>
    <mergeCell ref="E199:E200"/>
    <mergeCell ref="F199:F200"/>
    <mergeCell ref="G199:H199"/>
    <mergeCell ref="N490:O490"/>
    <mergeCell ref="D527:D529"/>
    <mergeCell ref="D530:I530"/>
    <mergeCell ref="D415:D416"/>
    <mergeCell ref="F415:F416"/>
    <mergeCell ref="G415:G416"/>
    <mergeCell ref="H415:H416"/>
    <mergeCell ref="I415:J415"/>
    <mergeCell ref="D531:D533"/>
    <mergeCell ref="D534:I534"/>
    <mergeCell ref="D535:D537"/>
    <mergeCell ref="D490:D491"/>
    <mergeCell ref="H490:M490"/>
  </mergeCells>
  <hyperlinks>
    <hyperlink ref="D3" r:id="rId1" location="app1-processes-07-00578" xr:uid="{565D6485-FB6F-45E9-8DA3-9418F29C56BC}"/>
    <hyperlink ref="D2" r:id="rId2" location="app1-processes-07-00578" xr:uid="{FD887713-5822-4F7C-BE66-6EAF9C0BFE81}"/>
    <hyperlink ref="D18" r:id="rId3" xr:uid="{6E96632B-CF42-473E-9D87-F1875F807347}"/>
    <hyperlink ref="D17" r:id="rId4" xr:uid="{6E4C3360-9673-4B5D-BC37-4B26F986F8E4}"/>
    <hyperlink ref="D69" r:id="rId5" location="tblfn1" xr:uid="{5B4BE152-A73A-4EC8-A086-B8AEAD7D32A5}"/>
    <hyperlink ref="D65" r:id="rId6" xr:uid="{CDF5F066-2808-427A-B0EB-2568336A9B24}"/>
    <hyperlink ref="D66" r:id="rId7" xr:uid="{40222903-0867-45D5-BDE1-3431BAFCB475}"/>
    <hyperlink ref="D79" r:id="rId8" xr:uid="{A5ED7D23-5FE3-49A4-B88F-1B38451A4083}"/>
    <hyperlink ref="D80" r:id="rId9" xr:uid="{6B071DBA-D062-4725-AAC2-F0D1506FA8E5}"/>
    <hyperlink ref="D150" r:id="rId10" xr:uid="{3A1B531E-58CE-4DA5-8922-C79148F2286A}"/>
    <hyperlink ref="D151" r:id="rId11" xr:uid="{91AFFCC6-4510-44A1-871E-8AD5462AB93B}"/>
    <hyperlink ref="D165" r:id="rId12" xr:uid="{DC55A467-92C1-4957-96BE-E265D1A9484D}"/>
    <hyperlink ref="D166" r:id="rId13" xr:uid="{B8AA8D3B-F1F1-4D8C-BD0D-24EE2EAAE989}"/>
    <hyperlink ref="D172" r:id="rId14" location="tblfn2" xr:uid="{8179BAD6-31C0-4246-B9F2-40C4CEBF65A7}"/>
    <hyperlink ref="D179" r:id="rId15" xr:uid="{C3D9CA6C-3A18-4722-BFAF-2D53D9778F8A}"/>
    <hyperlink ref="D178" r:id="rId16" xr:uid="{0AF9DC0D-2B54-4413-8413-84F5351679DA}"/>
    <hyperlink ref="D197" r:id="rId17" xr:uid="{C4F02EC1-D30F-412F-8B7D-0A0869A395B5}"/>
    <hyperlink ref="D198" r:id="rId18" xr:uid="{AB5438C6-20D3-4025-90F5-8843F6971071}"/>
    <hyperlink ref="D212" r:id="rId19" xr:uid="{2B2FA393-82B9-449F-A439-9BBEA11710D5}"/>
    <hyperlink ref="D211" r:id="rId20" xr:uid="{14DEA77A-F280-4426-8C7B-D4F0BBE4295E}"/>
    <hyperlink ref="D235" r:id="rId21" xr:uid="{5005FCE0-F8FE-4B8F-B6E1-12941E445B2A}"/>
    <hyperlink ref="D236" r:id="rId22" xr:uid="{E13CACF1-E081-43E5-8C1F-F7AFE5CB22B5}"/>
    <hyperlink ref="D247" r:id="rId23" xr:uid="{7041A2A9-82FD-446A-8072-39EF2112987A}"/>
    <hyperlink ref="D248" r:id="rId24" xr:uid="{8882DEEF-0A9B-4FF5-9AE6-EA97E2015BA6}"/>
    <hyperlink ref="D253" r:id="rId25" xr:uid="{08AC5461-62B9-41FF-9A64-3886DB9B2DFF}"/>
    <hyperlink ref="D254" r:id="rId26" xr:uid="{6BFF4122-3626-48C7-BBDD-D8AAF9F8E1DE}"/>
    <hyperlink ref="D273" r:id="rId27" xr:uid="{C91D036A-328C-483B-933B-42823A8128B4}"/>
    <hyperlink ref="D274" r:id="rId28" location="!" xr:uid="{6F29A578-0946-4557-B9F0-0B18A1320C3F}"/>
    <hyperlink ref="D310" r:id="rId29" xr:uid="{2186AE0B-4FE5-4B51-B728-DD87885AB986}"/>
    <hyperlink ref="D309" r:id="rId30" xr:uid="{F79BDAEA-FF4C-45F0-9584-4871BDCAACF9}"/>
    <hyperlink ref="D325" r:id="rId31" xr:uid="{2E7734E5-25B5-41C5-83AF-215712559AD5}"/>
    <hyperlink ref="D324" r:id="rId32" xr:uid="{CF17F661-45B0-41F6-835E-DE3BA5797144}"/>
    <hyperlink ref="D331" r:id="rId33" xr:uid="{049D1B41-816D-4D79-AFAB-98630373BC1A}"/>
    <hyperlink ref="D332" r:id="rId34" xr:uid="{F3CDACDA-AAFB-4B8D-B5D7-CA85F4764A0A}"/>
    <hyperlink ref="E333" r:id="rId35" location="tblfn2" xr:uid="{7603EC4B-AB38-4F8E-A85C-AD29A59DF25B}"/>
    <hyperlink ref="G333" r:id="rId36" location="tblfn3" xr:uid="{E1D3A775-4C75-4F7D-9A3C-58AF1BE9C23C}"/>
    <hyperlink ref="F334" r:id="rId37" location="tblfn4" xr:uid="{F3EDAB47-4FD7-4664-A006-5C29E9D33EA0}"/>
    <hyperlink ref="G334" r:id="rId38" location="tblfn4" xr:uid="{AB29BE0F-C448-4D12-B895-D1CA932B786B}"/>
    <hyperlink ref="E346" r:id="rId39" location="tblfn2" xr:uid="{83669D0C-6636-41CA-86E9-3AC5931E94EC}"/>
    <hyperlink ref="F346" r:id="rId40" location="tblfn3" xr:uid="{5320E347-69B4-4FEE-AEF9-687F18CDE4CD}"/>
    <hyperlink ref="D345" r:id="rId41" xr:uid="{FAC9A550-3B23-45C6-A926-510A79D2F0BE}"/>
    <hyperlink ref="D344" r:id="rId42" xr:uid="{B2D113EA-8315-4DAD-BA8D-504E8E0E0689}"/>
    <hyperlink ref="D357" r:id="rId43" xr:uid="{34F96BE7-8989-4F16-A81A-D070ADBF6D87}"/>
    <hyperlink ref="D356" r:id="rId44" xr:uid="{B3B53E32-D611-432D-971C-D41F8EB7EABF}"/>
    <hyperlink ref="D131" r:id="rId45" display="https://elibrary.asabe.org/abstract.asp?aid=27102" xr:uid="{0AAFE27B-2A88-4556-ADC9-2C794C0F2D4A}"/>
    <hyperlink ref="D142" r:id="rId46" xr:uid="{8FAB3855-C03D-4CF0-B025-D7AD5E5566E0}"/>
    <hyperlink ref="D141" r:id="rId47" xr:uid="{7B541191-0DC6-458C-91EB-1BC2F8B97DA3}"/>
  </hyperlinks>
  <pageMargins left="0.7" right="0.7" top="0.75" bottom="0.75" header="0.3" footer="0.3"/>
  <pageSetup paperSize="9" orientation="portrait" r:id="rId48"/>
  <drawing r:id="rId4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DBCE5-AFBF-4811-ADE0-F72797A06D10}">
  <dimension ref="A1:Q869"/>
  <sheetViews>
    <sheetView topLeftCell="D1" zoomScale="85" zoomScaleNormal="85" workbookViewId="0">
      <selection activeCell="M8" sqref="M8"/>
    </sheetView>
  </sheetViews>
  <sheetFormatPr defaultRowHeight="14.4"/>
  <cols>
    <col min="1" max="1" width="12.33203125" bestFit="1" customWidth="1"/>
    <col min="2" max="2" width="11.5546875" bestFit="1" customWidth="1"/>
    <col min="3" max="3" width="10.5546875" bestFit="1" customWidth="1"/>
    <col min="4" max="4" width="29" customWidth="1"/>
    <col min="5" max="5" width="23.44140625" customWidth="1"/>
    <col min="6" max="6" width="22.109375" customWidth="1"/>
    <col min="7" max="7" width="27.5546875" customWidth="1"/>
    <col min="8" max="8" width="17.109375" bestFit="1" customWidth="1"/>
    <col min="9" max="9" width="19" bestFit="1" customWidth="1"/>
    <col min="10" max="10" width="32" bestFit="1" customWidth="1"/>
    <col min="11" max="11" width="22.44140625" bestFit="1" customWidth="1"/>
    <col min="12" max="12" width="24.33203125" bestFit="1" customWidth="1"/>
    <col min="13" max="13" width="24" bestFit="1" customWidth="1"/>
    <col min="14" max="14" width="22.5546875" bestFit="1" customWidth="1"/>
    <col min="15" max="15" width="23.6640625" bestFit="1" customWidth="1"/>
    <col min="16" max="16" width="12.6640625" customWidth="1"/>
    <col min="17" max="17" width="9.33203125" bestFit="1" customWidth="1"/>
  </cols>
  <sheetData>
    <row r="1" spans="1:17">
      <c r="A1" t="s">
        <v>0</v>
      </c>
      <c r="B1" t="s">
        <v>1</v>
      </c>
    </row>
    <row r="2" spans="1:17">
      <c r="A2" t="s">
        <v>2</v>
      </c>
      <c r="B2" t="s">
        <v>3404</v>
      </c>
      <c r="C2" t="s">
        <v>4</v>
      </c>
      <c r="D2" s="7" t="s">
        <v>3405</v>
      </c>
      <c r="O2" t="s">
        <v>3320</v>
      </c>
    </row>
    <row r="3" spans="1:17">
      <c r="A3" t="s">
        <v>2</v>
      </c>
      <c r="B3" t="s">
        <v>3404</v>
      </c>
      <c r="D3" s="7" t="s">
        <v>3406</v>
      </c>
    </row>
    <row r="4" spans="1:17" ht="15" customHeight="1">
      <c r="A4" t="s">
        <v>2</v>
      </c>
      <c r="B4" t="s">
        <v>3404</v>
      </c>
      <c r="D4" s="634" t="s">
        <v>3407</v>
      </c>
      <c r="E4" s="634"/>
      <c r="F4" s="295" t="s">
        <v>3408</v>
      </c>
      <c r="G4" s="295" t="s">
        <v>3409</v>
      </c>
      <c r="H4" s="300" t="s">
        <v>3410</v>
      </c>
      <c r="I4" s="295" t="s">
        <v>401</v>
      </c>
      <c r="J4" s="295" t="s">
        <v>103</v>
      </c>
      <c r="K4" s="295" t="s">
        <v>2</v>
      </c>
      <c r="L4" s="300" t="s">
        <v>3411</v>
      </c>
      <c r="M4" s="300" t="s">
        <v>3411</v>
      </c>
      <c r="N4" s="300" t="s">
        <v>3412</v>
      </c>
      <c r="O4" s="81" t="s">
        <v>3413</v>
      </c>
      <c r="P4" s="81" t="s">
        <v>3414</v>
      </c>
      <c r="Q4" s="48" t="s">
        <v>3415</v>
      </c>
    </row>
    <row r="5" spans="1:17">
      <c r="A5" t="s">
        <v>2</v>
      </c>
      <c r="B5" t="s">
        <v>3404</v>
      </c>
      <c r="D5" s="635"/>
      <c r="E5" s="635"/>
      <c r="F5" s="291" t="s">
        <v>3416</v>
      </c>
      <c r="G5" s="291" t="s">
        <v>3416</v>
      </c>
      <c r="H5" s="291" t="s">
        <v>3417</v>
      </c>
      <c r="I5" s="301" t="s">
        <v>3418</v>
      </c>
      <c r="J5" s="291" t="s">
        <v>3416</v>
      </c>
      <c r="K5" s="291" t="s">
        <v>3416</v>
      </c>
      <c r="L5" s="291" t="s">
        <v>3419</v>
      </c>
      <c r="M5" s="291" t="s">
        <v>3417</v>
      </c>
      <c r="N5" s="291" t="s">
        <v>3417</v>
      </c>
      <c r="O5" s="48" t="s">
        <v>3417</v>
      </c>
      <c r="P5" s="48" t="s">
        <v>3420</v>
      </c>
      <c r="Q5" s="48" t="s">
        <v>3420</v>
      </c>
    </row>
    <row r="6" spans="1:17">
      <c r="A6" t="s">
        <v>2</v>
      </c>
      <c r="B6" t="s">
        <v>3404</v>
      </c>
      <c r="D6" s="659">
        <v>1</v>
      </c>
      <c r="E6" s="292" t="s">
        <v>3421</v>
      </c>
      <c r="F6" s="292" t="s">
        <v>3422</v>
      </c>
      <c r="G6" s="292" t="s">
        <v>3423</v>
      </c>
      <c r="H6" s="292">
        <v>35</v>
      </c>
      <c r="I6" s="292" t="s">
        <v>3424</v>
      </c>
      <c r="J6" s="292" t="s">
        <v>3425</v>
      </c>
      <c r="K6" s="292" t="s">
        <v>3426</v>
      </c>
      <c r="L6" s="292" t="s">
        <v>3427</v>
      </c>
      <c r="M6" s="292">
        <v>61</v>
      </c>
      <c r="N6" s="292">
        <v>86</v>
      </c>
      <c r="O6" s="51">
        <f>[1]MonoSugar!$M$5</f>
        <v>74.833484848484844</v>
      </c>
      <c r="P6" s="48">
        <f>$O$6/100*M6/100</f>
        <v>0.4564842575757575</v>
      </c>
      <c r="Q6" s="48">
        <f>AVERAGE(P6:P16)</f>
        <v>0.48641765151515143</v>
      </c>
    </row>
    <row r="7" spans="1:17">
      <c r="A7" t="s">
        <v>2</v>
      </c>
      <c r="B7" t="s">
        <v>3404</v>
      </c>
      <c r="D7" s="660"/>
      <c r="E7" s="292" t="s">
        <v>3428</v>
      </c>
      <c r="F7" s="292" t="s">
        <v>3429</v>
      </c>
      <c r="G7" s="292" t="s">
        <v>3430</v>
      </c>
      <c r="H7" s="292">
        <v>30</v>
      </c>
      <c r="I7" s="292" t="s">
        <v>3431</v>
      </c>
      <c r="J7" s="292" t="s">
        <v>3432</v>
      </c>
      <c r="K7" s="292" t="s">
        <v>3433</v>
      </c>
      <c r="L7" s="292" t="s">
        <v>3434</v>
      </c>
      <c r="M7" s="292">
        <v>69</v>
      </c>
      <c r="N7" s="292">
        <v>89</v>
      </c>
      <c r="P7" s="48">
        <f t="shared" ref="P7:P16" si="0">$O$6/100*M7/100</f>
        <v>0.51635104545454535</v>
      </c>
    </row>
    <row r="8" spans="1:17">
      <c r="A8" t="s">
        <v>2</v>
      </c>
      <c r="B8" t="s">
        <v>3404</v>
      </c>
      <c r="D8" s="660"/>
      <c r="E8" s="292" t="s">
        <v>3435</v>
      </c>
      <c r="F8" s="292" t="s">
        <v>3429</v>
      </c>
      <c r="G8" s="292" t="s">
        <v>3430</v>
      </c>
      <c r="H8" s="292">
        <v>37</v>
      </c>
      <c r="I8" s="292" t="s">
        <v>3436</v>
      </c>
      <c r="J8" s="292" t="s">
        <v>3437</v>
      </c>
      <c r="K8" s="292" t="s">
        <v>3438</v>
      </c>
      <c r="L8" s="292" t="s">
        <v>3439</v>
      </c>
      <c r="M8" s="292">
        <v>69</v>
      </c>
      <c r="N8" s="292">
        <v>86</v>
      </c>
      <c r="P8" s="48">
        <f t="shared" si="0"/>
        <v>0.51635104545454535</v>
      </c>
    </row>
    <row r="9" spans="1:17">
      <c r="A9" t="s">
        <v>2</v>
      </c>
      <c r="B9" t="s">
        <v>3404</v>
      </c>
      <c r="D9" s="660">
        <v>2</v>
      </c>
      <c r="E9" s="292">
        <v>10</v>
      </c>
      <c r="F9" s="292" t="s">
        <v>3440</v>
      </c>
      <c r="G9" s="292" t="s">
        <v>3441</v>
      </c>
      <c r="H9" s="292">
        <v>33</v>
      </c>
      <c r="I9" s="292" t="s">
        <v>3442</v>
      </c>
      <c r="J9" s="292" t="s">
        <v>3443</v>
      </c>
      <c r="K9" s="292" t="s">
        <v>3444</v>
      </c>
      <c r="L9" s="292" t="s">
        <v>3445</v>
      </c>
      <c r="M9" s="292">
        <v>55</v>
      </c>
      <c r="N9" s="292">
        <v>79</v>
      </c>
      <c r="P9" s="48">
        <f t="shared" si="0"/>
        <v>0.4115841666666667</v>
      </c>
    </row>
    <row r="10" spans="1:17">
      <c r="A10" t="s">
        <v>2</v>
      </c>
      <c r="B10" t="s">
        <v>3404</v>
      </c>
      <c r="D10" s="660"/>
      <c r="E10" s="292" t="s">
        <v>3446</v>
      </c>
      <c r="F10" s="292" t="s">
        <v>3447</v>
      </c>
      <c r="G10" s="292" t="s">
        <v>3448</v>
      </c>
      <c r="H10" s="292">
        <v>28</v>
      </c>
      <c r="I10" s="292" t="s">
        <v>3449</v>
      </c>
      <c r="J10" s="292" t="s">
        <v>3450</v>
      </c>
      <c r="K10" s="292" t="s">
        <v>3451</v>
      </c>
      <c r="L10" s="292" t="s">
        <v>3427</v>
      </c>
      <c r="M10" s="292">
        <v>60</v>
      </c>
      <c r="N10" s="292">
        <v>83</v>
      </c>
      <c r="P10" s="48">
        <f t="shared" si="0"/>
        <v>0.44900090909090906</v>
      </c>
    </row>
    <row r="11" spans="1:17">
      <c r="A11" t="s">
        <v>2</v>
      </c>
      <c r="B11" t="s">
        <v>3404</v>
      </c>
      <c r="D11" s="660"/>
      <c r="E11" s="292" t="s">
        <v>3452</v>
      </c>
      <c r="F11" s="292" t="s">
        <v>3453</v>
      </c>
      <c r="G11" s="292" t="s">
        <v>3454</v>
      </c>
      <c r="H11" s="292">
        <v>28</v>
      </c>
      <c r="I11" s="292" t="s">
        <v>3455</v>
      </c>
      <c r="J11" s="292" t="s">
        <v>3456</v>
      </c>
      <c r="K11" s="292" t="s">
        <v>3457</v>
      </c>
      <c r="L11" s="292" t="s">
        <v>3427</v>
      </c>
      <c r="M11" s="292">
        <v>60</v>
      </c>
      <c r="N11" s="292">
        <v>84</v>
      </c>
      <c r="P11" s="48">
        <f t="shared" si="0"/>
        <v>0.44900090909090906</v>
      </c>
    </row>
    <row r="12" spans="1:17">
      <c r="A12" t="s">
        <v>2</v>
      </c>
      <c r="B12" t="s">
        <v>3404</v>
      </c>
      <c r="D12" s="660">
        <v>3</v>
      </c>
      <c r="E12" s="292" t="s">
        <v>3421</v>
      </c>
      <c r="F12" s="292" t="s">
        <v>3458</v>
      </c>
      <c r="G12" s="292" t="s">
        <v>3459</v>
      </c>
      <c r="H12" s="292">
        <v>41</v>
      </c>
      <c r="I12" s="292" t="s">
        <v>3460</v>
      </c>
      <c r="J12" s="292" t="s">
        <v>3461</v>
      </c>
      <c r="K12" s="292" t="s">
        <v>3462</v>
      </c>
      <c r="L12" s="292" t="s">
        <v>3463</v>
      </c>
      <c r="M12" s="292">
        <v>57</v>
      </c>
      <c r="N12" s="292">
        <v>83</v>
      </c>
      <c r="P12" s="48">
        <f t="shared" si="0"/>
        <v>0.42655086363636358</v>
      </c>
    </row>
    <row r="13" spans="1:17">
      <c r="A13" t="s">
        <v>2</v>
      </c>
      <c r="B13" t="s">
        <v>3404</v>
      </c>
      <c r="D13" s="660"/>
      <c r="E13" s="292" t="s">
        <v>3464</v>
      </c>
      <c r="F13" s="292" t="s">
        <v>3429</v>
      </c>
      <c r="G13" s="292" t="s">
        <v>3465</v>
      </c>
      <c r="H13" s="292">
        <v>34</v>
      </c>
      <c r="I13" s="292" t="s">
        <v>3466</v>
      </c>
      <c r="J13" s="292" t="s">
        <v>3467</v>
      </c>
      <c r="K13" s="292" t="s">
        <v>3468</v>
      </c>
      <c r="L13" s="292" t="s">
        <v>3469</v>
      </c>
      <c r="M13" s="292">
        <v>66</v>
      </c>
      <c r="N13" s="292">
        <v>88</v>
      </c>
      <c r="P13" s="48">
        <f t="shared" si="0"/>
        <v>0.49390099999999998</v>
      </c>
    </row>
    <row r="14" spans="1:17">
      <c r="A14" t="s">
        <v>2</v>
      </c>
      <c r="B14" t="s">
        <v>3404</v>
      </c>
      <c r="D14" s="660"/>
      <c r="E14" s="292" t="s">
        <v>3470</v>
      </c>
      <c r="F14" s="292" t="s">
        <v>3471</v>
      </c>
      <c r="G14" s="292" t="s">
        <v>3465</v>
      </c>
      <c r="H14" s="292">
        <v>29</v>
      </c>
      <c r="I14" s="292" t="s">
        <v>3472</v>
      </c>
      <c r="J14" s="292" t="s">
        <v>3467</v>
      </c>
      <c r="K14" s="292" t="s">
        <v>3473</v>
      </c>
      <c r="L14" s="292" t="s">
        <v>3474</v>
      </c>
      <c r="M14" s="292">
        <v>65</v>
      </c>
      <c r="N14" s="292">
        <v>89</v>
      </c>
      <c r="P14" s="48">
        <f t="shared" si="0"/>
        <v>0.48641765151515143</v>
      </c>
    </row>
    <row r="15" spans="1:17">
      <c r="A15" t="s">
        <v>2</v>
      </c>
      <c r="B15" t="s">
        <v>3404</v>
      </c>
      <c r="D15" s="660">
        <v>4</v>
      </c>
      <c r="E15" s="292" t="s">
        <v>3475</v>
      </c>
      <c r="F15" s="292" t="s">
        <v>3476</v>
      </c>
      <c r="G15" s="292" t="s">
        <v>3477</v>
      </c>
      <c r="H15" s="292">
        <v>29</v>
      </c>
      <c r="I15" s="292" t="s">
        <v>3478</v>
      </c>
      <c r="J15" s="292" t="s">
        <v>3479</v>
      </c>
      <c r="K15" s="292" t="s">
        <v>3480</v>
      </c>
      <c r="L15" s="292" t="s">
        <v>3481</v>
      </c>
      <c r="M15" s="292">
        <v>75</v>
      </c>
      <c r="N15" s="292">
        <v>99</v>
      </c>
      <c r="P15" s="48">
        <f t="shared" si="0"/>
        <v>0.56125113636363633</v>
      </c>
    </row>
    <row r="16" spans="1:17">
      <c r="A16" t="s">
        <v>2</v>
      </c>
      <c r="B16" t="s">
        <v>3404</v>
      </c>
      <c r="D16" s="661"/>
      <c r="E16" s="290" t="s">
        <v>3482</v>
      </c>
      <c r="F16" s="290" t="s">
        <v>3483</v>
      </c>
      <c r="G16" s="290" t="s">
        <v>3477</v>
      </c>
      <c r="H16" s="290">
        <v>33</v>
      </c>
      <c r="I16" s="290" t="s">
        <v>3484</v>
      </c>
      <c r="J16" s="290" t="s">
        <v>3485</v>
      </c>
      <c r="K16" s="290" t="s">
        <v>3486</v>
      </c>
      <c r="L16" s="290" t="s">
        <v>3487</v>
      </c>
      <c r="M16" s="302">
        <v>78</v>
      </c>
      <c r="N16" s="302">
        <v>100</v>
      </c>
      <c r="P16" s="48">
        <f t="shared" si="0"/>
        <v>0.58370118181818176</v>
      </c>
    </row>
    <row r="17" spans="1:14">
      <c r="A17" t="s">
        <v>2</v>
      </c>
      <c r="B17" t="s">
        <v>3404</v>
      </c>
      <c r="L17" s="48" t="s">
        <v>3033</v>
      </c>
      <c r="M17" s="48">
        <f>MAX(M6:M16)</f>
        <v>78</v>
      </c>
    </row>
    <row r="18" spans="1:14">
      <c r="A18" t="s">
        <v>2</v>
      </c>
      <c r="B18" t="s">
        <v>3404</v>
      </c>
      <c r="L18" s="48" t="s">
        <v>3034</v>
      </c>
      <c r="M18" s="48">
        <f>MIN(M6:M16)</f>
        <v>55</v>
      </c>
    </row>
    <row r="19" spans="1:14">
      <c r="A19" t="s">
        <v>2</v>
      </c>
      <c r="B19" t="s">
        <v>3404</v>
      </c>
    </row>
    <row r="20" spans="1:14">
      <c r="A20" t="s">
        <v>2</v>
      </c>
      <c r="B20" t="s">
        <v>3404</v>
      </c>
      <c r="C20" t="s">
        <v>473</v>
      </c>
      <c r="D20" s="7" t="s">
        <v>3488</v>
      </c>
    </row>
    <row r="21" spans="1:14">
      <c r="A21" t="s">
        <v>2</v>
      </c>
      <c r="B21" t="s">
        <v>3404</v>
      </c>
      <c r="D21" s="7" t="s">
        <v>3489</v>
      </c>
    </row>
    <row r="22" spans="1:14">
      <c r="A22" t="s">
        <v>2</v>
      </c>
      <c r="B22" t="s">
        <v>3404</v>
      </c>
      <c r="D22" s="289" t="s">
        <v>3490</v>
      </c>
      <c r="E22" s="289" t="s">
        <v>3491</v>
      </c>
      <c r="F22" s="289" t="s">
        <v>3492</v>
      </c>
      <c r="G22" s="289" t="s">
        <v>1687</v>
      </c>
      <c r="H22" s="289" t="s">
        <v>1492</v>
      </c>
      <c r="I22" s="303" t="s">
        <v>3493</v>
      </c>
      <c r="J22" s="289" t="s">
        <v>3494</v>
      </c>
      <c r="K22" s="305" t="s">
        <v>3495</v>
      </c>
      <c r="L22" s="48" t="s">
        <v>3496</v>
      </c>
      <c r="M22" s="48" t="s">
        <v>3497</v>
      </c>
      <c r="N22" s="48" t="s">
        <v>3415</v>
      </c>
    </row>
    <row r="23" spans="1:14">
      <c r="A23" t="s">
        <v>2</v>
      </c>
      <c r="B23" t="s">
        <v>3404</v>
      </c>
      <c r="D23" s="292">
        <v>1</v>
      </c>
      <c r="E23" s="292" t="s">
        <v>3498</v>
      </c>
      <c r="F23" s="292" t="s">
        <v>3498</v>
      </c>
      <c r="G23" s="292" t="s">
        <v>3498</v>
      </c>
      <c r="H23" s="292" t="s">
        <v>3499</v>
      </c>
      <c r="I23" s="292">
        <v>41.5</v>
      </c>
      <c r="J23" s="292">
        <v>792</v>
      </c>
      <c r="K23" s="292" t="s">
        <v>3500</v>
      </c>
      <c r="L23" s="51">
        <f>[1]MonoSugar!$H$5</f>
        <v>70.776666666666657</v>
      </c>
      <c r="M23" s="48">
        <f>I23/100*$L$23%</f>
        <v>0.29372316666666659</v>
      </c>
      <c r="N23" s="48" t="s">
        <v>3420</v>
      </c>
    </row>
    <row r="24" spans="1:14">
      <c r="A24" t="s">
        <v>2</v>
      </c>
      <c r="B24" t="s">
        <v>3404</v>
      </c>
      <c r="D24" s="292">
        <v>2</v>
      </c>
      <c r="E24" s="292" t="s">
        <v>3498</v>
      </c>
      <c r="F24" s="292" t="s">
        <v>3498</v>
      </c>
      <c r="G24" s="292">
        <v>1</v>
      </c>
      <c r="H24" s="292" t="s">
        <v>3501</v>
      </c>
      <c r="I24" s="292">
        <v>42.93</v>
      </c>
      <c r="J24" s="292">
        <v>775</v>
      </c>
      <c r="K24" s="292" t="s">
        <v>3502</v>
      </c>
      <c r="M24" s="48">
        <f t="shared" ref="M24:M38" si="1">I24/100*$L$23%</f>
        <v>0.30384422999999994</v>
      </c>
      <c r="N24" s="48">
        <f>AVERAGE(M23:M38)</f>
        <v>0.3135892922916666</v>
      </c>
    </row>
    <row r="25" spans="1:14">
      <c r="A25" t="s">
        <v>2</v>
      </c>
      <c r="B25" t="s">
        <v>3404</v>
      </c>
      <c r="D25" s="292">
        <v>3</v>
      </c>
      <c r="E25" s="292" t="s">
        <v>3498</v>
      </c>
      <c r="F25" s="292">
        <v>1</v>
      </c>
      <c r="G25" s="292" t="s">
        <v>3498</v>
      </c>
      <c r="H25" s="292" t="s">
        <v>3503</v>
      </c>
      <c r="I25" s="292">
        <v>45.73</v>
      </c>
      <c r="J25" s="292">
        <v>858</v>
      </c>
      <c r="K25" s="292" t="s">
        <v>3504</v>
      </c>
      <c r="M25" s="48">
        <f t="shared" si="1"/>
        <v>0.32366169666666661</v>
      </c>
    </row>
    <row r="26" spans="1:14">
      <c r="A26" t="s">
        <v>2</v>
      </c>
      <c r="B26" t="s">
        <v>3404</v>
      </c>
      <c r="D26" s="292">
        <v>4</v>
      </c>
      <c r="E26" s="292" t="s">
        <v>3498</v>
      </c>
      <c r="F26" s="292">
        <v>1</v>
      </c>
      <c r="G26" s="292">
        <v>1</v>
      </c>
      <c r="H26" s="292" t="s">
        <v>3505</v>
      </c>
      <c r="I26" s="292">
        <v>46.68</v>
      </c>
      <c r="J26" s="292">
        <v>696</v>
      </c>
      <c r="K26" s="292" t="s">
        <v>3506</v>
      </c>
      <c r="M26" s="48">
        <f t="shared" si="1"/>
        <v>0.33038547999999995</v>
      </c>
    </row>
    <row r="27" spans="1:14">
      <c r="A27" t="s">
        <v>2</v>
      </c>
      <c r="B27" t="s">
        <v>3404</v>
      </c>
      <c r="D27" s="292">
        <v>5</v>
      </c>
      <c r="E27" s="292">
        <v>1</v>
      </c>
      <c r="F27" s="292" t="s">
        <v>3498</v>
      </c>
      <c r="G27" s="292" t="s">
        <v>3498</v>
      </c>
      <c r="H27" s="292" t="s">
        <v>3507</v>
      </c>
      <c r="I27" s="292">
        <v>49.44</v>
      </c>
      <c r="J27" s="292">
        <v>680</v>
      </c>
      <c r="K27" s="292" t="s">
        <v>3508</v>
      </c>
      <c r="M27" s="48">
        <f t="shared" si="1"/>
        <v>0.34991983999999993</v>
      </c>
    </row>
    <row r="28" spans="1:14">
      <c r="A28" t="s">
        <v>2</v>
      </c>
      <c r="B28" t="s">
        <v>3404</v>
      </c>
      <c r="D28" s="292">
        <v>6</v>
      </c>
      <c r="E28" s="292">
        <v>1</v>
      </c>
      <c r="F28" s="292" t="s">
        <v>3498</v>
      </c>
      <c r="G28" s="292">
        <v>1</v>
      </c>
      <c r="H28" s="292" t="s">
        <v>3509</v>
      </c>
      <c r="I28" s="292">
        <v>40.72</v>
      </c>
      <c r="J28" s="292">
        <v>887</v>
      </c>
      <c r="K28" s="292" t="s">
        <v>3510</v>
      </c>
      <c r="M28" s="48">
        <f t="shared" si="1"/>
        <v>0.28820258666666659</v>
      </c>
    </row>
    <row r="29" spans="1:14">
      <c r="A29" t="s">
        <v>2</v>
      </c>
      <c r="B29" t="s">
        <v>3404</v>
      </c>
      <c r="D29" s="292">
        <v>7</v>
      </c>
      <c r="E29" s="292">
        <v>1</v>
      </c>
      <c r="F29" s="292">
        <v>1</v>
      </c>
      <c r="G29" s="292" t="s">
        <v>3498</v>
      </c>
      <c r="H29" s="292" t="s">
        <v>3511</v>
      </c>
      <c r="I29" s="292">
        <v>37.909999999999997</v>
      </c>
      <c r="J29" s="292">
        <v>906</v>
      </c>
      <c r="K29" s="292" t="s">
        <v>3512</v>
      </c>
      <c r="M29" s="48">
        <f t="shared" si="1"/>
        <v>0.26831434333333326</v>
      </c>
    </row>
    <row r="30" spans="1:14">
      <c r="A30" t="s">
        <v>2</v>
      </c>
      <c r="B30" t="s">
        <v>3404</v>
      </c>
      <c r="D30" s="292">
        <v>8</v>
      </c>
      <c r="E30" s="292">
        <v>1</v>
      </c>
      <c r="F30" s="292">
        <v>1</v>
      </c>
      <c r="G30" s="292">
        <v>1</v>
      </c>
      <c r="H30" s="292" t="s">
        <v>3513</v>
      </c>
      <c r="I30" s="292">
        <v>29.98</v>
      </c>
      <c r="J30" s="292">
        <v>905</v>
      </c>
      <c r="K30" s="292" t="s">
        <v>3514</v>
      </c>
      <c r="M30" s="48">
        <f t="shared" si="1"/>
        <v>0.21218844666666664</v>
      </c>
    </row>
    <row r="31" spans="1:14">
      <c r="A31" t="s">
        <v>2</v>
      </c>
      <c r="B31" t="s">
        <v>3404</v>
      </c>
      <c r="D31" s="292">
        <v>9</v>
      </c>
      <c r="E31" s="292" t="s">
        <v>3515</v>
      </c>
      <c r="F31" s="292">
        <v>0</v>
      </c>
      <c r="G31" s="292">
        <v>0</v>
      </c>
      <c r="H31" s="292" t="s">
        <v>3516</v>
      </c>
      <c r="I31" s="292">
        <v>45.65</v>
      </c>
      <c r="J31" s="292">
        <v>916</v>
      </c>
      <c r="K31" s="292" t="s">
        <v>3517</v>
      </c>
      <c r="M31" s="48">
        <f t="shared" si="1"/>
        <v>0.32309548333333327</v>
      </c>
    </row>
    <row r="32" spans="1:14">
      <c r="A32" t="s">
        <v>2</v>
      </c>
      <c r="B32" t="s">
        <v>3404</v>
      </c>
      <c r="D32" s="292">
        <v>10</v>
      </c>
      <c r="E32" s="304">
        <v>12872</v>
      </c>
      <c r="F32" s="292">
        <v>0</v>
      </c>
      <c r="G32" s="292">
        <v>0</v>
      </c>
      <c r="H32" s="292" t="s">
        <v>3518</v>
      </c>
      <c r="I32" s="292">
        <v>47.75</v>
      </c>
      <c r="J32" s="292">
        <v>806</v>
      </c>
      <c r="K32" s="292" t="s">
        <v>3519</v>
      </c>
      <c r="M32" s="48">
        <f t="shared" si="1"/>
        <v>0.33795858333333328</v>
      </c>
    </row>
    <row r="33" spans="1:13">
      <c r="A33" t="s">
        <v>2</v>
      </c>
      <c r="B33" t="s">
        <v>3404</v>
      </c>
      <c r="D33" s="292">
        <v>11</v>
      </c>
      <c r="E33" s="292">
        <v>0</v>
      </c>
      <c r="F33" s="292" t="s">
        <v>3515</v>
      </c>
      <c r="G33" s="292">
        <v>0</v>
      </c>
      <c r="H33" s="292" t="s">
        <v>3520</v>
      </c>
      <c r="I33" s="292">
        <v>41.62</v>
      </c>
      <c r="J33" s="292">
        <v>878</v>
      </c>
      <c r="K33" s="292" t="s">
        <v>3521</v>
      </c>
      <c r="M33" s="48">
        <f t="shared" si="1"/>
        <v>0.29457248666666658</v>
      </c>
    </row>
    <row r="34" spans="1:13">
      <c r="A34" t="s">
        <v>2</v>
      </c>
      <c r="B34" t="s">
        <v>3404</v>
      </c>
      <c r="D34" s="292">
        <v>12</v>
      </c>
      <c r="E34" s="292">
        <v>0</v>
      </c>
      <c r="F34" s="304">
        <v>12872</v>
      </c>
      <c r="G34" s="292">
        <v>0</v>
      </c>
      <c r="H34" s="292" t="s">
        <v>3522</v>
      </c>
      <c r="I34" s="292">
        <v>45.3</v>
      </c>
      <c r="J34" s="292">
        <v>853</v>
      </c>
      <c r="K34" s="292" t="s">
        <v>3523</v>
      </c>
      <c r="M34" s="48">
        <f t="shared" si="1"/>
        <v>0.32061829999999991</v>
      </c>
    </row>
    <row r="35" spans="1:13">
      <c r="A35" t="s">
        <v>2</v>
      </c>
      <c r="B35" t="s">
        <v>3404</v>
      </c>
      <c r="D35" s="292">
        <v>13</v>
      </c>
      <c r="E35" s="292">
        <v>0</v>
      </c>
      <c r="F35" s="292">
        <v>0</v>
      </c>
      <c r="G35" s="292" t="s">
        <v>3515</v>
      </c>
      <c r="H35" s="292" t="s">
        <v>3524</v>
      </c>
      <c r="I35" s="292">
        <v>50.16</v>
      </c>
      <c r="J35" s="292">
        <v>836</v>
      </c>
      <c r="K35" s="292" t="s">
        <v>3525</v>
      </c>
      <c r="M35" s="48">
        <f t="shared" si="1"/>
        <v>0.3550157599999999</v>
      </c>
    </row>
    <row r="36" spans="1:13">
      <c r="A36" t="s">
        <v>2</v>
      </c>
      <c r="B36" t="s">
        <v>3404</v>
      </c>
      <c r="D36" s="292">
        <v>14</v>
      </c>
      <c r="E36" s="292">
        <v>0</v>
      </c>
      <c r="F36" s="292">
        <v>0</v>
      </c>
      <c r="G36" s="304">
        <v>12872</v>
      </c>
      <c r="H36" s="292" t="s">
        <v>3526</v>
      </c>
      <c r="I36" s="292">
        <v>45.7</v>
      </c>
      <c r="J36" s="292">
        <v>863</v>
      </c>
      <c r="K36" s="292" t="s">
        <v>3527</v>
      </c>
      <c r="M36" s="48">
        <f t="shared" si="1"/>
        <v>0.32344936666666663</v>
      </c>
    </row>
    <row r="37" spans="1:13">
      <c r="A37" t="s">
        <v>2</v>
      </c>
      <c r="B37" t="s">
        <v>3404</v>
      </c>
      <c r="D37" s="292">
        <v>15</v>
      </c>
      <c r="E37" s="292">
        <v>0</v>
      </c>
      <c r="F37" s="292">
        <v>0</v>
      </c>
      <c r="G37" s="292">
        <v>0</v>
      </c>
      <c r="H37" s="292" t="s">
        <v>3528</v>
      </c>
      <c r="I37" s="292">
        <v>47.94</v>
      </c>
      <c r="J37" s="292">
        <v>844</v>
      </c>
      <c r="K37" s="292" t="s">
        <v>3529</v>
      </c>
      <c r="M37" s="48">
        <f t="shared" si="1"/>
        <v>0.33930333999999995</v>
      </c>
    </row>
    <row r="38" spans="1:13">
      <c r="A38" t="s">
        <v>2</v>
      </c>
      <c r="B38" t="s">
        <v>3404</v>
      </c>
      <c r="D38" s="290">
        <v>16</v>
      </c>
      <c r="E38" s="290">
        <v>0</v>
      </c>
      <c r="F38" s="290">
        <v>0</v>
      </c>
      <c r="G38" s="290">
        <v>0</v>
      </c>
      <c r="H38" s="290" t="s">
        <v>3530</v>
      </c>
      <c r="I38" s="290">
        <v>49.9</v>
      </c>
      <c r="J38" s="290">
        <v>881</v>
      </c>
      <c r="K38" s="290" t="s">
        <v>3531</v>
      </c>
      <c r="M38" s="48">
        <f t="shared" si="1"/>
        <v>0.35317556666666661</v>
      </c>
    </row>
    <row r="39" spans="1:13">
      <c r="A39" t="s">
        <v>2</v>
      </c>
      <c r="B39" t="s">
        <v>3404</v>
      </c>
      <c r="H39" s="48" t="s">
        <v>3033</v>
      </c>
      <c r="I39" s="48">
        <f>MAX(I23:I38)</f>
        <v>50.16</v>
      </c>
    </row>
    <row r="40" spans="1:13">
      <c r="A40" t="s">
        <v>2</v>
      </c>
      <c r="B40" t="s">
        <v>3404</v>
      </c>
      <c r="H40" s="48" t="s">
        <v>3034</v>
      </c>
      <c r="I40" s="48">
        <f>MIN(I23:I38)</f>
        <v>29.98</v>
      </c>
    </row>
    <row r="41" spans="1:13">
      <c r="A41" t="s">
        <v>2</v>
      </c>
      <c r="B41" t="s">
        <v>3404</v>
      </c>
    </row>
    <row r="42" spans="1:13">
      <c r="A42" t="s">
        <v>2</v>
      </c>
      <c r="B42" t="s">
        <v>3404</v>
      </c>
      <c r="C42" t="s">
        <v>69</v>
      </c>
      <c r="D42" s="381" t="s">
        <v>6183</v>
      </c>
      <c r="E42" s="381"/>
      <c r="F42" s="381"/>
      <c r="G42" s="381"/>
      <c r="H42" s="381"/>
      <c r="I42" s="381"/>
    </row>
    <row r="43" spans="1:13">
      <c r="A43" t="s">
        <v>2</v>
      </c>
      <c r="B43" t="s">
        <v>3404</v>
      </c>
      <c r="D43" s="381" t="s">
        <v>6184</v>
      </c>
      <c r="E43" s="381"/>
      <c r="F43" s="381"/>
      <c r="G43" s="381"/>
      <c r="H43" s="381"/>
      <c r="I43" s="381"/>
    </row>
    <row r="44" spans="1:13">
      <c r="A44" t="s">
        <v>2</v>
      </c>
      <c r="B44" t="s">
        <v>3404</v>
      </c>
      <c r="D44" s="381" t="s">
        <v>6185</v>
      </c>
      <c r="E44" s="381"/>
      <c r="F44" s="381"/>
      <c r="G44" s="381"/>
      <c r="H44" s="381"/>
      <c r="I44" s="381"/>
    </row>
    <row r="45" spans="1:13">
      <c r="A45" t="s">
        <v>2</v>
      </c>
      <c r="B45" t="s">
        <v>3404</v>
      </c>
      <c r="D45" s="381" t="s">
        <v>5070</v>
      </c>
      <c r="E45" s="381">
        <v>0.41</v>
      </c>
      <c r="F45" s="381"/>
      <c r="G45" s="381"/>
      <c r="H45" s="381"/>
      <c r="I45" s="381"/>
    </row>
    <row r="46" spans="1:13">
      <c r="A46" t="s">
        <v>2</v>
      </c>
      <c r="B46" t="s">
        <v>3404</v>
      </c>
      <c r="D46" s="48" t="s">
        <v>3496</v>
      </c>
      <c r="E46" s="395">
        <f>[1]MonoSugar!$H$5</f>
        <v>70.776666666666657</v>
      </c>
      <c r="F46" s="381"/>
      <c r="G46" s="381"/>
      <c r="H46" s="381"/>
      <c r="I46" s="381"/>
    </row>
    <row r="47" spans="1:13">
      <c r="A47" t="s">
        <v>2</v>
      </c>
      <c r="B47" t="s">
        <v>3404</v>
      </c>
      <c r="D47" s="396" t="s">
        <v>5031</v>
      </c>
      <c r="E47" s="381">
        <f>E46%*E45</f>
        <v>0.29018433333333327</v>
      </c>
      <c r="F47" s="381"/>
      <c r="G47" s="381"/>
      <c r="H47" s="381"/>
      <c r="I47" s="381"/>
    </row>
    <row r="48" spans="1:13">
      <c r="A48" t="s">
        <v>2</v>
      </c>
      <c r="B48" t="s">
        <v>3404</v>
      </c>
      <c r="D48" s="381"/>
      <c r="E48" s="381"/>
      <c r="F48" s="381"/>
      <c r="G48" s="381"/>
      <c r="H48" s="381"/>
      <c r="I48" s="381"/>
    </row>
    <row r="49" spans="1:10">
      <c r="A49" t="s">
        <v>2</v>
      </c>
      <c r="B49" t="s">
        <v>3404</v>
      </c>
      <c r="C49" t="s">
        <v>132</v>
      </c>
      <c r="D49" t="s">
        <v>6196</v>
      </c>
    </row>
    <row r="50" spans="1:10">
      <c r="A50" t="s">
        <v>2</v>
      </c>
      <c r="B50" t="s">
        <v>3404</v>
      </c>
      <c r="D50" t="s">
        <v>6197</v>
      </c>
    </row>
    <row r="51" spans="1:10">
      <c r="A51" t="s">
        <v>2</v>
      </c>
      <c r="B51" t="s">
        <v>3404</v>
      </c>
      <c r="D51" t="s">
        <v>6186</v>
      </c>
    </row>
    <row r="52" spans="1:10">
      <c r="A52" t="s">
        <v>2</v>
      </c>
      <c r="B52" t="s">
        <v>3404</v>
      </c>
      <c r="H52" t="s">
        <v>6187</v>
      </c>
    </row>
    <row r="53" spans="1:10">
      <c r="A53" t="s">
        <v>2</v>
      </c>
      <c r="B53" t="s">
        <v>3404</v>
      </c>
      <c r="D53" t="s">
        <v>6188</v>
      </c>
      <c r="E53" t="s">
        <v>6189</v>
      </c>
      <c r="F53" t="s">
        <v>6190</v>
      </c>
      <c r="G53" t="s">
        <v>6191</v>
      </c>
      <c r="H53" s="204" t="s">
        <v>2</v>
      </c>
      <c r="I53" t="s">
        <v>103</v>
      </c>
      <c r="J53" t="s">
        <v>6192</v>
      </c>
    </row>
    <row r="54" spans="1:10">
      <c r="A54" t="s">
        <v>2</v>
      </c>
      <c r="B54" t="s">
        <v>3404</v>
      </c>
      <c r="D54">
        <v>15</v>
      </c>
      <c r="E54">
        <v>15</v>
      </c>
      <c r="F54">
        <v>12</v>
      </c>
      <c r="G54">
        <v>0.6</v>
      </c>
      <c r="H54" s="204">
        <v>0.3</v>
      </c>
      <c r="I54">
        <v>8.2000000000000003E-2</v>
      </c>
      <c r="J54">
        <v>8.8999999999999996E-2</v>
      </c>
    </row>
    <row r="55" spans="1:10">
      <c r="A55" t="s">
        <v>2</v>
      </c>
      <c r="B55" t="s">
        <v>3404</v>
      </c>
      <c r="D55">
        <v>45</v>
      </c>
      <c r="E55">
        <v>39</v>
      </c>
      <c r="F55">
        <v>18</v>
      </c>
      <c r="G55">
        <v>1.6</v>
      </c>
      <c r="H55" s="204">
        <v>0.46</v>
      </c>
      <c r="I55">
        <v>0.09</v>
      </c>
      <c r="J55">
        <v>6.2E-2</v>
      </c>
    </row>
    <row r="56" spans="1:10">
      <c r="A56" t="s">
        <v>2</v>
      </c>
      <c r="B56" t="s">
        <v>3404</v>
      </c>
      <c r="D56">
        <v>75</v>
      </c>
      <c r="E56">
        <v>50</v>
      </c>
      <c r="F56">
        <v>60</v>
      </c>
      <c r="G56">
        <v>2.1</v>
      </c>
      <c r="H56" s="204">
        <v>0.45</v>
      </c>
      <c r="I56">
        <v>8.6999999999999994E-2</v>
      </c>
      <c r="J56">
        <v>5.3999999999999999E-2</v>
      </c>
    </row>
    <row r="57" spans="1:10">
      <c r="A57" t="s">
        <v>2</v>
      </c>
      <c r="B57" t="s">
        <v>3404</v>
      </c>
      <c r="D57">
        <v>100</v>
      </c>
      <c r="E57">
        <v>70</v>
      </c>
      <c r="F57">
        <v>72</v>
      </c>
      <c r="G57">
        <v>2.9</v>
      </c>
      <c r="H57" s="204">
        <v>0.43</v>
      </c>
      <c r="I57">
        <v>0.08</v>
      </c>
      <c r="J57">
        <v>4.2000000000000003E-2</v>
      </c>
    </row>
    <row r="58" spans="1:10">
      <c r="A58" t="s">
        <v>2</v>
      </c>
      <c r="B58" t="s">
        <v>3404</v>
      </c>
      <c r="D58">
        <v>130</v>
      </c>
      <c r="E58">
        <v>78</v>
      </c>
      <c r="F58">
        <v>72</v>
      </c>
      <c r="G58">
        <v>3.2</v>
      </c>
      <c r="H58" s="204">
        <v>0.4</v>
      </c>
      <c r="I58">
        <v>6.9000000000000006E-2</v>
      </c>
      <c r="J58">
        <v>3.2000000000000001E-2</v>
      </c>
    </row>
    <row r="59" spans="1:10">
      <c r="A59" t="s">
        <v>2</v>
      </c>
      <c r="B59" t="s">
        <v>3404</v>
      </c>
      <c r="D59">
        <v>145</v>
      </c>
      <c r="E59">
        <v>86</v>
      </c>
      <c r="F59">
        <v>72</v>
      </c>
      <c r="G59">
        <v>3.6</v>
      </c>
      <c r="H59" s="204">
        <v>0.37</v>
      </c>
      <c r="I59">
        <v>6.5000000000000002E-2</v>
      </c>
      <c r="J59">
        <v>2.7E-2</v>
      </c>
    </row>
    <row r="60" spans="1:10">
      <c r="A60" t="s">
        <v>2</v>
      </c>
      <c r="B60" t="s">
        <v>3404</v>
      </c>
      <c r="D60">
        <v>190</v>
      </c>
      <c r="E60">
        <v>102</v>
      </c>
      <c r="F60">
        <v>72</v>
      </c>
      <c r="G60">
        <v>4.2</v>
      </c>
      <c r="H60" s="204">
        <v>0.37</v>
      </c>
      <c r="I60">
        <v>5.1999999999999998E-2</v>
      </c>
      <c r="J60">
        <v>0.02</v>
      </c>
    </row>
    <row r="61" spans="1:10">
      <c r="A61" t="s">
        <v>2</v>
      </c>
      <c r="B61" t="s">
        <v>3404</v>
      </c>
      <c r="D61" t="s">
        <v>6193</v>
      </c>
    </row>
    <row r="62" spans="1:10">
      <c r="A62" t="s">
        <v>2</v>
      </c>
      <c r="B62" t="s">
        <v>3404</v>
      </c>
      <c r="D62" t="s">
        <v>6194</v>
      </c>
    </row>
    <row r="63" spans="1:10">
      <c r="A63" t="s">
        <v>2</v>
      </c>
      <c r="B63" t="s">
        <v>3404</v>
      </c>
      <c r="D63" t="s">
        <v>6195</v>
      </c>
    </row>
    <row r="64" spans="1:10">
      <c r="A64" t="s">
        <v>2</v>
      </c>
      <c r="B64" t="s">
        <v>3404</v>
      </c>
    </row>
    <row r="65" spans="1:9">
      <c r="A65" t="s">
        <v>2</v>
      </c>
      <c r="B65" t="s">
        <v>3404</v>
      </c>
      <c r="D65" s="48" t="s">
        <v>5070</v>
      </c>
      <c r="E65" s="48">
        <f>AVERAGE(H54:H60)</f>
        <v>0.39714285714285719</v>
      </c>
    </row>
    <row r="66" spans="1:9">
      <c r="A66" t="s">
        <v>2</v>
      </c>
      <c r="B66" t="s">
        <v>3404</v>
      </c>
      <c r="D66" s="48" t="s">
        <v>3496</v>
      </c>
      <c r="E66" s="51">
        <f>[1]MonoSugar!$H$5</f>
        <v>70.776666666666657</v>
      </c>
    </row>
    <row r="67" spans="1:9">
      <c r="A67" t="s">
        <v>2</v>
      </c>
      <c r="B67" t="s">
        <v>3404</v>
      </c>
      <c r="D67" s="48" t="s">
        <v>5031</v>
      </c>
      <c r="E67" s="48">
        <f>E66%*E65</f>
        <v>0.28108447619047616</v>
      </c>
    </row>
    <row r="68" spans="1:9">
      <c r="A68" t="s">
        <v>2</v>
      </c>
      <c r="B68" t="s">
        <v>3404</v>
      </c>
    </row>
    <row r="69" spans="1:9">
      <c r="A69" t="s">
        <v>2</v>
      </c>
      <c r="B69" t="s">
        <v>3404</v>
      </c>
      <c r="C69" t="s">
        <v>3145</v>
      </c>
      <c r="D69" t="s">
        <v>6214</v>
      </c>
    </row>
    <row r="70" spans="1:9">
      <c r="A70" t="s">
        <v>2</v>
      </c>
      <c r="B70" t="s">
        <v>3404</v>
      </c>
      <c r="D70" t="s">
        <v>6215</v>
      </c>
    </row>
    <row r="71" spans="1:9" ht="15" thickBot="1">
      <c r="A71" t="s">
        <v>2</v>
      </c>
      <c r="B71" t="s">
        <v>3404</v>
      </c>
      <c r="D71" t="s">
        <v>6198</v>
      </c>
    </row>
    <row r="72" spans="1:9" ht="30.6" customHeight="1">
      <c r="A72" t="s">
        <v>2</v>
      </c>
      <c r="B72" t="s">
        <v>3404</v>
      </c>
      <c r="D72" s="649" t="s">
        <v>6199</v>
      </c>
      <c r="E72" s="651" t="s">
        <v>6200</v>
      </c>
      <c r="F72" s="651"/>
      <c r="G72" s="651" t="s">
        <v>6201</v>
      </c>
      <c r="H72" s="657"/>
    </row>
    <row r="73" spans="1:9" ht="15.6">
      <c r="A73" t="s">
        <v>2</v>
      </c>
      <c r="B73" t="s">
        <v>3404</v>
      </c>
      <c r="D73" s="650"/>
      <c r="E73" s="397" t="s">
        <v>2</v>
      </c>
      <c r="F73" s="397" t="s">
        <v>3601</v>
      </c>
      <c r="G73" s="397" t="s">
        <v>2</v>
      </c>
      <c r="H73" s="398" t="s">
        <v>3601</v>
      </c>
      <c r="I73" s="399" t="s">
        <v>4616</v>
      </c>
    </row>
    <row r="74" spans="1:9" ht="15.6">
      <c r="A74" t="s">
        <v>2</v>
      </c>
      <c r="B74" t="s">
        <v>3404</v>
      </c>
      <c r="D74" s="181">
        <v>30</v>
      </c>
      <c r="E74" s="185" t="s">
        <v>6202</v>
      </c>
      <c r="F74" s="185">
        <v>7.3</v>
      </c>
      <c r="G74" s="185" t="s">
        <v>6203</v>
      </c>
      <c r="H74" s="239" t="s">
        <v>6204</v>
      </c>
      <c r="I74" s="185">
        <v>0.35</v>
      </c>
    </row>
    <row r="75" spans="1:9" ht="15.6">
      <c r="A75" t="s">
        <v>2</v>
      </c>
      <c r="B75" t="s">
        <v>3404</v>
      </c>
      <c r="D75" s="181">
        <v>70</v>
      </c>
      <c r="E75" s="185" t="s">
        <v>6205</v>
      </c>
      <c r="F75" s="185">
        <v>6.8</v>
      </c>
      <c r="G75" s="185" t="s">
        <v>6206</v>
      </c>
      <c r="H75" s="239" t="s">
        <v>6207</v>
      </c>
      <c r="I75" s="185">
        <v>0.44</v>
      </c>
    </row>
    <row r="76" spans="1:9" ht="15.6">
      <c r="A76" t="s">
        <v>2</v>
      </c>
      <c r="B76" t="s">
        <v>3404</v>
      </c>
      <c r="D76" s="181">
        <v>100</v>
      </c>
      <c r="E76" s="185" t="s">
        <v>6208</v>
      </c>
      <c r="F76" s="185">
        <v>6.1</v>
      </c>
      <c r="G76" s="185" t="s">
        <v>6209</v>
      </c>
      <c r="H76" s="239" t="s">
        <v>6210</v>
      </c>
      <c r="I76" s="185">
        <v>0.43</v>
      </c>
    </row>
    <row r="77" spans="1:9" ht="16.2" thickBot="1">
      <c r="A77" t="s">
        <v>2</v>
      </c>
      <c r="B77" t="s">
        <v>3404</v>
      </c>
      <c r="D77" s="240">
        <v>120</v>
      </c>
      <c r="E77" s="241" t="s">
        <v>6211</v>
      </c>
      <c r="F77" s="241">
        <v>5.0999999999999996</v>
      </c>
      <c r="G77" s="241" t="s">
        <v>6212</v>
      </c>
      <c r="H77" s="279" t="s">
        <v>6213</v>
      </c>
      <c r="I77" s="241">
        <v>0.38</v>
      </c>
    </row>
    <row r="78" spans="1:9">
      <c r="A78" t="s">
        <v>2</v>
      </c>
      <c r="B78" t="s">
        <v>3404</v>
      </c>
    </row>
    <row r="79" spans="1:9">
      <c r="A79" t="s">
        <v>2</v>
      </c>
      <c r="B79" t="s">
        <v>3404</v>
      </c>
      <c r="D79" s="48" t="s">
        <v>5070</v>
      </c>
      <c r="E79" s="48">
        <f>AVERAGE(I74:I77)</f>
        <v>0.4</v>
      </c>
    </row>
    <row r="80" spans="1:9">
      <c r="A80" t="s">
        <v>2</v>
      </c>
      <c r="B80" t="s">
        <v>3404</v>
      </c>
      <c r="D80" s="48" t="s">
        <v>3496</v>
      </c>
      <c r="E80" s="51">
        <f>[1]MonoSugar!$H$5</f>
        <v>70.776666666666657</v>
      </c>
    </row>
    <row r="81" spans="1:8">
      <c r="A81" t="s">
        <v>2</v>
      </c>
      <c r="B81" t="s">
        <v>3404</v>
      </c>
      <c r="D81" s="48" t="s">
        <v>5031</v>
      </c>
      <c r="E81" s="48">
        <f>E80%*E79</f>
        <v>0.28310666666666662</v>
      </c>
    </row>
    <row r="82" spans="1:8">
      <c r="A82" t="s">
        <v>2</v>
      </c>
      <c r="B82" t="s">
        <v>3404</v>
      </c>
    </row>
    <row r="83" spans="1:8">
      <c r="A83" t="s">
        <v>2</v>
      </c>
      <c r="B83" t="s">
        <v>3404</v>
      </c>
    </row>
    <row r="84" spans="1:8">
      <c r="A84" t="s">
        <v>2</v>
      </c>
      <c r="B84" t="s">
        <v>3404</v>
      </c>
    </row>
    <row r="85" spans="1:8">
      <c r="A85" t="s">
        <v>2</v>
      </c>
      <c r="B85" t="s">
        <v>3404</v>
      </c>
    </row>
    <row r="86" spans="1:8">
      <c r="A86" t="s">
        <v>2</v>
      </c>
      <c r="B86" t="s">
        <v>3404</v>
      </c>
    </row>
    <row r="87" spans="1:8">
      <c r="A87" t="s">
        <v>2</v>
      </c>
      <c r="B87" t="s">
        <v>3532</v>
      </c>
      <c r="C87" t="s">
        <v>4</v>
      </c>
      <c r="D87" s="7" t="s">
        <v>3533</v>
      </c>
    </row>
    <row r="88" spans="1:8">
      <c r="A88" t="s">
        <v>2</v>
      </c>
      <c r="B88" t="s">
        <v>3532</v>
      </c>
      <c r="D88" s="7" t="s">
        <v>3534</v>
      </c>
    </row>
    <row r="89" spans="1:8" ht="15.6">
      <c r="A89" t="s">
        <v>2</v>
      </c>
      <c r="B89" t="s">
        <v>3532</v>
      </c>
      <c r="D89" s="306" t="s">
        <v>3535</v>
      </c>
    </row>
    <row r="90" spans="1:8">
      <c r="A90" t="s">
        <v>2</v>
      </c>
      <c r="B90" t="s">
        <v>3532</v>
      </c>
      <c r="D90" s="48" t="s">
        <v>3536</v>
      </c>
      <c r="E90" s="48">
        <v>0.215</v>
      </c>
    </row>
    <row r="91" spans="1:8">
      <c r="A91" t="s">
        <v>2</v>
      </c>
      <c r="B91" t="s">
        <v>3532</v>
      </c>
    </row>
    <row r="92" spans="1:8">
      <c r="A92" t="s">
        <v>2</v>
      </c>
      <c r="B92" t="s">
        <v>3532</v>
      </c>
      <c r="C92" t="s">
        <v>473</v>
      </c>
      <c r="D92" s="7" t="s">
        <v>3537</v>
      </c>
    </row>
    <row r="93" spans="1:8">
      <c r="A93" t="s">
        <v>2</v>
      </c>
      <c r="B93" t="s">
        <v>3532</v>
      </c>
      <c r="D93" s="7" t="s">
        <v>3538</v>
      </c>
    </row>
    <row r="94" spans="1:8">
      <c r="A94" t="s">
        <v>2</v>
      </c>
      <c r="B94" t="s">
        <v>3532</v>
      </c>
      <c r="D94" t="s">
        <v>3539</v>
      </c>
    </row>
    <row r="95" spans="1:8">
      <c r="A95" t="s">
        <v>2</v>
      </c>
      <c r="B95" t="s">
        <v>3532</v>
      </c>
      <c r="D95" s="48" t="s">
        <v>1135</v>
      </c>
      <c r="E95" s="48" t="s">
        <v>3151</v>
      </c>
      <c r="F95" s="48" t="s">
        <v>3540</v>
      </c>
      <c r="G95" s="48" t="s">
        <v>3541</v>
      </c>
      <c r="H95" s="48" t="s">
        <v>3415</v>
      </c>
    </row>
    <row r="96" spans="1:8">
      <c r="A96" t="s">
        <v>2</v>
      </c>
      <c r="B96" t="s">
        <v>3532</v>
      </c>
      <c r="D96" s="48" t="s">
        <v>409</v>
      </c>
      <c r="E96" s="48">
        <v>0.48</v>
      </c>
      <c r="F96" s="51">
        <f>[1]MonoSugar!$H$6</f>
        <v>34.835555555555558</v>
      </c>
      <c r="G96" s="48">
        <f>E96*$F$96/100</f>
        <v>0.1672106666666667</v>
      </c>
      <c r="H96" s="48">
        <f>AVERAGE(G96:G97)</f>
        <v>0.15501822222222222</v>
      </c>
    </row>
    <row r="97" spans="1:12">
      <c r="A97" t="s">
        <v>2</v>
      </c>
      <c r="B97" t="s">
        <v>3532</v>
      </c>
      <c r="D97" s="48" t="s">
        <v>3542</v>
      </c>
      <c r="E97" s="48">
        <v>0.41</v>
      </c>
      <c r="G97" s="48">
        <f>E97*$F$96/100</f>
        <v>0.14282577777777777</v>
      </c>
    </row>
    <row r="98" spans="1:12">
      <c r="A98" t="s">
        <v>2</v>
      </c>
      <c r="B98" t="s">
        <v>3532</v>
      </c>
    </row>
    <row r="99" spans="1:12">
      <c r="A99" t="s">
        <v>2</v>
      </c>
      <c r="B99" t="s">
        <v>3532</v>
      </c>
      <c r="C99" t="s">
        <v>69</v>
      </c>
      <c r="D99" t="s">
        <v>4893</v>
      </c>
    </row>
    <row r="100" spans="1:12">
      <c r="A100" t="s">
        <v>2</v>
      </c>
      <c r="B100" t="s">
        <v>3532</v>
      </c>
      <c r="D100" t="s">
        <v>4894</v>
      </c>
    </row>
    <row r="101" spans="1:12">
      <c r="A101" t="s">
        <v>2</v>
      </c>
      <c r="B101" t="s">
        <v>3532</v>
      </c>
      <c r="D101" t="s">
        <v>4895</v>
      </c>
    </row>
    <row r="102" spans="1:12">
      <c r="A102" t="s">
        <v>2</v>
      </c>
      <c r="B102" t="s">
        <v>3532</v>
      </c>
      <c r="D102" t="s">
        <v>1135</v>
      </c>
      <c r="E102" t="s">
        <v>4896</v>
      </c>
      <c r="F102" t="s">
        <v>4897</v>
      </c>
      <c r="G102" t="s">
        <v>4898</v>
      </c>
      <c r="H102" t="s">
        <v>4899</v>
      </c>
      <c r="I102" t="s">
        <v>4900</v>
      </c>
      <c r="J102" s="48" t="s">
        <v>3324</v>
      </c>
      <c r="K102" t="s">
        <v>4901</v>
      </c>
      <c r="L102" t="s">
        <v>4902</v>
      </c>
    </row>
    <row r="103" spans="1:12">
      <c r="A103" t="s">
        <v>2</v>
      </c>
      <c r="B103" t="s">
        <v>3532</v>
      </c>
      <c r="D103" t="s">
        <v>4903</v>
      </c>
      <c r="J103" s="48"/>
    </row>
    <row r="104" spans="1:12">
      <c r="A104" t="s">
        <v>2</v>
      </c>
      <c r="B104" t="s">
        <v>3532</v>
      </c>
      <c r="D104" t="s">
        <v>4904</v>
      </c>
      <c r="E104">
        <v>14.29</v>
      </c>
      <c r="F104">
        <v>100</v>
      </c>
      <c r="G104" t="s">
        <v>410</v>
      </c>
      <c r="H104" t="s">
        <v>410</v>
      </c>
      <c r="I104" t="s">
        <v>4905</v>
      </c>
      <c r="J104" s="48">
        <v>0.48</v>
      </c>
      <c r="K104">
        <v>0.22</v>
      </c>
      <c r="L104">
        <v>0.74</v>
      </c>
    </row>
    <row r="105" spans="1:12">
      <c r="A105" t="s">
        <v>2</v>
      </c>
      <c r="B105" t="s">
        <v>3532</v>
      </c>
      <c r="D105" t="s">
        <v>4906</v>
      </c>
      <c r="E105">
        <v>14.12</v>
      </c>
      <c r="F105">
        <v>100</v>
      </c>
      <c r="G105" t="s">
        <v>410</v>
      </c>
      <c r="H105" t="s">
        <v>410</v>
      </c>
      <c r="I105" t="s">
        <v>4907</v>
      </c>
      <c r="J105" s="48">
        <v>0.47</v>
      </c>
      <c r="K105">
        <v>0.21</v>
      </c>
      <c r="L105">
        <v>0.73</v>
      </c>
    </row>
    <row r="106" spans="1:12">
      <c r="A106" t="s">
        <v>2</v>
      </c>
      <c r="B106" t="s">
        <v>3532</v>
      </c>
      <c r="D106" t="s">
        <v>4908</v>
      </c>
      <c r="E106">
        <v>14.18</v>
      </c>
      <c r="F106">
        <v>100</v>
      </c>
      <c r="G106" t="s">
        <v>410</v>
      </c>
      <c r="H106" t="s">
        <v>410</v>
      </c>
      <c r="I106" t="s">
        <v>4907</v>
      </c>
      <c r="J106" s="48">
        <v>0.47</v>
      </c>
      <c r="K106">
        <v>0.21</v>
      </c>
      <c r="L106">
        <v>0.73</v>
      </c>
    </row>
    <row r="107" spans="1:12">
      <c r="A107" t="s">
        <v>2</v>
      </c>
      <c r="B107" t="s">
        <v>3532</v>
      </c>
      <c r="D107" t="s">
        <v>4909</v>
      </c>
      <c r="E107">
        <v>13.92</v>
      </c>
      <c r="F107">
        <v>100</v>
      </c>
      <c r="G107" t="s">
        <v>410</v>
      </c>
      <c r="H107" t="s">
        <v>410</v>
      </c>
      <c r="I107" t="s">
        <v>4910</v>
      </c>
      <c r="J107" s="48">
        <v>0.47</v>
      </c>
      <c r="K107">
        <v>0.21</v>
      </c>
      <c r="L107">
        <v>0.72</v>
      </c>
    </row>
    <row r="108" spans="1:12">
      <c r="A108" t="s">
        <v>2</v>
      </c>
      <c r="B108" t="s">
        <v>3532</v>
      </c>
      <c r="J108" s="48"/>
    </row>
    <row r="109" spans="1:12">
      <c r="A109" t="s">
        <v>2</v>
      </c>
      <c r="B109" t="s">
        <v>3532</v>
      </c>
      <c r="D109" t="s">
        <v>4911</v>
      </c>
      <c r="J109" s="48"/>
    </row>
    <row r="110" spans="1:12">
      <c r="A110" t="s">
        <v>2</v>
      </c>
      <c r="B110" t="s">
        <v>3532</v>
      </c>
      <c r="D110" t="s">
        <v>4904</v>
      </c>
      <c r="E110">
        <v>0.18</v>
      </c>
      <c r="F110" t="s">
        <v>410</v>
      </c>
      <c r="G110">
        <v>0</v>
      </c>
      <c r="H110">
        <v>0</v>
      </c>
      <c r="I110" t="s">
        <v>410</v>
      </c>
      <c r="J110" s="48"/>
      <c r="K110" t="s">
        <v>410</v>
      </c>
      <c r="L110" t="s">
        <v>410</v>
      </c>
    </row>
    <row r="111" spans="1:12">
      <c r="A111" t="s">
        <v>2</v>
      </c>
      <c r="B111" t="s">
        <v>3532</v>
      </c>
      <c r="D111" t="s">
        <v>4906</v>
      </c>
      <c r="E111">
        <v>5.26</v>
      </c>
      <c r="F111" t="s">
        <v>410</v>
      </c>
      <c r="G111">
        <v>100</v>
      </c>
      <c r="H111">
        <v>0</v>
      </c>
      <c r="I111" t="s">
        <v>4912</v>
      </c>
      <c r="J111" s="48">
        <v>0.48</v>
      </c>
      <c r="K111">
        <v>7.0000000000000007E-2</v>
      </c>
      <c r="L111">
        <v>0.18</v>
      </c>
    </row>
    <row r="112" spans="1:12">
      <c r="A112" t="s">
        <v>2</v>
      </c>
      <c r="B112" t="s">
        <v>3532</v>
      </c>
      <c r="D112" t="s">
        <v>4908</v>
      </c>
      <c r="E112">
        <v>0.23</v>
      </c>
      <c r="F112" t="s">
        <v>410</v>
      </c>
      <c r="G112">
        <v>0</v>
      </c>
      <c r="H112">
        <v>0</v>
      </c>
      <c r="I112" t="s">
        <v>410</v>
      </c>
      <c r="J112" s="48"/>
      <c r="K112" t="s">
        <v>410</v>
      </c>
      <c r="L112" t="s">
        <v>410</v>
      </c>
    </row>
    <row r="113" spans="1:15">
      <c r="A113" t="s">
        <v>2</v>
      </c>
      <c r="B113" t="s">
        <v>3532</v>
      </c>
      <c r="D113" t="s">
        <v>4909</v>
      </c>
      <c r="E113">
        <v>5.01</v>
      </c>
      <c r="F113" t="s">
        <v>410</v>
      </c>
      <c r="G113">
        <v>100</v>
      </c>
      <c r="H113">
        <v>0</v>
      </c>
      <c r="I113" t="s">
        <v>4913</v>
      </c>
      <c r="J113" s="48">
        <v>0.45</v>
      </c>
      <c r="K113">
        <v>7.0000000000000007E-2</v>
      </c>
      <c r="L113">
        <v>0.17</v>
      </c>
    </row>
    <row r="114" spans="1:15">
      <c r="A114" t="s">
        <v>2</v>
      </c>
      <c r="B114" t="s">
        <v>3532</v>
      </c>
      <c r="J114" s="48"/>
    </row>
    <row r="115" spans="1:15">
      <c r="A115" t="s">
        <v>2</v>
      </c>
      <c r="B115" t="s">
        <v>3532</v>
      </c>
      <c r="D115" t="s">
        <v>4914</v>
      </c>
      <c r="J115" s="48"/>
    </row>
    <row r="116" spans="1:15">
      <c r="A116" t="s">
        <v>2</v>
      </c>
      <c r="B116" t="s">
        <v>3532</v>
      </c>
      <c r="D116" t="s">
        <v>4904</v>
      </c>
      <c r="E116">
        <v>2.2999999999999998</v>
      </c>
      <c r="F116" t="s">
        <v>410</v>
      </c>
      <c r="G116">
        <v>0</v>
      </c>
      <c r="H116">
        <v>41</v>
      </c>
      <c r="I116" t="s">
        <v>4915</v>
      </c>
      <c r="J116" s="48">
        <v>0.5</v>
      </c>
      <c r="K116">
        <v>0.03</v>
      </c>
      <c r="L116">
        <v>0.09</v>
      </c>
    </row>
    <row r="117" spans="1:15">
      <c r="A117" t="s">
        <v>2</v>
      </c>
      <c r="B117" t="s">
        <v>3532</v>
      </c>
      <c r="D117" t="s">
        <v>4906</v>
      </c>
      <c r="E117">
        <v>7.3</v>
      </c>
      <c r="F117" t="s">
        <v>410</v>
      </c>
      <c r="G117">
        <v>100</v>
      </c>
      <c r="H117">
        <v>37</v>
      </c>
      <c r="I117" t="s">
        <v>4915</v>
      </c>
      <c r="J117" s="48">
        <v>0.5</v>
      </c>
      <c r="K117">
        <v>0.1</v>
      </c>
      <c r="L117">
        <v>0.22</v>
      </c>
    </row>
    <row r="118" spans="1:15">
      <c r="A118" t="s">
        <v>2</v>
      </c>
      <c r="B118" t="s">
        <v>3532</v>
      </c>
      <c r="D118" t="s">
        <v>4908</v>
      </c>
      <c r="E118">
        <v>2.29</v>
      </c>
      <c r="F118" t="s">
        <v>410</v>
      </c>
      <c r="G118">
        <v>0</v>
      </c>
      <c r="H118">
        <v>40</v>
      </c>
      <c r="I118" t="s">
        <v>4915</v>
      </c>
      <c r="J118" s="48">
        <v>0.5</v>
      </c>
      <c r="K118">
        <v>0.03</v>
      </c>
      <c r="L118">
        <v>0.09</v>
      </c>
    </row>
    <row r="119" spans="1:15">
      <c r="A119" t="s">
        <v>2</v>
      </c>
      <c r="B119" t="s">
        <v>3532</v>
      </c>
      <c r="D119" t="s">
        <v>4909</v>
      </c>
      <c r="E119">
        <v>7</v>
      </c>
      <c r="F119" t="s">
        <v>410</v>
      </c>
      <c r="G119">
        <v>100</v>
      </c>
      <c r="H119">
        <v>37</v>
      </c>
      <c r="I119" t="s">
        <v>4916</v>
      </c>
      <c r="J119" s="48">
        <v>0.49</v>
      </c>
      <c r="K119">
        <v>0.1</v>
      </c>
      <c r="L119">
        <v>0.2</v>
      </c>
    </row>
    <row r="120" spans="1:15">
      <c r="A120" t="s">
        <v>2</v>
      </c>
      <c r="B120" t="s">
        <v>3532</v>
      </c>
      <c r="D120" t="s">
        <v>4917</v>
      </c>
      <c r="I120" t="s">
        <v>510</v>
      </c>
      <c r="J120" s="48">
        <f>AVERAGE(J104:J119)</f>
        <v>0.48100000000000004</v>
      </c>
    </row>
    <row r="121" spans="1:15">
      <c r="A121" t="s">
        <v>2</v>
      </c>
      <c r="B121" t="s">
        <v>3532</v>
      </c>
      <c r="D121" s="48" t="s">
        <v>4918</v>
      </c>
      <c r="E121" s="48">
        <f>J120</f>
        <v>0.48100000000000004</v>
      </c>
    </row>
    <row r="122" spans="1:15">
      <c r="A122" t="s">
        <v>2</v>
      </c>
      <c r="B122" t="s">
        <v>3532</v>
      </c>
      <c r="D122" s="48" t="s">
        <v>4919</v>
      </c>
      <c r="E122" s="51">
        <f>[1]MonoSugar!$H$6</f>
        <v>34.835555555555558</v>
      </c>
    </row>
    <row r="123" spans="1:15">
      <c r="A123" t="s">
        <v>2</v>
      </c>
      <c r="B123" t="s">
        <v>3532</v>
      </c>
      <c r="D123" s="48" t="s">
        <v>4920</v>
      </c>
      <c r="E123" s="48">
        <f>E121*E122%</f>
        <v>0.16755902222222224</v>
      </c>
    </row>
    <row r="124" spans="1:15">
      <c r="A124" t="s">
        <v>2</v>
      </c>
      <c r="B124" t="s">
        <v>3532</v>
      </c>
    </row>
    <row r="125" spans="1:15">
      <c r="A125" t="s">
        <v>2</v>
      </c>
      <c r="B125" t="s">
        <v>3532</v>
      </c>
      <c r="C125" t="s">
        <v>420</v>
      </c>
      <c r="D125" t="s">
        <v>4921</v>
      </c>
    </row>
    <row r="126" spans="1:15">
      <c r="A126" t="s">
        <v>2</v>
      </c>
      <c r="B126" t="s">
        <v>3532</v>
      </c>
      <c r="D126" t="s">
        <v>4922</v>
      </c>
    </row>
    <row r="127" spans="1:15">
      <c r="A127" t="s">
        <v>2</v>
      </c>
      <c r="B127" t="s">
        <v>3532</v>
      </c>
      <c r="D127" t="s">
        <v>4923</v>
      </c>
    </row>
    <row r="128" spans="1:15">
      <c r="A128" t="s">
        <v>2</v>
      </c>
      <c r="B128" t="s">
        <v>3532</v>
      </c>
      <c r="D128" t="s">
        <v>202</v>
      </c>
      <c r="E128" t="s">
        <v>74</v>
      </c>
      <c r="F128" t="s">
        <v>4924</v>
      </c>
      <c r="G128" t="s">
        <v>4925</v>
      </c>
      <c r="H128" t="s">
        <v>4904</v>
      </c>
      <c r="I128" t="s">
        <v>4926</v>
      </c>
      <c r="J128" t="s">
        <v>4927</v>
      </c>
      <c r="K128" t="s">
        <v>4928</v>
      </c>
      <c r="L128" t="s">
        <v>4929</v>
      </c>
      <c r="M128" t="s">
        <v>4930</v>
      </c>
      <c r="N128" t="s">
        <v>4931</v>
      </c>
      <c r="O128" t="s">
        <v>510</v>
      </c>
    </row>
    <row r="129" spans="1:15">
      <c r="A129" t="s">
        <v>2</v>
      </c>
      <c r="B129" t="s">
        <v>3532</v>
      </c>
      <c r="D129" t="s">
        <v>4932</v>
      </c>
    </row>
    <row r="130" spans="1:15">
      <c r="A130" t="s">
        <v>2</v>
      </c>
      <c r="B130" t="s">
        <v>3532</v>
      </c>
      <c r="D130" t="s">
        <v>4933</v>
      </c>
      <c r="E130" t="s">
        <v>84</v>
      </c>
      <c r="F130">
        <v>15.2</v>
      </c>
      <c r="G130">
        <v>3.1</v>
      </c>
      <c r="H130" t="s">
        <v>410</v>
      </c>
      <c r="I130">
        <v>21.2</v>
      </c>
      <c r="J130" t="s">
        <v>410</v>
      </c>
      <c r="K130">
        <v>2.5</v>
      </c>
      <c r="L130" t="s">
        <v>410</v>
      </c>
      <c r="M130">
        <v>28</v>
      </c>
      <c r="N130">
        <v>24.1</v>
      </c>
    </row>
    <row r="131" spans="1:15">
      <c r="A131" t="s">
        <v>2</v>
      </c>
      <c r="B131" t="s">
        <v>3532</v>
      </c>
      <c r="D131" t="s">
        <v>4934</v>
      </c>
      <c r="E131" t="s">
        <v>103</v>
      </c>
      <c r="F131">
        <v>7</v>
      </c>
      <c r="G131">
        <v>5.3</v>
      </c>
      <c r="H131">
        <v>5.0999999999999996</v>
      </c>
      <c r="I131">
        <v>6.3</v>
      </c>
      <c r="J131">
        <v>5.5</v>
      </c>
      <c r="K131">
        <v>7.2</v>
      </c>
      <c r="L131">
        <v>6.5</v>
      </c>
      <c r="M131">
        <v>5.9</v>
      </c>
      <c r="N131">
        <v>6.1</v>
      </c>
    </row>
    <row r="132" spans="1:15">
      <c r="A132" t="s">
        <v>2</v>
      </c>
      <c r="B132" t="s">
        <v>3532</v>
      </c>
      <c r="E132" t="s">
        <v>2</v>
      </c>
      <c r="F132">
        <v>84.8</v>
      </c>
      <c r="G132">
        <v>93.3</v>
      </c>
      <c r="H132">
        <v>97</v>
      </c>
      <c r="I132">
        <v>85.7</v>
      </c>
      <c r="J132">
        <v>87.9</v>
      </c>
      <c r="K132">
        <v>87.1</v>
      </c>
      <c r="L132">
        <v>93.9</v>
      </c>
      <c r="M132">
        <v>79.599999999999994</v>
      </c>
      <c r="N132">
        <v>81.3</v>
      </c>
    </row>
    <row r="133" spans="1:15">
      <c r="A133" t="s">
        <v>2</v>
      </c>
      <c r="B133" t="s">
        <v>3532</v>
      </c>
      <c r="D133" t="s">
        <v>4935</v>
      </c>
      <c r="F133" s="204">
        <v>0.46</v>
      </c>
      <c r="G133" s="204">
        <v>0.47</v>
      </c>
      <c r="H133" s="204">
        <v>0.49</v>
      </c>
      <c r="I133" s="204">
        <v>0.48</v>
      </c>
      <c r="J133" s="204">
        <v>0.44</v>
      </c>
      <c r="K133" s="204">
        <v>0.44</v>
      </c>
      <c r="L133" s="204">
        <v>0.47</v>
      </c>
      <c r="M133" s="204">
        <v>0.46</v>
      </c>
      <c r="N133" s="204">
        <v>0.46</v>
      </c>
      <c r="O133">
        <f>AVERAGE(F133:N133)</f>
        <v>0.46333333333333332</v>
      </c>
    </row>
    <row r="134" spans="1:15">
      <c r="A134" t="s">
        <v>2</v>
      </c>
      <c r="B134" t="s">
        <v>3532</v>
      </c>
      <c r="F134" s="174">
        <v>-0.9</v>
      </c>
      <c r="G134" s="174">
        <v>-0.91</v>
      </c>
      <c r="H134" s="174">
        <v>-0.95</v>
      </c>
      <c r="I134" s="174">
        <v>-0.94</v>
      </c>
      <c r="J134" s="174">
        <v>-0.86</v>
      </c>
      <c r="K134" s="174">
        <v>-0.86</v>
      </c>
      <c r="L134" s="174">
        <v>-0.92</v>
      </c>
      <c r="M134" s="174">
        <v>-0.91</v>
      </c>
      <c r="N134" s="174">
        <v>-0.9</v>
      </c>
    </row>
    <row r="135" spans="1:15">
      <c r="A135" t="s">
        <v>2</v>
      </c>
      <c r="B135" t="s">
        <v>3532</v>
      </c>
    </row>
    <row r="136" spans="1:15">
      <c r="A136" t="s">
        <v>2</v>
      </c>
      <c r="B136" t="s">
        <v>3532</v>
      </c>
      <c r="D136" t="s">
        <v>4936</v>
      </c>
    </row>
    <row r="137" spans="1:15">
      <c r="A137" t="s">
        <v>2</v>
      </c>
      <c r="B137" t="s">
        <v>3532</v>
      </c>
      <c r="D137" t="s">
        <v>4933</v>
      </c>
      <c r="E137" t="s">
        <v>84</v>
      </c>
      <c r="F137">
        <v>10.9</v>
      </c>
      <c r="G137">
        <v>8.6</v>
      </c>
      <c r="H137">
        <v>3.7</v>
      </c>
      <c r="I137">
        <v>3.2</v>
      </c>
      <c r="J137" t="s">
        <v>209</v>
      </c>
      <c r="K137">
        <v>15</v>
      </c>
      <c r="L137">
        <v>5.5</v>
      </c>
      <c r="M137">
        <v>20</v>
      </c>
      <c r="N137">
        <v>22.3</v>
      </c>
    </row>
    <row r="138" spans="1:15">
      <c r="A138" t="s">
        <v>2</v>
      </c>
      <c r="B138" t="s">
        <v>3532</v>
      </c>
      <c r="E138" t="s">
        <v>4686</v>
      </c>
      <c r="F138">
        <v>46</v>
      </c>
      <c r="G138">
        <v>45.3</v>
      </c>
      <c r="H138">
        <v>44.8</v>
      </c>
      <c r="I138">
        <v>45</v>
      </c>
      <c r="J138">
        <v>44.5</v>
      </c>
      <c r="K138">
        <v>44.2</v>
      </c>
      <c r="L138">
        <v>44.7</v>
      </c>
      <c r="M138">
        <v>45.4</v>
      </c>
      <c r="N138">
        <v>44.3</v>
      </c>
    </row>
    <row r="139" spans="1:15">
      <c r="A139" t="s">
        <v>2</v>
      </c>
      <c r="B139" t="s">
        <v>3532</v>
      </c>
      <c r="D139" t="s">
        <v>4934</v>
      </c>
      <c r="E139" t="s">
        <v>401</v>
      </c>
      <c r="F139">
        <v>3.6</v>
      </c>
      <c r="G139">
        <v>3.5</v>
      </c>
      <c r="H139">
        <v>4.8</v>
      </c>
      <c r="I139">
        <v>3.8</v>
      </c>
      <c r="J139">
        <v>4.0999999999999996</v>
      </c>
      <c r="K139">
        <v>4.8</v>
      </c>
      <c r="L139">
        <v>4</v>
      </c>
      <c r="M139">
        <v>4</v>
      </c>
      <c r="N139">
        <v>5.0999999999999996</v>
      </c>
    </row>
    <row r="140" spans="1:15">
      <c r="A140" t="s">
        <v>2</v>
      </c>
      <c r="B140" t="s">
        <v>3532</v>
      </c>
      <c r="E140" t="s">
        <v>103</v>
      </c>
      <c r="F140">
        <v>4.8</v>
      </c>
      <c r="G140">
        <v>4.0999999999999996</v>
      </c>
      <c r="H140">
        <v>4</v>
      </c>
      <c r="I140">
        <v>3.9</v>
      </c>
      <c r="J140">
        <v>4.5</v>
      </c>
      <c r="K140">
        <v>5</v>
      </c>
      <c r="L140">
        <v>4.2</v>
      </c>
      <c r="M140">
        <v>3.9</v>
      </c>
      <c r="N140">
        <v>4.3</v>
      </c>
    </row>
    <row r="141" spans="1:15">
      <c r="A141" t="s">
        <v>2</v>
      </c>
      <c r="B141" t="s">
        <v>3532</v>
      </c>
      <c r="E141" t="s">
        <v>2</v>
      </c>
      <c r="F141">
        <v>60.6</v>
      </c>
      <c r="G141">
        <v>59.6</v>
      </c>
      <c r="H141">
        <v>68.599999999999994</v>
      </c>
      <c r="I141">
        <v>64.7</v>
      </c>
      <c r="J141">
        <v>65.5</v>
      </c>
      <c r="K141">
        <v>58</v>
      </c>
      <c r="L141">
        <v>62.4</v>
      </c>
      <c r="M141">
        <v>56.6</v>
      </c>
      <c r="N141">
        <v>54.7</v>
      </c>
    </row>
    <row r="142" spans="1:15">
      <c r="A142" t="s">
        <v>2</v>
      </c>
      <c r="B142" t="s">
        <v>3532</v>
      </c>
      <c r="D142" t="s">
        <v>4935</v>
      </c>
      <c r="F142" s="204">
        <v>0.46</v>
      </c>
      <c r="G142" s="204">
        <v>0.42</v>
      </c>
      <c r="H142" s="204">
        <v>0.47</v>
      </c>
      <c r="I142" s="204">
        <v>0.44</v>
      </c>
      <c r="J142" s="204">
        <v>0.44</v>
      </c>
      <c r="K142" s="204">
        <v>0.43</v>
      </c>
      <c r="L142" s="204">
        <v>0.43</v>
      </c>
      <c r="M142" s="204">
        <v>0.44</v>
      </c>
      <c r="N142" s="204">
        <v>0.43</v>
      </c>
      <c r="O142">
        <f>AVERAGE(F142:N142)</f>
        <v>0.44000000000000006</v>
      </c>
    </row>
    <row r="143" spans="1:15">
      <c r="A143" t="s">
        <v>2</v>
      </c>
      <c r="B143" t="s">
        <v>3532</v>
      </c>
      <c r="F143" s="174">
        <v>-0.85</v>
      </c>
      <c r="G143" s="174">
        <v>-0.83</v>
      </c>
      <c r="H143" s="174">
        <v>-0.92</v>
      </c>
      <c r="I143" s="174">
        <v>-0.86</v>
      </c>
      <c r="J143" s="174">
        <v>-0.86</v>
      </c>
      <c r="K143" s="174">
        <v>-0.84</v>
      </c>
      <c r="L143" s="174">
        <v>-0.85</v>
      </c>
      <c r="M143" s="174">
        <v>-0.85</v>
      </c>
      <c r="N143" s="174">
        <v>-0.84</v>
      </c>
    </row>
    <row r="144" spans="1:15">
      <c r="A144" t="s">
        <v>2</v>
      </c>
      <c r="B144" t="s">
        <v>3532</v>
      </c>
    </row>
    <row r="145" spans="1:15">
      <c r="A145" t="s">
        <v>2</v>
      </c>
      <c r="B145" t="s">
        <v>3532</v>
      </c>
      <c r="D145" t="s">
        <v>4937</v>
      </c>
    </row>
    <row r="146" spans="1:15">
      <c r="A146" t="s">
        <v>2</v>
      </c>
      <c r="B146" t="s">
        <v>3532</v>
      </c>
      <c r="D146" t="s">
        <v>4933</v>
      </c>
      <c r="E146" t="s">
        <v>84</v>
      </c>
      <c r="F146" t="s">
        <v>410</v>
      </c>
      <c r="G146" t="s">
        <v>410</v>
      </c>
      <c r="H146" t="s">
        <v>410</v>
      </c>
      <c r="I146" t="s">
        <v>410</v>
      </c>
      <c r="J146" t="s">
        <v>410</v>
      </c>
      <c r="K146" t="s">
        <v>410</v>
      </c>
      <c r="L146" t="s">
        <v>410</v>
      </c>
      <c r="M146" t="s">
        <v>410</v>
      </c>
      <c r="N146">
        <v>6.7</v>
      </c>
    </row>
    <row r="147" spans="1:15">
      <c r="A147" t="s">
        <v>2</v>
      </c>
      <c r="B147" t="s">
        <v>3532</v>
      </c>
      <c r="E147" t="s">
        <v>4686</v>
      </c>
      <c r="F147">
        <v>97.4</v>
      </c>
      <c r="G147">
        <v>93.3</v>
      </c>
      <c r="H147">
        <v>95.8</v>
      </c>
      <c r="I147">
        <v>94.5</v>
      </c>
      <c r="J147">
        <v>95.5</v>
      </c>
      <c r="K147">
        <v>96</v>
      </c>
      <c r="L147">
        <v>95.2</v>
      </c>
      <c r="M147">
        <v>95.4</v>
      </c>
      <c r="N147">
        <v>94.3</v>
      </c>
    </row>
    <row r="148" spans="1:15">
      <c r="A148" t="s">
        <v>2</v>
      </c>
      <c r="B148" t="s">
        <v>3532</v>
      </c>
      <c r="D148" t="s">
        <v>4934</v>
      </c>
      <c r="E148" t="s">
        <v>401</v>
      </c>
      <c r="F148">
        <v>2.9</v>
      </c>
      <c r="G148">
        <v>3.7</v>
      </c>
      <c r="H148">
        <v>3.1</v>
      </c>
      <c r="I148">
        <v>3.5</v>
      </c>
      <c r="J148">
        <v>3.3</v>
      </c>
      <c r="K148">
        <v>3.1</v>
      </c>
      <c r="L148">
        <v>3.5</v>
      </c>
      <c r="M148">
        <v>3.3</v>
      </c>
      <c r="N148">
        <v>4.5999999999999996</v>
      </c>
    </row>
    <row r="149" spans="1:15">
      <c r="A149" t="s">
        <v>2</v>
      </c>
      <c r="B149" t="s">
        <v>3532</v>
      </c>
      <c r="E149" t="s">
        <v>103</v>
      </c>
      <c r="F149">
        <v>4.2</v>
      </c>
      <c r="G149">
        <v>3.9</v>
      </c>
      <c r="H149">
        <v>3.7</v>
      </c>
      <c r="I149">
        <v>3.5</v>
      </c>
      <c r="J149">
        <v>4.0999999999999996</v>
      </c>
      <c r="K149">
        <v>4.2</v>
      </c>
      <c r="L149">
        <v>3.4</v>
      </c>
      <c r="M149">
        <v>3.1</v>
      </c>
      <c r="N149">
        <v>4</v>
      </c>
    </row>
    <row r="150" spans="1:15">
      <c r="A150" t="s">
        <v>2</v>
      </c>
      <c r="B150" t="s">
        <v>3532</v>
      </c>
      <c r="E150" t="s">
        <v>2</v>
      </c>
      <c r="F150">
        <v>37</v>
      </c>
      <c r="G150">
        <v>40.5</v>
      </c>
      <c r="H150">
        <v>45</v>
      </c>
      <c r="I150">
        <v>33.9</v>
      </c>
      <c r="J150">
        <v>36.5</v>
      </c>
      <c r="K150">
        <v>32</v>
      </c>
      <c r="L150">
        <v>39.4</v>
      </c>
      <c r="M150">
        <v>30.9</v>
      </c>
      <c r="N150">
        <v>33.5</v>
      </c>
    </row>
    <row r="151" spans="1:15">
      <c r="A151" t="s">
        <v>2</v>
      </c>
      <c r="B151" t="s">
        <v>3532</v>
      </c>
      <c r="D151" t="s">
        <v>4935</v>
      </c>
      <c r="F151" s="204">
        <v>0.37</v>
      </c>
      <c r="G151" s="204">
        <v>0.4</v>
      </c>
      <c r="H151" s="204">
        <v>0.45</v>
      </c>
      <c r="I151" s="204">
        <v>0.34</v>
      </c>
      <c r="J151" s="204">
        <v>0.37</v>
      </c>
      <c r="K151" s="204">
        <v>0.32</v>
      </c>
      <c r="L151" s="204">
        <v>0.39</v>
      </c>
      <c r="M151" s="204">
        <v>0.31</v>
      </c>
      <c r="N151" s="204">
        <v>0.36</v>
      </c>
      <c r="O151">
        <f>AVERAGE(F151:N151)</f>
        <v>0.36777777777777776</v>
      </c>
    </row>
    <row r="152" spans="1:15">
      <c r="A152" t="s">
        <v>2</v>
      </c>
      <c r="B152" t="s">
        <v>3532</v>
      </c>
      <c r="F152" s="174">
        <v>-0.73</v>
      </c>
      <c r="G152" s="174">
        <v>-0.79</v>
      </c>
      <c r="H152" s="174">
        <v>-0.88</v>
      </c>
      <c r="I152" s="174">
        <v>-0.66</v>
      </c>
      <c r="J152" s="174">
        <v>-0.72</v>
      </c>
      <c r="K152" s="174">
        <v>-0.63</v>
      </c>
      <c r="L152" t="s">
        <v>4938</v>
      </c>
      <c r="M152" s="174">
        <v>-0.61</v>
      </c>
      <c r="N152" s="174">
        <v>-0.7</v>
      </c>
    </row>
    <row r="153" spans="1:15">
      <c r="A153" t="s">
        <v>2</v>
      </c>
      <c r="B153" t="s">
        <v>3532</v>
      </c>
      <c r="D153" t="s">
        <v>1177</v>
      </c>
    </row>
    <row r="154" spans="1:15">
      <c r="A154" t="s">
        <v>2</v>
      </c>
      <c r="B154" t="s">
        <v>3532</v>
      </c>
      <c r="D154" t="s">
        <v>4939</v>
      </c>
    </row>
    <row r="155" spans="1:15">
      <c r="A155" t="s">
        <v>2</v>
      </c>
      <c r="B155" t="s">
        <v>3532</v>
      </c>
      <c r="D155" t="s">
        <v>4940</v>
      </c>
      <c r="E155">
        <f>AVERAGE(O151,O142,O133)</f>
        <v>0.42370370370370369</v>
      </c>
    </row>
    <row r="156" spans="1:15">
      <c r="A156" t="s">
        <v>2</v>
      </c>
      <c r="B156" t="s">
        <v>3532</v>
      </c>
      <c r="D156" s="48" t="s">
        <v>4919</v>
      </c>
      <c r="E156" s="51">
        <f>[1]MonoSugar!$H$6</f>
        <v>34.835555555555558</v>
      </c>
    </row>
    <row r="157" spans="1:15">
      <c r="A157" t="s">
        <v>2</v>
      </c>
      <c r="B157" t="s">
        <v>3532</v>
      </c>
      <c r="D157" s="48" t="s">
        <v>4920</v>
      </c>
      <c r="E157" s="48">
        <f>E155*E156%</f>
        <v>0.14759953909465021</v>
      </c>
    </row>
    <row r="158" spans="1:15">
      <c r="A158" t="s">
        <v>2</v>
      </c>
      <c r="B158" t="s">
        <v>3532</v>
      </c>
      <c r="C158" t="s">
        <v>425</v>
      </c>
      <c r="D158" t="s">
        <v>4941</v>
      </c>
    </row>
    <row r="159" spans="1:15">
      <c r="A159" t="s">
        <v>2</v>
      </c>
      <c r="B159" t="s">
        <v>3532</v>
      </c>
      <c r="D159" t="s">
        <v>4942</v>
      </c>
    </row>
    <row r="160" spans="1:15">
      <c r="A160" t="s">
        <v>2</v>
      </c>
      <c r="B160" t="s">
        <v>3532</v>
      </c>
      <c r="D160" t="s">
        <v>4943</v>
      </c>
    </row>
    <row r="161" spans="1:5">
      <c r="A161" t="s">
        <v>2</v>
      </c>
      <c r="B161" t="s">
        <v>3532</v>
      </c>
      <c r="D161" t="s">
        <v>4944</v>
      </c>
      <c r="E161">
        <v>0.41</v>
      </c>
    </row>
    <row r="162" spans="1:5">
      <c r="A162" t="s">
        <v>2</v>
      </c>
      <c r="B162" t="s">
        <v>3532</v>
      </c>
      <c r="E162">
        <v>0.48</v>
      </c>
    </row>
    <row r="163" spans="1:5">
      <c r="A163" t="s">
        <v>2</v>
      </c>
      <c r="B163" t="s">
        <v>3532</v>
      </c>
      <c r="D163" t="s">
        <v>510</v>
      </c>
      <c r="E163">
        <f>AVERAGE(E161:E162)</f>
        <v>0.44499999999999995</v>
      </c>
    </row>
    <row r="164" spans="1:5">
      <c r="A164" t="s">
        <v>2</v>
      </c>
      <c r="B164" t="s">
        <v>3532</v>
      </c>
      <c r="D164" s="48" t="s">
        <v>4919</v>
      </c>
      <c r="E164" s="51">
        <f>[1]MonoSugar!$H$6</f>
        <v>34.835555555555558</v>
      </c>
    </row>
    <row r="165" spans="1:5">
      <c r="A165" t="s">
        <v>2</v>
      </c>
      <c r="B165" t="s">
        <v>3532</v>
      </c>
      <c r="D165" s="48" t="s">
        <v>4920</v>
      </c>
      <c r="E165" s="48">
        <f>E163*E164%</f>
        <v>0.15501822222222222</v>
      </c>
    </row>
    <row r="166" spans="1:5">
      <c r="A166" t="s">
        <v>2</v>
      </c>
      <c r="B166" t="s">
        <v>3532</v>
      </c>
    </row>
    <row r="167" spans="1:5">
      <c r="A167" t="s">
        <v>2</v>
      </c>
      <c r="B167" t="s">
        <v>3532</v>
      </c>
    </row>
    <row r="168" spans="1:5">
      <c r="A168" t="s">
        <v>2</v>
      </c>
      <c r="B168" t="s">
        <v>3532</v>
      </c>
    </row>
    <row r="169" spans="1:5">
      <c r="A169" t="s">
        <v>2</v>
      </c>
      <c r="B169" t="s">
        <v>3532</v>
      </c>
    </row>
    <row r="170" spans="1:5">
      <c r="A170" t="s">
        <v>2</v>
      </c>
      <c r="B170" t="s">
        <v>3532</v>
      </c>
    </row>
    <row r="171" spans="1:5">
      <c r="A171" t="s">
        <v>2</v>
      </c>
      <c r="B171" t="s">
        <v>3532</v>
      </c>
    </row>
    <row r="172" spans="1:5">
      <c r="A172" t="s">
        <v>2</v>
      </c>
      <c r="B172" t="s">
        <v>3532</v>
      </c>
    </row>
    <row r="173" spans="1:5">
      <c r="A173" t="s">
        <v>2</v>
      </c>
      <c r="B173" t="s">
        <v>4554</v>
      </c>
      <c r="C173" t="s">
        <v>638</v>
      </c>
      <c r="D173" s="48" t="s">
        <v>8</v>
      </c>
      <c r="E173" s="48"/>
    </row>
    <row r="174" spans="1:5">
      <c r="A174" t="s">
        <v>2</v>
      </c>
      <c r="B174" t="s">
        <v>4554</v>
      </c>
      <c r="D174" s="48">
        <v>180</v>
      </c>
      <c r="E174" s="48">
        <v>46</v>
      </c>
    </row>
    <row r="175" spans="1:5">
      <c r="A175" t="s">
        <v>2</v>
      </c>
      <c r="B175" t="s">
        <v>4554</v>
      </c>
      <c r="D175" s="48" t="s">
        <v>2863</v>
      </c>
      <c r="E175" s="48">
        <v>0.51143000000000005</v>
      </c>
    </row>
    <row r="176" spans="1:5">
      <c r="A176" t="s">
        <v>2</v>
      </c>
      <c r="B176" t="s">
        <v>4554</v>
      </c>
      <c r="D176" s="48" t="s">
        <v>4555</v>
      </c>
      <c r="E176" s="51">
        <f>[1]MonoSugar!$K$7</f>
        <v>41.8</v>
      </c>
    </row>
    <row r="177" spans="1:16">
      <c r="A177" t="s">
        <v>2</v>
      </c>
      <c r="B177" t="s">
        <v>4554</v>
      </c>
      <c r="D177" s="48" t="s">
        <v>4556</v>
      </c>
      <c r="E177" s="48">
        <f>E175*E176%</f>
        <v>0.21377774000000002</v>
      </c>
    </row>
    <row r="178" spans="1:16">
      <c r="A178" t="s">
        <v>2</v>
      </c>
      <c r="B178" t="s">
        <v>4554</v>
      </c>
    </row>
    <row r="179" spans="1:16" s="383" customFormat="1">
      <c r="A179" s="383" t="s">
        <v>3168</v>
      </c>
      <c r="B179" s="383" t="s">
        <v>3404</v>
      </c>
      <c r="C179" s="383" t="s">
        <v>4</v>
      </c>
      <c r="D179" s="384" t="s">
        <v>3543</v>
      </c>
    </row>
    <row r="180" spans="1:16" s="383" customFormat="1">
      <c r="A180" s="383" t="s">
        <v>3168</v>
      </c>
      <c r="B180" s="383" t="s">
        <v>3404</v>
      </c>
      <c r="D180" s="384" t="s">
        <v>3544</v>
      </c>
    </row>
    <row r="181" spans="1:16" s="383" customFormat="1" ht="15.6">
      <c r="A181" s="383" t="s">
        <v>3168</v>
      </c>
      <c r="B181" s="383" t="s">
        <v>3404</v>
      </c>
      <c r="D181" s="400" t="s">
        <v>3545</v>
      </c>
    </row>
    <row r="182" spans="1:16" s="383" customFormat="1">
      <c r="A182" s="383" t="s">
        <v>3168</v>
      </c>
      <c r="B182" s="383" t="s">
        <v>3404</v>
      </c>
      <c r="D182" s="388" t="s">
        <v>3546</v>
      </c>
      <c r="E182" s="388">
        <v>154</v>
      </c>
    </row>
    <row r="183" spans="1:16" s="383" customFormat="1">
      <c r="A183" s="383" t="s">
        <v>3168</v>
      </c>
      <c r="B183" s="383" t="s">
        <v>3404</v>
      </c>
      <c r="D183" s="388" t="s">
        <v>3547</v>
      </c>
      <c r="E183" s="388">
        <f>E182/1000</f>
        <v>0.154</v>
      </c>
    </row>
    <row r="184" spans="1:16" s="383" customFormat="1">
      <c r="A184" s="383" t="s">
        <v>3168</v>
      </c>
      <c r="B184" s="383" t="s">
        <v>3404</v>
      </c>
    </row>
    <row r="185" spans="1:16" s="383" customFormat="1">
      <c r="A185" s="383" t="s">
        <v>3168</v>
      </c>
      <c r="B185" s="383" t="s">
        <v>3404</v>
      </c>
      <c r="C185" s="383" t="s">
        <v>473</v>
      </c>
      <c r="D185" s="384" t="s">
        <v>3548</v>
      </c>
    </row>
    <row r="186" spans="1:16" s="383" customFormat="1">
      <c r="A186" s="383" t="s">
        <v>3168</v>
      </c>
      <c r="B186" s="383" t="s">
        <v>3404</v>
      </c>
      <c r="D186" s="384" t="s">
        <v>3549</v>
      </c>
    </row>
    <row r="187" spans="1:16" s="383" customFormat="1" ht="15" customHeight="1">
      <c r="A187" s="383" t="s">
        <v>3168</v>
      </c>
      <c r="B187" s="383" t="s">
        <v>3404</v>
      </c>
      <c r="D187" s="644" t="s">
        <v>3550</v>
      </c>
      <c r="E187" s="410" t="s">
        <v>3551</v>
      </c>
      <c r="F187" s="410" t="s">
        <v>3552</v>
      </c>
      <c r="G187" s="410" t="s">
        <v>3553</v>
      </c>
      <c r="H187" s="410" t="s">
        <v>3554</v>
      </c>
      <c r="I187" s="642" t="s">
        <v>3555</v>
      </c>
      <c r="J187" s="642"/>
      <c r="K187" s="642" t="s">
        <v>3556</v>
      </c>
      <c r="L187" s="642"/>
      <c r="M187" s="642" t="s">
        <v>3557</v>
      </c>
    </row>
    <row r="188" spans="1:16" s="383" customFormat="1" ht="28.2">
      <c r="A188" s="383" t="s">
        <v>3168</v>
      </c>
      <c r="B188" s="383" t="s">
        <v>3404</v>
      </c>
      <c r="D188" s="645"/>
      <c r="E188" s="411" t="s">
        <v>1687</v>
      </c>
      <c r="F188" s="411" t="s">
        <v>1494</v>
      </c>
      <c r="G188" s="411" t="s">
        <v>2203</v>
      </c>
      <c r="H188" s="411" t="s">
        <v>3558</v>
      </c>
      <c r="I188" s="411" t="s">
        <v>3559</v>
      </c>
      <c r="J188" s="411" t="s">
        <v>3560</v>
      </c>
      <c r="K188" s="411" t="s">
        <v>3561</v>
      </c>
      <c r="L188" s="411" t="s">
        <v>3562</v>
      </c>
      <c r="M188" s="643"/>
      <c r="N188" s="388" t="s">
        <v>3563</v>
      </c>
      <c r="O188" s="388" t="s">
        <v>3564</v>
      </c>
      <c r="P188" s="388" t="s">
        <v>3177</v>
      </c>
    </row>
    <row r="189" spans="1:16" s="383" customFormat="1">
      <c r="A189" s="383" t="s">
        <v>3168</v>
      </c>
      <c r="B189" s="383" t="s">
        <v>3404</v>
      </c>
      <c r="D189" s="392">
        <v>1</v>
      </c>
      <c r="E189" s="392" t="s">
        <v>3565</v>
      </c>
      <c r="F189" s="392" t="s">
        <v>3566</v>
      </c>
      <c r="G189" s="392" t="s">
        <v>3567</v>
      </c>
      <c r="H189" s="392" t="s">
        <v>3568</v>
      </c>
      <c r="I189" s="392">
        <v>1.4</v>
      </c>
      <c r="J189" s="392">
        <v>0.4</v>
      </c>
      <c r="K189" s="392">
        <v>5.6</v>
      </c>
      <c r="L189" s="392">
        <v>95.3</v>
      </c>
      <c r="M189" s="392">
        <v>55.6</v>
      </c>
      <c r="N189" s="409">
        <f>[1]MonoSugar!$K$5</f>
        <v>74.833484848484844</v>
      </c>
      <c r="O189" s="388">
        <f>$N$189/100*I189/100</f>
        <v>1.0476687878787878E-2</v>
      </c>
      <c r="P189" s="388">
        <f>AVERAGE(O189:O216)</f>
        <v>0.19761385248917746</v>
      </c>
    </row>
    <row r="190" spans="1:16" s="383" customFormat="1">
      <c r="A190" s="383" t="s">
        <v>3168</v>
      </c>
      <c r="B190" s="383" t="s">
        <v>3404</v>
      </c>
      <c r="D190" s="392">
        <v>2</v>
      </c>
      <c r="E190" s="392" t="s">
        <v>3565</v>
      </c>
      <c r="F190" s="392" t="s">
        <v>3566</v>
      </c>
      <c r="G190" s="392" t="s">
        <v>3569</v>
      </c>
      <c r="H190" s="392" t="s">
        <v>3568</v>
      </c>
      <c r="I190" s="392">
        <v>32.9</v>
      </c>
      <c r="J190" s="392">
        <v>0.64</v>
      </c>
      <c r="K190" s="392">
        <v>23.1</v>
      </c>
      <c r="L190" s="392">
        <v>48.7</v>
      </c>
      <c r="M190" s="392">
        <v>43.1</v>
      </c>
      <c r="O190" s="388">
        <f t="shared" ref="O190:O216" si="2">$N$189/100*I190/100</f>
        <v>0.24620216515151511</v>
      </c>
    </row>
    <row r="191" spans="1:16" s="383" customFormat="1">
      <c r="A191" s="383" t="s">
        <v>3168</v>
      </c>
      <c r="B191" s="383" t="s">
        <v>3404</v>
      </c>
      <c r="D191" s="392">
        <v>3</v>
      </c>
      <c r="E191" s="392" t="s">
        <v>3565</v>
      </c>
      <c r="F191" s="392" t="s">
        <v>3566</v>
      </c>
      <c r="G191" s="392" t="s">
        <v>3567</v>
      </c>
      <c r="H191" s="392" t="s">
        <v>3570</v>
      </c>
      <c r="I191" s="392">
        <v>1.8</v>
      </c>
      <c r="J191" s="392">
        <v>0.37</v>
      </c>
      <c r="K191" s="392">
        <v>6.3</v>
      </c>
      <c r="L191" s="392">
        <v>77.900000000000006</v>
      </c>
      <c r="M191" s="392">
        <v>53.9</v>
      </c>
      <c r="O191" s="388">
        <f t="shared" si="2"/>
        <v>1.3470027272727272E-2</v>
      </c>
    </row>
    <row r="192" spans="1:16" s="383" customFormat="1">
      <c r="A192" s="383" t="s">
        <v>3168</v>
      </c>
      <c r="B192" s="383" t="s">
        <v>3404</v>
      </c>
      <c r="D192" s="392">
        <v>4</v>
      </c>
      <c r="E192" s="392" t="s">
        <v>3565</v>
      </c>
      <c r="F192" s="392" t="s">
        <v>3566</v>
      </c>
      <c r="G192" s="392" t="s">
        <v>3569</v>
      </c>
      <c r="H192" s="392" t="s">
        <v>3570</v>
      </c>
      <c r="I192" s="392">
        <v>34.700000000000003</v>
      </c>
      <c r="J192" s="392">
        <v>0.61</v>
      </c>
      <c r="K192" s="392">
        <v>24</v>
      </c>
      <c r="L192" s="392">
        <v>52.1</v>
      </c>
      <c r="M192" s="392">
        <v>35.5</v>
      </c>
      <c r="O192" s="388">
        <f t="shared" si="2"/>
        <v>0.25967219242424244</v>
      </c>
    </row>
    <row r="193" spans="1:15" s="383" customFormat="1">
      <c r="A193" s="383" t="s">
        <v>3168</v>
      </c>
      <c r="B193" s="383" t="s">
        <v>3404</v>
      </c>
      <c r="D193" s="392">
        <v>5</v>
      </c>
      <c r="E193" s="392" t="s">
        <v>3565</v>
      </c>
      <c r="F193" s="392" t="s">
        <v>3571</v>
      </c>
      <c r="G193" s="392" t="s">
        <v>3567</v>
      </c>
      <c r="H193" s="392" t="s">
        <v>3568</v>
      </c>
      <c r="I193" s="392">
        <v>4.8</v>
      </c>
      <c r="J193" s="392">
        <v>0.55000000000000004</v>
      </c>
      <c r="K193" s="392">
        <v>6.6</v>
      </c>
      <c r="L193" s="392">
        <v>90.2</v>
      </c>
      <c r="M193" s="392">
        <v>54</v>
      </c>
      <c r="O193" s="388">
        <f t="shared" si="2"/>
        <v>3.5920072727272725E-2</v>
      </c>
    </row>
    <row r="194" spans="1:15" s="383" customFormat="1">
      <c r="A194" s="383" t="s">
        <v>3168</v>
      </c>
      <c r="B194" s="383" t="s">
        <v>3404</v>
      </c>
      <c r="D194" s="392">
        <v>6</v>
      </c>
      <c r="E194" s="392" t="s">
        <v>3565</v>
      </c>
      <c r="F194" s="392" t="s">
        <v>3571</v>
      </c>
      <c r="G194" s="392" t="s">
        <v>3569</v>
      </c>
      <c r="H194" s="392" t="s">
        <v>3568</v>
      </c>
      <c r="I194" s="392">
        <v>46.9</v>
      </c>
      <c r="J194" s="392">
        <v>1.27</v>
      </c>
      <c r="K194" s="392">
        <v>43.7</v>
      </c>
      <c r="L194" s="392">
        <v>10.6</v>
      </c>
      <c r="M194" s="392">
        <v>33.4</v>
      </c>
      <c r="O194" s="388">
        <f t="shared" si="2"/>
        <v>0.35096904393939388</v>
      </c>
    </row>
    <row r="195" spans="1:15" s="383" customFormat="1">
      <c r="A195" s="383" t="s">
        <v>3168</v>
      </c>
      <c r="B195" s="383" t="s">
        <v>3404</v>
      </c>
      <c r="D195" s="392">
        <v>7</v>
      </c>
      <c r="E195" s="392" t="s">
        <v>3565</v>
      </c>
      <c r="F195" s="392" t="s">
        <v>3571</v>
      </c>
      <c r="G195" s="392" t="s">
        <v>3567</v>
      </c>
      <c r="H195" s="392" t="s">
        <v>3570</v>
      </c>
      <c r="I195" s="392">
        <v>6.3</v>
      </c>
      <c r="J195" s="392">
        <v>0.56000000000000005</v>
      </c>
      <c r="K195" s="392">
        <v>7.4</v>
      </c>
      <c r="L195" s="392">
        <v>99.1</v>
      </c>
      <c r="M195" s="392">
        <v>55.4</v>
      </c>
      <c r="O195" s="388">
        <f t="shared" si="2"/>
        <v>4.7145095454545455E-2</v>
      </c>
    </row>
    <row r="196" spans="1:15" s="383" customFormat="1">
      <c r="A196" s="383" t="s">
        <v>3168</v>
      </c>
      <c r="B196" s="383" t="s">
        <v>3404</v>
      </c>
      <c r="D196" s="392">
        <v>8</v>
      </c>
      <c r="E196" s="392" t="s">
        <v>3565</v>
      </c>
      <c r="F196" s="392" t="s">
        <v>3571</v>
      </c>
      <c r="G196" s="392" t="s">
        <v>3569</v>
      </c>
      <c r="H196" s="392" t="s">
        <v>3570</v>
      </c>
      <c r="I196" s="392">
        <v>51.3</v>
      </c>
      <c r="J196" s="392">
        <v>1.38</v>
      </c>
      <c r="K196" s="392">
        <v>40.200000000000003</v>
      </c>
      <c r="L196" s="392">
        <v>5.9</v>
      </c>
      <c r="M196" s="392">
        <v>26.7</v>
      </c>
      <c r="O196" s="388">
        <f t="shared" si="2"/>
        <v>0.38389577727272722</v>
      </c>
    </row>
    <row r="197" spans="1:15" s="383" customFormat="1">
      <c r="A197" s="383" t="s">
        <v>3168</v>
      </c>
      <c r="B197" s="383" t="s">
        <v>3404</v>
      </c>
      <c r="D197" s="392">
        <v>9</v>
      </c>
      <c r="E197" s="392" t="s">
        <v>3572</v>
      </c>
      <c r="F197" s="392" t="s">
        <v>3566</v>
      </c>
      <c r="G197" s="392" t="s">
        <v>3567</v>
      </c>
      <c r="H197" s="392" t="s">
        <v>3568</v>
      </c>
      <c r="I197" s="392">
        <v>21.4</v>
      </c>
      <c r="J197" s="392">
        <v>1.1200000000000001</v>
      </c>
      <c r="K197" s="392">
        <v>19</v>
      </c>
      <c r="L197" s="392">
        <v>70.8</v>
      </c>
      <c r="M197" s="392">
        <v>46</v>
      </c>
      <c r="O197" s="388">
        <f t="shared" si="2"/>
        <v>0.16014365757575758</v>
      </c>
    </row>
    <row r="198" spans="1:15" s="383" customFormat="1">
      <c r="A198" s="383" t="s">
        <v>3168</v>
      </c>
      <c r="B198" s="383" t="s">
        <v>3404</v>
      </c>
      <c r="D198" s="392">
        <v>10</v>
      </c>
      <c r="E198" s="392" t="s">
        <v>3572</v>
      </c>
      <c r="F198" s="392" t="s">
        <v>3566</v>
      </c>
      <c r="G198" s="392" t="s">
        <v>3569</v>
      </c>
      <c r="H198" s="392" t="s">
        <v>3568</v>
      </c>
      <c r="I198" s="392">
        <v>33.9</v>
      </c>
      <c r="J198" s="392">
        <v>0.54</v>
      </c>
      <c r="K198" s="392">
        <v>8.8000000000000007</v>
      </c>
      <c r="L198" s="392">
        <v>0</v>
      </c>
      <c r="M198" s="392">
        <v>18.3</v>
      </c>
      <c r="O198" s="388">
        <f t="shared" si="2"/>
        <v>0.2536855136363636</v>
      </c>
    </row>
    <row r="199" spans="1:15" s="383" customFormat="1">
      <c r="A199" s="383" t="s">
        <v>3168</v>
      </c>
      <c r="B199" s="383" t="s">
        <v>3404</v>
      </c>
      <c r="D199" s="392">
        <v>11</v>
      </c>
      <c r="E199" s="392" t="s">
        <v>3572</v>
      </c>
      <c r="F199" s="392" t="s">
        <v>3566</v>
      </c>
      <c r="G199" s="392" t="s">
        <v>3567</v>
      </c>
      <c r="H199" s="392" t="s">
        <v>3570</v>
      </c>
      <c r="I199" s="392">
        <v>31.1</v>
      </c>
      <c r="J199" s="392">
        <v>1.39</v>
      </c>
      <c r="K199" s="392">
        <v>23.9</v>
      </c>
      <c r="L199" s="392">
        <v>56.4</v>
      </c>
      <c r="M199" s="392">
        <v>45.8</v>
      </c>
      <c r="O199" s="388">
        <f t="shared" si="2"/>
        <v>0.23273213787878788</v>
      </c>
    </row>
    <row r="200" spans="1:15" s="383" customFormat="1">
      <c r="A200" s="383" t="s">
        <v>3168</v>
      </c>
      <c r="B200" s="383" t="s">
        <v>3404</v>
      </c>
      <c r="D200" s="392">
        <v>12</v>
      </c>
      <c r="E200" s="392" t="s">
        <v>3572</v>
      </c>
      <c r="F200" s="392" t="s">
        <v>3566</v>
      </c>
      <c r="G200" s="392" t="s">
        <v>3569</v>
      </c>
      <c r="H200" s="392" t="s">
        <v>3570</v>
      </c>
      <c r="I200" s="392">
        <v>40.700000000000003</v>
      </c>
      <c r="J200" s="392">
        <v>0.35</v>
      </c>
      <c r="K200" s="392">
        <v>2.5</v>
      </c>
      <c r="L200" s="392">
        <v>0.4</v>
      </c>
      <c r="M200" s="392">
        <v>13</v>
      </c>
      <c r="O200" s="388">
        <f t="shared" si="2"/>
        <v>0.3045722833333333</v>
      </c>
    </row>
    <row r="201" spans="1:15" s="383" customFormat="1">
      <c r="A201" s="383" t="s">
        <v>3168</v>
      </c>
      <c r="B201" s="383" t="s">
        <v>3404</v>
      </c>
      <c r="D201" s="392">
        <v>13</v>
      </c>
      <c r="E201" s="392" t="s">
        <v>3572</v>
      </c>
      <c r="F201" s="392" t="s">
        <v>3571</v>
      </c>
      <c r="G201" s="392" t="s">
        <v>3567</v>
      </c>
      <c r="H201" s="392" t="s">
        <v>3568</v>
      </c>
      <c r="I201" s="392">
        <v>39.9</v>
      </c>
      <c r="J201" s="392">
        <v>2.29</v>
      </c>
      <c r="K201" s="392">
        <v>38.299999999999997</v>
      </c>
      <c r="L201" s="392">
        <v>28.2</v>
      </c>
      <c r="M201" s="392">
        <v>38</v>
      </c>
      <c r="O201" s="388">
        <f t="shared" si="2"/>
        <v>0.29858560454545452</v>
      </c>
    </row>
    <row r="202" spans="1:15" s="383" customFormat="1">
      <c r="A202" s="383" t="s">
        <v>3168</v>
      </c>
      <c r="B202" s="383" t="s">
        <v>3404</v>
      </c>
      <c r="D202" s="392">
        <v>14</v>
      </c>
      <c r="E202" s="392" t="s">
        <v>3572</v>
      </c>
      <c r="F202" s="392" t="s">
        <v>3571</v>
      </c>
      <c r="G202" s="392" t="s">
        <v>3569</v>
      </c>
      <c r="H202" s="392" t="s">
        <v>3568</v>
      </c>
      <c r="I202" s="392">
        <v>23.8</v>
      </c>
      <c r="J202" s="392">
        <v>0</v>
      </c>
      <c r="K202" s="392">
        <v>0</v>
      </c>
      <c r="L202" s="392">
        <v>4.0999999999999996</v>
      </c>
      <c r="M202" s="392">
        <v>21.9</v>
      </c>
      <c r="O202" s="388">
        <f t="shared" si="2"/>
        <v>0.17810369393939393</v>
      </c>
    </row>
    <row r="203" spans="1:15" s="383" customFormat="1">
      <c r="A203" s="383" t="s">
        <v>3168</v>
      </c>
      <c r="B203" s="383" t="s">
        <v>3404</v>
      </c>
      <c r="D203" s="392">
        <v>15</v>
      </c>
      <c r="E203" s="392" t="s">
        <v>3572</v>
      </c>
      <c r="F203" s="392" t="s">
        <v>3571</v>
      </c>
      <c r="G203" s="392" t="s">
        <v>3567</v>
      </c>
      <c r="H203" s="392" t="s">
        <v>3570</v>
      </c>
      <c r="I203" s="392">
        <v>38.299999999999997</v>
      </c>
      <c r="J203" s="392">
        <v>2.09</v>
      </c>
      <c r="K203" s="392">
        <v>34.299999999999997</v>
      </c>
      <c r="L203" s="392">
        <v>23.4</v>
      </c>
      <c r="M203" s="392">
        <v>40.299999999999997</v>
      </c>
      <c r="O203" s="388">
        <f t="shared" si="2"/>
        <v>0.28661224696969695</v>
      </c>
    </row>
    <row r="204" spans="1:15" s="383" customFormat="1">
      <c r="A204" s="383" t="s">
        <v>3168</v>
      </c>
      <c r="B204" s="383" t="s">
        <v>3404</v>
      </c>
      <c r="D204" s="392">
        <v>16</v>
      </c>
      <c r="E204" s="392" t="s">
        <v>3572</v>
      </c>
      <c r="F204" s="392" t="s">
        <v>3571</v>
      </c>
      <c r="G204" s="392" t="s">
        <v>3569</v>
      </c>
      <c r="H204" s="392" t="s">
        <v>3570</v>
      </c>
      <c r="I204" s="392">
        <v>22.1</v>
      </c>
      <c r="J204" s="392">
        <v>0</v>
      </c>
      <c r="K204" s="392">
        <v>0</v>
      </c>
      <c r="L204" s="392">
        <v>10.6</v>
      </c>
      <c r="M204" s="392">
        <v>16.3</v>
      </c>
      <c r="O204" s="388">
        <f t="shared" si="2"/>
        <v>0.16538200151515153</v>
      </c>
    </row>
    <row r="205" spans="1:15" s="383" customFormat="1">
      <c r="A205" s="383" t="s">
        <v>3168</v>
      </c>
      <c r="B205" s="383" t="s">
        <v>3404</v>
      </c>
      <c r="D205" s="392">
        <v>17</v>
      </c>
      <c r="E205" s="392" t="s">
        <v>3573</v>
      </c>
      <c r="F205" s="392" t="s">
        <v>3574</v>
      </c>
      <c r="G205" s="392" t="s">
        <v>3575</v>
      </c>
      <c r="H205" s="392" t="s">
        <v>3576</v>
      </c>
      <c r="I205" s="392">
        <v>3.3</v>
      </c>
      <c r="J205" s="392">
        <v>0.48</v>
      </c>
      <c r="K205" s="392">
        <v>6.1</v>
      </c>
      <c r="L205" s="392">
        <v>93.9</v>
      </c>
      <c r="M205" s="392">
        <v>51.1</v>
      </c>
      <c r="O205" s="388">
        <f t="shared" si="2"/>
        <v>2.469505E-2</v>
      </c>
    </row>
    <row r="206" spans="1:15" s="383" customFormat="1">
      <c r="A206" s="383" t="s">
        <v>3168</v>
      </c>
      <c r="B206" s="383" t="s">
        <v>3404</v>
      </c>
      <c r="D206" s="392">
        <v>18</v>
      </c>
      <c r="E206" s="392" t="s">
        <v>3577</v>
      </c>
      <c r="F206" s="392" t="s">
        <v>3574</v>
      </c>
      <c r="G206" s="392" t="s">
        <v>3575</v>
      </c>
      <c r="H206" s="392" t="s">
        <v>3576</v>
      </c>
      <c r="I206" s="392">
        <v>37.9</v>
      </c>
      <c r="J206" s="392">
        <v>0.45</v>
      </c>
      <c r="K206" s="392">
        <v>1.1000000000000001</v>
      </c>
      <c r="L206" s="392">
        <v>5</v>
      </c>
      <c r="M206" s="392">
        <v>17.899999999999999</v>
      </c>
      <c r="O206" s="388">
        <f t="shared" si="2"/>
        <v>0.28361890757575753</v>
      </c>
    </row>
    <row r="207" spans="1:15" s="383" customFormat="1">
      <c r="A207" s="383" t="s">
        <v>3168</v>
      </c>
      <c r="B207" s="383" t="s">
        <v>3404</v>
      </c>
      <c r="D207" s="392">
        <v>19</v>
      </c>
      <c r="E207" s="392" t="s">
        <v>3578</v>
      </c>
      <c r="F207" s="392" t="s">
        <v>3579</v>
      </c>
      <c r="G207" s="392" t="s">
        <v>3575</v>
      </c>
      <c r="H207" s="392" t="s">
        <v>3576</v>
      </c>
      <c r="I207" s="392">
        <v>4.8</v>
      </c>
      <c r="J207" s="392">
        <v>0.65</v>
      </c>
      <c r="K207" s="392">
        <v>6.9</v>
      </c>
      <c r="L207" s="392">
        <v>97.1</v>
      </c>
      <c r="M207" s="392">
        <v>53.8</v>
      </c>
      <c r="O207" s="388">
        <f t="shared" si="2"/>
        <v>3.5920072727272725E-2</v>
      </c>
    </row>
    <row r="208" spans="1:15" s="383" customFormat="1">
      <c r="A208" s="383" t="s">
        <v>3168</v>
      </c>
      <c r="B208" s="383" t="s">
        <v>3404</v>
      </c>
      <c r="D208" s="392">
        <v>20</v>
      </c>
      <c r="E208" s="392" t="s">
        <v>3578</v>
      </c>
      <c r="F208" s="392" t="s">
        <v>3580</v>
      </c>
      <c r="G208" s="392" t="s">
        <v>3575</v>
      </c>
      <c r="H208" s="392" t="s">
        <v>3576</v>
      </c>
      <c r="I208" s="392">
        <v>40.799999999999997</v>
      </c>
      <c r="J208" s="392">
        <v>1.61</v>
      </c>
      <c r="K208" s="392">
        <v>36.9</v>
      </c>
      <c r="L208" s="392">
        <v>18.899999999999999</v>
      </c>
      <c r="M208" s="392">
        <v>37</v>
      </c>
      <c r="O208" s="388">
        <f t="shared" si="2"/>
        <v>0.3053206181818181</v>
      </c>
    </row>
    <row r="209" spans="1:15" s="383" customFormat="1">
      <c r="A209" s="383" t="s">
        <v>3168</v>
      </c>
      <c r="B209" s="383" t="s">
        <v>3404</v>
      </c>
      <c r="D209" s="392">
        <v>21</v>
      </c>
      <c r="E209" s="392" t="s">
        <v>3578</v>
      </c>
      <c r="F209" s="392" t="s">
        <v>3574</v>
      </c>
      <c r="G209" s="392" t="s">
        <v>3575</v>
      </c>
      <c r="H209" s="392" t="s">
        <v>3581</v>
      </c>
      <c r="I209" s="392">
        <v>21.9</v>
      </c>
      <c r="J209" s="392">
        <v>0.89</v>
      </c>
      <c r="K209" s="392">
        <v>17.8</v>
      </c>
      <c r="L209" s="392">
        <v>71.599999999999994</v>
      </c>
      <c r="M209" s="392">
        <v>52.2</v>
      </c>
      <c r="O209" s="388">
        <f t="shared" si="2"/>
        <v>0.1638853318181818</v>
      </c>
    </row>
    <row r="210" spans="1:15" s="383" customFormat="1">
      <c r="A210" s="383" t="s">
        <v>3168</v>
      </c>
      <c r="B210" s="383" t="s">
        <v>3404</v>
      </c>
      <c r="D210" s="392">
        <v>22</v>
      </c>
      <c r="E210" s="392" t="s">
        <v>3578</v>
      </c>
      <c r="F210" s="392" t="s">
        <v>3574</v>
      </c>
      <c r="G210" s="392" t="s">
        <v>3575</v>
      </c>
      <c r="H210" s="392" t="s">
        <v>3582</v>
      </c>
      <c r="I210" s="392">
        <v>32.9</v>
      </c>
      <c r="J210" s="392">
        <v>1.1000000000000001</v>
      </c>
      <c r="K210" s="392">
        <v>20.399999999999999</v>
      </c>
      <c r="L210" s="392">
        <v>26.2</v>
      </c>
      <c r="M210" s="392">
        <v>36.200000000000003</v>
      </c>
      <c r="O210" s="388">
        <f t="shared" si="2"/>
        <v>0.24620216515151511</v>
      </c>
    </row>
    <row r="211" spans="1:15" s="383" customFormat="1">
      <c r="A211" s="383" t="s">
        <v>3168</v>
      </c>
      <c r="B211" s="383" t="s">
        <v>3404</v>
      </c>
      <c r="D211" s="392">
        <v>23</v>
      </c>
      <c r="E211" s="392" t="s">
        <v>3578</v>
      </c>
      <c r="F211" s="392" t="s">
        <v>3574</v>
      </c>
      <c r="G211" s="392" t="s">
        <v>3583</v>
      </c>
      <c r="H211" s="392" t="s">
        <v>3576</v>
      </c>
      <c r="I211" s="392">
        <v>2.4</v>
      </c>
      <c r="J211" s="392">
        <v>0.38</v>
      </c>
      <c r="K211" s="392">
        <v>3.9</v>
      </c>
      <c r="L211" s="392">
        <v>78.599999999999994</v>
      </c>
      <c r="M211" s="392">
        <v>52.4</v>
      </c>
      <c r="O211" s="388">
        <f t="shared" si="2"/>
        <v>1.7960036363636363E-2</v>
      </c>
    </row>
    <row r="212" spans="1:15" s="383" customFormat="1">
      <c r="A212" s="383" t="s">
        <v>3168</v>
      </c>
      <c r="B212" s="383" t="s">
        <v>3404</v>
      </c>
      <c r="D212" s="392">
        <v>24</v>
      </c>
      <c r="E212" s="392" t="s">
        <v>3578</v>
      </c>
      <c r="F212" s="392" t="s">
        <v>3574</v>
      </c>
      <c r="G212" s="392" t="s">
        <v>3584</v>
      </c>
      <c r="H212" s="392" t="s">
        <v>3576</v>
      </c>
      <c r="I212" s="392">
        <v>15</v>
      </c>
      <c r="J212" s="392">
        <v>0</v>
      </c>
      <c r="K212" s="392">
        <v>0</v>
      </c>
      <c r="L212" s="392">
        <v>5</v>
      </c>
      <c r="M212" s="392">
        <v>17.2</v>
      </c>
      <c r="O212" s="388">
        <f t="shared" si="2"/>
        <v>0.11225022727272727</v>
      </c>
    </row>
    <row r="213" spans="1:15" s="383" customFormat="1">
      <c r="A213" s="383" t="s">
        <v>3168</v>
      </c>
      <c r="B213" s="383" t="s">
        <v>3404</v>
      </c>
      <c r="D213" s="392">
        <v>25</v>
      </c>
      <c r="E213" s="392" t="s">
        <v>3578</v>
      </c>
      <c r="F213" s="392" t="s">
        <v>3574</v>
      </c>
      <c r="G213" s="392" t="s">
        <v>3575</v>
      </c>
      <c r="H213" s="392" t="s">
        <v>3576</v>
      </c>
      <c r="I213" s="392">
        <v>33.4</v>
      </c>
      <c r="J213" s="392">
        <v>1.1100000000000001</v>
      </c>
      <c r="K213" s="392">
        <v>28.1</v>
      </c>
      <c r="L213" s="392">
        <v>36.4</v>
      </c>
      <c r="M213" s="392">
        <v>41.8</v>
      </c>
      <c r="O213" s="388">
        <f t="shared" si="2"/>
        <v>0.24994383939393938</v>
      </c>
    </row>
    <row r="214" spans="1:15" s="383" customFormat="1">
      <c r="A214" s="383" t="s">
        <v>3168</v>
      </c>
      <c r="B214" s="383" t="s">
        <v>3404</v>
      </c>
      <c r="D214" s="392">
        <v>26</v>
      </c>
      <c r="E214" s="392" t="s">
        <v>3578</v>
      </c>
      <c r="F214" s="392" t="s">
        <v>3574</v>
      </c>
      <c r="G214" s="392" t="s">
        <v>3575</v>
      </c>
      <c r="H214" s="392" t="s">
        <v>3576</v>
      </c>
      <c r="I214" s="392">
        <v>35.200000000000003</v>
      </c>
      <c r="J214" s="392">
        <v>1.22</v>
      </c>
      <c r="K214" s="392">
        <v>30.1</v>
      </c>
      <c r="L214" s="392">
        <v>38.4</v>
      </c>
      <c r="M214" s="392">
        <v>40.1</v>
      </c>
      <c r="O214" s="388">
        <f t="shared" si="2"/>
        <v>0.26341386666666666</v>
      </c>
    </row>
    <row r="215" spans="1:15" s="383" customFormat="1">
      <c r="A215" s="383" t="s">
        <v>3168</v>
      </c>
      <c r="B215" s="383" t="s">
        <v>3404</v>
      </c>
      <c r="D215" s="392">
        <v>27</v>
      </c>
      <c r="E215" s="392" t="s">
        <v>3578</v>
      </c>
      <c r="F215" s="392" t="s">
        <v>3574</v>
      </c>
      <c r="G215" s="392" t="s">
        <v>3575</v>
      </c>
      <c r="H215" s="392" t="s">
        <v>3576</v>
      </c>
      <c r="I215" s="392">
        <v>41.9</v>
      </c>
      <c r="J215" s="392">
        <v>1.43</v>
      </c>
      <c r="K215" s="392">
        <v>33.1</v>
      </c>
      <c r="L215" s="392">
        <v>30</v>
      </c>
      <c r="M215" s="392">
        <v>39.1</v>
      </c>
      <c r="O215" s="388">
        <f t="shared" si="2"/>
        <v>0.31355230151515145</v>
      </c>
    </row>
    <row r="216" spans="1:15" s="383" customFormat="1">
      <c r="A216" s="383" t="s">
        <v>3168</v>
      </c>
      <c r="B216" s="383" t="s">
        <v>3404</v>
      </c>
      <c r="D216" s="394">
        <v>28</v>
      </c>
      <c r="E216" s="394" t="s">
        <v>3578</v>
      </c>
      <c r="F216" s="394" t="s">
        <v>3574</v>
      </c>
      <c r="G216" s="394" t="s">
        <v>3575</v>
      </c>
      <c r="H216" s="394" t="s">
        <v>3576</v>
      </c>
      <c r="I216" s="394">
        <v>38.6</v>
      </c>
      <c r="J216" s="394">
        <v>1.23</v>
      </c>
      <c r="K216" s="394">
        <v>30.7</v>
      </c>
      <c r="L216" s="394">
        <v>37.799999999999997</v>
      </c>
      <c r="M216" s="394">
        <v>36.1</v>
      </c>
      <c r="O216" s="388">
        <f t="shared" si="2"/>
        <v>0.28885725151515151</v>
      </c>
    </row>
    <row r="217" spans="1:15" s="383" customFormat="1">
      <c r="A217" s="383" t="s">
        <v>3168</v>
      </c>
      <c r="B217" s="383" t="s">
        <v>3404</v>
      </c>
      <c r="H217" s="388" t="s">
        <v>3033</v>
      </c>
      <c r="I217" s="388">
        <f>MAX(I189:I216)</f>
        <v>51.3</v>
      </c>
    </row>
    <row r="218" spans="1:15" s="383" customFormat="1">
      <c r="A218" s="383" t="s">
        <v>3168</v>
      </c>
      <c r="B218" s="383" t="s">
        <v>3404</v>
      </c>
      <c r="H218" s="388" t="s">
        <v>3034</v>
      </c>
      <c r="I218" s="388">
        <f>MIN(I189:I216)</f>
        <v>1.4</v>
      </c>
    </row>
    <row r="219" spans="1:15" s="383" customFormat="1">
      <c r="A219" s="383" t="s">
        <v>3168</v>
      </c>
      <c r="B219" s="383" t="s">
        <v>3404</v>
      </c>
    </row>
    <row r="220" spans="1:15" s="383" customFormat="1">
      <c r="A220" s="383" t="s">
        <v>3168</v>
      </c>
      <c r="B220" s="383" t="s">
        <v>3404</v>
      </c>
    </row>
    <row r="221" spans="1:15" s="383" customFormat="1">
      <c r="A221" s="383" t="s">
        <v>3168</v>
      </c>
      <c r="B221" s="383" t="s">
        <v>3404</v>
      </c>
    </row>
    <row r="222" spans="1:15" s="383" customFormat="1">
      <c r="A222" s="383" t="s">
        <v>3168</v>
      </c>
      <c r="B222" s="383" t="s">
        <v>3404</v>
      </c>
    </row>
    <row r="223" spans="1:15" s="383" customFormat="1">
      <c r="A223" s="383" t="s">
        <v>3168</v>
      </c>
      <c r="B223" s="383" t="s">
        <v>3404</v>
      </c>
    </row>
    <row r="224" spans="1:15" s="383" customFormat="1">
      <c r="A224" s="383" t="s">
        <v>3168</v>
      </c>
      <c r="B224" s="383" t="s">
        <v>3404</v>
      </c>
      <c r="C224" s="383" t="s">
        <v>69</v>
      </c>
      <c r="D224" s="384" t="s">
        <v>3585</v>
      </c>
      <c r="G224" s="383" t="s">
        <v>3320</v>
      </c>
    </row>
    <row r="225" spans="1:13" s="383" customFormat="1">
      <c r="A225" s="383" t="s">
        <v>3168</v>
      </c>
      <c r="B225" s="383" t="s">
        <v>3404</v>
      </c>
      <c r="D225" s="384" t="s">
        <v>3586</v>
      </c>
    </row>
    <row r="226" spans="1:13" s="383" customFormat="1" ht="28.2">
      <c r="A226" s="383" t="s">
        <v>3168</v>
      </c>
      <c r="B226" s="383" t="s">
        <v>3404</v>
      </c>
      <c r="D226" s="391" t="s">
        <v>759</v>
      </c>
      <c r="E226" s="391" t="s">
        <v>3587</v>
      </c>
      <c r="F226" s="391" t="s">
        <v>3588</v>
      </c>
      <c r="G226" s="391" t="s">
        <v>3589</v>
      </c>
      <c r="H226" s="391" t="s">
        <v>3590</v>
      </c>
      <c r="I226" s="391" t="s">
        <v>3591</v>
      </c>
      <c r="J226" s="388" t="s">
        <v>6225</v>
      </c>
      <c r="K226" s="388" t="s">
        <v>6226</v>
      </c>
      <c r="L226" s="388" t="s">
        <v>3564</v>
      </c>
      <c r="M226" s="388" t="s">
        <v>3177</v>
      </c>
    </row>
    <row r="227" spans="1:13" s="383" customFormat="1">
      <c r="A227" s="383" t="s">
        <v>3168</v>
      </c>
      <c r="B227" s="383" t="s">
        <v>3404</v>
      </c>
      <c r="D227" s="412">
        <v>1</v>
      </c>
      <c r="E227" s="392">
        <v>170</v>
      </c>
      <c r="F227" s="392">
        <v>90</v>
      </c>
      <c r="G227" s="392">
        <v>0.3</v>
      </c>
      <c r="H227" s="392">
        <v>36</v>
      </c>
      <c r="I227" s="392">
        <v>19</v>
      </c>
      <c r="J227" s="388">
        <f>H227/100*(96.0846/150.13)</f>
        <v>0.23040335709052154</v>
      </c>
      <c r="K227" s="409">
        <f>[1]MonoSugar!$J$5</f>
        <v>4.0568181818181817</v>
      </c>
      <c r="L227" s="388">
        <f>J227*$K$197/100</f>
        <v>4.3776637847199096E-2</v>
      </c>
      <c r="M227" s="388">
        <f>AVERAGE(L227:L233)</f>
        <v>5.8716284096640044E-2</v>
      </c>
    </row>
    <row r="228" spans="1:13" s="383" customFormat="1">
      <c r="A228" s="383" t="s">
        <v>3168</v>
      </c>
      <c r="B228" s="383" t="s">
        <v>3404</v>
      </c>
      <c r="D228" s="412">
        <v>2</v>
      </c>
      <c r="E228" s="392">
        <v>180</v>
      </c>
      <c r="F228" s="392">
        <v>90</v>
      </c>
      <c r="G228" s="392">
        <v>0.3</v>
      </c>
      <c r="H228" s="392">
        <v>50</v>
      </c>
      <c r="I228" s="392">
        <v>31</v>
      </c>
      <c r="J228" s="388">
        <f t="shared" ref="J228:J233" si="3">H228/100*(96.0846/150.13)</f>
        <v>0.32000466262572436</v>
      </c>
      <c r="L228" s="388">
        <f t="shared" ref="L228:L233" si="4">J228*$K$197/100</f>
        <v>6.080088589888763E-2</v>
      </c>
    </row>
    <row r="229" spans="1:13" s="383" customFormat="1">
      <c r="A229" s="383" t="s">
        <v>3168</v>
      </c>
      <c r="B229" s="383" t="s">
        <v>3404</v>
      </c>
      <c r="D229" s="412">
        <v>3</v>
      </c>
      <c r="E229" s="392">
        <v>190</v>
      </c>
      <c r="F229" s="392">
        <v>90</v>
      </c>
      <c r="G229" s="392">
        <v>0.3</v>
      </c>
      <c r="H229" s="392">
        <v>45</v>
      </c>
      <c r="I229" s="392">
        <v>34</v>
      </c>
      <c r="J229" s="388">
        <f t="shared" si="3"/>
        <v>0.28800419636315194</v>
      </c>
      <c r="L229" s="388">
        <f t="shared" si="4"/>
        <v>5.472079730899887E-2</v>
      </c>
    </row>
    <row r="230" spans="1:13" s="383" customFormat="1">
      <c r="A230" s="383" t="s">
        <v>3168</v>
      </c>
      <c r="B230" s="383" t="s">
        <v>3404</v>
      </c>
      <c r="D230" s="412">
        <v>4</v>
      </c>
      <c r="E230" s="392">
        <v>180</v>
      </c>
      <c r="F230" s="392">
        <v>60</v>
      </c>
      <c r="G230" s="392">
        <v>0.3</v>
      </c>
      <c r="H230" s="392">
        <v>42</v>
      </c>
      <c r="I230" s="392">
        <v>21</v>
      </c>
      <c r="J230" s="388">
        <f t="shared" si="3"/>
        <v>0.26880391660560843</v>
      </c>
      <c r="L230" s="388">
        <f t="shared" si="4"/>
        <v>5.1072744155065603E-2</v>
      </c>
    </row>
    <row r="231" spans="1:13" s="383" customFormat="1">
      <c r="A231" s="383" t="s">
        <v>3168</v>
      </c>
      <c r="B231" s="383" t="s">
        <v>3404</v>
      </c>
      <c r="D231" s="412">
        <v>5</v>
      </c>
      <c r="E231" s="392">
        <v>180</v>
      </c>
      <c r="F231" s="392">
        <v>120</v>
      </c>
      <c r="G231" s="392">
        <v>0.3</v>
      </c>
      <c r="H231" s="392">
        <v>40</v>
      </c>
      <c r="I231" s="392">
        <v>25</v>
      </c>
      <c r="J231" s="388">
        <f t="shared" si="3"/>
        <v>0.25600373010057947</v>
      </c>
      <c r="L231" s="388">
        <f t="shared" si="4"/>
        <v>4.8640708719110103E-2</v>
      </c>
    </row>
    <row r="232" spans="1:13" s="383" customFormat="1">
      <c r="A232" s="383" t="s">
        <v>3168</v>
      </c>
      <c r="B232" s="383" t="s">
        <v>3404</v>
      </c>
      <c r="D232" s="412">
        <v>6</v>
      </c>
      <c r="E232" s="392">
        <v>180</v>
      </c>
      <c r="F232" s="392">
        <v>90</v>
      </c>
      <c r="G232" s="392">
        <v>0.4</v>
      </c>
      <c r="H232" s="392">
        <v>67</v>
      </c>
      <c r="I232" s="392">
        <v>32</v>
      </c>
      <c r="J232" s="388">
        <f t="shared" si="3"/>
        <v>0.42880624791847066</v>
      </c>
      <c r="L232" s="388">
        <f t="shared" si="4"/>
        <v>8.1473187104509431E-2</v>
      </c>
    </row>
    <row r="233" spans="1:13" s="383" customFormat="1">
      <c r="A233" s="383" t="s">
        <v>3168</v>
      </c>
      <c r="B233" s="383" t="s">
        <v>3404</v>
      </c>
      <c r="D233" s="411">
        <v>7</v>
      </c>
      <c r="E233" s="394">
        <v>180</v>
      </c>
      <c r="F233" s="394">
        <v>90</v>
      </c>
      <c r="G233" s="394">
        <v>0.5</v>
      </c>
      <c r="H233" s="394">
        <v>58</v>
      </c>
      <c r="I233" s="394">
        <v>27</v>
      </c>
      <c r="J233" s="388">
        <f t="shared" si="3"/>
        <v>0.37120540864584023</v>
      </c>
      <c r="L233" s="388">
        <f t="shared" si="4"/>
        <v>7.0529027642709644E-2</v>
      </c>
    </row>
    <row r="234" spans="1:13" s="383" customFormat="1">
      <c r="A234" s="383" t="s">
        <v>3168</v>
      </c>
      <c r="B234" s="383" t="s">
        <v>3404</v>
      </c>
      <c r="G234" s="388" t="s">
        <v>3033</v>
      </c>
      <c r="H234" s="388">
        <f>MAX(H227:H233)</f>
        <v>67</v>
      </c>
    </row>
    <row r="235" spans="1:13" s="383" customFormat="1">
      <c r="A235" s="383" t="s">
        <v>3168</v>
      </c>
      <c r="B235" s="383" t="s">
        <v>3404</v>
      </c>
      <c r="G235" s="388" t="s">
        <v>3034</v>
      </c>
      <c r="H235" s="388">
        <f>MIN(H227:H233)</f>
        <v>36</v>
      </c>
    </row>
    <row r="236" spans="1:13" s="383" customFormat="1" ht="15.6">
      <c r="A236" s="383" t="s">
        <v>3168</v>
      </c>
      <c r="B236" s="383" t="s">
        <v>3404</v>
      </c>
      <c r="D236" s="400" t="s">
        <v>3592</v>
      </c>
    </row>
    <row r="237" spans="1:13" s="383" customFormat="1">
      <c r="A237" s="383" t="s">
        <v>3168</v>
      </c>
      <c r="B237" s="383" t="s">
        <v>3404</v>
      </c>
    </row>
    <row r="238" spans="1:13" s="383" customFormat="1">
      <c r="A238" s="383" t="s">
        <v>3168</v>
      </c>
      <c r="B238" s="383" t="s">
        <v>3404</v>
      </c>
      <c r="C238" s="383" t="s">
        <v>132</v>
      </c>
      <c r="D238" s="384" t="s">
        <v>3593</v>
      </c>
    </row>
    <row r="239" spans="1:13" s="383" customFormat="1">
      <c r="A239" s="383" t="s">
        <v>3168</v>
      </c>
      <c r="B239" s="383" t="s">
        <v>3404</v>
      </c>
      <c r="D239" s="384" t="s">
        <v>3594</v>
      </c>
    </row>
    <row r="240" spans="1:13" s="383" customFormat="1">
      <c r="A240" s="383" t="s">
        <v>3168</v>
      </c>
      <c r="B240" s="383" t="s">
        <v>3404</v>
      </c>
    </row>
    <row r="241" spans="1:13" s="383" customFormat="1">
      <c r="A241" s="383" t="s">
        <v>3168</v>
      </c>
      <c r="B241" s="383" t="s">
        <v>3404</v>
      </c>
      <c r="J241" s="388" t="s">
        <v>6227</v>
      </c>
      <c r="K241" s="388" t="s">
        <v>3595</v>
      </c>
      <c r="L241" s="388" t="s">
        <v>3564</v>
      </c>
      <c r="M241" s="388" t="s">
        <v>3177</v>
      </c>
    </row>
    <row r="242" spans="1:13" s="383" customFormat="1">
      <c r="A242" s="383" t="s">
        <v>3168</v>
      </c>
      <c r="B242" s="383" t="s">
        <v>3404</v>
      </c>
      <c r="J242" s="388">
        <v>0.1</v>
      </c>
      <c r="K242" s="409">
        <f>[1]MonoSugar!$J$5</f>
        <v>4.0568181818181817</v>
      </c>
      <c r="L242" s="388">
        <f>J242/100*$K$242/100</f>
        <v>4.0568181818181816E-5</v>
      </c>
      <c r="M242" s="388">
        <f>AVERAGE(L242:L254)</f>
        <v>7.0495017482517476E-3</v>
      </c>
    </row>
    <row r="243" spans="1:13" s="383" customFormat="1">
      <c r="A243" s="383" t="s">
        <v>3168</v>
      </c>
      <c r="B243" s="383" t="s">
        <v>3404</v>
      </c>
      <c r="J243" s="388">
        <v>0.2</v>
      </c>
      <c r="L243" s="388">
        <f t="shared" ref="L243:L254" si="5">J243/100*$K$242/100</f>
        <v>8.1136363636363632E-5</v>
      </c>
    </row>
    <row r="244" spans="1:13" s="383" customFormat="1">
      <c r="A244" s="383" t="s">
        <v>3168</v>
      </c>
      <c r="B244" s="383" t="s">
        <v>3404</v>
      </c>
      <c r="J244" s="388">
        <v>0.3</v>
      </c>
      <c r="L244" s="388">
        <f t="shared" si="5"/>
        <v>1.2170454545454545E-4</v>
      </c>
    </row>
    <row r="245" spans="1:13" s="383" customFormat="1">
      <c r="A245" s="383" t="s">
        <v>3168</v>
      </c>
      <c r="B245" s="383" t="s">
        <v>3404</v>
      </c>
      <c r="J245" s="388">
        <v>3.1</v>
      </c>
      <c r="L245" s="388">
        <f t="shared" si="5"/>
        <v>1.2576136363636364E-3</v>
      </c>
    </row>
    <row r="246" spans="1:13" s="383" customFormat="1">
      <c r="A246" s="383" t="s">
        <v>3168</v>
      </c>
      <c r="B246" s="383" t="s">
        <v>3404</v>
      </c>
      <c r="J246" s="388">
        <v>14.3</v>
      </c>
      <c r="L246" s="388">
        <f t="shared" si="5"/>
        <v>5.80125E-3</v>
      </c>
    </row>
    <row r="247" spans="1:13" s="383" customFormat="1">
      <c r="A247" s="383" t="s">
        <v>3168</v>
      </c>
      <c r="B247" s="383" t="s">
        <v>3404</v>
      </c>
      <c r="J247" s="388">
        <v>10.9</v>
      </c>
      <c r="L247" s="388">
        <f t="shared" si="5"/>
        <v>4.4219318181818179E-3</v>
      </c>
    </row>
    <row r="248" spans="1:13" s="383" customFormat="1">
      <c r="A248" s="383" t="s">
        <v>3168</v>
      </c>
      <c r="B248" s="383" t="s">
        <v>3404</v>
      </c>
      <c r="J248" s="388">
        <v>26.1</v>
      </c>
      <c r="L248" s="388">
        <f t="shared" si="5"/>
        <v>1.0588295454545456E-2</v>
      </c>
    </row>
    <row r="249" spans="1:13" s="383" customFormat="1">
      <c r="A249" s="383" t="s">
        <v>3168</v>
      </c>
      <c r="B249" s="383" t="s">
        <v>3404</v>
      </c>
      <c r="J249" s="388">
        <v>23.4</v>
      </c>
      <c r="L249" s="388">
        <f t="shared" si="5"/>
        <v>9.4929545454545457E-3</v>
      </c>
    </row>
    <row r="250" spans="1:13" s="383" customFormat="1">
      <c r="A250" s="383" t="s">
        <v>3168</v>
      </c>
      <c r="B250" s="383" t="s">
        <v>3404</v>
      </c>
      <c r="J250" s="388">
        <v>30.7</v>
      </c>
      <c r="L250" s="388">
        <f t="shared" si="5"/>
        <v>1.2454431818181818E-2</v>
      </c>
    </row>
    <row r="251" spans="1:13" s="383" customFormat="1">
      <c r="A251" s="383" t="s">
        <v>3168</v>
      </c>
      <c r="B251" s="383" t="s">
        <v>3404</v>
      </c>
      <c r="J251" s="388">
        <v>36.200000000000003</v>
      </c>
      <c r="L251" s="388">
        <f t="shared" si="5"/>
        <v>1.468568181818182E-2</v>
      </c>
    </row>
    <row r="252" spans="1:13" s="383" customFormat="1">
      <c r="A252" s="383" t="s">
        <v>3168</v>
      </c>
      <c r="B252" s="383" t="s">
        <v>3404</v>
      </c>
      <c r="J252" s="388">
        <v>30.6</v>
      </c>
      <c r="L252" s="388">
        <f t="shared" si="5"/>
        <v>1.2413863636363636E-2</v>
      </c>
    </row>
    <row r="253" spans="1:13" s="383" customFormat="1">
      <c r="A253" s="383" t="s">
        <v>3168</v>
      </c>
      <c r="B253" s="383" t="s">
        <v>3404</v>
      </c>
      <c r="J253" s="388">
        <v>34.4</v>
      </c>
      <c r="L253" s="388">
        <f t="shared" si="5"/>
        <v>1.3955454545454543E-2</v>
      </c>
    </row>
    <row r="254" spans="1:13" s="383" customFormat="1">
      <c r="A254" s="383" t="s">
        <v>3168</v>
      </c>
      <c r="B254" s="383" t="s">
        <v>3404</v>
      </c>
      <c r="J254" s="388">
        <v>15.6</v>
      </c>
      <c r="L254" s="388">
        <f t="shared" si="5"/>
        <v>6.3286363636363627E-3</v>
      </c>
    </row>
    <row r="255" spans="1:13" s="383" customFormat="1">
      <c r="A255" s="383" t="s">
        <v>3168</v>
      </c>
      <c r="B255" s="383" t="s">
        <v>3404</v>
      </c>
      <c r="I255" s="388" t="s">
        <v>3033</v>
      </c>
      <c r="J255" s="388">
        <f>MAX(J242:J254)</f>
        <v>36.200000000000003</v>
      </c>
    </row>
    <row r="256" spans="1:13" s="383" customFormat="1">
      <c r="A256" s="383" t="s">
        <v>3168</v>
      </c>
      <c r="B256" s="383" t="s">
        <v>3404</v>
      </c>
      <c r="I256" s="388" t="s">
        <v>3034</v>
      </c>
      <c r="J256" s="388">
        <f>MIN(J242:J254)</f>
        <v>0.1</v>
      </c>
    </row>
    <row r="257" spans="1:5" s="383" customFormat="1">
      <c r="A257" s="383" t="s">
        <v>3168</v>
      </c>
      <c r="B257" s="383" t="s">
        <v>3404</v>
      </c>
    </row>
    <row r="258" spans="1:5" s="383" customFormat="1">
      <c r="A258" s="383" t="s">
        <v>3168</v>
      </c>
      <c r="B258" s="383" t="s">
        <v>3404</v>
      </c>
    </row>
    <row r="259" spans="1:5" s="383" customFormat="1">
      <c r="A259" s="383" t="s">
        <v>3168</v>
      </c>
      <c r="B259" s="383" t="s">
        <v>3404</v>
      </c>
      <c r="D259" s="383" t="s">
        <v>3596</v>
      </c>
    </row>
    <row r="260" spans="1:5">
      <c r="A260" t="s">
        <v>3168</v>
      </c>
      <c r="B260" t="s">
        <v>3404</v>
      </c>
    </row>
    <row r="261" spans="1:5">
      <c r="A261" t="s">
        <v>3168</v>
      </c>
      <c r="B261" t="s">
        <v>3404</v>
      </c>
      <c r="C261" t="s">
        <v>638</v>
      </c>
      <c r="D261" t="s">
        <v>639</v>
      </c>
    </row>
    <row r="262" spans="1:5">
      <c r="A262" t="s">
        <v>3168</v>
      </c>
      <c r="B262" t="s">
        <v>3404</v>
      </c>
      <c r="D262" t="s">
        <v>640</v>
      </c>
    </row>
    <row r="263" spans="1:5">
      <c r="A263" t="s">
        <v>3168</v>
      </c>
      <c r="B263" t="s">
        <v>3404</v>
      </c>
    </row>
    <row r="264" spans="1:5">
      <c r="A264" t="s">
        <v>3168</v>
      </c>
      <c r="B264" t="s">
        <v>3404</v>
      </c>
      <c r="D264" s="48" t="s">
        <v>641</v>
      </c>
      <c r="E264" s="48">
        <v>0.72719999999999996</v>
      </c>
    </row>
    <row r="265" spans="1:5">
      <c r="A265" t="s">
        <v>3168</v>
      </c>
      <c r="B265" t="s">
        <v>3404</v>
      </c>
      <c r="D265" s="48" t="s">
        <v>642</v>
      </c>
      <c r="E265" s="51">
        <f>[1]MonoSugar!$J$5</f>
        <v>4.0568181818181817</v>
      </c>
    </row>
    <row r="266" spans="1:5">
      <c r="A266" t="s">
        <v>3168</v>
      </c>
      <c r="B266" t="s">
        <v>3404</v>
      </c>
      <c r="D266" s="48" t="s">
        <v>643</v>
      </c>
      <c r="E266" s="48">
        <f>E264*E265%</f>
        <v>2.9501181818181815E-2</v>
      </c>
    </row>
    <row r="267" spans="1:5">
      <c r="A267" t="s">
        <v>3168</v>
      </c>
      <c r="B267" t="s">
        <v>3404</v>
      </c>
    </row>
    <row r="268" spans="1:5">
      <c r="A268" t="s">
        <v>3168</v>
      </c>
      <c r="B268" t="s">
        <v>3404</v>
      </c>
    </row>
    <row r="269" spans="1:5">
      <c r="A269" t="s">
        <v>3168</v>
      </c>
      <c r="B269" t="s">
        <v>3532</v>
      </c>
      <c r="C269" t="s">
        <v>638</v>
      </c>
      <c r="D269" t="s">
        <v>639</v>
      </c>
    </row>
    <row r="270" spans="1:5">
      <c r="A270" t="s">
        <v>3168</v>
      </c>
      <c r="B270" t="s">
        <v>3532</v>
      </c>
      <c r="D270" t="s">
        <v>640</v>
      </c>
    </row>
    <row r="271" spans="1:5">
      <c r="A271" t="s">
        <v>3168</v>
      </c>
      <c r="B271" t="s">
        <v>3532</v>
      </c>
    </row>
    <row r="272" spans="1:5">
      <c r="A272" t="s">
        <v>3168</v>
      </c>
      <c r="B272" t="s">
        <v>3532</v>
      </c>
      <c r="D272" s="48" t="s">
        <v>641</v>
      </c>
      <c r="E272" s="48">
        <v>0.72719999999999996</v>
      </c>
    </row>
    <row r="273" spans="1:16">
      <c r="A273" t="s">
        <v>3168</v>
      </c>
      <c r="B273" t="s">
        <v>3532</v>
      </c>
      <c r="D273" s="48" t="s">
        <v>642</v>
      </c>
      <c r="E273" s="51">
        <f>[1]MonoSugar!$J$6</f>
        <v>15.3</v>
      </c>
    </row>
    <row r="274" spans="1:16">
      <c r="A274" t="s">
        <v>3168</v>
      </c>
      <c r="B274" t="s">
        <v>3532</v>
      </c>
      <c r="D274" s="48" t="s">
        <v>643</v>
      </c>
      <c r="E274" s="48">
        <f>E272*E273%</f>
        <v>0.11126159999999999</v>
      </c>
    </row>
    <row r="275" spans="1:16">
      <c r="A275" t="s">
        <v>3168</v>
      </c>
      <c r="B275" t="s">
        <v>3532</v>
      </c>
    </row>
    <row r="276" spans="1:16">
      <c r="A276" t="s">
        <v>3168</v>
      </c>
      <c r="B276" t="s">
        <v>4554</v>
      </c>
      <c r="C276" t="s">
        <v>638</v>
      </c>
      <c r="D276" t="s">
        <v>639</v>
      </c>
    </row>
    <row r="277" spans="1:16">
      <c r="A277" t="s">
        <v>3168</v>
      </c>
      <c r="B277" t="s">
        <v>4554</v>
      </c>
      <c r="D277" t="s">
        <v>640</v>
      </c>
    </row>
    <row r="278" spans="1:16">
      <c r="A278" t="s">
        <v>3168</v>
      </c>
      <c r="B278" t="s">
        <v>4554</v>
      </c>
    </row>
    <row r="279" spans="1:16">
      <c r="A279" t="s">
        <v>3168</v>
      </c>
      <c r="B279" t="s">
        <v>4554</v>
      </c>
      <c r="D279" s="48" t="s">
        <v>641</v>
      </c>
      <c r="E279" s="48">
        <v>0.72719999999999996</v>
      </c>
    </row>
    <row r="280" spans="1:16">
      <c r="A280" t="s">
        <v>3168</v>
      </c>
      <c r="B280" t="s">
        <v>4554</v>
      </c>
      <c r="D280" s="48" t="s">
        <v>642</v>
      </c>
      <c r="E280" s="48">
        <v>0</v>
      </c>
    </row>
    <row r="281" spans="1:16">
      <c r="A281" t="s">
        <v>3168</v>
      </c>
      <c r="B281" t="s">
        <v>4554</v>
      </c>
      <c r="D281" s="48" t="s">
        <v>643</v>
      </c>
      <c r="E281" s="48">
        <f>E279*E280</f>
        <v>0</v>
      </c>
    </row>
    <row r="282" spans="1:16">
      <c r="A282" t="s">
        <v>3168</v>
      </c>
    </row>
    <row r="283" spans="1:16" s="383" customFormat="1">
      <c r="A283" s="383" t="s">
        <v>679</v>
      </c>
      <c r="B283" s="383" t="s">
        <v>3404</v>
      </c>
      <c r="C283" s="383" t="s">
        <v>4</v>
      </c>
      <c r="D283" s="384" t="s">
        <v>3548</v>
      </c>
    </row>
    <row r="284" spans="1:16" s="383" customFormat="1">
      <c r="A284" s="383" t="s">
        <v>679</v>
      </c>
      <c r="B284" s="383" t="s">
        <v>3404</v>
      </c>
      <c r="D284" s="384" t="s">
        <v>3549</v>
      </c>
    </row>
    <row r="285" spans="1:16" s="383" customFormat="1" ht="15" customHeight="1">
      <c r="A285" s="383" t="s">
        <v>679</v>
      </c>
      <c r="B285" s="383" t="s">
        <v>3404</v>
      </c>
      <c r="D285" s="644" t="s">
        <v>3550</v>
      </c>
      <c r="E285" s="410" t="s">
        <v>3551</v>
      </c>
      <c r="F285" s="410" t="s">
        <v>3552</v>
      </c>
      <c r="G285" s="410" t="s">
        <v>3553</v>
      </c>
      <c r="H285" s="410" t="s">
        <v>3554</v>
      </c>
      <c r="I285" s="642" t="s">
        <v>3555</v>
      </c>
      <c r="J285" s="646"/>
      <c r="K285" s="642" t="s">
        <v>3556</v>
      </c>
      <c r="L285" s="646"/>
      <c r="M285" s="642" t="s">
        <v>3557</v>
      </c>
    </row>
    <row r="286" spans="1:16" s="383" customFormat="1" ht="28.2">
      <c r="A286" s="383" t="s">
        <v>679</v>
      </c>
      <c r="B286" s="383" t="s">
        <v>3404</v>
      </c>
      <c r="D286" s="656"/>
      <c r="E286" s="411" t="s">
        <v>1687</v>
      </c>
      <c r="F286" s="411" t="s">
        <v>1494</v>
      </c>
      <c r="G286" s="411" t="s">
        <v>2203</v>
      </c>
      <c r="H286" s="411" t="s">
        <v>3558</v>
      </c>
      <c r="I286" s="411" t="s">
        <v>3559</v>
      </c>
      <c r="J286" s="411" t="s">
        <v>3560</v>
      </c>
      <c r="K286" s="411" t="s">
        <v>3561</v>
      </c>
      <c r="L286" s="411" t="s">
        <v>3562</v>
      </c>
      <c r="M286" s="647"/>
      <c r="N286" s="388" t="s">
        <v>3597</v>
      </c>
      <c r="O286" s="388" t="s">
        <v>3318</v>
      </c>
      <c r="P286" s="388" t="s">
        <v>3177</v>
      </c>
    </row>
    <row r="287" spans="1:16" s="383" customFormat="1">
      <c r="A287" s="383" t="s">
        <v>679</v>
      </c>
      <c r="B287" s="383" t="s">
        <v>3404</v>
      </c>
      <c r="D287" s="392">
        <v>1</v>
      </c>
      <c r="E287" s="392" t="s">
        <v>3565</v>
      </c>
      <c r="F287" s="392" t="s">
        <v>3566</v>
      </c>
      <c r="G287" s="392" t="s">
        <v>3567</v>
      </c>
      <c r="H287" s="392" t="s">
        <v>3568</v>
      </c>
      <c r="I287" s="392">
        <v>1.4</v>
      </c>
      <c r="J287" s="392">
        <v>0.4</v>
      </c>
      <c r="K287" s="392">
        <v>5.6</v>
      </c>
      <c r="L287" s="392">
        <v>95.3</v>
      </c>
      <c r="M287" s="392">
        <v>55.6</v>
      </c>
      <c r="N287" s="409">
        <f>[1]MonoSugar!$K$5</f>
        <v>74.833484848484844</v>
      </c>
      <c r="O287" s="388">
        <f>J287/100*$N$287/100</f>
        <v>2.9933393939393939E-3</v>
      </c>
      <c r="P287" s="388">
        <f>AVERAGE(O287:O314)</f>
        <v>6.4436975703463179E-3</v>
      </c>
    </row>
    <row r="288" spans="1:16" s="383" customFormat="1">
      <c r="A288" s="383" t="s">
        <v>679</v>
      </c>
      <c r="B288" s="383" t="s">
        <v>3404</v>
      </c>
      <c r="D288" s="392">
        <v>2</v>
      </c>
      <c r="E288" s="392" t="s">
        <v>3565</v>
      </c>
      <c r="F288" s="392" t="s">
        <v>3566</v>
      </c>
      <c r="G288" s="392" t="s">
        <v>3569</v>
      </c>
      <c r="H288" s="392" t="s">
        <v>3568</v>
      </c>
      <c r="I288" s="392">
        <v>32.9</v>
      </c>
      <c r="J288" s="392">
        <v>0.64</v>
      </c>
      <c r="K288" s="392">
        <v>23.1</v>
      </c>
      <c r="L288" s="392">
        <v>48.7</v>
      </c>
      <c r="M288" s="392">
        <v>43.1</v>
      </c>
      <c r="O288" s="388">
        <f t="shared" ref="O288:O314" si="6">J288/100*$N$287/100</f>
        <v>4.7893430303030306E-3</v>
      </c>
    </row>
    <row r="289" spans="1:15" s="383" customFormat="1">
      <c r="A289" s="383" t="s">
        <v>679</v>
      </c>
      <c r="B289" s="383" t="s">
        <v>3404</v>
      </c>
      <c r="D289" s="392">
        <v>3</v>
      </c>
      <c r="E289" s="392" t="s">
        <v>3565</v>
      </c>
      <c r="F289" s="392" t="s">
        <v>3566</v>
      </c>
      <c r="G289" s="392" t="s">
        <v>3567</v>
      </c>
      <c r="H289" s="392" t="s">
        <v>3570</v>
      </c>
      <c r="I289" s="392">
        <v>1.8</v>
      </c>
      <c r="J289" s="392">
        <v>0.37</v>
      </c>
      <c r="K289" s="392">
        <v>6.3</v>
      </c>
      <c r="L289" s="392">
        <v>77.900000000000006</v>
      </c>
      <c r="M289" s="392">
        <v>53.9</v>
      </c>
      <c r="O289" s="388">
        <f t="shared" si="6"/>
        <v>2.7688389393939394E-3</v>
      </c>
    </row>
    <row r="290" spans="1:15" s="383" customFormat="1">
      <c r="A290" s="383" t="s">
        <v>679</v>
      </c>
      <c r="B290" s="383" t="s">
        <v>3404</v>
      </c>
      <c r="D290" s="392">
        <v>4</v>
      </c>
      <c r="E290" s="392" t="s">
        <v>3565</v>
      </c>
      <c r="F290" s="392" t="s">
        <v>3566</v>
      </c>
      <c r="G290" s="392" t="s">
        <v>3569</v>
      </c>
      <c r="H290" s="392" t="s">
        <v>3570</v>
      </c>
      <c r="I290" s="392">
        <v>34.700000000000003</v>
      </c>
      <c r="J290" s="392">
        <v>0.61</v>
      </c>
      <c r="K290" s="392">
        <v>24</v>
      </c>
      <c r="L290" s="392">
        <v>52.1</v>
      </c>
      <c r="M290" s="392">
        <v>35.5</v>
      </c>
      <c r="O290" s="388">
        <f t="shared" si="6"/>
        <v>4.5648425757575748E-3</v>
      </c>
    </row>
    <row r="291" spans="1:15" s="383" customFormat="1">
      <c r="A291" s="383" t="s">
        <v>679</v>
      </c>
      <c r="B291" s="383" t="s">
        <v>3404</v>
      </c>
      <c r="D291" s="392">
        <v>5</v>
      </c>
      <c r="E291" s="392" t="s">
        <v>3565</v>
      </c>
      <c r="F291" s="392" t="s">
        <v>3571</v>
      </c>
      <c r="G291" s="392" t="s">
        <v>3567</v>
      </c>
      <c r="H291" s="392" t="s">
        <v>3568</v>
      </c>
      <c r="I291" s="392">
        <v>4.8</v>
      </c>
      <c r="J291" s="392">
        <v>0.55000000000000004</v>
      </c>
      <c r="K291" s="392">
        <v>6.6</v>
      </c>
      <c r="L291" s="392">
        <v>90.2</v>
      </c>
      <c r="M291" s="392">
        <v>54</v>
      </c>
      <c r="O291" s="388">
        <f t="shared" si="6"/>
        <v>4.1158416666666666E-3</v>
      </c>
    </row>
    <row r="292" spans="1:15" s="383" customFormat="1">
      <c r="A292" s="383" t="s">
        <v>679</v>
      </c>
      <c r="B292" s="383" t="s">
        <v>3404</v>
      </c>
      <c r="D292" s="392">
        <v>6</v>
      </c>
      <c r="E292" s="392" t="s">
        <v>3565</v>
      </c>
      <c r="F292" s="392" t="s">
        <v>3571</v>
      </c>
      <c r="G292" s="392" t="s">
        <v>3569</v>
      </c>
      <c r="H292" s="392" t="s">
        <v>3568</v>
      </c>
      <c r="I292" s="392">
        <v>46.9</v>
      </c>
      <c r="J292" s="392">
        <v>1.27</v>
      </c>
      <c r="K292" s="392">
        <v>43.7</v>
      </c>
      <c r="L292" s="392">
        <v>10.6</v>
      </c>
      <c r="M292" s="392">
        <v>33.4</v>
      </c>
      <c r="O292" s="388">
        <f t="shared" si="6"/>
        <v>9.5038525757575737E-3</v>
      </c>
    </row>
    <row r="293" spans="1:15" s="383" customFormat="1">
      <c r="A293" s="383" t="s">
        <v>679</v>
      </c>
      <c r="B293" s="383" t="s">
        <v>3404</v>
      </c>
      <c r="D293" s="392">
        <v>7</v>
      </c>
      <c r="E293" s="392" t="s">
        <v>3565</v>
      </c>
      <c r="F293" s="392" t="s">
        <v>3571</v>
      </c>
      <c r="G293" s="392" t="s">
        <v>3567</v>
      </c>
      <c r="H293" s="392" t="s">
        <v>3570</v>
      </c>
      <c r="I293" s="392">
        <v>6.3</v>
      </c>
      <c r="J293" s="392">
        <v>0.56000000000000005</v>
      </c>
      <c r="K293" s="392">
        <v>7.4</v>
      </c>
      <c r="L293" s="392">
        <v>99.1</v>
      </c>
      <c r="M293" s="392">
        <v>55.4</v>
      </c>
      <c r="O293" s="388">
        <f t="shared" si="6"/>
        <v>4.1906751515151516E-3</v>
      </c>
    </row>
    <row r="294" spans="1:15" s="383" customFormat="1">
      <c r="A294" s="383" t="s">
        <v>679</v>
      </c>
      <c r="B294" s="383" t="s">
        <v>3404</v>
      </c>
      <c r="D294" s="392">
        <v>8</v>
      </c>
      <c r="E294" s="392" t="s">
        <v>3565</v>
      </c>
      <c r="F294" s="392" t="s">
        <v>3571</v>
      </c>
      <c r="G294" s="392" t="s">
        <v>3569</v>
      </c>
      <c r="H294" s="392" t="s">
        <v>3570</v>
      </c>
      <c r="I294" s="392">
        <v>51.3</v>
      </c>
      <c r="J294" s="392">
        <v>1.38</v>
      </c>
      <c r="K294" s="392">
        <v>40.200000000000003</v>
      </c>
      <c r="L294" s="392">
        <v>5.9</v>
      </c>
      <c r="M294" s="392">
        <v>26.7</v>
      </c>
      <c r="O294" s="388">
        <f t="shared" si="6"/>
        <v>1.0327020909090909E-2</v>
      </c>
    </row>
    <row r="295" spans="1:15" s="383" customFormat="1">
      <c r="A295" s="383" t="s">
        <v>679</v>
      </c>
      <c r="B295" s="383" t="s">
        <v>3404</v>
      </c>
      <c r="D295" s="392">
        <v>9</v>
      </c>
      <c r="E295" s="392" t="s">
        <v>3572</v>
      </c>
      <c r="F295" s="392" t="s">
        <v>3566</v>
      </c>
      <c r="G295" s="392" t="s">
        <v>3567</v>
      </c>
      <c r="H295" s="392" t="s">
        <v>3568</v>
      </c>
      <c r="I295" s="392">
        <v>21.4</v>
      </c>
      <c r="J295" s="392">
        <v>1.1200000000000001</v>
      </c>
      <c r="K295" s="392">
        <v>19</v>
      </c>
      <c r="L295" s="392">
        <v>70.8</v>
      </c>
      <c r="M295" s="392">
        <v>46</v>
      </c>
      <c r="O295" s="388">
        <f t="shared" si="6"/>
        <v>8.3813503030303032E-3</v>
      </c>
    </row>
    <row r="296" spans="1:15" s="383" customFormat="1">
      <c r="A296" s="383" t="s">
        <v>679</v>
      </c>
      <c r="B296" s="383" t="s">
        <v>3404</v>
      </c>
      <c r="D296" s="392">
        <v>10</v>
      </c>
      <c r="E296" s="392" t="s">
        <v>3572</v>
      </c>
      <c r="F296" s="392" t="s">
        <v>3566</v>
      </c>
      <c r="G296" s="392" t="s">
        <v>3569</v>
      </c>
      <c r="H296" s="392" t="s">
        <v>3568</v>
      </c>
      <c r="I296" s="392">
        <v>33.9</v>
      </c>
      <c r="J296" s="392">
        <v>0.54</v>
      </c>
      <c r="K296" s="392">
        <v>8.8000000000000007</v>
      </c>
      <c r="L296" s="392">
        <v>0</v>
      </c>
      <c r="M296" s="392">
        <v>18.3</v>
      </c>
      <c r="O296" s="388">
        <f t="shared" si="6"/>
        <v>4.0410081818181816E-3</v>
      </c>
    </row>
    <row r="297" spans="1:15" s="383" customFormat="1">
      <c r="A297" s="383" t="s">
        <v>679</v>
      </c>
      <c r="B297" s="383" t="s">
        <v>3404</v>
      </c>
      <c r="D297" s="392">
        <v>11</v>
      </c>
      <c r="E297" s="392" t="s">
        <v>3572</v>
      </c>
      <c r="F297" s="392" t="s">
        <v>3566</v>
      </c>
      <c r="G297" s="392" t="s">
        <v>3567</v>
      </c>
      <c r="H297" s="392" t="s">
        <v>3570</v>
      </c>
      <c r="I297" s="392">
        <v>31.1</v>
      </c>
      <c r="J297" s="392">
        <v>1.39</v>
      </c>
      <c r="K297" s="392">
        <v>23.9</v>
      </c>
      <c r="L297" s="392">
        <v>56.4</v>
      </c>
      <c r="M297" s="392">
        <v>45.8</v>
      </c>
      <c r="O297" s="388">
        <f t="shared" si="6"/>
        <v>1.0401854393939394E-2</v>
      </c>
    </row>
    <row r="298" spans="1:15" s="383" customFormat="1">
      <c r="A298" s="383" t="s">
        <v>679</v>
      </c>
      <c r="B298" s="383" t="s">
        <v>3404</v>
      </c>
      <c r="D298" s="392">
        <v>12</v>
      </c>
      <c r="E298" s="392" t="s">
        <v>3572</v>
      </c>
      <c r="F298" s="392" t="s">
        <v>3566</v>
      </c>
      <c r="G298" s="392" t="s">
        <v>3569</v>
      </c>
      <c r="H298" s="392" t="s">
        <v>3570</v>
      </c>
      <c r="I298" s="392">
        <v>40.700000000000003</v>
      </c>
      <c r="J298" s="392">
        <v>0.35</v>
      </c>
      <c r="K298" s="392">
        <v>2.5</v>
      </c>
      <c r="L298" s="392">
        <v>0.4</v>
      </c>
      <c r="M298" s="392">
        <v>13</v>
      </c>
      <c r="O298" s="388">
        <f t="shared" si="6"/>
        <v>2.6191719696969694E-3</v>
      </c>
    </row>
    <row r="299" spans="1:15" s="383" customFormat="1">
      <c r="A299" s="383" t="s">
        <v>679</v>
      </c>
      <c r="B299" s="383" t="s">
        <v>3404</v>
      </c>
      <c r="D299" s="392">
        <v>13</v>
      </c>
      <c r="E299" s="392" t="s">
        <v>3572</v>
      </c>
      <c r="F299" s="392" t="s">
        <v>3571</v>
      </c>
      <c r="G299" s="392" t="s">
        <v>3567</v>
      </c>
      <c r="H299" s="392" t="s">
        <v>3568</v>
      </c>
      <c r="I299" s="392">
        <v>39.9</v>
      </c>
      <c r="J299" s="392">
        <v>2.29</v>
      </c>
      <c r="K299" s="392">
        <v>38.299999999999997</v>
      </c>
      <c r="L299" s="392">
        <v>28.2</v>
      </c>
      <c r="M299" s="392">
        <v>38</v>
      </c>
      <c r="O299" s="388">
        <f t="shared" si="6"/>
        <v>1.713686803030303E-2</v>
      </c>
    </row>
    <row r="300" spans="1:15" s="383" customFormat="1">
      <c r="A300" s="383" t="s">
        <v>679</v>
      </c>
      <c r="B300" s="383" t="s">
        <v>3404</v>
      </c>
      <c r="D300" s="392">
        <v>14</v>
      </c>
      <c r="E300" s="392" t="s">
        <v>3572</v>
      </c>
      <c r="F300" s="392" t="s">
        <v>3571</v>
      </c>
      <c r="G300" s="392" t="s">
        <v>3569</v>
      </c>
      <c r="H300" s="392" t="s">
        <v>3568</v>
      </c>
      <c r="I300" s="392">
        <v>23.8</v>
      </c>
      <c r="J300" s="392">
        <v>0</v>
      </c>
      <c r="K300" s="392">
        <v>0</v>
      </c>
      <c r="L300" s="392">
        <v>4.0999999999999996</v>
      </c>
      <c r="M300" s="392">
        <v>21.9</v>
      </c>
      <c r="O300" s="388">
        <f t="shared" si="6"/>
        <v>0</v>
      </c>
    </row>
    <row r="301" spans="1:15" s="383" customFormat="1">
      <c r="A301" s="383" t="s">
        <v>679</v>
      </c>
      <c r="B301" s="383" t="s">
        <v>3404</v>
      </c>
      <c r="D301" s="392">
        <v>15</v>
      </c>
      <c r="E301" s="392" t="s">
        <v>3572</v>
      </c>
      <c r="F301" s="392" t="s">
        <v>3571</v>
      </c>
      <c r="G301" s="392" t="s">
        <v>3567</v>
      </c>
      <c r="H301" s="392" t="s">
        <v>3570</v>
      </c>
      <c r="I301" s="392">
        <v>38.299999999999997</v>
      </c>
      <c r="J301" s="392">
        <v>2.09</v>
      </c>
      <c r="K301" s="392">
        <v>34.299999999999997</v>
      </c>
      <c r="L301" s="392">
        <v>23.4</v>
      </c>
      <c r="M301" s="392">
        <v>40.299999999999997</v>
      </c>
      <c r="O301" s="388">
        <f t="shared" si="6"/>
        <v>1.5640198333333331E-2</v>
      </c>
    </row>
    <row r="302" spans="1:15" s="383" customFormat="1">
      <c r="A302" s="383" t="s">
        <v>679</v>
      </c>
      <c r="B302" s="383" t="s">
        <v>3404</v>
      </c>
      <c r="D302" s="392">
        <v>16</v>
      </c>
      <c r="E302" s="392" t="s">
        <v>3572</v>
      </c>
      <c r="F302" s="392" t="s">
        <v>3571</v>
      </c>
      <c r="G302" s="392" t="s">
        <v>3569</v>
      </c>
      <c r="H302" s="392" t="s">
        <v>3570</v>
      </c>
      <c r="I302" s="392">
        <v>22.1</v>
      </c>
      <c r="J302" s="392">
        <v>0</v>
      </c>
      <c r="K302" s="392">
        <v>0</v>
      </c>
      <c r="L302" s="392">
        <v>10.6</v>
      </c>
      <c r="M302" s="392">
        <v>16.3</v>
      </c>
      <c r="O302" s="388">
        <f t="shared" si="6"/>
        <v>0</v>
      </c>
    </row>
    <row r="303" spans="1:15" s="383" customFormat="1">
      <c r="A303" s="383" t="s">
        <v>679</v>
      </c>
      <c r="B303" s="383" t="s">
        <v>3404</v>
      </c>
      <c r="D303" s="392">
        <v>17</v>
      </c>
      <c r="E303" s="392" t="s">
        <v>3573</v>
      </c>
      <c r="F303" s="392" t="s">
        <v>3574</v>
      </c>
      <c r="G303" s="392" t="s">
        <v>3575</v>
      </c>
      <c r="H303" s="392" t="s">
        <v>3576</v>
      </c>
      <c r="I303" s="392">
        <v>3.3</v>
      </c>
      <c r="J303" s="392">
        <v>0.48</v>
      </c>
      <c r="K303" s="392">
        <v>6.1</v>
      </c>
      <c r="L303" s="392">
        <v>93.9</v>
      </c>
      <c r="M303" s="392">
        <v>51.1</v>
      </c>
      <c r="O303" s="388">
        <f t="shared" si="6"/>
        <v>3.5920072727272721E-3</v>
      </c>
    </row>
    <row r="304" spans="1:15" s="383" customFormat="1">
      <c r="A304" s="383" t="s">
        <v>679</v>
      </c>
      <c r="B304" s="383" t="s">
        <v>3404</v>
      </c>
      <c r="D304" s="392">
        <v>18</v>
      </c>
      <c r="E304" s="392" t="s">
        <v>3577</v>
      </c>
      <c r="F304" s="392" t="s">
        <v>3574</v>
      </c>
      <c r="G304" s="392" t="s">
        <v>3575</v>
      </c>
      <c r="H304" s="392" t="s">
        <v>3576</v>
      </c>
      <c r="I304" s="392">
        <v>37.9</v>
      </c>
      <c r="J304" s="392">
        <v>0.45</v>
      </c>
      <c r="K304" s="392">
        <v>1.1000000000000001</v>
      </c>
      <c r="L304" s="392">
        <v>5</v>
      </c>
      <c r="M304" s="392">
        <v>17.899999999999999</v>
      </c>
      <c r="O304" s="388">
        <f t="shared" si="6"/>
        <v>3.3675068181818184E-3</v>
      </c>
    </row>
    <row r="305" spans="1:15" s="383" customFormat="1">
      <c r="A305" s="383" t="s">
        <v>679</v>
      </c>
      <c r="B305" s="383" t="s">
        <v>3404</v>
      </c>
      <c r="D305" s="392">
        <v>19</v>
      </c>
      <c r="E305" s="392" t="s">
        <v>3578</v>
      </c>
      <c r="F305" s="392" t="s">
        <v>3579</v>
      </c>
      <c r="G305" s="392" t="s">
        <v>3575</v>
      </c>
      <c r="H305" s="392" t="s">
        <v>3576</v>
      </c>
      <c r="I305" s="392">
        <v>4.8</v>
      </c>
      <c r="J305" s="392">
        <v>0.65</v>
      </c>
      <c r="K305" s="392">
        <v>6.9</v>
      </c>
      <c r="L305" s="392">
        <v>97.1</v>
      </c>
      <c r="M305" s="392">
        <v>53.8</v>
      </c>
      <c r="O305" s="388">
        <f t="shared" si="6"/>
        <v>4.8641765151515156E-3</v>
      </c>
    </row>
    <row r="306" spans="1:15" s="383" customFormat="1">
      <c r="A306" s="383" t="s">
        <v>679</v>
      </c>
      <c r="B306" s="383" t="s">
        <v>3404</v>
      </c>
      <c r="D306" s="392">
        <v>20</v>
      </c>
      <c r="E306" s="392" t="s">
        <v>3578</v>
      </c>
      <c r="F306" s="392" t="s">
        <v>3580</v>
      </c>
      <c r="G306" s="392" t="s">
        <v>3575</v>
      </c>
      <c r="H306" s="392" t="s">
        <v>3576</v>
      </c>
      <c r="I306" s="392">
        <v>40.799999999999997</v>
      </c>
      <c r="J306" s="392">
        <v>1.61</v>
      </c>
      <c r="K306" s="392">
        <v>36.9</v>
      </c>
      <c r="L306" s="392">
        <v>18.899999999999999</v>
      </c>
      <c r="M306" s="392">
        <v>37</v>
      </c>
      <c r="O306" s="388">
        <f t="shared" si="6"/>
        <v>1.204819106060606E-2</v>
      </c>
    </row>
    <row r="307" spans="1:15" s="383" customFormat="1">
      <c r="A307" s="383" t="s">
        <v>679</v>
      </c>
      <c r="B307" s="383" t="s">
        <v>3404</v>
      </c>
      <c r="D307" s="392">
        <v>21</v>
      </c>
      <c r="E307" s="392" t="s">
        <v>3578</v>
      </c>
      <c r="F307" s="392" t="s">
        <v>3574</v>
      </c>
      <c r="G307" s="392" t="s">
        <v>3575</v>
      </c>
      <c r="H307" s="392" t="s">
        <v>3581</v>
      </c>
      <c r="I307" s="392">
        <v>21.9</v>
      </c>
      <c r="J307" s="392">
        <v>0.89</v>
      </c>
      <c r="K307" s="392">
        <v>17.8</v>
      </c>
      <c r="L307" s="392">
        <v>71.599999999999994</v>
      </c>
      <c r="M307" s="392">
        <v>52.2</v>
      </c>
      <c r="O307" s="388">
        <f t="shared" si="6"/>
        <v>6.6601801515151519E-3</v>
      </c>
    </row>
    <row r="308" spans="1:15" s="383" customFormat="1">
      <c r="A308" s="383" t="s">
        <v>679</v>
      </c>
      <c r="B308" s="383" t="s">
        <v>3404</v>
      </c>
      <c r="D308" s="392">
        <v>22</v>
      </c>
      <c r="E308" s="392" t="s">
        <v>3578</v>
      </c>
      <c r="F308" s="392" t="s">
        <v>3574</v>
      </c>
      <c r="G308" s="392" t="s">
        <v>3575</v>
      </c>
      <c r="H308" s="392" t="s">
        <v>3582</v>
      </c>
      <c r="I308" s="392">
        <v>32.9</v>
      </c>
      <c r="J308" s="392">
        <v>1.1000000000000001</v>
      </c>
      <c r="K308" s="392">
        <v>20.399999999999999</v>
      </c>
      <c r="L308" s="392">
        <v>26.2</v>
      </c>
      <c r="M308" s="392">
        <v>36.200000000000003</v>
      </c>
      <c r="O308" s="388">
        <f t="shared" si="6"/>
        <v>8.2316833333333332E-3</v>
      </c>
    </row>
    <row r="309" spans="1:15" s="383" customFormat="1">
      <c r="A309" s="383" t="s">
        <v>679</v>
      </c>
      <c r="B309" s="383" t="s">
        <v>3404</v>
      </c>
      <c r="D309" s="392">
        <v>23</v>
      </c>
      <c r="E309" s="392" t="s">
        <v>3578</v>
      </c>
      <c r="F309" s="392" t="s">
        <v>3574</v>
      </c>
      <c r="G309" s="392" t="s">
        <v>3583</v>
      </c>
      <c r="H309" s="392" t="s">
        <v>3576</v>
      </c>
      <c r="I309" s="392">
        <v>2.4</v>
      </c>
      <c r="J309" s="392">
        <v>0.38</v>
      </c>
      <c r="K309" s="392">
        <v>3.9</v>
      </c>
      <c r="L309" s="392">
        <v>78.599999999999994</v>
      </c>
      <c r="M309" s="392">
        <v>52.4</v>
      </c>
      <c r="O309" s="388">
        <f t="shared" si="6"/>
        <v>2.843672424242424E-3</v>
      </c>
    </row>
    <row r="310" spans="1:15" s="383" customFormat="1">
      <c r="A310" s="383" t="s">
        <v>679</v>
      </c>
      <c r="B310" s="383" t="s">
        <v>3404</v>
      </c>
      <c r="D310" s="392">
        <v>24</v>
      </c>
      <c r="E310" s="392" t="s">
        <v>3578</v>
      </c>
      <c r="F310" s="392" t="s">
        <v>3574</v>
      </c>
      <c r="G310" s="392" t="s">
        <v>3584</v>
      </c>
      <c r="H310" s="392" t="s">
        <v>3576</v>
      </c>
      <c r="I310" s="392">
        <v>15</v>
      </c>
      <c r="J310" s="392">
        <v>0</v>
      </c>
      <c r="K310" s="392">
        <v>0</v>
      </c>
      <c r="L310" s="392">
        <v>5</v>
      </c>
      <c r="M310" s="392">
        <v>17.2</v>
      </c>
      <c r="O310" s="388">
        <f t="shared" si="6"/>
        <v>0</v>
      </c>
    </row>
    <row r="311" spans="1:15" s="383" customFormat="1">
      <c r="A311" s="383" t="s">
        <v>679</v>
      </c>
      <c r="B311" s="383" t="s">
        <v>3404</v>
      </c>
      <c r="D311" s="392">
        <v>25</v>
      </c>
      <c r="E311" s="392" t="s">
        <v>3578</v>
      </c>
      <c r="F311" s="392" t="s">
        <v>3574</v>
      </c>
      <c r="G311" s="392" t="s">
        <v>3575</v>
      </c>
      <c r="H311" s="392" t="s">
        <v>3576</v>
      </c>
      <c r="I311" s="392">
        <v>33.4</v>
      </c>
      <c r="J311" s="392">
        <v>1.1100000000000001</v>
      </c>
      <c r="K311" s="392">
        <v>28.1</v>
      </c>
      <c r="L311" s="392">
        <v>36.4</v>
      </c>
      <c r="M311" s="392">
        <v>41.8</v>
      </c>
      <c r="O311" s="388">
        <f t="shared" si="6"/>
        <v>8.3065168181818191E-3</v>
      </c>
    </row>
    <row r="312" spans="1:15" s="383" customFormat="1">
      <c r="A312" s="383" t="s">
        <v>679</v>
      </c>
      <c r="B312" s="383" t="s">
        <v>3404</v>
      </c>
      <c r="D312" s="392">
        <v>26</v>
      </c>
      <c r="E312" s="392" t="s">
        <v>3578</v>
      </c>
      <c r="F312" s="392" t="s">
        <v>3574</v>
      </c>
      <c r="G312" s="392" t="s">
        <v>3575</v>
      </c>
      <c r="H312" s="392" t="s">
        <v>3576</v>
      </c>
      <c r="I312" s="392">
        <v>35.200000000000003</v>
      </c>
      <c r="J312" s="392">
        <v>1.22</v>
      </c>
      <c r="K312" s="392">
        <v>30.1</v>
      </c>
      <c r="L312" s="392">
        <v>38.4</v>
      </c>
      <c r="M312" s="392">
        <v>40.1</v>
      </c>
      <c r="O312" s="388">
        <f t="shared" si="6"/>
        <v>9.1296851515151496E-3</v>
      </c>
    </row>
    <row r="313" spans="1:15" s="383" customFormat="1">
      <c r="A313" s="383" t="s">
        <v>679</v>
      </c>
      <c r="B313" s="383" t="s">
        <v>3404</v>
      </c>
      <c r="D313" s="392">
        <v>27</v>
      </c>
      <c r="E313" s="392" t="s">
        <v>3578</v>
      </c>
      <c r="F313" s="392" t="s">
        <v>3574</v>
      </c>
      <c r="G313" s="392" t="s">
        <v>3575</v>
      </c>
      <c r="H313" s="392" t="s">
        <v>3576</v>
      </c>
      <c r="I313" s="392">
        <v>41.9</v>
      </c>
      <c r="J313" s="392">
        <v>1.43</v>
      </c>
      <c r="K313" s="392">
        <v>33.1</v>
      </c>
      <c r="L313" s="392">
        <v>30</v>
      </c>
      <c r="M313" s="392">
        <v>39.1</v>
      </c>
      <c r="O313" s="388">
        <f t="shared" si="6"/>
        <v>1.0701188333333334E-2</v>
      </c>
    </row>
    <row r="314" spans="1:15" s="383" customFormat="1">
      <c r="A314" s="383" t="s">
        <v>679</v>
      </c>
      <c r="B314" s="383" t="s">
        <v>3404</v>
      </c>
      <c r="D314" s="394">
        <v>28</v>
      </c>
      <c r="E314" s="394" t="s">
        <v>3578</v>
      </c>
      <c r="F314" s="394" t="s">
        <v>3574</v>
      </c>
      <c r="G314" s="394" t="s">
        <v>3575</v>
      </c>
      <c r="H314" s="394" t="s">
        <v>3576</v>
      </c>
      <c r="I314" s="394">
        <v>38.6</v>
      </c>
      <c r="J314" s="394">
        <v>1.23</v>
      </c>
      <c r="K314" s="394">
        <v>30.7</v>
      </c>
      <c r="L314" s="394">
        <v>37.799999999999997</v>
      </c>
      <c r="M314" s="394">
        <v>36.1</v>
      </c>
      <c r="O314" s="388">
        <f t="shared" si="6"/>
        <v>9.2045186363636355E-3</v>
      </c>
    </row>
    <row r="315" spans="1:15" s="383" customFormat="1">
      <c r="A315" s="383" t="s">
        <v>679</v>
      </c>
      <c r="B315" s="383" t="s">
        <v>3404</v>
      </c>
      <c r="I315" s="388" t="s">
        <v>3033</v>
      </c>
      <c r="J315" s="388">
        <f>MAX(J287:J314)</f>
        <v>2.29</v>
      </c>
    </row>
    <row r="316" spans="1:15" s="383" customFormat="1">
      <c r="A316" s="383" t="s">
        <v>679</v>
      </c>
      <c r="B316" s="383" t="s">
        <v>3404</v>
      </c>
      <c r="I316" s="388" t="s">
        <v>3034</v>
      </c>
      <c r="J316" s="388">
        <f>MIN(J287:J314)</f>
        <v>0</v>
      </c>
    </row>
    <row r="317" spans="1:15" s="383" customFormat="1" ht="15.6">
      <c r="A317" s="383" t="s">
        <v>679</v>
      </c>
      <c r="B317" s="383" t="s">
        <v>3404</v>
      </c>
      <c r="D317" s="400" t="s">
        <v>3598</v>
      </c>
    </row>
    <row r="318" spans="1:15" s="383" customFormat="1">
      <c r="A318" s="383" t="s">
        <v>679</v>
      </c>
      <c r="B318" s="383" t="s">
        <v>3404</v>
      </c>
    </row>
    <row r="319" spans="1:15" s="383" customFormat="1">
      <c r="A319" s="383" t="s">
        <v>679</v>
      </c>
      <c r="B319" s="383" t="s">
        <v>3404</v>
      </c>
      <c r="C319" s="383" t="s">
        <v>473</v>
      </c>
      <c r="D319" s="384" t="s">
        <v>3599</v>
      </c>
    </row>
    <row r="320" spans="1:15" s="383" customFormat="1">
      <c r="A320" s="383" t="s">
        <v>679</v>
      </c>
      <c r="B320" s="383" t="s">
        <v>3404</v>
      </c>
      <c r="D320" s="384" t="s">
        <v>3600</v>
      </c>
    </row>
    <row r="321" spans="1:12" s="383" customFormat="1" ht="28.2">
      <c r="A321" s="383" t="s">
        <v>679</v>
      </c>
      <c r="B321" s="383" t="s">
        <v>3404</v>
      </c>
      <c r="D321" s="391" t="s">
        <v>3601</v>
      </c>
      <c r="E321" s="391" t="s">
        <v>3602</v>
      </c>
      <c r="F321" s="391" t="s">
        <v>3603</v>
      </c>
      <c r="G321" s="391" t="s">
        <v>3604</v>
      </c>
      <c r="H321" s="391" t="s">
        <v>3171</v>
      </c>
      <c r="I321" s="391" t="s">
        <v>3605</v>
      </c>
      <c r="J321" s="391" t="s">
        <v>3317</v>
      </c>
      <c r="K321" s="391" t="s">
        <v>207</v>
      </c>
      <c r="L321" s="388" t="s">
        <v>3318</v>
      </c>
    </row>
    <row r="322" spans="1:12" s="383" customFormat="1" ht="28.2">
      <c r="A322" s="383" t="s">
        <v>679</v>
      </c>
      <c r="B322" s="383" t="s">
        <v>3404</v>
      </c>
      <c r="D322" s="392" t="s">
        <v>3606</v>
      </c>
      <c r="E322" s="392">
        <v>150</v>
      </c>
      <c r="F322" s="392">
        <v>60</v>
      </c>
      <c r="G322" s="392">
        <v>100</v>
      </c>
      <c r="H322" s="392" t="s">
        <v>3607</v>
      </c>
      <c r="I322" s="392" t="s">
        <v>3608</v>
      </c>
      <c r="J322" s="392">
        <v>3.9</v>
      </c>
      <c r="K322" s="392" t="s">
        <v>677</v>
      </c>
    </row>
    <row r="323" spans="1:12" s="383" customFormat="1" ht="28.2">
      <c r="A323" s="383" t="s">
        <v>679</v>
      </c>
      <c r="B323" s="383" t="s">
        <v>3404</v>
      </c>
      <c r="D323" s="392" t="s">
        <v>1017</v>
      </c>
      <c r="E323" s="392">
        <v>150</v>
      </c>
      <c r="F323" s="392">
        <v>60</v>
      </c>
      <c r="G323" s="392">
        <v>100</v>
      </c>
      <c r="H323" s="392" t="s">
        <v>3607</v>
      </c>
      <c r="I323" s="392" t="s">
        <v>3608</v>
      </c>
      <c r="J323" s="392">
        <v>1.1000000000000001</v>
      </c>
      <c r="K323" s="392" t="s">
        <v>677</v>
      </c>
    </row>
    <row r="324" spans="1:12" s="383" customFormat="1" ht="28.2">
      <c r="A324" s="383" t="s">
        <v>679</v>
      </c>
      <c r="B324" s="383" t="s">
        <v>3404</v>
      </c>
      <c r="D324" s="394" t="s">
        <v>3609</v>
      </c>
      <c r="E324" s="394">
        <v>150</v>
      </c>
      <c r="F324" s="394">
        <v>60</v>
      </c>
      <c r="G324" s="394">
        <v>100</v>
      </c>
      <c r="H324" s="394" t="s">
        <v>3607</v>
      </c>
      <c r="I324" s="394" t="s">
        <v>3608</v>
      </c>
      <c r="J324" s="394">
        <v>4.5</v>
      </c>
      <c r="K324" s="394" t="s">
        <v>677</v>
      </c>
      <c r="L324" s="388">
        <f>J324/100</f>
        <v>4.4999999999999998E-2</v>
      </c>
    </row>
    <row r="325" spans="1:12">
      <c r="A325" t="s">
        <v>679</v>
      </c>
      <c r="B325" t="s">
        <v>3404</v>
      </c>
    </row>
    <row r="326" spans="1:12">
      <c r="A326" t="s">
        <v>679</v>
      </c>
      <c r="B326" t="s">
        <v>3404</v>
      </c>
      <c r="C326" t="s">
        <v>638</v>
      </c>
      <c r="D326" t="s">
        <v>680</v>
      </c>
    </row>
    <row r="327" spans="1:12">
      <c r="A327" t="s">
        <v>679</v>
      </c>
      <c r="B327" t="s">
        <v>3404</v>
      </c>
      <c r="D327" s="184" t="s">
        <v>681</v>
      </c>
    </row>
    <row r="328" spans="1:12">
      <c r="A328" t="s">
        <v>679</v>
      </c>
      <c r="B328" t="s">
        <v>3404</v>
      </c>
      <c r="D328">
        <v>180</v>
      </c>
      <c r="E328">
        <v>126</v>
      </c>
    </row>
    <row r="329" spans="1:12">
      <c r="A329" t="s">
        <v>679</v>
      </c>
      <c r="B329" t="s">
        <v>3404</v>
      </c>
      <c r="D329" s="48" t="s">
        <v>809</v>
      </c>
      <c r="E329" s="48">
        <f>1/180*126</f>
        <v>0.70000000000000007</v>
      </c>
    </row>
    <row r="330" spans="1:12">
      <c r="A330" t="s">
        <v>679</v>
      </c>
      <c r="B330" t="s">
        <v>3404</v>
      </c>
      <c r="D330" s="48" t="s">
        <v>6228</v>
      </c>
      <c r="E330" s="51">
        <f>[1]MonoSugar!$L$5</f>
        <v>70.776666666666657</v>
      </c>
    </row>
    <row r="331" spans="1:12">
      <c r="A331" t="s">
        <v>679</v>
      </c>
      <c r="B331" t="s">
        <v>3404</v>
      </c>
      <c r="D331" s="48" t="s">
        <v>6229</v>
      </c>
      <c r="E331" s="48">
        <f>E329*E330%</f>
        <v>0.49543666666666664</v>
      </c>
    </row>
    <row r="332" spans="1:12">
      <c r="A332" t="s">
        <v>679</v>
      </c>
      <c r="B332" t="s">
        <v>3404</v>
      </c>
    </row>
    <row r="333" spans="1:12">
      <c r="A333" t="s">
        <v>679</v>
      </c>
      <c r="B333" t="s">
        <v>3404</v>
      </c>
    </row>
    <row r="334" spans="1:12">
      <c r="A334" t="s">
        <v>679</v>
      </c>
      <c r="B334" t="s">
        <v>3404</v>
      </c>
    </row>
    <row r="335" spans="1:12">
      <c r="A335" t="s">
        <v>679</v>
      </c>
      <c r="B335" t="s">
        <v>3532</v>
      </c>
      <c r="C335" t="s">
        <v>638</v>
      </c>
      <c r="D335" t="s">
        <v>680</v>
      </c>
    </row>
    <row r="336" spans="1:12">
      <c r="A336" t="s">
        <v>679</v>
      </c>
      <c r="B336" t="s">
        <v>3532</v>
      </c>
      <c r="D336" s="184" t="s">
        <v>681</v>
      </c>
    </row>
    <row r="337" spans="1:5">
      <c r="A337" t="s">
        <v>679</v>
      </c>
      <c r="B337" t="s">
        <v>3532</v>
      </c>
      <c r="D337">
        <v>180</v>
      </c>
      <c r="E337">
        <v>126</v>
      </c>
    </row>
    <row r="338" spans="1:5">
      <c r="A338" t="s">
        <v>679</v>
      </c>
      <c r="B338" t="s">
        <v>3532</v>
      </c>
      <c r="D338" s="48" t="s">
        <v>809</v>
      </c>
      <c r="E338" s="48">
        <f>1/180*126</f>
        <v>0.70000000000000007</v>
      </c>
    </row>
    <row r="339" spans="1:5">
      <c r="A339" t="s">
        <v>679</v>
      </c>
      <c r="B339" t="s">
        <v>3532</v>
      </c>
      <c r="D339" s="48" t="s">
        <v>4945</v>
      </c>
      <c r="E339" s="51">
        <f>[1]MonoSugar!$L$6</f>
        <v>34.835555555555558</v>
      </c>
    </row>
    <row r="340" spans="1:5">
      <c r="A340" t="s">
        <v>679</v>
      </c>
      <c r="B340" t="s">
        <v>3532</v>
      </c>
      <c r="D340" s="48" t="s">
        <v>4947</v>
      </c>
      <c r="E340" s="48">
        <f>E338*E339%</f>
        <v>0.24384888888888892</v>
      </c>
    </row>
    <row r="341" spans="1:5">
      <c r="A341" t="s">
        <v>679</v>
      </c>
      <c r="B341" t="s">
        <v>4554</v>
      </c>
      <c r="C341" t="s">
        <v>638</v>
      </c>
      <c r="D341" t="s">
        <v>680</v>
      </c>
    </row>
    <row r="342" spans="1:5">
      <c r="A342" t="s">
        <v>679</v>
      </c>
      <c r="B342" t="s">
        <v>4554</v>
      </c>
      <c r="D342" s="184" t="s">
        <v>681</v>
      </c>
    </row>
    <row r="343" spans="1:5">
      <c r="A343" t="s">
        <v>679</v>
      </c>
      <c r="B343" t="s">
        <v>4554</v>
      </c>
      <c r="D343">
        <v>180</v>
      </c>
      <c r="E343">
        <v>126</v>
      </c>
    </row>
    <row r="344" spans="1:5">
      <c r="A344" t="s">
        <v>679</v>
      </c>
      <c r="B344" t="s">
        <v>4554</v>
      </c>
      <c r="D344" s="48" t="s">
        <v>809</v>
      </c>
      <c r="E344" s="48">
        <f>1/180*126</f>
        <v>0.70000000000000007</v>
      </c>
    </row>
    <row r="345" spans="1:5">
      <c r="A345" t="s">
        <v>679</v>
      </c>
      <c r="B345" t="s">
        <v>4554</v>
      </c>
      <c r="D345" s="48" t="s">
        <v>4946</v>
      </c>
      <c r="E345" s="51">
        <f>[1]MonoSugar!$L$7</f>
        <v>41.8</v>
      </c>
    </row>
    <row r="346" spans="1:5">
      <c r="A346" t="s">
        <v>679</v>
      </c>
      <c r="B346" t="s">
        <v>4554</v>
      </c>
      <c r="D346" s="48" t="s">
        <v>4948</v>
      </c>
      <c r="E346" s="48">
        <f>E344*E345%</f>
        <v>0.29260000000000003</v>
      </c>
    </row>
    <row r="347" spans="1:5">
      <c r="A347" t="s">
        <v>679</v>
      </c>
      <c r="B347" t="s">
        <v>4554</v>
      </c>
    </row>
    <row r="348" spans="1:5">
      <c r="A348" t="s">
        <v>823</v>
      </c>
      <c r="B348" t="s">
        <v>3404</v>
      </c>
      <c r="C348" t="s">
        <v>638</v>
      </c>
      <c r="D348" t="s">
        <v>824</v>
      </c>
    </row>
    <row r="349" spans="1:5">
      <c r="A349" t="s">
        <v>823</v>
      </c>
      <c r="B349" t="s">
        <v>3404</v>
      </c>
      <c r="D349" t="s">
        <v>825</v>
      </c>
    </row>
    <row r="350" spans="1:5">
      <c r="A350" t="s">
        <v>823</v>
      </c>
      <c r="B350" t="s">
        <v>3404</v>
      </c>
      <c r="D350" t="s">
        <v>836</v>
      </c>
      <c r="E350">
        <v>0.86699999999999999</v>
      </c>
    </row>
    <row r="351" spans="1:5">
      <c r="A351" t="s">
        <v>823</v>
      </c>
      <c r="B351" t="s">
        <v>3404</v>
      </c>
      <c r="D351" s="48" t="s">
        <v>3610</v>
      </c>
      <c r="E351" s="51">
        <f>[1]MonoSugar!$L$5</f>
        <v>70.776666666666657</v>
      </c>
    </row>
    <row r="352" spans="1:5">
      <c r="A352" t="s">
        <v>823</v>
      </c>
      <c r="B352" t="s">
        <v>3404</v>
      </c>
      <c r="D352" s="48" t="s">
        <v>4950</v>
      </c>
      <c r="E352" s="48">
        <f>E350*E351%</f>
        <v>0.61363369999999984</v>
      </c>
    </row>
    <row r="353" spans="1:5">
      <c r="A353" t="s">
        <v>823</v>
      </c>
      <c r="B353" t="s">
        <v>3404</v>
      </c>
    </row>
    <row r="354" spans="1:5">
      <c r="A354" t="s">
        <v>823</v>
      </c>
      <c r="B354" t="s">
        <v>3532</v>
      </c>
      <c r="C354" t="s">
        <v>638</v>
      </c>
      <c r="D354" t="s">
        <v>824</v>
      </c>
    </row>
    <row r="355" spans="1:5">
      <c r="A355" t="s">
        <v>823</v>
      </c>
      <c r="B355" t="s">
        <v>3532</v>
      </c>
      <c r="D355" t="s">
        <v>825</v>
      </c>
    </row>
    <row r="356" spans="1:5">
      <c r="A356" t="s">
        <v>823</v>
      </c>
      <c r="B356" t="s">
        <v>3532</v>
      </c>
      <c r="D356" t="s">
        <v>836</v>
      </c>
      <c r="E356">
        <v>0.86699999999999999</v>
      </c>
    </row>
    <row r="357" spans="1:5">
      <c r="A357" t="s">
        <v>823</v>
      </c>
      <c r="B357" t="s">
        <v>3532</v>
      </c>
      <c r="D357" s="48" t="s">
        <v>3611</v>
      </c>
      <c r="E357" s="51">
        <f>[1]MonoSugar!$L$6</f>
        <v>34.835555555555558</v>
      </c>
    </row>
    <row r="358" spans="1:5">
      <c r="A358" t="s">
        <v>823</v>
      </c>
      <c r="B358" t="s">
        <v>3532</v>
      </c>
      <c r="D358" s="48" t="s">
        <v>4951</v>
      </c>
      <c r="E358" s="48">
        <f>E356*E357%</f>
        <v>0.30202426666666671</v>
      </c>
    </row>
    <row r="359" spans="1:5">
      <c r="A359" t="s">
        <v>823</v>
      </c>
      <c r="B359" t="s">
        <v>3532</v>
      </c>
    </row>
    <row r="360" spans="1:5">
      <c r="A360" t="s">
        <v>823</v>
      </c>
      <c r="B360" t="s">
        <v>4554</v>
      </c>
      <c r="C360" t="s">
        <v>638</v>
      </c>
      <c r="D360" t="s">
        <v>824</v>
      </c>
    </row>
    <row r="361" spans="1:5">
      <c r="A361" t="s">
        <v>823</v>
      </c>
      <c r="B361" t="s">
        <v>4554</v>
      </c>
      <c r="D361" t="s">
        <v>825</v>
      </c>
    </row>
    <row r="362" spans="1:5">
      <c r="A362" t="s">
        <v>823</v>
      </c>
      <c r="B362" t="s">
        <v>4554</v>
      </c>
      <c r="D362" t="s">
        <v>836</v>
      </c>
      <c r="E362">
        <v>0.86699999999999999</v>
      </c>
    </row>
    <row r="363" spans="1:5">
      <c r="A363" t="s">
        <v>823</v>
      </c>
      <c r="B363" t="s">
        <v>4554</v>
      </c>
      <c r="D363" s="48" t="s">
        <v>4949</v>
      </c>
      <c r="E363" s="51">
        <f>[1]MonoSugar!$L$7</f>
        <v>41.8</v>
      </c>
    </row>
    <row r="364" spans="1:5">
      <c r="A364" t="s">
        <v>823</v>
      </c>
      <c r="B364" t="s">
        <v>4554</v>
      </c>
      <c r="D364" s="48" t="s">
        <v>4952</v>
      </c>
      <c r="E364" s="48">
        <f>E362*E363%</f>
        <v>0.36240600000000001</v>
      </c>
    </row>
    <row r="365" spans="1:5">
      <c r="A365" t="s">
        <v>843</v>
      </c>
      <c r="B365" t="s">
        <v>3404</v>
      </c>
      <c r="C365" t="s">
        <v>638</v>
      </c>
      <c r="D365" t="s">
        <v>3612</v>
      </c>
      <c r="E365" s="142">
        <f>[1]MonoSugar!$H$5</f>
        <v>70.776666666666657</v>
      </c>
    </row>
    <row r="366" spans="1:5">
      <c r="A366" t="s">
        <v>843</v>
      </c>
      <c r="B366" t="s">
        <v>3404</v>
      </c>
      <c r="D366" s="48" t="s">
        <v>3613</v>
      </c>
      <c r="E366" s="48">
        <f>E365%*17%</f>
        <v>0.12032033333333332</v>
      </c>
    </row>
    <row r="367" spans="1:5">
      <c r="A367" t="s">
        <v>843</v>
      </c>
      <c r="B367" t="s">
        <v>3404</v>
      </c>
    </row>
    <row r="368" spans="1:5">
      <c r="A368" t="s">
        <v>843</v>
      </c>
      <c r="B368" t="s">
        <v>3532</v>
      </c>
      <c r="C368" t="s">
        <v>638</v>
      </c>
      <c r="D368" t="s">
        <v>3614</v>
      </c>
      <c r="E368" s="142">
        <f>[1]MonoSugar!$H$6</f>
        <v>34.835555555555558</v>
      </c>
    </row>
    <row r="369" spans="1:8">
      <c r="A369" t="s">
        <v>843</v>
      </c>
      <c r="B369" t="s">
        <v>3532</v>
      </c>
      <c r="D369" s="48" t="s">
        <v>3615</v>
      </c>
      <c r="E369" s="48">
        <f>E368%*17%</f>
        <v>5.9220444444444451E-2</v>
      </c>
    </row>
    <row r="370" spans="1:8">
      <c r="A370" t="s">
        <v>843</v>
      </c>
      <c r="B370" t="s">
        <v>3532</v>
      </c>
    </row>
    <row r="371" spans="1:8">
      <c r="A371" t="s">
        <v>843</v>
      </c>
      <c r="B371" t="s">
        <v>4554</v>
      </c>
      <c r="C371" t="s">
        <v>638</v>
      </c>
      <c r="D371" t="s">
        <v>3614</v>
      </c>
      <c r="E371" s="142">
        <f>[1]MonoSugar!$H$7</f>
        <v>41.8</v>
      </c>
    </row>
    <row r="372" spans="1:8">
      <c r="A372" t="s">
        <v>843</v>
      </c>
      <c r="B372" t="s">
        <v>4554</v>
      </c>
      <c r="D372" s="48" t="s">
        <v>4953</v>
      </c>
      <c r="E372" s="48">
        <f>E371%*17%</f>
        <v>7.1059999999999998E-2</v>
      </c>
    </row>
    <row r="373" spans="1:8">
      <c r="A373" t="s">
        <v>843</v>
      </c>
      <c r="B373" t="s">
        <v>4554</v>
      </c>
    </row>
    <row r="374" spans="1:8">
      <c r="A374" t="s">
        <v>3616</v>
      </c>
      <c r="B374" t="s">
        <v>3404</v>
      </c>
      <c r="C374" t="s">
        <v>4</v>
      </c>
      <c r="D374" s="7" t="s">
        <v>3617</v>
      </c>
      <c r="H374" t="s">
        <v>3618</v>
      </c>
    </row>
    <row r="375" spans="1:8">
      <c r="A375" t="s">
        <v>3616</v>
      </c>
      <c r="B375" t="s">
        <v>3404</v>
      </c>
      <c r="D375" s="7" t="s">
        <v>3619</v>
      </c>
    </row>
    <row r="376" spans="1:8">
      <c r="A376" t="s">
        <v>3616</v>
      </c>
      <c r="B376" t="s">
        <v>3404</v>
      </c>
    </row>
    <row r="377" spans="1:8">
      <c r="A377" t="s">
        <v>3616</v>
      </c>
      <c r="B377" t="s">
        <v>3404</v>
      </c>
      <c r="G377" t="s">
        <v>3620</v>
      </c>
    </row>
    <row r="378" spans="1:8">
      <c r="A378" t="s">
        <v>3616</v>
      </c>
      <c r="B378" t="s">
        <v>3404</v>
      </c>
      <c r="G378" s="48" t="s">
        <v>3324</v>
      </c>
    </row>
    <row r="379" spans="1:8">
      <c r="A379" t="s">
        <v>3616</v>
      </c>
      <c r="B379" t="s">
        <v>3404</v>
      </c>
      <c r="G379" s="48">
        <f>AVERAGE(0.2,0.09)</f>
        <v>0.14500000000000002</v>
      </c>
    </row>
    <row r="380" spans="1:8">
      <c r="A380" t="s">
        <v>3616</v>
      </c>
      <c r="B380" t="s">
        <v>3404</v>
      </c>
    </row>
    <row r="381" spans="1:8">
      <c r="A381" t="s">
        <v>3616</v>
      </c>
      <c r="B381" t="s">
        <v>3404</v>
      </c>
    </row>
    <row r="382" spans="1:8">
      <c r="A382" t="s">
        <v>3616</v>
      </c>
      <c r="B382" t="s">
        <v>3404</v>
      </c>
    </row>
    <row r="383" spans="1:8">
      <c r="A383" t="s">
        <v>3616</v>
      </c>
      <c r="B383" t="s">
        <v>3404</v>
      </c>
    </row>
    <row r="384" spans="1:8">
      <c r="A384" t="s">
        <v>3616</v>
      </c>
      <c r="B384" t="s">
        <v>3404</v>
      </c>
    </row>
    <row r="385" spans="1:12">
      <c r="A385" t="s">
        <v>3616</v>
      </c>
      <c r="B385" t="s">
        <v>3404</v>
      </c>
    </row>
    <row r="386" spans="1:12">
      <c r="A386" t="s">
        <v>3616</v>
      </c>
      <c r="B386" t="s">
        <v>3404</v>
      </c>
    </row>
    <row r="387" spans="1:12">
      <c r="A387" t="s">
        <v>3616</v>
      </c>
      <c r="B387" t="s">
        <v>3404</v>
      </c>
    </row>
    <row r="388" spans="1:12">
      <c r="A388" t="s">
        <v>3616</v>
      </c>
      <c r="B388" t="s">
        <v>3404</v>
      </c>
    </row>
    <row r="389" spans="1:12">
      <c r="A389" t="s">
        <v>3616</v>
      </c>
      <c r="B389" t="s">
        <v>3404</v>
      </c>
    </row>
    <row r="390" spans="1:12">
      <c r="A390" t="s">
        <v>3616</v>
      </c>
      <c r="B390" t="s">
        <v>3404</v>
      </c>
    </row>
    <row r="391" spans="1:12">
      <c r="A391" t="s">
        <v>3616</v>
      </c>
      <c r="B391" t="s">
        <v>3404</v>
      </c>
    </row>
    <row r="392" spans="1:12">
      <c r="A392" t="s">
        <v>3616</v>
      </c>
      <c r="B392" t="s">
        <v>3404</v>
      </c>
    </row>
    <row r="393" spans="1:12">
      <c r="A393" t="s">
        <v>3616</v>
      </c>
      <c r="B393" t="s">
        <v>3404</v>
      </c>
    </row>
    <row r="394" spans="1:12">
      <c r="A394" t="s">
        <v>3616</v>
      </c>
      <c r="B394" t="s">
        <v>3404</v>
      </c>
    </row>
    <row r="395" spans="1:12">
      <c r="A395" t="s">
        <v>3616</v>
      </c>
      <c r="B395" t="s">
        <v>3404</v>
      </c>
      <c r="C395" t="s">
        <v>473</v>
      </c>
      <c r="D395" s="7" t="s">
        <v>3621</v>
      </c>
    </row>
    <row r="396" spans="1:12">
      <c r="A396" t="s">
        <v>3616</v>
      </c>
      <c r="B396" t="s">
        <v>3404</v>
      </c>
      <c r="D396" s="7" t="s">
        <v>3622</v>
      </c>
    </row>
    <row r="397" spans="1:12" ht="28.2">
      <c r="A397" t="s">
        <v>3616</v>
      </c>
      <c r="B397" t="s">
        <v>3404</v>
      </c>
      <c r="D397" s="295" t="s">
        <v>3623</v>
      </c>
      <c r="E397" s="295" t="s">
        <v>3624</v>
      </c>
      <c r="F397" s="295" t="s">
        <v>3625</v>
      </c>
      <c r="G397" s="295" t="s">
        <v>3626</v>
      </c>
      <c r="H397" s="295" t="s">
        <v>3627</v>
      </c>
      <c r="I397" s="295" t="s">
        <v>3628</v>
      </c>
      <c r="J397" s="48" t="s">
        <v>3629</v>
      </c>
      <c r="K397" s="48" t="s">
        <v>3630</v>
      </c>
      <c r="L397" s="48" t="s">
        <v>3631</v>
      </c>
    </row>
    <row r="398" spans="1:12">
      <c r="A398" t="s">
        <v>3616</v>
      </c>
      <c r="B398" t="s">
        <v>3404</v>
      </c>
      <c r="D398" s="348" t="s">
        <v>2034</v>
      </c>
      <c r="E398" s="348" t="s">
        <v>3632</v>
      </c>
      <c r="F398" s="348" t="s">
        <v>3633</v>
      </c>
      <c r="G398" s="348" t="s">
        <v>3634</v>
      </c>
      <c r="H398" s="348" t="s">
        <v>3635</v>
      </c>
      <c r="I398" s="348" t="s">
        <v>3636</v>
      </c>
    </row>
    <row r="399" spans="1:12">
      <c r="A399" t="s">
        <v>3616</v>
      </c>
      <c r="B399" t="s">
        <v>3404</v>
      </c>
      <c r="D399" s="348" t="s">
        <v>3637</v>
      </c>
      <c r="E399" s="348" t="s">
        <v>3638</v>
      </c>
      <c r="F399" s="348" t="s">
        <v>3639</v>
      </c>
      <c r="G399" s="348" t="s">
        <v>3640</v>
      </c>
      <c r="H399" s="348" t="s">
        <v>3641</v>
      </c>
      <c r="I399" s="348" t="s">
        <v>3642</v>
      </c>
    </row>
    <row r="400" spans="1:12">
      <c r="A400" t="s">
        <v>3616</v>
      </c>
      <c r="B400" t="s">
        <v>3404</v>
      </c>
      <c r="D400" s="348" t="s">
        <v>1219</v>
      </c>
      <c r="E400" s="348" t="s">
        <v>3643</v>
      </c>
      <c r="F400" s="348" t="s">
        <v>3644</v>
      </c>
      <c r="G400" s="348" t="s">
        <v>3645</v>
      </c>
      <c r="H400" s="348" t="s">
        <v>3646</v>
      </c>
      <c r="I400" s="348" t="s">
        <v>3647</v>
      </c>
    </row>
    <row r="401" spans="1:12">
      <c r="A401" t="s">
        <v>3616</v>
      </c>
      <c r="B401" t="s">
        <v>3404</v>
      </c>
      <c r="D401" s="290" t="s">
        <v>3609</v>
      </c>
      <c r="E401" s="290" t="s">
        <v>3648</v>
      </c>
      <c r="F401" s="290" t="s">
        <v>3649</v>
      </c>
      <c r="G401" s="290" t="s">
        <v>3650</v>
      </c>
      <c r="H401" s="290" t="s">
        <v>3651</v>
      </c>
      <c r="I401" s="290" t="s">
        <v>3652</v>
      </c>
      <c r="J401" s="48">
        <v>74.099999999999994</v>
      </c>
      <c r="K401" s="51">
        <f>[1]MonoSugar!$K$5</f>
        <v>74.833484848484844</v>
      </c>
      <c r="L401" s="48">
        <f>J401/100*K401/100</f>
        <v>0.55451612272727269</v>
      </c>
    </row>
    <row r="402" spans="1:12" ht="15.6">
      <c r="A402" t="s">
        <v>3616</v>
      </c>
      <c r="B402" t="s">
        <v>3404</v>
      </c>
      <c r="D402" s="306" t="s">
        <v>3653</v>
      </c>
    </row>
    <row r="403" spans="1:12">
      <c r="A403" t="s">
        <v>3616</v>
      </c>
      <c r="B403" t="s">
        <v>3404</v>
      </c>
    </row>
    <row r="404" spans="1:12">
      <c r="A404" t="s">
        <v>3616</v>
      </c>
      <c r="B404" t="s">
        <v>3404</v>
      </c>
      <c r="C404" t="s">
        <v>69</v>
      </c>
      <c r="D404" s="7" t="s">
        <v>3654</v>
      </c>
    </row>
    <row r="405" spans="1:12">
      <c r="A405" t="s">
        <v>3616</v>
      </c>
      <c r="B405" t="s">
        <v>3404</v>
      </c>
      <c r="D405" s="7" t="s">
        <v>3655</v>
      </c>
    </row>
    <row r="406" spans="1:12">
      <c r="A406" t="s">
        <v>3616</v>
      </c>
      <c r="B406" t="s">
        <v>3404</v>
      </c>
      <c r="D406" s="634" t="s">
        <v>3656</v>
      </c>
      <c r="E406" s="634" t="s">
        <v>3657</v>
      </c>
      <c r="F406" s="634"/>
      <c r="G406" s="634"/>
    </row>
    <row r="407" spans="1:12" ht="42">
      <c r="A407" t="s">
        <v>3616</v>
      </c>
      <c r="B407" t="s">
        <v>3404</v>
      </c>
      <c r="D407" s="655"/>
      <c r="E407" s="291" t="s">
        <v>3658</v>
      </c>
      <c r="F407" s="291" t="s">
        <v>3659</v>
      </c>
      <c r="G407" s="301" t="s">
        <v>3660</v>
      </c>
      <c r="H407" s="48" t="s">
        <v>3661</v>
      </c>
      <c r="I407" s="48" t="s">
        <v>3662</v>
      </c>
      <c r="J407" s="48" t="s">
        <v>3324</v>
      </c>
      <c r="K407" s="48" t="s">
        <v>3177</v>
      </c>
    </row>
    <row r="408" spans="1:12">
      <c r="A408" t="s">
        <v>3616</v>
      </c>
      <c r="B408" t="s">
        <v>3404</v>
      </c>
      <c r="D408" s="296" t="s">
        <v>3663</v>
      </c>
      <c r="E408" s="348">
        <v>27.9</v>
      </c>
      <c r="F408" s="348">
        <v>0.56000000000000005</v>
      </c>
      <c r="G408" s="348">
        <v>0.62</v>
      </c>
      <c r="H408" s="48">
        <v>0.62</v>
      </c>
      <c r="I408" s="51">
        <f>[1]MonoSugar!$H$5</f>
        <v>70.776666666666657</v>
      </c>
      <c r="J408" s="48">
        <f>H408*$I$408/100</f>
        <v>0.43881533333333328</v>
      </c>
      <c r="K408" s="48">
        <f>AVERAGE(J408:J414)</f>
        <v>0.46409271428571419</v>
      </c>
    </row>
    <row r="409" spans="1:12">
      <c r="A409" t="s">
        <v>3616</v>
      </c>
      <c r="B409" t="s">
        <v>3404</v>
      </c>
      <c r="D409" s="296" t="s">
        <v>3664</v>
      </c>
      <c r="E409" s="348">
        <v>15.9</v>
      </c>
      <c r="F409" s="348">
        <v>0.31</v>
      </c>
      <c r="G409" s="348">
        <v>0.47</v>
      </c>
      <c r="H409" s="48">
        <v>0.47</v>
      </c>
      <c r="J409" s="48">
        <f t="shared" ref="J409:J414" si="7">H409*$I$408/100</f>
        <v>0.33265033333333327</v>
      </c>
    </row>
    <row r="410" spans="1:12">
      <c r="A410" t="s">
        <v>3616</v>
      </c>
      <c r="B410" t="s">
        <v>3404</v>
      </c>
      <c r="D410" s="296" t="s">
        <v>3665</v>
      </c>
      <c r="E410" s="348" t="s">
        <v>3666</v>
      </c>
      <c r="F410" s="348" t="s">
        <v>3667</v>
      </c>
      <c r="G410" s="348" t="s">
        <v>3668</v>
      </c>
      <c r="H410" s="48">
        <v>0.6</v>
      </c>
      <c r="J410" s="48">
        <f t="shared" si="7"/>
        <v>0.42465999999999993</v>
      </c>
    </row>
    <row r="411" spans="1:12">
      <c r="A411" t="s">
        <v>3616</v>
      </c>
      <c r="B411" t="s">
        <v>3404</v>
      </c>
      <c r="D411" s="296" t="s">
        <v>3669</v>
      </c>
      <c r="E411" s="348" t="s">
        <v>3670</v>
      </c>
      <c r="F411" s="348" t="s">
        <v>3671</v>
      </c>
      <c r="G411" s="348" t="s">
        <v>3672</v>
      </c>
      <c r="H411" s="48">
        <v>0.66</v>
      </c>
      <c r="J411" s="48">
        <f t="shared" si="7"/>
        <v>0.46712599999999993</v>
      </c>
    </row>
    <row r="412" spans="1:12">
      <c r="A412" t="s">
        <v>3616</v>
      </c>
      <c r="B412" t="s">
        <v>3404</v>
      </c>
      <c r="D412" s="296" t="s">
        <v>3673</v>
      </c>
      <c r="E412" s="348" t="s">
        <v>3674</v>
      </c>
      <c r="F412" s="348" t="s">
        <v>3675</v>
      </c>
      <c r="G412" s="348" t="s">
        <v>3676</v>
      </c>
      <c r="H412" s="48">
        <v>0.7</v>
      </c>
      <c r="J412" s="48">
        <f t="shared" si="7"/>
        <v>0.49543666666666658</v>
      </c>
    </row>
    <row r="413" spans="1:12">
      <c r="A413" t="s">
        <v>3616</v>
      </c>
      <c r="B413" t="s">
        <v>3404</v>
      </c>
      <c r="D413" s="296" t="s">
        <v>3677</v>
      </c>
      <c r="E413" s="348" t="s">
        <v>3678</v>
      </c>
      <c r="F413" s="348" t="s">
        <v>3679</v>
      </c>
      <c r="G413" s="348" t="s">
        <v>3680</v>
      </c>
      <c r="H413" s="48">
        <v>0.73</v>
      </c>
      <c r="J413" s="48">
        <f t="shared" si="7"/>
        <v>0.51666966666666658</v>
      </c>
    </row>
    <row r="414" spans="1:12">
      <c r="A414" t="s">
        <v>3616</v>
      </c>
      <c r="B414" t="s">
        <v>3404</v>
      </c>
      <c r="D414" s="301" t="s">
        <v>3681</v>
      </c>
      <c r="E414" s="290" t="s">
        <v>3682</v>
      </c>
      <c r="F414" s="290" t="s">
        <v>3683</v>
      </c>
      <c r="G414" s="290" t="s">
        <v>3684</v>
      </c>
      <c r="H414" s="48">
        <v>0.81</v>
      </c>
      <c r="J414" s="48">
        <f t="shared" si="7"/>
        <v>0.573291</v>
      </c>
    </row>
    <row r="415" spans="1:12">
      <c r="A415" t="s">
        <v>3616</v>
      </c>
      <c r="B415" t="s">
        <v>3404</v>
      </c>
      <c r="G415" s="48" t="s">
        <v>3033</v>
      </c>
      <c r="H415" s="48">
        <f>MAX(H410:H414)</f>
        <v>0.81</v>
      </c>
    </row>
    <row r="416" spans="1:12">
      <c r="A416" t="s">
        <v>3616</v>
      </c>
      <c r="B416" t="s">
        <v>3404</v>
      </c>
      <c r="G416" s="48" t="s">
        <v>3034</v>
      </c>
      <c r="H416" s="48">
        <f>MIN(H410:H414)</f>
        <v>0.6</v>
      </c>
    </row>
    <row r="417" spans="1:7">
      <c r="A417" t="s">
        <v>3616</v>
      </c>
      <c r="B417" t="s">
        <v>3404</v>
      </c>
    </row>
    <row r="418" spans="1:7">
      <c r="A418" t="s">
        <v>3616</v>
      </c>
      <c r="B418" t="s">
        <v>3404</v>
      </c>
      <c r="C418" t="s">
        <v>132</v>
      </c>
      <c r="D418" s="7" t="s">
        <v>2009</v>
      </c>
    </row>
    <row r="419" spans="1:7">
      <c r="A419" t="s">
        <v>3616</v>
      </c>
      <c r="B419" t="s">
        <v>3404</v>
      </c>
      <c r="D419" s="7" t="s">
        <v>3685</v>
      </c>
    </row>
    <row r="420" spans="1:7">
      <c r="A420" t="s">
        <v>3616</v>
      </c>
      <c r="B420" t="s">
        <v>3404</v>
      </c>
    </row>
    <row r="421" spans="1:7">
      <c r="A421" t="s">
        <v>3616</v>
      </c>
      <c r="B421" t="s">
        <v>3404</v>
      </c>
      <c r="G421" t="s">
        <v>3686</v>
      </c>
    </row>
    <row r="422" spans="1:7">
      <c r="A422" t="s">
        <v>3616</v>
      </c>
      <c r="B422" t="s">
        <v>3404</v>
      </c>
      <c r="G422" s="48" t="s">
        <v>3687</v>
      </c>
    </row>
    <row r="423" spans="1:7">
      <c r="A423" t="s">
        <v>3616</v>
      </c>
      <c r="B423" t="s">
        <v>3404</v>
      </c>
      <c r="G423" s="48">
        <v>0.1</v>
      </c>
    </row>
    <row r="424" spans="1:7">
      <c r="A424" t="s">
        <v>3616</v>
      </c>
      <c r="B424" t="s">
        <v>3404</v>
      </c>
    </row>
    <row r="425" spans="1:7">
      <c r="A425" t="s">
        <v>3616</v>
      </c>
      <c r="B425" t="s">
        <v>3404</v>
      </c>
    </row>
    <row r="426" spans="1:7">
      <c r="A426" t="s">
        <v>3616</v>
      </c>
      <c r="B426" t="s">
        <v>3404</v>
      </c>
    </row>
    <row r="427" spans="1:7">
      <c r="A427" t="s">
        <v>3616</v>
      </c>
      <c r="B427" t="s">
        <v>3404</v>
      </c>
    </row>
    <row r="428" spans="1:7">
      <c r="A428" t="s">
        <v>3616</v>
      </c>
      <c r="B428" t="s">
        <v>3404</v>
      </c>
    </row>
    <row r="429" spans="1:7">
      <c r="A429" t="s">
        <v>3616</v>
      </c>
      <c r="B429" t="s">
        <v>3404</v>
      </c>
    </row>
    <row r="430" spans="1:7">
      <c r="A430" t="s">
        <v>3616</v>
      </c>
      <c r="B430" t="s">
        <v>3404</v>
      </c>
    </row>
    <row r="431" spans="1:7">
      <c r="A431" t="s">
        <v>3616</v>
      </c>
      <c r="B431" t="s">
        <v>3404</v>
      </c>
    </row>
    <row r="432" spans="1:7">
      <c r="A432" t="s">
        <v>3616</v>
      </c>
      <c r="B432" t="s">
        <v>3404</v>
      </c>
    </row>
    <row r="433" spans="1:8">
      <c r="A433" t="s">
        <v>3616</v>
      </c>
      <c r="B433" t="s">
        <v>3404</v>
      </c>
    </row>
    <row r="434" spans="1:8">
      <c r="A434" t="s">
        <v>3616</v>
      </c>
      <c r="B434" t="s">
        <v>3404</v>
      </c>
    </row>
    <row r="435" spans="1:8">
      <c r="A435" t="s">
        <v>3616</v>
      </c>
      <c r="B435" t="s">
        <v>3404</v>
      </c>
    </row>
    <row r="436" spans="1:8">
      <c r="A436" t="s">
        <v>3616</v>
      </c>
      <c r="B436" t="s">
        <v>3404</v>
      </c>
    </row>
    <row r="437" spans="1:8">
      <c r="A437" t="s">
        <v>3616</v>
      </c>
      <c r="B437" t="s">
        <v>3404</v>
      </c>
      <c r="C437" t="s">
        <v>3145</v>
      </c>
      <c r="D437" t="s">
        <v>4954</v>
      </c>
    </row>
    <row r="438" spans="1:8">
      <c r="A438" t="s">
        <v>3616</v>
      </c>
      <c r="B438" t="s">
        <v>3404</v>
      </c>
      <c r="D438" t="s">
        <v>4955</v>
      </c>
    </row>
    <row r="439" spans="1:8">
      <c r="A439" t="s">
        <v>3616</v>
      </c>
      <c r="B439" t="s">
        <v>3404</v>
      </c>
      <c r="D439" t="s">
        <v>4956</v>
      </c>
    </row>
    <row r="440" spans="1:8">
      <c r="A440" t="s">
        <v>3616</v>
      </c>
      <c r="B440" t="s">
        <v>3404</v>
      </c>
      <c r="D440" t="s">
        <v>4957</v>
      </c>
      <c r="E440">
        <v>1</v>
      </c>
      <c r="F440">
        <v>2</v>
      </c>
      <c r="G440">
        <v>3</v>
      </c>
      <c r="H440">
        <v>4</v>
      </c>
    </row>
    <row r="441" spans="1:8">
      <c r="A441" t="s">
        <v>3616</v>
      </c>
      <c r="B441" t="s">
        <v>3404</v>
      </c>
      <c r="D441" t="s">
        <v>4958</v>
      </c>
    </row>
    <row r="442" spans="1:8">
      <c r="A442" t="s">
        <v>3616</v>
      </c>
      <c r="B442" t="s">
        <v>3404</v>
      </c>
      <c r="D442" t="s">
        <v>203</v>
      </c>
      <c r="E442">
        <v>76.3</v>
      </c>
      <c r="F442">
        <v>83.2</v>
      </c>
      <c r="G442">
        <v>85.9</v>
      </c>
      <c r="H442">
        <v>53.5</v>
      </c>
    </row>
    <row r="443" spans="1:8">
      <c r="A443" t="s">
        <v>3616</v>
      </c>
      <c r="B443" t="s">
        <v>3404</v>
      </c>
      <c r="D443" t="s">
        <v>4959</v>
      </c>
      <c r="E443">
        <v>24.8</v>
      </c>
      <c r="F443">
        <v>20</v>
      </c>
      <c r="G443">
        <v>20.7</v>
      </c>
      <c r="H443">
        <v>11.1</v>
      </c>
    </row>
    <row r="444" spans="1:8">
      <c r="A444" t="s">
        <v>3616</v>
      </c>
      <c r="B444" t="s">
        <v>3404</v>
      </c>
      <c r="D444" t="s">
        <v>4960</v>
      </c>
      <c r="E444">
        <v>101.1</v>
      </c>
      <c r="F444">
        <v>103.2</v>
      </c>
      <c r="G444">
        <v>102.8</v>
      </c>
      <c r="H444">
        <v>64.599999999999994</v>
      </c>
    </row>
    <row r="445" spans="1:8">
      <c r="A445" t="s">
        <v>3616</v>
      </c>
      <c r="B445" t="s">
        <v>3404</v>
      </c>
      <c r="D445" t="s">
        <v>4961</v>
      </c>
      <c r="E445">
        <v>0</v>
      </c>
      <c r="F445">
        <v>4</v>
      </c>
      <c r="G445">
        <v>7</v>
      </c>
      <c r="H445">
        <v>2.5</v>
      </c>
    </row>
    <row r="446" spans="1:8">
      <c r="A446" t="s">
        <v>3616</v>
      </c>
      <c r="B446" t="s">
        <v>3404</v>
      </c>
      <c r="D446" t="s">
        <v>4962</v>
      </c>
      <c r="E446">
        <v>7.4</v>
      </c>
      <c r="F446">
        <v>7.4</v>
      </c>
      <c r="G446">
        <v>11.4</v>
      </c>
      <c r="H446">
        <v>20.9</v>
      </c>
    </row>
    <row r="447" spans="1:8">
      <c r="A447" t="s">
        <v>3616</v>
      </c>
      <c r="B447" t="s">
        <v>3404</v>
      </c>
    </row>
    <row r="448" spans="1:8">
      <c r="A448" t="s">
        <v>3616</v>
      </c>
      <c r="B448" t="s">
        <v>3404</v>
      </c>
      <c r="D448" t="s">
        <v>4963</v>
      </c>
    </row>
    <row r="449" spans="1:9">
      <c r="A449" t="s">
        <v>3616</v>
      </c>
      <c r="B449" t="s">
        <v>3404</v>
      </c>
      <c r="D449" t="s">
        <v>4964</v>
      </c>
      <c r="E449">
        <v>50.6</v>
      </c>
      <c r="F449">
        <v>54.8</v>
      </c>
      <c r="G449">
        <v>59.3</v>
      </c>
      <c r="H449">
        <v>62.1</v>
      </c>
    </row>
    <row r="450" spans="1:9">
      <c r="A450" t="s">
        <v>3616</v>
      </c>
      <c r="B450" t="s">
        <v>3404</v>
      </c>
      <c r="D450" t="s">
        <v>4965</v>
      </c>
      <c r="E450">
        <v>1.04</v>
      </c>
      <c r="F450">
        <v>1.06</v>
      </c>
      <c r="G450">
        <v>0.93</v>
      </c>
      <c r="H450">
        <v>0.91</v>
      </c>
    </row>
    <row r="451" spans="1:9">
      <c r="A451" t="s">
        <v>3616</v>
      </c>
      <c r="B451" t="s">
        <v>3404</v>
      </c>
      <c r="D451" t="s">
        <v>4966</v>
      </c>
      <c r="E451" s="204">
        <v>0.73</v>
      </c>
      <c r="F451" s="204">
        <v>0.7</v>
      </c>
      <c r="G451" s="204">
        <v>0.84</v>
      </c>
      <c r="H451" s="204">
        <v>1.02</v>
      </c>
      <c r="I451">
        <f>AVERAGE(E451:H451)</f>
        <v>0.82250000000000001</v>
      </c>
    </row>
    <row r="452" spans="1:9">
      <c r="A452" t="s">
        <v>3616</v>
      </c>
      <c r="B452" t="s">
        <v>3404</v>
      </c>
      <c r="D452" t="s">
        <v>4967</v>
      </c>
      <c r="E452">
        <v>52.6</v>
      </c>
      <c r="F452">
        <v>62.5</v>
      </c>
      <c r="G452">
        <v>60.4</v>
      </c>
      <c r="H452">
        <v>52.2</v>
      </c>
    </row>
    <row r="453" spans="1:9">
      <c r="A453" t="s">
        <v>3616</v>
      </c>
      <c r="B453" t="s">
        <v>3404</v>
      </c>
      <c r="D453" t="s">
        <v>4968</v>
      </c>
      <c r="E453">
        <v>0.69</v>
      </c>
      <c r="F453">
        <v>0.75</v>
      </c>
      <c r="G453">
        <v>0.7</v>
      </c>
      <c r="H453">
        <v>0.98</v>
      </c>
    </row>
    <row r="454" spans="1:9">
      <c r="A454" t="s">
        <v>3616</v>
      </c>
      <c r="B454" t="s">
        <v>3404</v>
      </c>
      <c r="D454" t="s">
        <v>4969</v>
      </c>
      <c r="E454">
        <v>16.7</v>
      </c>
      <c r="F454">
        <v>14.8</v>
      </c>
      <c r="G454">
        <v>9.8000000000000007</v>
      </c>
      <c r="H454">
        <v>8.5</v>
      </c>
    </row>
    <row r="455" spans="1:9">
      <c r="A455" t="s">
        <v>3616</v>
      </c>
      <c r="B455" t="s">
        <v>3404</v>
      </c>
      <c r="D455" t="s">
        <v>4970</v>
      </c>
      <c r="E455">
        <v>0.67</v>
      </c>
      <c r="F455">
        <v>0.74</v>
      </c>
      <c r="G455">
        <v>0.47</v>
      </c>
      <c r="H455">
        <v>0.77</v>
      </c>
    </row>
    <row r="456" spans="1:9">
      <c r="A456" t="s">
        <v>3616</v>
      </c>
      <c r="B456" t="s">
        <v>3404</v>
      </c>
      <c r="D456" t="s">
        <v>4971</v>
      </c>
      <c r="E456">
        <v>69.3</v>
      </c>
      <c r="F456">
        <v>77.3</v>
      </c>
      <c r="G456">
        <v>70.2</v>
      </c>
      <c r="H456">
        <v>60.7</v>
      </c>
    </row>
    <row r="457" spans="1:9">
      <c r="A457" t="s">
        <v>3616</v>
      </c>
      <c r="B457" t="s">
        <v>3404</v>
      </c>
      <c r="D457" t="s">
        <v>4972</v>
      </c>
      <c r="E457">
        <v>0.69</v>
      </c>
      <c r="F457">
        <v>0.75</v>
      </c>
      <c r="G457">
        <v>0.68</v>
      </c>
      <c r="H457">
        <v>0.94</v>
      </c>
    </row>
    <row r="458" spans="1:9">
      <c r="A458" t="s">
        <v>3616</v>
      </c>
      <c r="B458" t="s">
        <v>3404</v>
      </c>
      <c r="D458" t="s">
        <v>1177</v>
      </c>
    </row>
    <row r="459" spans="1:9">
      <c r="A459" t="s">
        <v>3616</v>
      </c>
      <c r="B459" t="s">
        <v>3404</v>
      </c>
      <c r="D459" t="s">
        <v>4973</v>
      </c>
    </row>
    <row r="460" spans="1:9">
      <c r="A460" t="s">
        <v>3616</v>
      </c>
      <c r="B460" t="s">
        <v>3404</v>
      </c>
      <c r="D460" t="s">
        <v>1179</v>
      </c>
    </row>
    <row r="461" spans="1:9">
      <c r="A461" t="s">
        <v>3616</v>
      </c>
      <c r="B461" t="s">
        <v>3404</v>
      </c>
      <c r="D461" t="s">
        <v>4974</v>
      </c>
    </row>
    <row r="462" spans="1:9">
      <c r="A462" t="s">
        <v>3616</v>
      </c>
      <c r="B462" t="s">
        <v>3404</v>
      </c>
    </row>
    <row r="463" spans="1:9">
      <c r="A463" t="s">
        <v>3616</v>
      </c>
      <c r="B463" t="s">
        <v>3404</v>
      </c>
      <c r="D463" s="48" t="s">
        <v>4975</v>
      </c>
      <c r="E463" s="48">
        <f>I451</f>
        <v>0.82250000000000001</v>
      </c>
    </row>
    <row r="464" spans="1:9">
      <c r="A464" t="s">
        <v>3616</v>
      </c>
      <c r="B464" t="s">
        <v>3404</v>
      </c>
      <c r="D464" s="48" t="s">
        <v>4976</v>
      </c>
      <c r="E464" s="51">
        <f>[1]MonoSugar!$H$5</f>
        <v>70.776666666666657</v>
      </c>
    </row>
    <row r="465" spans="1:8">
      <c r="A465" t="s">
        <v>3616</v>
      </c>
      <c r="B465" t="s">
        <v>3404</v>
      </c>
      <c r="D465" s="48" t="s">
        <v>4977</v>
      </c>
      <c r="E465" s="48">
        <f>E463*E464%</f>
        <v>0.58213808333333328</v>
      </c>
    </row>
    <row r="466" spans="1:8">
      <c r="A466" t="s">
        <v>3616</v>
      </c>
    </row>
    <row r="467" spans="1:8">
      <c r="A467" t="s">
        <v>3616</v>
      </c>
      <c r="B467" t="s">
        <v>4978</v>
      </c>
      <c r="C467" t="s">
        <v>197</v>
      </c>
      <c r="D467" t="s">
        <v>4979</v>
      </c>
    </row>
    <row r="468" spans="1:8">
      <c r="A468" t="s">
        <v>3616</v>
      </c>
      <c r="B468" t="s">
        <v>4978</v>
      </c>
      <c r="D468" t="s">
        <v>4980</v>
      </c>
    </row>
    <row r="469" spans="1:8">
      <c r="A469" t="s">
        <v>3616</v>
      </c>
      <c r="B469" t="s">
        <v>4978</v>
      </c>
      <c r="D469" t="s">
        <v>4981</v>
      </c>
    </row>
    <row r="470" spans="1:8">
      <c r="A470" t="s">
        <v>3616</v>
      </c>
      <c r="B470" t="s">
        <v>4978</v>
      </c>
      <c r="D470" t="s">
        <v>4982</v>
      </c>
    </row>
    <row r="471" spans="1:8">
      <c r="A471" t="s">
        <v>3616</v>
      </c>
      <c r="B471" t="s">
        <v>4978</v>
      </c>
      <c r="D471" t="s">
        <v>4983</v>
      </c>
    </row>
    <row r="472" spans="1:8">
      <c r="A472" t="s">
        <v>3616</v>
      </c>
      <c r="B472" t="s">
        <v>4978</v>
      </c>
    </row>
    <row r="473" spans="1:8">
      <c r="A473" t="s">
        <v>3616</v>
      </c>
      <c r="B473" t="s">
        <v>4978</v>
      </c>
      <c r="D473" t="s">
        <v>4616</v>
      </c>
      <c r="E473">
        <v>0.27</v>
      </c>
    </row>
    <row r="474" spans="1:8">
      <c r="A474" t="s">
        <v>3616</v>
      </c>
      <c r="B474" t="s">
        <v>4978</v>
      </c>
      <c r="D474" s="48" t="s">
        <v>4984</v>
      </c>
      <c r="E474" s="51">
        <f>[1]MonoSugar!$H$6</f>
        <v>34.835555555555558</v>
      </c>
    </row>
    <row r="475" spans="1:8">
      <c r="A475" t="s">
        <v>3616</v>
      </c>
      <c r="B475" t="s">
        <v>4978</v>
      </c>
      <c r="D475" s="48" t="s">
        <v>4977</v>
      </c>
      <c r="E475" s="48">
        <f>E473*E474%</f>
        <v>9.4056000000000015E-2</v>
      </c>
    </row>
    <row r="476" spans="1:8">
      <c r="A476" t="s">
        <v>3616</v>
      </c>
      <c r="B476" t="s">
        <v>4978</v>
      </c>
    </row>
    <row r="477" spans="1:8">
      <c r="A477" t="s">
        <v>3616</v>
      </c>
      <c r="B477" t="s">
        <v>4978</v>
      </c>
      <c r="C477" t="s">
        <v>226</v>
      </c>
      <c r="D477" t="s">
        <v>4954</v>
      </c>
    </row>
    <row r="478" spans="1:8">
      <c r="A478" t="s">
        <v>3616</v>
      </c>
      <c r="B478" t="s">
        <v>4978</v>
      </c>
      <c r="D478" t="s">
        <v>4955</v>
      </c>
    </row>
    <row r="479" spans="1:8">
      <c r="A479" t="s">
        <v>3616</v>
      </c>
      <c r="B479" t="s">
        <v>4978</v>
      </c>
      <c r="D479" t="s">
        <v>4956</v>
      </c>
    </row>
    <row r="480" spans="1:8">
      <c r="A480" t="s">
        <v>3616</v>
      </c>
      <c r="B480" t="s">
        <v>4978</v>
      </c>
      <c r="D480" t="s">
        <v>4957</v>
      </c>
      <c r="E480">
        <v>1</v>
      </c>
      <c r="F480">
        <v>2</v>
      </c>
      <c r="G480">
        <v>3</v>
      </c>
      <c r="H480">
        <v>4</v>
      </c>
    </row>
    <row r="481" spans="1:9">
      <c r="A481" t="s">
        <v>3616</v>
      </c>
      <c r="B481" t="s">
        <v>4978</v>
      </c>
      <c r="D481" t="s">
        <v>4958</v>
      </c>
    </row>
    <row r="482" spans="1:9">
      <c r="A482" t="s">
        <v>3616</v>
      </c>
      <c r="B482" t="s">
        <v>4978</v>
      </c>
      <c r="D482" t="s">
        <v>203</v>
      </c>
      <c r="E482">
        <v>76.3</v>
      </c>
      <c r="F482">
        <v>83.2</v>
      </c>
      <c r="G482">
        <v>85.9</v>
      </c>
      <c r="H482">
        <v>53.5</v>
      </c>
    </row>
    <row r="483" spans="1:9">
      <c r="A483" t="s">
        <v>3616</v>
      </c>
      <c r="B483" t="s">
        <v>4978</v>
      </c>
      <c r="D483" t="s">
        <v>4959</v>
      </c>
      <c r="E483">
        <v>24.8</v>
      </c>
      <c r="F483">
        <v>20</v>
      </c>
      <c r="G483">
        <v>20.7</v>
      </c>
      <c r="H483">
        <v>11.1</v>
      </c>
    </row>
    <row r="484" spans="1:9">
      <c r="A484" t="s">
        <v>3616</v>
      </c>
      <c r="B484" t="s">
        <v>4978</v>
      </c>
      <c r="D484" t="s">
        <v>4960</v>
      </c>
      <c r="E484">
        <v>101.1</v>
      </c>
      <c r="F484">
        <v>103.2</v>
      </c>
      <c r="G484">
        <v>102.8</v>
      </c>
      <c r="H484">
        <v>64.599999999999994</v>
      </c>
    </row>
    <row r="485" spans="1:9">
      <c r="A485" t="s">
        <v>3616</v>
      </c>
      <c r="B485" t="s">
        <v>4978</v>
      </c>
      <c r="D485" t="s">
        <v>4961</v>
      </c>
      <c r="E485">
        <v>0</v>
      </c>
      <c r="F485">
        <v>4</v>
      </c>
      <c r="G485">
        <v>7</v>
      </c>
      <c r="H485">
        <v>2.5</v>
      </c>
    </row>
    <row r="486" spans="1:9">
      <c r="A486" t="s">
        <v>3616</v>
      </c>
      <c r="B486" t="s">
        <v>4978</v>
      </c>
      <c r="D486" t="s">
        <v>4962</v>
      </c>
      <c r="E486">
        <v>7.4</v>
      </c>
      <c r="F486">
        <v>7.4</v>
      </c>
      <c r="G486">
        <v>11.4</v>
      </c>
      <c r="H486">
        <v>20.9</v>
      </c>
    </row>
    <row r="487" spans="1:9">
      <c r="A487" t="s">
        <v>3616</v>
      </c>
      <c r="B487" t="s">
        <v>4978</v>
      </c>
    </row>
    <row r="488" spans="1:9">
      <c r="A488" t="s">
        <v>3616</v>
      </c>
      <c r="B488" t="s">
        <v>4978</v>
      </c>
      <c r="D488" t="s">
        <v>4963</v>
      </c>
    </row>
    <row r="489" spans="1:9">
      <c r="A489" t="s">
        <v>3616</v>
      </c>
      <c r="B489" t="s">
        <v>4978</v>
      </c>
      <c r="D489" t="s">
        <v>4964</v>
      </c>
      <c r="E489">
        <v>50.6</v>
      </c>
      <c r="F489">
        <v>54.8</v>
      </c>
      <c r="G489">
        <v>59.3</v>
      </c>
      <c r="H489">
        <v>62.1</v>
      </c>
    </row>
    <row r="490" spans="1:9">
      <c r="A490" t="s">
        <v>3616</v>
      </c>
      <c r="B490" t="s">
        <v>4978</v>
      </c>
      <c r="D490" t="s">
        <v>4965</v>
      </c>
      <c r="E490">
        <v>1.04</v>
      </c>
      <c r="F490">
        <v>1.06</v>
      </c>
      <c r="G490">
        <v>0.93</v>
      </c>
      <c r="H490">
        <v>0.91</v>
      </c>
    </row>
    <row r="491" spans="1:9">
      <c r="A491" t="s">
        <v>3616</v>
      </c>
      <c r="B491" t="s">
        <v>4978</v>
      </c>
      <c r="D491" t="s">
        <v>4966</v>
      </c>
      <c r="E491">
        <v>0.73</v>
      </c>
      <c r="F491">
        <v>0.7</v>
      </c>
      <c r="G491">
        <v>0.84</v>
      </c>
      <c r="H491">
        <v>1.02</v>
      </c>
      <c r="I491">
        <f>AVERAGE(E491:H491)</f>
        <v>0.82250000000000001</v>
      </c>
    </row>
    <row r="492" spans="1:9">
      <c r="A492" t="s">
        <v>3616</v>
      </c>
      <c r="B492" t="s">
        <v>4978</v>
      </c>
      <c r="D492" t="s">
        <v>4967</v>
      </c>
      <c r="E492">
        <v>52.6</v>
      </c>
      <c r="F492">
        <v>62.5</v>
      </c>
      <c r="G492">
        <v>60.4</v>
      </c>
      <c r="H492">
        <v>52.2</v>
      </c>
    </row>
    <row r="493" spans="1:9">
      <c r="A493" t="s">
        <v>3616</v>
      </c>
      <c r="B493" t="s">
        <v>4978</v>
      </c>
      <c r="D493" t="s">
        <v>4968</v>
      </c>
      <c r="E493">
        <v>0.69</v>
      </c>
      <c r="F493">
        <v>0.75</v>
      </c>
      <c r="G493">
        <v>0.7</v>
      </c>
      <c r="H493">
        <v>0.98</v>
      </c>
    </row>
    <row r="494" spans="1:9">
      <c r="A494" t="s">
        <v>3616</v>
      </c>
      <c r="B494" t="s">
        <v>4978</v>
      </c>
      <c r="D494" t="s">
        <v>4969</v>
      </c>
      <c r="E494">
        <v>16.7</v>
      </c>
      <c r="F494">
        <v>14.8</v>
      </c>
      <c r="G494">
        <v>9.8000000000000007</v>
      </c>
      <c r="H494">
        <v>8.5</v>
      </c>
    </row>
    <row r="495" spans="1:9">
      <c r="A495" t="s">
        <v>3616</v>
      </c>
      <c r="B495" t="s">
        <v>4978</v>
      </c>
      <c r="D495" t="s">
        <v>4970</v>
      </c>
      <c r="E495">
        <v>0.67</v>
      </c>
      <c r="F495">
        <v>0.74</v>
      </c>
      <c r="G495">
        <v>0.47</v>
      </c>
      <c r="H495">
        <v>0.77</v>
      </c>
    </row>
    <row r="496" spans="1:9">
      <c r="A496" t="s">
        <v>3616</v>
      </c>
      <c r="B496" t="s">
        <v>4978</v>
      </c>
      <c r="D496" t="s">
        <v>4971</v>
      </c>
      <c r="E496">
        <v>69.3</v>
      </c>
      <c r="F496">
        <v>77.3</v>
      </c>
      <c r="G496">
        <v>70.2</v>
      </c>
      <c r="H496">
        <v>60.7</v>
      </c>
    </row>
    <row r="497" spans="1:8">
      <c r="A497" t="s">
        <v>3616</v>
      </c>
      <c r="B497" t="s">
        <v>4978</v>
      </c>
      <c r="D497" t="s">
        <v>4972</v>
      </c>
      <c r="E497">
        <v>0.69</v>
      </c>
      <c r="F497">
        <v>0.75</v>
      </c>
      <c r="G497">
        <v>0.68</v>
      </c>
      <c r="H497">
        <v>0.94</v>
      </c>
    </row>
    <row r="498" spans="1:8">
      <c r="A498" t="s">
        <v>3616</v>
      </c>
      <c r="B498" t="s">
        <v>4978</v>
      </c>
      <c r="D498" t="s">
        <v>1177</v>
      </c>
    </row>
    <row r="499" spans="1:8">
      <c r="A499" t="s">
        <v>3616</v>
      </c>
      <c r="B499" t="s">
        <v>4978</v>
      </c>
      <c r="D499" t="s">
        <v>4973</v>
      </c>
    </row>
    <row r="500" spans="1:8">
      <c r="A500" t="s">
        <v>3616</v>
      </c>
      <c r="B500" t="s">
        <v>4978</v>
      </c>
      <c r="D500" t="s">
        <v>1179</v>
      </c>
    </row>
    <row r="501" spans="1:8">
      <c r="A501" t="s">
        <v>3616</v>
      </c>
      <c r="B501" t="s">
        <v>4978</v>
      </c>
      <c r="D501" t="s">
        <v>4974</v>
      </c>
    </row>
    <row r="502" spans="1:8">
      <c r="A502" t="s">
        <v>3616</v>
      </c>
      <c r="B502" t="s">
        <v>4978</v>
      </c>
    </row>
    <row r="503" spans="1:8">
      <c r="A503" t="s">
        <v>3616</v>
      </c>
      <c r="B503" t="s">
        <v>4978</v>
      </c>
      <c r="D503" s="48" t="s">
        <v>4975</v>
      </c>
      <c r="E503" s="48">
        <f>I491</f>
        <v>0.82250000000000001</v>
      </c>
    </row>
    <row r="504" spans="1:8">
      <c r="A504" t="s">
        <v>3616</v>
      </c>
      <c r="B504" t="s">
        <v>4978</v>
      </c>
      <c r="D504" s="48" t="s">
        <v>4984</v>
      </c>
      <c r="E504" s="51">
        <f>[1]MonoSugar!$H$6</f>
        <v>34.835555555555558</v>
      </c>
    </row>
    <row r="505" spans="1:8">
      <c r="A505" t="s">
        <v>3616</v>
      </c>
      <c r="B505" t="s">
        <v>4978</v>
      </c>
      <c r="D505" s="48" t="s">
        <v>4989</v>
      </c>
      <c r="E505" s="48">
        <f>E503*E504%</f>
        <v>0.28652244444444447</v>
      </c>
    </row>
    <row r="506" spans="1:8">
      <c r="A506" t="s">
        <v>3616</v>
      </c>
      <c r="B506" t="s">
        <v>4978</v>
      </c>
    </row>
    <row r="507" spans="1:8">
      <c r="A507" t="s">
        <v>3616</v>
      </c>
    </row>
    <row r="508" spans="1:8">
      <c r="A508" t="s">
        <v>3616</v>
      </c>
      <c r="B508" t="s">
        <v>4985</v>
      </c>
      <c r="C508" t="s">
        <v>638</v>
      </c>
      <c r="D508" t="s">
        <v>883</v>
      </c>
      <c r="E508">
        <v>0.66714285714285715</v>
      </c>
    </row>
    <row r="509" spans="1:8">
      <c r="A509" t="s">
        <v>3616</v>
      </c>
      <c r="B509" t="s">
        <v>4985</v>
      </c>
      <c r="D509" s="48" t="s">
        <v>4986</v>
      </c>
      <c r="E509" s="51">
        <f>[1]MonoSugar!$K$6</f>
        <v>50.135555555555555</v>
      </c>
    </row>
    <row r="510" spans="1:8">
      <c r="A510" t="s">
        <v>3616</v>
      </c>
      <c r="B510" t="s">
        <v>4985</v>
      </c>
      <c r="D510" s="48" t="s">
        <v>4987</v>
      </c>
      <c r="E510" s="48">
        <f>E508*E509%</f>
        <v>0.33447577777777776</v>
      </c>
    </row>
    <row r="512" spans="1:8">
      <c r="A512" t="s">
        <v>4585</v>
      </c>
      <c r="B512" t="s">
        <v>4990</v>
      </c>
      <c r="C512" t="s">
        <v>638</v>
      </c>
      <c r="D512" t="s">
        <v>883</v>
      </c>
      <c r="E512">
        <v>0.23649999999999999</v>
      </c>
    </row>
    <row r="513" spans="1:8">
      <c r="A513" t="s">
        <v>4585</v>
      </c>
      <c r="D513" t="s">
        <v>6230</v>
      </c>
      <c r="E513" s="142">
        <f>[1]MonoSugar!$H$5</f>
        <v>70.776666666666657</v>
      </c>
    </row>
    <row r="514" spans="1:8">
      <c r="A514" t="s">
        <v>4585</v>
      </c>
      <c r="D514" s="48" t="s">
        <v>6257</v>
      </c>
      <c r="E514" s="48">
        <f>E512*E513%</f>
        <v>0.16738681666666663</v>
      </c>
    </row>
    <row r="515" spans="1:8">
      <c r="A515" t="s">
        <v>4585</v>
      </c>
    </row>
    <row r="516" spans="1:8">
      <c r="A516" t="s">
        <v>4585</v>
      </c>
      <c r="B516" t="s">
        <v>4978</v>
      </c>
      <c r="C516" t="s">
        <v>638</v>
      </c>
      <c r="D516" t="s">
        <v>883</v>
      </c>
      <c r="E516">
        <v>0.23649999999999999</v>
      </c>
    </row>
    <row r="517" spans="1:8">
      <c r="A517" t="s">
        <v>4585</v>
      </c>
      <c r="D517" t="s">
        <v>5121</v>
      </c>
      <c r="E517" s="142">
        <f>[1]MonoSugar!$H$6</f>
        <v>34.835555555555558</v>
      </c>
    </row>
    <row r="518" spans="1:8">
      <c r="A518" t="s">
        <v>4585</v>
      </c>
      <c r="D518" s="48" t="s">
        <v>6258</v>
      </c>
      <c r="E518" s="48">
        <f>E516*E517%</f>
        <v>8.2386088888888889E-2</v>
      </c>
    </row>
    <row r="519" spans="1:8">
      <c r="A519" t="s">
        <v>4585</v>
      </c>
    </row>
    <row r="520" spans="1:8">
      <c r="A520" t="s">
        <v>4585</v>
      </c>
      <c r="B520" t="s">
        <v>4985</v>
      </c>
      <c r="C520" t="s">
        <v>638</v>
      </c>
      <c r="D520" t="s">
        <v>883</v>
      </c>
      <c r="E520">
        <v>0.23649999999999999</v>
      </c>
    </row>
    <row r="521" spans="1:8">
      <c r="A521" t="s">
        <v>4585</v>
      </c>
      <c r="D521" t="s">
        <v>6231</v>
      </c>
      <c r="E521" s="142">
        <f>[1]MonoSugar!$H$7</f>
        <v>41.8</v>
      </c>
    </row>
    <row r="522" spans="1:8">
      <c r="A522" t="s">
        <v>4585</v>
      </c>
      <c r="D522" s="48" t="s">
        <v>6259</v>
      </c>
      <c r="E522" s="48">
        <f>E520*E521%</f>
        <v>9.8856999999999987E-2</v>
      </c>
    </row>
    <row r="523" spans="1:8">
      <c r="A523" t="s">
        <v>4585</v>
      </c>
    </row>
    <row r="524" spans="1:8">
      <c r="A524" t="s">
        <v>4991</v>
      </c>
      <c r="B524" t="s">
        <v>4990</v>
      </c>
      <c r="C524" t="s">
        <v>197</v>
      </c>
      <c r="D524" t="s">
        <v>5003</v>
      </c>
    </row>
    <row r="525" spans="1:8">
      <c r="A525" t="s">
        <v>4991</v>
      </c>
      <c r="B525" t="s">
        <v>4990</v>
      </c>
      <c r="D525" t="s">
        <v>5004</v>
      </c>
    </row>
    <row r="526" spans="1:8" ht="15" thickBot="1">
      <c r="A526" t="s">
        <v>4991</v>
      </c>
      <c r="B526" t="s">
        <v>4990</v>
      </c>
      <c r="D526" s="160" t="s">
        <v>4992</v>
      </c>
    </row>
    <row r="527" spans="1:8" ht="16.2" customHeight="1" thickBot="1">
      <c r="A527" t="s">
        <v>4991</v>
      </c>
      <c r="B527" t="s">
        <v>4990</v>
      </c>
      <c r="D527" s="177" t="s">
        <v>666</v>
      </c>
      <c r="E527" s="351" t="s">
        <v>4993</v>
      </c>
      <c r="F527" s="177" t="s">
        <v>667</v>
      </c>
      <c r="G527" s="351" t="s">
        <v>668</v>
      </c>
      <c r="H527" s="351" t="s">
        <v>4994</v>
      </c>
    </row>
    <row r="528" spans="1:8">
      <c r="A528" t="s">
        <v>4991</v>
      </c>
      <c r="B528" t="s">
        <v>4990</v>
      </c>
      <c r="D528" s="175" t="s">
        <v>703</v>
      </c>
      <c r="E528" s="156"/>
      <c r="F528" s="176" t="s">
        <v>4995</v>
      </c>
      <c r="G528" s="156">
        <v>47.5</v>
      </c>
      <c r="H528" s="156">
        <v>66.400000000000006</v>
      </c>
    </row>
    <row r="529" spans="1:8">
      <c r="A529" t="s">
        <v>4991</v>
      </c>
      <c r="B529" t="s">
        <v>4990</v>
      </c>
      <c r="D529" s="175" t="s">
        <v>4996</v>
      </c>
      <c r="E529" s="156">
        <v>73.8</v>
      </c>
      <c r="F529" s="176" t="s">
        <v>4997</v>
      </c>
      <c r="G529" s="156">
        <v>32.6</v>
      </c>
      <c r="H529" s="156">
        <v>45.6</v>
      </c>
    </row>
    <row r="530" spans="1:8">
      <c r="A530" t="s">
        <v>4991</v>
      </c>
      <c r="B530" t="s">
        <v>4990</v>
      </c>
      <c r="D530" s="175" t="s">
        <v>4998</v>
      </c>
      <c r="E530" s="156">
        <v>85</v>
      </c>
      <c r="F530" s="176" t="s">
        <v>4999</v>
      </c>
      <c r="G530" s="156">
        <v>50.3</v>
      </c>
      <c r="H530" s="156">
        <v>59.8</v>
      </c>
    </row>
    <row r="531" spans="1:8">
      <c r="A531" t="s">
        <v>4991</v>
      </c>
      <c r="B531" t="s">
        <v>4990</v>
      </c>
      <c r="D531" s="175" t="s">
        <v>5000</v>
      </c>
      <c r="E531" s="156">
        <v>80</v>
      </c>
      <c r="F531" s="176" t="s">
        <v>5001</v>
      </c>
      <c r="G531" s="156">
        <v>62</v>
      </c>
      <c r="H531" s="156" t="s">
        <v>5002</v>
      </c>
    </row>
    <row r="532" spans="1:8" ht="15" thickBot="1">
      <c r="A532" t="s">
        <v>4991</v>
      </c>
      <c r="B532" t="s">
        <v>4990</v>
      </c>
      <c r="D532" s="178" t="s">
        <v>3609</v>
      </c>
      <c r="E532" s="158">
        <v>40.4</v>
      </c>
      <c r="F532" s="178" t="s">
        <v>1131</v>
      </c>
      <c r="G532" s="158">
        <v>19.899999999999999</v>
      </c>
      <c r="H532" s="158">
        <v>68.8</v>
      </c>
    </row>
    <row r="533" spans="1:8">
      <c r="A533" t="s">
        <v>4991</v>
      </c>
      <c r="B533" t="s">
        <v>4990</v>
      </c>
    </row>
    <row r="534" spans="1:8">
      <c r="A534" t="s">
        <v>4991</v>
      </c>
      <c r="B534" t="s">
        <v>4990</v>
      </c>
      <c r="D534" s="48" t="s">
        <v>5006</v>
      </c>
      <c r="E534" s="349">
        <v>19.899999999999999</v>
      </c>
      <c r="F534" s="48" t="s">
        <v>5005</v>
      </c>
      <c r="G534">
        <f>E534/100</f>
        <v>0.19899999999999998</v>
      </c>
    </row>
    <row r="535" spans="1:8">
      <c r="A535" t="s">
        <v>4991</v>
      </c>
      <c r="B535" t="s">
        <v>4990</v>
      </c>
    </row>
    <row r="536" spans="1:8">
      <c r="A536" t="s">
        <v>4991</v>
      </c>
      <c r="B536" t="s">
        <v>4990</v>
      </c>
      <c r="C536" t="s">
        <v>226</v>
      </c>
      <c r="D536" t="s">
        <v>5007</v>
      </c>
    </row>
    <row r="537" spans="1:8">
      <c r="A537" t="s">
        <v>4991</v>
      </c>
      <c r="B537" t="s">
        <v>4990</v>
      </c>
      <c r="D537" t="s">
        <v>5008</v>
      </c>
    </row>
    <row r="538" spans="1:8">
      <c r="A538" t="s">
        <v>4991</v>
      </c>
      <c r="B538" t="s">
        <v>4990</v>
      </c>
      <c r="D538" s="142" t="s">
        <v>5009</v>
      </c>
      <c r="E538">
        <v>19.3</v>
      </c>
    </row>
    <row r="539" spans="1:8">
      <c r="A539" t="s">
        <v>4991</v>
      </c>
      <c r="B539" t="s">
        <v>4990</v>
      </c>
      <c r="E539">
        <v>20.6</v>
      </c>
    </row>
    <row r="540" spans="1:8">
      <c r="A540" t="s">
        <v>4991</v>
      </c>
      <c r="B540" t="s">
        <v>4990</v>
      </c>
      <c r="E540">
        <v>21.7</v>
      </c>
    </row>
    <row r="541" spans="1:8">
      <c r="A541" t="s">
        <v>4991</v>
      </c>
      <c r="B541" t="s">
        <v>4990</v>
      </c>
      <c r="D541" s="48" t="s">
        <v>6232</v>
      </c>
      <c r="E541" s="48">
        <f>AVERAGE(E538:E540)/100</f>
        <v>0.20533333333333334</v>
      </c>
    </row>
    <row r="542" spans="1:8">
      <c r="A542" t="s">
        <v>4991</v>
      </c>
    </row>
    <row r="543" spans="1:8">
      <c r="A543" t="s">
        <v>4991</v>
      </c>
      <c r="B543" t="s">
        <v>4978</v>
      </c>
      <c r="C543" t="s">
        <v>638</v>
      </c>
      <c r="D543" t="s">
        <v>940</v>
      </c>
      <c r="E543">
        <v>0.52103333333333335</v>
      </c>
    </row>
    <row r="544" spans="1:8">
      <c r="A544" t="s">
        <v>4991</v>
      </c>
      <c r="B544" t="s">
        <v>4978</v>
      </c>
      <c r="D544" t="s">
        <v>5010</v>
      </c>
      <c r="E544" s="142">
        <f>[1]MonoSugar!$L$6</f>
        <v>34.835555555555558</v>
      </c>
    </row>
    <row r="545" spans="1:6">
      <c r="A545" t="s">
        <v>4991</v>
      </c>
      <c r="B545" t="s">
        <v>4978</v>
      </c>
      <c r="D545" s="48" t="s">
        <v>5011</v>
      </c>
      <c r="E545" s="48">
        <f>E543*E544%</f>
        <v>0.18150485629629631</v>
      </c>
    </row>
    <row r="546" spans="1:6">
      <c r="A546" t="s">
        <v>4991</v>
      </c>
    </row>
    <row r="547" spans="1:6">
      <c r="A547" t="s">
        <v>4991</v>
      </c>
      <c r="B547" t="s">
        <v>4985</v>
      </c>
      <c r="C547" t="s">
        <v>638</v>
      </c>
      <c r="D547" t="s">
        <v>940</v>
      </c>
      <c r="E547">
        <v>0.52103333333333335</v>
      </c>
    </row>
    <row r="548" spans="1:6">
      <c r="A548" t="s">
        <v>4991</v>
      </c>
      <c r="B548" t="s">
        <v>4985</v>
      </c>
      <c r="D548" t="s">
        <v>5012</v>
      </c>
      <c r="E548" s="142">
        <f>[1]MonoSugar!$L$7</f>
        <v>41.8</v>
      </c>
    </row>
    <row r="549" spans="1:6">
      <c r="A549" t="s">
        <v>4991</v>
      </c>
      <c r="B549" t="s">
        <v>4985</v>
      </c>
      <c r="D549" s="48" t="s">
        <v>5013</v>
      </c>
      <c r="E549" s="48">
        <f>E547*E548%</f>
        <v>0.21779193333333333</v>
      </c>
    </row>
    <row r="550" spans="1:6">
      <c r="A550" t="s">
        <v>982</v>
      </c>
      <c r="B550" t="s">
        <v>5014</v>
      </c>
      <c r="C550" t="s">
        <v>197</v>
      </c>
      <c r="D550" t="s">
        <v>5015</v>
      </c>
    </row>
    <row r="551" spans="1:6">
      <c r="A551" t="s">
        <v>982</v>
      </c>
      <c r="B551" t="s">
        <v>5014</v>
      </c>
      <c r="D551" t="s">
        <v>5016</v>
      </c>
    </row>
    <row r="552" spans="1:6">
      <c r="A552" t="s">
        <v>982</v>
      </c>
      <c r="B552" t="s">
        <v>5014</v>
      </c>
    </row>
    <row r="553" spans="1:6" ht="15" thickBot="1">
      <c r="A553" t="s">
        <v>982</v>
      </c>
      <c r="B553" t="s">
        <v>5014</v>
      </c>
      <c r="D553" s="160" t="s">
        <v>5017</v>
      </c>
    </row>
    <row r="554" spans="1:6" ht="15" thickBot="1">
      <c r="A554" t="s">
        <v>982</v>
      </c>
      <c r="B554" t="s">
        <v>5014</v>
      </c>
      <c r="D554" s="652" t="s">
        <v>202</v>
      </c>
      <c r="E554" s="654" t="s">
        <v>4688</v>
      </c>
      <c r="F554" s="654"/>
    </row>
    <row r="555" spans="1:6" ht="15" thickBot="1">
      <c r="A555" t="s">
        <v>982</v>
      </c>
      <c r="B555" t="s">
        <v>5014</v>
      </c>
      <c r="D555" s="653"/>
      <c r="E555" s="360" t="s">
        <v>5018</v>
      </c>
      <c r="F555" s="360" t="s">
        <v>5019</v>
      </c>
    </row>
    <row r="556" spans="1:6">
      <c r="A556" t="s">
        <v>982</v>
      </c>
      <c r="B556" t="s">
        <v>5014</v>
      </c>
      <c r="D556" s="156" t="s">
        <v>5020</v>
      </c>
      <c r="E556" s="156">
        <v>0.88</v>
      </c>
      <c r="F556" s="156">
        <v>0.51</v>
      </c>
    </row>
    <row r="557" spans="1:6">
      <c r="A557" t="s">
        <v>982</v>
      </c>
      <c r="B557" t="s">
        <v>5014</v>
      </c>
      <c r="D557" s="156" t="s">
        <v>5021</v>
      </c>
      <c r="E557" s="156">
        <v>0.9</v>
      </c>
      <c r="F557" s="156">
        <v>0.61</v>
      </c>
    </row>
    <row r="558" spans="1:6">
      <c r="A558" t="s">
        <v>982</v>
      </c>
      <c r="B558" t="s">
        <v>5014</v>
      </c>
      <c r="D558" s="156" t="s">
        <v>5022</v>
      </c>
      <c r="E558" s="156">
        <v>0.93</v>
      </c>
      <c r="F558" s="156">
        <v>0.89</v>
      </c>
    </row>
    <row r="559" spans="1:6">
      <c r="A559" t="s">
        <v>982</v>
      </c>
      <c r="B559" t="s">
        <v>5014</v>
      </c>
      <c r="D559" s="156" t="s">
        <v>5023</v>
      </c>
      <c r="E559" s="156">
        <v>1.1299999999999999</v>
      </c>
      <c r="F559" s="156">
        <v>0.92</v>
      </c>
    </row>
    <row r="560" spans="1:6" ht="15" thickBot="1">
      <c r="A560" t="s">
        <v>982</v>
      </c>
      <c r="B560" t="s">
        <v>5014</v>
      </c>
      <c r="D560" s="158" t="s">
        <v>5024</v>
      </c>
      <c r="E560" s="158">
        <v>0.69</v>
      </c>
      <c r="F560" s="158">
        <v>0.56000000000000005</v>
      </c>
    </row>
    <row r="561" spans="1:12">
      <c r="A561" t="s">
        <v>982</v>
      </c>
      <c r="B561" t="s">
        <v>5014</v>
      </c>
    </row>
    <row r="562" spans="1:12" ht="28.8">
      <c r="A562" t="s">
        <v>982</v>
      </c>
      <c r="B562" t="s">
        <v>5014</v>
      </c>
      <c r="D562" s="349" t="s">
        <v>5025</v>
      </c>
      <c r="E562" s="48">
        <f>AVERAGE(E556:F557)</f>
        <v>0.72499999999999998</v>
      </c>
      <c r="F562" s="48"/>
    </row>
    <row r="563" spans="1:12">
      <c r="A563" t="s">
        <v>982</v>
      </c>
      <c r="B563" t="s">
        <v>5014</v>
      </c>
      <c r="D563" s="349" t="s">
        <v>5026</v>
      </c>
      <c r="E563" s="48">
        <v>1</v>
      </c>
      <c r="F563" s="48" t="s">
        <v>5027</v>
      </c>
    </row>
    <row r="564" spans="1:12">
      <c r="A564" t="s">
        <v>982</v>
      </c>
      <c r="B564" t="s">
        <v>5014</v>
      </c>
      <c r="D564" s="48"/>
      <c r="E564" s="48">
        <v>2</v>
      </c>
      <c r="F564" s="48" t="s">
        <v>5028</v>
      </c>
    </row>
    <row r="565" spans="1:12">
      <c r="A565" t="s">
        <v>982</v>
      </c>
      <c r="B565" t="s">
        <v>5014</v>
      </c>
      <c r="D565" s="349" t="s">
        <v>5029</v>
      </c>
      <c r="E565" s="51">
        <f>[1]MonoSugar!$H$5</f>
        <v>70.776666666666657</v>
      </c>
      <c r="F565" s="48"/>
    </row>
    <row r="566" spans="1:12">
      <c r="A566" t="s">
        <v>982</v>
      </c>
      <c r="B566" t="s">
        <v>5014</v>
      </c>
      <c r="D566" s="349" t="s">
        <v>5030</v>
      </c>
      <c r="E566" s="51">
        <f>[1]MonoSugar!$J$5</f>
        <v>4.0568181818181817</v>
      </c>
      <c r="F566" s="48"/>
    </row>
    <row r="567" spans="1:12">
      <c r="A567" t="s">
        <v>982</v>
      </c>
      <c r="B567" t="s">
        <v>5014</v>
      </c>
      <c r="D567" s="48"/>
      <c r="E567" s="48"/>
      <c r="F567" s="48"/>
    </row>
    <row r="568" spans="1:12">
      <c r="A568" t="s">
        <v>982</v>
      </c>
      <c r="B568" t="s">
        <v>5014</v>
      </c>
      <c r="D568" s="349" t="s">
        <v>5033</v>
      </c>
      <c r="E568" s="48">
        <f>(2*E565/180+E566/150)*90</f>
        <v>73.210757575757569</v>
      </c>
      <c r="F568" s="48"/>
    </row>
    <row r="569" spans="1:12">
      <c r="A569" t="s">
        <v>982</v>
      </c>
      <c r="B569" t="s">
        <v>5014</v>
      </c>
      <c r="D569" s="349" t="s">
        <v>5032</v>
      </c>
      <c r="E569" s="48">
        <f>E568*E562/100</f>
        <v>0.5307779924242424</v>
      </c>
      <c r="F569" s="48"/>
    </row>
    <row r="570" spans="1:12">
      <c r="A570" t="s">
        <v>982</v>
      </c>
      <c r="B570" t="s">
        <v>5014</v>
      </c>
    </row>
    <row r="571" spans="1:12">
      <c r="A571" t="s">
        <v>982</v>
      </c>
      <c r="B571" t="s">
        <v>5014</v>
      </c>
      <c r="C571" t="s">
        <v>226</v>
      </c>
      <c r="D571" t="s">
        <v>5034</v>
      </c>
    </row>
    <row r="572" spans="1:12">
      <c r="A572" t="s">
        <v>982</v>
      </c>
      <c r="B572" t="s">
        <v>5014</v>
      </c>
      <c r="D572" t="s">
        <v>5035</v>
      </c>
    </row>
    <row r="573" spans="1:12" ht="15" thickBot="1">
      <c r="A573" t="s">
        <v>982</v>
      </c>
      <c r="B573" t="s">
        <v>5014</v>
      </c>
      <c r="D573" s="160" t="s">
        <v>5036</v>
      </c>
    </row>
    <row r="574" spans="1:12" ht="21" thickBot="1">
      <c r="A574" t="s">
        <v>982</v>
      </c>
      <c r="B574" t="s">
        <v>5014</v>
      </c>
      <c r="D574" s="177" t="s">
        <v>1778</v>
      </c>
      <c r="E574" s="177" t="s">
        <v>5037</v>
      </c>
      <c r="F574" s="177" t="s">
        <v>5038</v>
      </c>
      <c r="G574" s="177" t="s">
        <v>5039</v>
      </c>
      <c r="H574" s="177" t="s">
        <v>5040</v>
      </c>
      <c r="I574" s="177" t="s">
        <v>5041</v>
      </c>
      <c r="J574" s="177" t="s">
        <v>5042</v>
      </c>
      <c r="K574" s="177" t="s">
        <v>5043</v>
      </c>
      <c r="L574" s="177" t="s">
        <v>5044</v>
      </c>
    </row>
    <row r="575" spans="1:12">
      <c r="A575" t="s">
        <v>982</v>
      </c>
      <c r="B575" t="s">
        <v>5014</v>
      </c>
      <c r="D575" s="175" t="s">
        <v>5045</v>
      </c>
      <c r="E575" s="175">
        <v>10</v>
      </c>
      <c r="F575" s="175" t="s">
        <v>5046</v>
      </c>
      <c r="G575" s="175" t="s">
        <v>5047</v>
      </c>
      <c r="H575" s="175" t="s">
        <v>5048</v>
      </c>
      <c r="I575" s="175" t="s">
        <v>5049</v>
      </c>
      <c r="J575" s="175" t="s">
        <v>5050</v>
      </c>
      <c r="K575" s="175" t="s">
        <v>5051</v>
      </c>
      <c r="L575" s="175" t="s">
        <v>5052</v>
      </c>
    </row>
    <row r="576" spans="1:12">
      <c r="A576" t="s">
        <v>982</v>
      </c>
      <c r="B576" t="s">
        <v>5014</v>
      </c>
      <c r="D576" s="175" t="s">
        <v>5053</v>
      </c>
      <c r="E576" s="175">
        <v>35</v>
      </c>
      <c r="F576" s="175" t="s">
        <v>5054</v>
      </c>
      <c r="G576" s="175" t="s">
        <v>5055</v>
      </c>
      <c r="H576" s="175" t="s">
        <v>5056</v>
      </c>
      <c r="I576" s="175" t="s">
        <v>5057</v>
      </c>
      <c r="J576" s="175" t="s">
        <v>5058</v>
      </c>
      <c r="K576" s="175" t="s">
        <v>5059</v>
      </c>
      <c r="L576" s="175" t="s">
        <v>5060</v>
      </c>
    </row>
    <row r="577" spans="1:12" ht="15" thickBot="1">
      <c r="A577" t="s">
        <v>982</v>
      </c>
      <c r="B577" t="s">
        <v>5014</v>
      </c>
      <c r="D577" s="178" t="s">
        <v>5061</v>
      </c>
      <c r="E577" s="178">
        <v>10</v>
      </c>
      <c r="F577" s="178" t="s">
        <v>5062</v>
      </c>
      <c r="G577" s="178" t="s">
        <v>5063</v>
      </c>
      <c r="H577" s="178" t="s">
        <v>5064</v>
      </c>
      <c r="I577" s="178" t="s">
        <v>5065</v>
      </c>
      <c r="J577" s="178" t="s">
        <v>5066</v>
      </c>
      <c r="K577" s="178" t="s">
        <v>5067</v>
      </c>
      <c r="L577" s="178" t="s">
        <v>5068</v>
      </c>
    </row>
    <row r="578" spans="1:12">
      <c r="A578" t="s">
        <v>982</v>
      </c>
      <c r="B578" t="s">
        <v>5014</v>
      </c>
      <c r="D578" s="7" t="s">
        <v>5069</v>
      </c>
    </row>
    <row r="579" spans="1:12">
      <c r="A579" t="s">
        <v>982</v>
      </c>
      <c r="B579" t="s">
        <v>5014</v>
      </c>
    </row>
    <row r="580" spans="1:12">
      <c r="A580" t="s">
        <v>982</v>
      </c>
      <c r="B580" t="s">
        <v>5014</v>
      </c>
      <c r="D580" s="361" t="s">
        <v>5044</v>
      </c>
      <c r="E580" s="358">
        <v>0.88</v>
      </c>
    </row>
    <row r="581" spans="1:12">
      <c r="A581" t="s">
        <v>982</v>
      </c>
      <c r="B581" t="s">
        <v>5014</v>
      </c>
      <c r="E581" s="358">
        <v>1.01</v>
      </c>
    </row>
    <row r="582" spans="1:12">
      <c r="A582" t="s">
        <v>982</v>
      </c>
      <c r="B582" t="s">
        <v>5014</v>
      </c>
      <c r="E582" s="358">
        <v>0.33</v>
      </c>
    </row>
    <row r="583" spans="1:12">
      <c r="A583" t="s">
        <v>982</v>
      </c>
      <c r="B583" t="s">
        <v>5014</v>
      </c>
      <c r="D583" s="48" t="s">
        <v>510</v>
      </c>
      <c r="E583" s="48">
        <f>AVERAGE(E580:E582)</f>
        <v>0.7400000000000001</v>
      </c>
    </row>
    <row r="584" spans="1:12">
      <c r="A584" t="s">
        <v>982</v>
      </c>
      <c r="B584" t="s">
        <v>5014</v>
      </c>
      <c r="D584" s="48" t="s">
        <v>5070</v>
      </c>
      <c r="E584" s="48">
        <f>E583*90/180</f>
        <v>0.37000000000000005</v>
      </c>
    </row>
    <row r="585" spans="1:12">
      <c r="A585" t="s">
        <v>982</v>
      </c>
      <c r="B585" t="s">
        <v>5014</v>
      </c>
      <c r="D585" s="48" t="s">
        <v>5071</v>
      </c>
      <c r="E585" s="51">
        <f>[1]MonoSugar!$H$5</f>
        <v>70.776666666666657</v>
      </c>
    </row>
    <row r="586" spans="1:12">
      <c r="A586" t="s">
        <v>982</v>
      </c>
      <c r="B586" t="s">
        <v>5014</v>
      </c>
      <c r="D586" s="48" t="s">
        <v>5072</v>
      </c>
      <c r="E586" s="48">
        <f>E584*E585/100</f>
        <v>0.26187366666666667</v>
      </c>
    </row>
    <row r="587" spans="1:12">
      <c r="A587" t="s">
        <v>982</v>
      </c>
      <c r="B587" t="s">
        <v>5014</v>
      </c>
    </row>
    <row r="588" spans="1:12">
      <c r="A588" t="s">
        <v>982</v>
      </c>
      <c r="B588" t="s">
        <v>5014</v>
      </c>
      <c r="C588" t="s">
        <v>396</v>
      </c>
      <c r="D588" t="s">
        <v>5073</v>
      </c>
    </row>
    <row r="589" spans="1:12">
      <c r="A589" t="s">
        <v>982</v>
      </c>
      <c r="B589" t="s">
        <v>5014</v>
      </c>
      <c r="D589" t="s">
        <v>5074</v>
      </c>
    </row>
    <row r="590" spans="1:12">
      <c r="A590" t="s">
        <v>982</v>
      </c>
      <c r="B590" t="s">
        <v>5014</v>
      </c>
    </row>
    <row r="591" spans="1:12">
      <c r="A591" t="s">
        <v>982</v>
      </c>
      <c r="B591" t="s">
        <v>5014</v>
      </c>
    </row>
    <row r="592" spans="1:12">
      <c r="A592" t="s">
        <v>982</v>
      </c>
      <c r="B592" t="s">
        <v>5014</v>
      </c>
    </row>
    <row r="593" spans="1:6">
      <c r="A593" t="s">
        <v>982</v>
      </c>
      <c r="B593" t="s">
        <v>5014</v>
      </c>
    </row>
    <row r="594" spans="1:6">
      <c r="A594" t="s">
        <v>982</v>
      </c>
      <c r="B594" t="s">
        <v>5014</v>
      </c>
      <c r="D594" t="s">
        <v>4940</v>
      </c>
      <c r="E594" s="140">
        <v>0.75619999999999998</v>
      </c>
    </row>
    <row r="595" spans="1:6">
      <c r="A595" t="s">
        <v>982</v>
      </c>
      <c r="B595" t="s">
        <v>5014</v>
      </c>
      <c r="E595" s="140">
        <v>0.72360000000000002</v>
      </c>
    </row>
    <row r="596" spans="1:6">
      <c r="A596" t="s">
        <v>982</v>
      </c>
      <c r="B596" t="s">
        <v>5014</v>
      </c>
      <c r="E596" s="140">
        <v>0.73350000000000004</v>
      </c>
    </row>
    <row r="597" spans="1:6">
      <c r="A597" t="s">
        <v>982</v>
      </c>
      <c r="B597" t="s">
        <v>5014</v>
      </c>
      <c r="E597" s="140">
        <v>0.76439999999999997</v>
      </c>
    </row>
    <row r="598" spans="1:6">
      <c r="A598" t="s">
        <v>982</v>
      </c>
      <c r="B598" t="s">
        <v>5014</v>
      </c>
      <c r="D598" t="s">
        <v>510</v>
      </c>
      <c r="E598" s="140">
        <f>AVERAGE(E594:E597)</f>
        <v>0.74442500000000011</v>
      </c>
    </row>
    <row r="599" spans="1:6">
      <c r="A599" t="s">
        <v>982</v>
      </c>
      <c r="B599" t="s">
        <v>5014</v>
      </c>
      <c r="D599" s="48" t="s">
        <v>5071</v>
      </c>
      <c r="E599" s="51">
        <f>[1]MonoSugar!$H$5</f>
        <v>70.776666666666657</v>
      </c>
    </row>
    <row r="600" spans="1:6">
      <c r="A600" t="s">
        <v>982</v>
      </c>
      <c r="B600" t="s">
        <v>5014</v>
      </c>
      <c r="D600" s="48" t="s">
        <v>5072</v>
      </c>
      <c r="E600" s="48">
        <f>E598*E599/100</f>
        <v>0.52687920083333328</v>
      </c>
    </row>
    <row r="601" spans="1:6">
      <c r="A601" t="s">
        <v>982</v>
      </c>
      <c r="B601" t="s">
        <v>5014</v>
      </c>
    </row>
    <row r="602" spans="1:6" s="383" customFormat="1">
      <c r="A602" s="383" t="s">
        <v>982</v>
      </c>
      <c r="B602" s="383" t="s">
        <v>5014</v>
      </c>
      <c r="C602" s="383" t="s">
        <v>420</v>
      </c>
      <c r="D602" s="383" t="s">
        <v>5075</v>
      </c>
    </row>
    <row r="603" spans="1:6" s="383" customFormat="1">
      <c r="A603" s="383" t="s">
        <v>982</v>
      </c>
      <c r="B603" s="383" t="s">
        <v>5014</v>
      </c>
      <c r="D603" s="383" t="s">
        <v>5076</v>
      </c>
    </row>
    <row r="604" spans="1:6" s="383" customFormat="1">
      <c r="A604" s="383" t="s">
        <v>982</v>
      </c>
      <c r="B604" s="383" t="s">
        <v>5014</v>
      </c>
      <c r="D604" s="383" t="s">
        <v>5079</v>
      </c>
      <c r="E604" s="383">
        <v>0.44</v>
      </c>
      <c r="F604" s="413" t="s">
        <v>5080</v>
      </c>
    </row>
    <row r="605" spans="1:6" s="383" customFormat="1">
      <c r="A605" s="383" t="s">
        <v>982</v>
      </c>
      <c r="B605" s="383" t="s">
        <v>5014</v>
      </c>
    </row>
    <row r="606" spans="1:6" s="383" customFormat="1">
      <c r="A606" s="383" t="s">
        <v>982</v>
      </c>
      <c r="B606" s="383" t="s">
        <v>5014</v>
      </c>
    </row>
    <row r="607" spans="1:6" s="383" customFormat="1">
      <c r="A607" s="383" t="s">
        <v>982</v>
      </c>
      <c r="B607" s="383" t="s">
        <v>5014</v>
      </c>
    </row>
    <row r="608" spans="1:6" s="383" customFormat="1">
      <c r="A608" s="383" t="s">
        <v>982</v>
      </c>
      <c r="B608" s="383" t="s">
        <v>5014</v>
      </c>
      <c r="C608" s="383" t="s">
        <v>425</v>
      </c>
      <c r="D608" s="384" t="s">
        <v>5078</v>
      </c>
      <c r="E608" s="383">
        <v>0.43</v>
      </c>
      <c r="F608" s="413" t="s">
        <v>5080</v>
      </c>
    </row>
    <row r="609" spans="1:7">
      <c r="A609" t="s">
        <v>982</v>
      </c>
      <c r="B609" t="s">
        <v>5014</v>
      </c>
    </row>
    <row r="610" spans="1:7">
      <c r="A610" t="s">
        <v>982</v>
      </c>
      <c r="B610" t="s">
        <v>5014</v>
      </c>
      <c r="C610" t="s">
        <v>420</v>
      </c>
      <c r="D610" t="s">
        <v>6238</v>
      </c>
    </row>
    <row r="611" spans="1:7">
      <c r="A611" t="s">
        <v>982</v>
      </c>
      <c r="B611" t="s">
        <v>5014</v>
      </c>
      <c r="D611" t="s">
        <v>6239</v>
      </c>
    </row>
    <row r="612" spans="1:7">
      <c r="A612" t="s">
        <v>982</v>
      </c>
      <c r="B612" t="s">
        <v>5014</v>
      </c>
      <c r="D612" t="s">
        <v>6233</v>
      </c>
    </row>
    <row r="613" spans="1:7">
      <c r="A613" t="s">
        <v>982</v>
      </c>
      <c r="B613" t="s">
        <v>5014</v>
      </c>
      <c r="D613" t="s">
        <v>6234</v>
      </c>
      <c r="E613" t="s">
        <v>6235</v>
      </c>
      <c r="F613" t="s">
        <v>6236</v>
      </c>
      <c r="G613" t="s">
        <v>6236</v>
      </c>
    </row>
    <row r="614" spans="1:7">
      <c r="A614" t="s">
        <v>982</v>
      </c>
      <c r="B614" t="s">
        <v>5014</v>
      </c>
      <c r="D614">
        <v>50</v>
      </c>
      <c r="E614">
        <v>1.1000000000000001</v>
      </c>
      <c r="F614">
        <v>0.64</v>
      </c>
      <c r="G614">
        <f>F614/0.7</f>
        <v>0.91428571428571437</v>
      </c>
    </row>
    <row r="615" spans="1:7">
      <c r="A615" t="s">
        <v>982</v>
      </c>
      <c r="B615" t="s">
        <v>5014</v>
      </c>
      <c r="D615">
        <v>70</v>
      </c>
      <c r="E615">
        <v>1.06</v>
      </c>
      <c r="F615">
        <v>0.57999999999999996</v>
      </c>
      <c r="G615">
        <f t="shared" ref="G615:G618" si="8">F615/0.7</f>
        <v>0.82857142857142851</v>
      </c>
    </row>
    <row r="616" spans="1:7">
      <c r="A616" t="s">
        <v>982</v>
      </c>
      <c r="B616" t="s">
        <v>5014</v>
      </c>
      <c r="D616">
        <v>90</v>
      </c>
      <c r="E616">
        <v>1.08</v>
      </c>
      <c r="F616">
        <v>0.54</v>
      </c>
      <c r="G616">
        <f t="shared" si="8"/>
        <v>0.77142857142857157</v>
      </c>
    </row>
    <row r="617" spans="1:7">
      <c r="A617" t="s">
        <v>982</v>
      </c>
      <c r="B617" t="s">
        <v>5014</v>
      </c>
      <c r="D617">
        <v>130</v>
      </c>
      <c r="E617">
        <v>1.1000000000000001</v>
      </c>
      <c r="F617">
        <v>0.47</v>
      </c>
      <c r="G617">
        <f t="shared" si="8"/>
        <v>0.67142857142857149</v>
      </c>
    </row>
    <row r="618" spans="1:7">
      <c r="A618" t="s">
        <v>982</v>
      </c>
      <c r="B618" t="s">
        <v>5014</v>
      </c>
      <c r="D618">
        <v>180</v>
      </c>
      <c r="E618">
        <v>1.1499999999999999</v>
      </c>
      <c r="F618">
        <v>0.39</v>
      </c>
      <c r="G618">
        <f t="shared" si="8"/>
        <v>0.55714285714285716</v>
      </c>
    </row>
    <row r="619" spans="1:7">
      <c r="A619" t="s">
        <v>982</v>
      </c>
      <c r="B619" t="s">
        <v>5014</v>
      </c>
      <c r="D619" t="s">
        <v>1177</v>
      </c>
    </row>
    <row r="620" spans="1:7">
      <c r="A620" t="s">
        <v>982</v>
      </c>
      <c r="B620" t="s">
        <v>5014</v>
      </c>
      <c r="D620" t="s">
        <v>6237</v>
      </c>
    </row>
    <row r="621" spans="1:7">
      <c r="A621" t="s">
        <v>982</v>
      </c>
      <c r="B621" t="s">
        <v>5014</v>
      </c>
    </row>
    <row r="622" spans="1:7">
      <c r="A622" t="s">
        <v>982</v>
      </c>
      <c r="B622" t="s">
        <v>5014</v>
      </c>
      <c r="D622" s="48" t="s">
        <v>5070</v>
      </c>
      <c r="E622" s="48">
        <f>AVERAGE(G614:G618)</f>
        <v>0.74857142857142855</v>
      </c>
    </row>
    <row r="623" spans="1:7">
      <c r="A623" t="s">
        <v>982</v>
      </c>
      <c r="B623" t="s">
        <v>5014</v>
      </c>
      <c r="D623" s="48" t="s">
        <v>6230</v>
      </c>
      <c r="E623" s="51">
        <f>[1]MonoSugar!$H$5</f>
        <v>70.776666666666657</v>
      </c>
    </row>
    <row r="624" spans="1:7">
      <c r="A624" t="s">
        <v>982</v>
      </c>
      <c r="B624" t="s">
        <v>5014</v>
      </c>
      <c r="D624" s="48" t="s">
        <v>5031</v>
      </c>
      <c r="E624" s="48">
        <f>E622*E623%</f>
        <v>0.52981390476190471</v>
      </c>
    </row>
    <row r="625" spans="1:5">
      <c r="A625" t="s">
        <v>982</v>
      </c>
      <c r="B625" t="s">
        <v>5014</v>
      </c>
    </row>
    <row r="626" spans="1:5" s="383" customFormat="1">
      <c r="A626" s="383" t="s">
        <v>982</v>
      </c>
      <c r="B626" s="383" t="s">
        <v>5014</v>
      </c>
      <c r="C626" s="383" t="s">
        <v>425</v>
      </c>
      <c r="D626" s="383" t="s">
        <v>6252</v>
      </c>
    </row>
    <row r="627" spans="1:5" s="383" customFormat="1">
      <c r="A627" s="383" t="s">
        <v>982</v>
      </c>
      <c r="B627" s="383" t="s">
        <v>5014</v>
      </c>
      <c r="D627" s="383" t="s">
        <v>6253</v>
      </c>
    </row>
    <row r="628" spans="1:5" s="383" customFormat="1">
      <c r="A628" s="383" t="s">
        <v>982</v>
      </c>
      <c r="B628" s="383" t="s">
        <v>5014</v>
      </c>
    </row>
    <row r="629" spans="1:5" s="383" customFormat="1">
      <c r="A629" s="383" t="s">
        <v>982</v>
      </c>
      <c r="B629" s="383" t="s">
        <v>5014</v>
      </c>
      <c r="D629" s="383" t="s">
        <v>6240</v>
      </c>
    </row>
    <row r="630" spans="1:5" s="383" customFormat="1">
      <c r="A630" s="383" t="s">
        <v>982</v>
      </c>
      <c r="B630" s="383" t="s">
        <v>5014</v>
      </c>
      <c r="D630" s="383" t="s">
        <v>6241</v>
      </c>
    </row>
    <row r="631" spans="1:5" s="383" customFormat="1">
      <c r="A631" s="383" t="s">
        <v>982</v>
      </c>
      <c r="B631" s="383" t="s">
        <v>5014</v>
      </c>
      <c r="D631" s="383" t="s">
        <v>1126</v>
      </c>
      <c r="E631" s="383" t="s">
        <v>6242</v>
      </c>
    </row>
    <row r="632" spans="1:5" s="383" customFormat="1">
      <c r="A632" s="383" t="s">
        <v>982</v>
      </c>
      <c r="B632" s="383" t="s">
        <v>5014</v>
      </c>
      <c r="D632" s="383" t="s">
        <v>6243</v>
      </c>
      <c r="E632" s="383">
        <v>0.28000000000000003</v>
      </c>
    </row>
    <row r="633" spans="1:5" s="383" customFormat="1">
      <c r="A633" s="383" t="s">
        <v>982</v>
      </c>
      <c r="B633" s="383" t="s">
        <v>5014</v>
      </c>
      <c r="D633" s="383" t="s">
        <v>6244</v>
      </c>
      <c r="E633" s="383">
        <v>98.6</v>
      </c>
    </row>
    <row r="634" spans="1:5" s="383" customFormat="1">
      <c r="A634" s="383" t="s">
        <v>982</v>
      </c>
      <c r="B634" s="383" t="s">
        <v>5014</v>
      </c>
      <c r="D634" s="383" t="s">
        <v>6245</v>
      </c>
      <c r="E634" s="383">
        <v>5.2999999999999999E-2</v>
      </c>
    </row>
    <row r="635" spans="1:5" s="383" customFormat="1">
      <c r="A635" s="383" t="s">
        <v>982</v>
      </c>
      <c r="B635" s="383" t="s">
        <v>5014</v>
      </c>
      <c r="D635" s="383" t="s">
        <v>6246</v>
      </c>
      <c r="E635" s="383">
        <v>0.82</v>
      </c>
    </row>
    <row r="636" spans="1:5" s="383" customFormat="1">
      <c r="A636" s="383" t="s">
        <v>982</v>
      </c>
      <c r="B636" s="383" t="s">
        <v>5014</v>
      </c>
      <c r="D636" s="383" t="s">
        <v>6247</v>
      </c>
      <c r="E636" s="383">
        <v>3.5000000000000003E-2</v>
      </c>
    </row>
    <row r="637" spans="1:5" s="383" customFormat="1">
      <c r="A637" s="383" t="s">
        <v>982</v>
      </c>
      <c r="B637" s="383" t="s">
        <v>5014</v>
      </c>
      <c r="D637" s="383" t="s">
        <v>6248</v>
      </c>
      <c r="E637" s="383" t="s">
        <v>6249</v>
      </c>
    </row>
    <row r="638" spans="1:5" s="383" customFormat="1">
      <c r="A638" s="383" t="s">
        <v>982</v>
      </c>
      <c r="B638" s="383" t="s">
        <v>5014</v>
      </c>
      <c r="D638" s="383" t="s">
        <v>6250</v>
      </c>
      <c r="E638" s="383" t="s">
        <v>6251</v>
      </c>
    </row>
    <row r="639" spans="1:5" s="383" customFormat="1">
      <c r="A639" s="383" t="s">
        <v>982</v>
      </c>
      <c r="B639" s="383" t="s">
        <v>5014</v>
      </c>
    </row>
    <row r="640" spans="1:5" s="383" customFormat="1">
      <c r="A640" s="383" t="s">
        <v>982</v>
      </c>
      <c r="B640" s="383" t="s">
        <v>5014</v>
      </c>
      <c r="D640" s="383" t="s">
        <v>6254</v>
      </c>
      <c r="E640" s="383">
        <f>E635*E634</f>
        <v>4.3459999999999999E-2</v>
      </c>
    </row>
    <row r="641" spans="1:6" s="383" customFormat="1">
      <c r="A641" s="383" t="s">
        <v>982</v>
      </c>
      <c r="B641" s="383" t="s">
        <v>5014</v>
      </c>
      <c r="D641" s="388" t="s">
        <v>6230</v>
      </c>
      <c r="E641" s="409">
        <f>[1]MonoSugar!$H$5</f>
        <v>70.776666666666657</v>
      </c>
    </row>
    <row r="642" spans="1:6" s="383" customFormat="1">
      <c r="A642" s="383" t="s">
        <v>982</v>
      </c>
      <c r="B642" s="383" t="s">
        <v>5014</v>
      </c>
      <c r="D642" s="388" t="s">
        <v>5031</v>
      </c>
      <c r="E642" s="388">
        <f>E640*E641%</f>
        <v>3.0759539333333329E-2</v>
      </c>
      <c r="F642" s="385" t="s">
        <v>815</v>
      </c>
    </row>
    <row r="643" spans="1:6" s="383" customFormat="1">
      <c r="A643" s="383" t="s">
        <v>982</v>
      </c>
      <c r="B643" s="383" t="s">
        <v>5014</v>
      </c>
    </row>
    <row r="644" spans="1:6" s="383" customFormat="1">
      <c r="A644" s="383" t="s">
        <v>982</v>
      </c>
      <c r="B644" s="383" t="s">
        <v>5014</v>
      </c>
    </row>
    <row r="645" spans="1:6" s="383" customFormat="1">
      <c r="A645" s="383" t="s">
        <v>982</v>
      </c>
      <c r="B645" s="383" t="s">
        <v>5014</v>
      </c>
      <c r="C645" s="383" t="s">
        <v>5084</v>
      </c>
      <c r="D645" s="414" t="s">
        <v>5082</v>
      </c>
    </row>
    <row r="646" spans="1:6" s="383" customFormat="1">
      <c r="A646" s="383" t="s">
        <v>982</v>
      </c>
      <c r="B646" s="383" t="s">
        <v>5014</v>
      </c>
      <c r="D646" s="383" t="s">
        <v>5083</v>
      </c>
    </row>
    <row r="647" spans="1:6" s="383" customFormat="1">
      <c r="A647" s="383" t="s">
        <v>982</v>
      </c>
      <c r="B647" s="383" t="s">
        <v>5014</v>
      </c>
    </row>
    <row r="648" spans="1:6" s="383" customFormat="1">
      <c r="A648" s="383" t="s">
        <v>982</v>
      </c>
      <c r="B648" s="383" t="s">
        <v>5014</v>
      </c>
      <c r="D648" s="384" t="s">
        <v>5077</v>
      </c>
      <c r="E648" s="383">
        <v>0.49</v>
      </c>
      <c r="F648" s="413" t="s">
        <v>5080</v>
      </c>
    </row>
    <row r="649" spans="1:6" s="383" customFormat="1">
      <c r="A649" s="383" t="s">
        <v>982</v>
      </c>
      <c r="B649" s="383" t="s">
        <v>5014</v>
      </c>
    </row>
    <row r="650" spans="1:6" s="383" customFormat="1">
      <c r="A650" s="383" t="s">
        <v>982</v>
      </c>
      <c r="B650" s="383" t="s">
        <v>5014</v>
      </c>
      <c r="C650" s="383" t="s">
        <v>5085</v>
      </c>
      <c r="D650" s="413" t="s">
        <v>5081</v>
      </c>
      <c r="E650" s="383">
        <v>0.27</v>
      </c>
      <c r="F650" s="413" t="s">
        <v>5080</v>
      </c>
    </row>
    <row r="651" spans="1:6" s="383" customFormat="1">
      <c r="A651" s="383" t="s">
        <v>982</v>
      </c>
      <c r="B651" s="383" t="s">
        <v>5014</v>
      </c>
      <c r="D651" s="413" t="s">
        <v>5081</v>
      </c>
      <c r="E651" s="383">
        <v>0.46</v>
      </c>
      <c r="F651" s="413" t="s">
        <v>5080</v>
      </c>
    </row>
    <row r="652" spans="1:6" s="383" customFormat="1">
      <c r="A652" s="383" t="s">
        <v>982</v>
      </c>
      <c r="B652" s="383" t="s">
        <v>5014</v>
      </c>
      <c r="E652" s="383">
        <f>AVERAGE(E650:E651)</f>
        <v>0.36499999999999999</v>
      </c>
      <c r="F652" s="413" t="s">
        <v>5080</v>
      </c>
    </row>
    <row r="653" spans="1:6">
      <c r="A653" t="s">
        <v>982</v>
      </c>
      <c r="B653" t="s">
        <v>5086</v>
      </c>
    </row>
    <row r="654" spans="1:6">
      <c r="A654" t="s">
        <v>982</v>
      </c>
      <c r="B654" t="s">
        <v>5086</v>
      </c>
      <c r="C654" t="s">
        <v>197</v>
      </c>
      <c r="D654" t="s">
        <v>5089</v>
      </c>
    </row>
    <row r="655" spans="1:6">
      <c r="A655" t="s">
        <v>982</v>
      </c>
      <c r="B655" t="s">
        <v>5086</v>
      </c>
      <c r="D655" t="s">
        <v>5090</v>
      </c>
    </row>
    <row r="656" spans="1:6">
      <c r="A656" t="s">
        <v>982</v>
      </c>
      <c r="B656" t="s">
        <v>5086</v>
      </c>
      <c r="D656" s="142">
        <v>0.18149999999999999</v>
      </c>
      <c r="E656" t="s">
        <v>5087</v>
      </c>
    </row>
    <row r="657" spans="1:8">
      <c r="A657" t="s">
        <v>982</v>
      </c>
      <c r="B657" t="s">
        <v>5086</v>
      </c>
      <c r="C657" t="s">
        <v>226</v>
      </c>
      <c r="D657" t="s">
        <v>5088</v>
      </c>
      <c r="F657" t="s">
        <v>5111</v>
      </c>
    </row>
    <row r="658" spans="1:8">
      <c r="A658" t="s">
        <v>982</v>
      </c>
      <c r="B658" t="s">
        <v>5086</v>
      </c>
      <c r="D658" t="s">
        <v>5091</v>
      </c>
    </row>
    <row r="659" spans="1:8">
      <c r="A659" t="s">
        <v>982</v>
      </c>
      <c r="B659" t="s">
        <v>5086</v>
      </c>
      <c r="D659" t="s">
        <v>5092</v>
      </c>
      <c r="E659" t="s">
        <v>1757</v>
      </c>
    </row>
    <row r="660" spans="1:8">
      <c r="A660" t="s">
        <v>982</v>
      </c>
      <c r="B660" t="s">
        <v>5086</v>
      </c>
      <c r="D660" t="s">
        <v>5096</v>
      </c>
      <c r="E660">
        <v>32</v>
      </c>
      <c r="F660" t="s">
        <v>5093</v>
      </c>
      <c r="G660" t="s">
        <v>5094</v>
      </c>
      <c r="H660" t="s">
        <v>5095</v>
      </c>
    </row>
    <row r="661" spans="1:8">
      <c r="A661" t="s">
        <v>982</v>
      </c>
      <c r="B661" t="s">
        <v>5086</v>
      </c>
      <c r="D661" t="s">
        <v>5097</v>
      </c>
      <c r="E661">
        <v>81</v>
      </c>
      <c r="F661">
        <v>85</v>
      </c>
      <c r="G661" s="204">
        <v>0.95</v>
      </c>
      <c r="H661">
        <v>2.46</v>
      </c>
    </row>
    <row r="662" spans="1:8">
      <c r="A662" t="s">
        <v>982</v>
      </c>
      <c r="B662" t="s">
        <v>5086</v>
      </c>
      <c r="D662" t="s">
        <v>5098</v>
      </c>
      <c r="E662">
        <v>59</v>
      </c>
      <c r="F662">
        <v>72</v>
      </c>
      <c r="G662" s="204">
        <v>0.8</v>
      </c>
      <c r="H662">
        <v>0.89</v>
      </c>
    </row>
    <row r="663" spans="1:8">
      <c r="A663" t="s">
        <v>982</v>
      </c>
      <c r="B663" t="s">
        <v>5086</v>
      </c>
      <c r="D663" t="s">
        <v>5099</v>
      </c>
      <c r="E663">
        <v>39</v>
      </c>
      <c r="F663">
        <v>74</v>
      </c>
      <c r="G663" s="204">
        <v>0.85</v>
      </c>
      <c r="H663">
        <v>1.25</v>
      </c>
    </row>
    <row r="664" spans="1:8">
      <c r="A664" t="s">
        <v>982</v>
      </c>
      <c r="B664" t="s">
        <v>5086</v>
      </c>
      <c r="D664" t="s">
        <v>5100</v>
      </c>
      <c r="E664">
        <v>88</v>
      </c>
      <c r="F664">
        <v>80</v>
      </c>
      <c r="G664">
        <v>0.94</v>
      </c>
      <c r="H664">
        <v>2.0499999999999998</v>
      </c>
    </row>
    <row r="665" spans="1:8">
      <c r="A665" t="s">
        <v>982</v>
      </c>
      <c r="B665" t="s">
        <v>5086</v>
      </c>
      <c r="D665" t="s">
        <v>5101</v>
      </c>
      <c r="E665">
        <v>65</v>
      </c>
      <c r="F665">
        <v>80</v>
      </c>
      <c r="G665">
        <v>0.9</v>
      </c>
      <c r="H665">
        <v>0.91</v>
      </c>
    </row>
    <row r="666" spans="1:8">
      <c r="A666" t="s">
        <v>982</v>
      </c>
      <c r="B666" t="s">
        <v>5086</v>
      </c>
      <c r="D666" t="s">
        <v>5102</v>
      </c>
      <c r="E666">
        <v>47.5</v>
      </c>
      <c r="F666">
        <v>79</v>
      </c>
      <c r="G666">
        <v>0.88</v>
      </c>
      <c r="H666">
        <v>1.22</v>
      </c>
    </row>
    <row r="667" spans="1:8">
      <c r="A667" t="s">
        <v>982</v>
      </c>
      <c r="B667" t="s">
        <v>5086</v>
      </c>
      <c r="D667" t="s">
        <v>5103</v>
      </c>
      <c r="E667">
        <v>33.5</v>
      </c>
      <c r="F667">
        <v>80</v>
      </c>
      <c r="G667">
        <v>0.87</v>
      </c>
      <c r="H667">
        <v>1.68</v>
      </c>
    </row>
    <row r="668" spans="1:8">
      <c r="A668" t="s">
        <v>982</v>
      </c>
      <c r="B668" t="s">
        <v>5086</v>
      </c>
      <c r="D668" t="s">
        <v>5104</v>
      </c>
      <c r="E668">
        <v>34</v>
      </c>
      <c r="F668">
        <v>70</v>
      </c>
      <c r="G668">
        <v>0.91</v>
      </c>
      <c r="H668">
        <v>2.09</v>
      </c>
    </row>
    <row r="669" spans="1:8">
      <c r="A669" t="s">
        <v>982</v>
      </c>
      <c r="B669" t="s">
        <v>5086</v>
      </c>
      <c r="D669" t="s">
        <v>5105</v>
      </c>
      <c r="E669">
        <v>26</v>
      </c>
      <c r="F669">
        <v>80</v>
      </c>
      <c r="G669">
        <v>0.99</v>
      </c>
      <c r="H669">
        <v>2.35</v>
      </c>
    </row>
    <row r="670" spans="1:8">
      <c r="A670" t="s">
        <v>982</v>
      </c>
      <c r="B670" t="s">
        <v>5086</v>
      </c>
      <c r="D670" t="s">
        <v>5106</v>
      </c>
      <c r="E670">
        <v>20</v>
      </c>
      <c r="F670">
        <v>79</v>
      </c>
      <c r="G670">
        <v>0.98</v>
      </c>
      <c r="H670">
        <v>3.04</v>
      </c>
    </row>
    <row r="671" spans="1:8">
      <c r="A671" t="s">
        <v>982</v>
      </c>
      <c r="B671" t="s">
        <v>5086</v>
      </c>
      <c r="D671" t="s">
        <v>5107</v>
      </c>
      <c r="E671">
        <v>20</v>
      </c>
      <c r="F671">
        <v>74</v>
      </c>
      <c r="G671">
        <v>0.99</v>
      </c>
      <c r="H671">
        <v>3.7</v>
      </c>
    </row>
    <row r="672" spans="1:8">
      <c r="A672" t="s">
        <v>982</v>
      </c>
      <c r="B672" t="s">
        <v>5086</v>
      </c>
      <c r="F672">
        <v>75</v>
      </c>
      <c r="G672">
        <v>0.99</v>
      </c>
      <c r="H672">
        <v>3.75</v>
      </c>
    </row>
    <row r="673" spans="1:5">
      <c r="A673" t="s">
        <v>982</v>
      </c>
      <c r="B673" t="s">
        <v>5086</v>
      </c>
      <c r="D673" s="48" t="s">
        <v>5108</v>
      </c>
      <c r="E673" s="48">
        <f>AVERAGE(G661,G662,G663)</f>
        <v>0.8666666666666667</v>
      </c>
    </row>
    <row r="674" spans="1:5">
      <c r="A674" t="s">
        <v>982</v>
      </c>
      <c r="B674" t="s">
        <v>5086</v>
      </c>
      <c r="D674" s="48" t="s">
        <v>5109</v>
      </c>
      <c r="E674" s="51">
        <f>[1]MonoSugar!$H$6</f>
        <v>34.835555555555558</v>
      </c>
    </row>
    <row r="675" spans="1:5">
      <c r="A675" t="s">
        <v>982</v>
      </c>
      <c r="B675" t="s">
        <v>5086</v>
      </c>
      <c r="D675" s="48" t="s">
        <v>5110</v>
      </c>
      <c r="E675" s="48">
        <f>E673*E674%</f>
        <v>0.3019081481481482</v>
      </c>
    </row>
    <row r="676" spans="1:5">
      <c r="A676" t="s">
        <v>982</v>
      </c>
      <c r="B676" t="s">
        <v>5086</v>
      </c>
    </row>
    <row r="677" spans="1:5">
      <c r="A677" t="s">
        <v>982</v>
      </c>
      <c r="B677" t="s">
        <v>5086</v>
      </c>
      <c r="C677" t="s">
        <v>396</v>
      </c>
      <c r="D677" t="s">
        <v>5112</v>
      </c>
    </row>
    <row r="678" spans="1:5">
      <c r="A678" t="s">
        <v>982</v>
      </c>
      <c r="B678" t="s">
        <v>5086</v>
      </c>
      <c r="D678" t="s">
        <v>5113</v>
      </c>
    </row>
    <row r="679" spans="1:5">
      <c r="A679" t="s">
        <v>982</v>
      </c>
      <c r="B679" t="s">
        <v>5086</v>
      </c>
      <c r="D679" s="186" t="s">
        <v>5114</v>
      </c>
    </row>
    <row r="680" spans="1:5">
      <c r="A680" t="s">
        <v>982</v>
      </c>
      <c r="B680" t="s">
        <v>5086</v>
      </c>
      <c r="D680">
        <v>0.36</v>
      </c>
    </row>
    <row r="681" spans="1:5">
      <c r="A681" t="s">
        <v>982</v>
      </c>
      <c r="B681" t="s">
        <v>5086</v>
      </c>
    </row>
    <row r="682" spans="1:5">
      <c r="A682" t="s">
        <v>982</v>
      </c>
      <c r="B682" t="s">
        <v>5086</v>
      </c>
      <c r="C682" t="s">
        <v>420</v>
      </c>
      <c r="D682" t="s">
        <v>5115</v>
      </c>
    </row>
    <row r="683" spans="1:5">
      <c r="A683" t="s">
        <v>982</v>
      </c>
      <c r="B683" t="s">
        <v>5086</v>
      </c>
      <c r="D683" t="s">
        <v>5116</v>
      </c>
    </row>
    <row r="684" spans="1:5">
      <c r="A684" t="s">
        <v>982</v>
      </c>
      <c r="B684" t="s">
        <v>5086</v>
      </c>
      <c r="D684" s="186" t="s">
        <v>5117</v>
      </c>
    </row>
    <row r="685" spans="1:5">
      <c r="A685" t="s">
        <v>982</v>
      </c>
      <c r="B685" t="s">
        <v>5086</v>
      </c>
      <c r="D685">
        <v>0.46300000000000002</v>
      </c>
    </row>
    <row r="686" spans="1:5">
      <c r="A686" t="s">
        <v>982</v>
      </c>
      <c r="B686" t="s">
        <v>5086</v>
      </c>
    </row>
    <row r="687" spans="1:5">
      <c r="A687" t="s">
        <v>982</v>
      </c>
      <c r="B687" t="s">
        <v>5086</v>
      </c>
      <c r="C687" t="s">
        <v>425</v>
      </c>
      <c r="D687" t="s">
        <v>5118</v>
      </c>
    </row>
    <row r="688" spans="1:5">
      <c r="A688" t="s">
        <v>982</v>
      </c>
      <c r="B688" t="s">
        <v>5086</v>
      </c>
      <c r="D688" t="s">
        <v>5119</v>
      </c>
    </row>
    <row r="689" spans="1:5">
      <c r="A689" t="s">
        <v>982</v>
      </c>
      <c r="B689" t="s">
        <v>5086</v>
      </c>
      <c r="D689" s="186" t="s">
        <v>5120</v>
      </c>
    </row>
    <row r="690" spans="1:5">
      <c r="A690" t="s">
        <v>982</v>
      </c>
      <c r="B690" t="s">
        <v>5086</v>
      </c>
      <c r="D690" s="48" t="s">
        <v>5070</v>
      </c>
      <c r="E690" s="48">
        <v>0.6</v>
      </c>
    </row>
    <row r="691" spans="1:5">
      <c r="A691" t="s">
        <v>982</v>
      </c>
      <c r="B691" t="s">
        <v>5086</v>
      </c>
      <c r="D691" s="48" t="s">
        <v>5121</v>
      </c>
      <c r="E691" s="51">
        <f>[1]MonoSugar!$H$6</f>
        <v>34.835555555555558</v>
      </c>
    </row>
    <row r="692" spans="1:5">
      <c r="A692" t="s">
        <v>982</v>
      </c>
      <c r="B692" t="s">
        <v>5086</v>
      </c>
      <c r="D692" s="48" t="s">
        <v>5122</v>
      </c>
      <c r="E692" s="48">
        <f>E690*E691%</f>
        <v>0.20901333333333336</v>
      </c>
    </row>
    <row r="693" spans="1:5">
      <c r="A693" t="s">
        <v>982</v>
      </c>
    </row>
    <row r="694" spans="1:5">
      <c r="A694" t="s">
        <v>982</v>
      </c>
      <c r="B694" t="s">
        <v>4988</v>
      </c>
      <c r="C694" t="s">
        <v>638</v>
      </c>
      <c r="D694" t="s">
        <v>984</v>
      </c>
    </row>
    <row r="695" spans="1:5">
      <c r="A695" t="s">
        <v>982</v>
      </c>
      <c r="B695" t="s">
        <v>4988</v>
      </c>
      <c r="D695" t="s">
        <v>985</v>
      </c>
    </row>
    <row r="696" spans="1:5" ht="15.6">
      <c r="A696" t="s">
        <v>982</v>
      </c>
      <c r="B696" t="s">
        <v>4988</v>
      </c>
      <c r="D696" s="199" t="s">
        <v>986</v>
      </c>
    </row>
    <row r="697" spans="1:5">
      <c r="A697" t="s">
        <v>982</v>
      </c>
      <c r="B697" t="s">
        <v>4988</v>
      </c>
      <c r="D697" s="48" t="s">
        <v>987</v>
      </c>
      <c r="E697" s="48">
        <v>0.76</v>
      </c>
    </row>
    <row r="698" spans="1:5">
      <c r="A698" t="s">
        <v>982</v>
      </c>
      <c r="B698" t="s">
        <v>4988</v>
      </c>
      <c r="D698" s="48" t="s">
        <v>5123</v>
      </c>
      <c r="E698" s="51">
        <f>[1]MonoSugar!$K$7</f>
        <v>41.8</v>
      </c>
    </row>
    <row r="699" spans="1:5">
      <c r="A699" t="s">
        <v>982</v>
      </c>
      <c r="B699" t="s">
        <v>4988</v>
      </c>
      <c r="D699" s="48" t="s">
        <v>5124</v>
      </c>
      <c r="E699" s="48">
        <f>E697*E698%</f>
        <v>0.31768000000000002</v>
      </c>
    </row>
    <row r="700" spans="1:5">
      <c r="A700" t="s">
        <v>1186</v>
      </c>
      <c r="B700" t="s">
        <v>5014</v>
      </c>
      <c r="C700" t="s">
        <v>638</v>
      </c>
      <c r="D700" t="s">
        <v>1187</v>
      </c>
    </row>
    <row r="701" spans="1:5">
      <c r="A701" t="s">
        <v>1186</v>
      </c>
      <c r="B701" t="s">
        <v>5014</v>
      </c>
      <c r="D701" t="s">
        <v>1188</v>
      </c>
    </row>
    <row r="702" spans="1:5">
      <c r="A702" t="s">
        <v>1186</v>
      </c>
      <c r="B702" t="s">
        <v>5014</v>
      </c>
      <c r="D702" t="s">
        <v>1194</v>
      </c>
      <c r="E702">
        <v>95.2</v>
      </c>
    </row>
    <row r="703" spans="1:5">
      <c r="A703" t="s">
        <v>1186</v>
      </c>
      <c r="B703" t="s">
        <v>5014</v>
      </c>
      <c r="D703" t="s">
        <v>1193</v>
      </c>
      <c r="E703">
        <v>0.96257777777777775</v>
      </c>
    </row>
    <row r="704" spans="1:5">
      <c r="A704" t="s">
        <v>1186</v>
      </c>
      <c r="B704" t="s">
        <v>5014</v>
      </c>
      <c r="D704" s="48" t="s">
        <v>5125</v>
      </c>
      <c r="E704" s="51">
        <f>[1]MonoSugar!$L$5</f>
        <v>70.776666666666657</v>
      </c>
    </row>
    <row r="705" spans="1:5">
      <c r="A705" t="s">
        <v>1186</v>
      </c>
      <c r="B705" t="s">
        <v>5014</v>
      </c>
      <c r="D705" s="48" t="s">
        <v>5031</v>
      </c>
      <c r="E705" s="48">
        <f>E703*E704%</f>
        <v>0.68128046518518504</v>
      </c>
    </row>
    <row r="706" spans="1:5">
      <c r="A706" t="s">
        <v>1186</v>
      </c>
      <c r="B706" t="s">
        <v>5014</v>
      </c>
    </row>
    <row r="707" spans="1:5">
      <c r="A707" t="s">
        <v>1186</v>
      </c>
      <c r="B707" t="s">
        <v>4978</v>
      </c>
      <c r="C707" t="s">
        <v>638</v>
      </c>
      <c r="D707" t="s">
        <v>1187</v>
      </c>
    </row>
    <row r="708" spans="1:5">
      <c r="A708" t="s">
        <v>1186</v>
      </c>
      <c r="B708" t="s">
        <v>4978</v>
      </c>
      <c r="D708" t="s">
        <v>1188</v>
      </c>
    </row>
    <row r="709" spans="1:5">
      <c r="A709" t="s">
        <v>1186</v>
      </c>
      <c r="B709" t="s">
        <v>4978</v>
      </c>
      <c r="D709" t="s">
        <v>1194</v>
      </c>
      <c r="E709">
        <v>95.2</v>
      </c>
    </row>
    <row r="710" spans="1:5">
      <c r="A710" t="s">
        <v>1186</v>
      </c>
      <c r="B710" t="s">
        <v>4978</v>
      </c>
      <c r="D710" t="s">
        <v>1193</v>
      </c>
      <c r="E710">
        <v>0.96257777777777775</v>
      </c>
    </row>
    <row r="711" spans="1:5">
      <c r="A711" t="s">
        <v>1186</v>
      </c>
      <c r="B711" t="s">
        <v>4978</v>
      </c>
      <c r="D711" s="48" t="s">
        <v>5126</v>
      </c>
      <c r="E711" s="51">
        <f>[1]MonoSugar!$L$6</f>
        <v>34.835555555555558</v>
      </c>
    </row>
    <row r="712" spans="1:5">
      <c r="A712" t="s">
        <v>1186</v>
      </c>
      <c r="B712" t="s">
        <v>4978</v>
      </c>
      <c r="D712" s="48" t="s">
        <v>5122</v>
      </c>
      <c r="E712" s="48">
        <f>E710*E711%</f>
        <v>0.3353193165432099</v>
      </c>
    </row>
    <row r="713" spans="1:5">
      <c r="A713" t="s">
        <v>1186</v>
      </c>
      <c r="B713" t="s">
        <v>4978</v>
      </c>
    </row>
    <row r="714" spans="1:5">
      <c r="A714" t="s">
        <v>1186</v>
      </c>
      <c r="B714" t="s">
        <v>4988</v>
      </c>
      <c r="C714" t="s">
        <v>638</v>
      </c>
      <c r="D714" t="s">
        <v>1187</v>
      </c>
    </row>
    <row r="715" spans="1:5">
      <c r="A715" t="s">
        <v>1186</v>
      </c>
      <c r="B715" t="s">
        <v>4988</v>
      </c>
      <c r="D715" t="s">
        <v>1188</v>
      </c>
    </row>
    <row r="716" spans="1:5">
      <c r="A716" t="s">
        <v>1186</v>
      </c>
      <c r="B716" t="s">
        <v>4988</v>
      </c>
      <c r="D716" t="s">
        <v>1194</v>
      </c>
      <c r="E716">
        <v>95.2</v>
      </c>
    </row>
    <row r="717" spans="1:5">
      <c r="A717" t="s">
        <v>1186</v>
      </c>
      <c r="B717" t="s">
        <v>4988</v>
      </c>
      <c r="D717" t="s">
        <v>1193</v>
      </c>
      <c r="E717">
        <v>0.96257777777777775</v>
      </c>
    </row>
    <row r="718" spans="1:5">
      <c r="A718" t="s">
        <v>1186</v>
      </c>
      <c r="B718" t="s">
        <v>4988</v>
      </c>
      <c r="D718" s="48" t="s">
        <v>5127</v>
      </c>
      <c r="E718" s="51">
        <f>[1]MonoSugar!$L$7</f>
        <v>41.8</v>
      </c>
    </row>
    <row r="719" spans="1:5">
      <c r="A719" t="s">
        <v>1186</v>
      </c>
      <c r="B719" t="s">
        <v>4988</v>
      </c>
      <c r="D719" s="48" t="s">
        <v>5128</v>
      </c>
      <c r="E719" s="48">
        <f>E717*E718%</f>
        <v>0.40235751111111107</v>
      </c>
    </row>
    <row r="720" spans="1:5">
      <c r="A720" t="s">
        <v>1201</v>
      </c>
      <c r="B720" t="s">
        <v>4990</v>
      </c>
    </row>
    <row r="721" spans="1:14">
      <c r="A721" t="s">
        <v>1201</v>
      </c>
      <c r="B721" t="s">
        <v>4990</v>
      </c>
    </row>
    <row r="722" spans="1:14" s="383" customFormat="1">
      <c r="A722" s="383" t="s">
        <v>1201</v>
      </c>
      <c r="B722" s="383" t="s">
        <v>4990</v>
      </c>
      <c r="C722" s="383" t="s">
        <v>197</v>
      </c>
      <c r="D722" s="383" t="s">
        <v>5129</v>
      </c>
    </row>
    <row r="723" spans="1:14" s="383" customFormat="1">
      <c r="A723" s="383" t="s">
        <v>1201</v>
      </c>
      <c r="B723" s="383" t="s">
        <v>4990</v>
      </c>
      <c r="D723" s="383" t="s">
        <v>5130</v>
      </c>
    </row>
    <row r="724" spans="1:14" s="383" customFormat="1">
      <c r="A724" s="383" t="s">
        <v>1201</v>
      </c>
      <c r="B724" s="383" t="s">
        <v>4990</v>
      </c>
      <c r="D724" s="383" t="s">
        <v>5131</v>
      </c>
    </row>
    <row r="725" spans="1:14" s="383" customFormat="1">
      <c r="A725" s="383" t="s">
        <v>1201</v>
      </c>
      <c r="B725" s="383" t="s">
        <v>4990</v>
      </c>
      <c r="D725" s="383" t="s">
        <v>5132</v>
      </c>
    </row>
    <row r="726" spans="1:14" s="383" customFormat="1">
      <c r="A726" s="383" t="s">
        <v>1201</v>
      </c>
      <c r="B726" s="383" t="s">
        <v>4990</v>
      </c>
      <c r="D726" s="383" t="s">
        <v>400</v>
      </c>
      <c r="E726" s="383" t="s">
        <v>5133</v>
      </c>
      <c r="M726" s="415" t="s">
        <v>5134</v>
      </c>
    </row>
    <row r="727" spans="1:14" s="383" customFormat="1">
      <c r="A727" s="383" t="s">
        <v>1201</v>
      </c>
      <c r="B727" s="383" t="s">
        <v>4990</v>
      </c>
      <c r="E727" s="383" t="s">
        <v>5135</v>
      </c>
      <c r="H727" s="383" t="s">
        <v>5136</v>
      </c>
      <c r="J727" s="383" t="s">
        <v>5137</v>
      </c>
      <c r="M727" s="415" t="s">
        <v>5138</v>
      </c>
    </row>
    <row r="728" spans="1:14" s="383" customFormat="1">
      <c r="A728" s="383" t="s">
        <v>1201</v>
      </c>
      <c r="B728" s="383" t="s">
        <v>4990</v>
      </c>
      <c r="E728" s="383" t="s">
        <v>5139</v>
      </c>
      <c r="F728" s="383" t="s">
        <v>5140</v>
      </c>
      <c r="G728" s="383" t="s">
        <v>5141</v>
      </c>
      <c r="H728" s="383" t="s">
        <v>5142</v>
      </c>
      <c r="I728" s="383" t="s">
        <v>5141</v>
      </c>
      <c r="J728" s="383" t="s">
        <v>5143</v>
      </c>
      <c r="K728" s="383" t="s">
        <v>5144</v>
      </c>
      <c r="L728" s="383" t="s">
        <v>5141</v>
      </c>
      <c r="M728" s="415" t="s">
        <v>5145</v>
      </c>
      <c r="N728" s="383" t="s">
        <v>5146</v>
      </c>
    </row>
    <row r="729" spans="1:14" s="383" customFormat="1">
      <c r="A729" s="383" t="s">
        <v>1201</v>
      </c>
      <c r="B729" s="383" t="s">
        <v>4990</v>
      </c>
      <c r="D729" s="383" t="s">
        <v>5147</v>
      </c>
      <c r="E729" s="383">
        <v>9.0999999999999998E-2</v>
      </c>
      <c r="F729" s="383">
        <v>0.995</v>
      </c>
      <c r="G729" s="383">
        <v>3.37</v>
      </c>
      <c r="H729" s="383">
        <v>2.9000000000000001E-2</v>
      </c>
      <c r="I729" s="383">
        <v>6.03</v>
      </c>
      <c r="J729" s="383">
        <v>21.2</v>
      </c>
      <c r="K729" s="383">
        <v>0.313</v>
      </c>
      <c r="L729" s="383">
        <v>7.42</v>
      </c>
      <c r="M729" s="415">
        <v>0.75</v>
      </c>
      <c r="N729" s="383">
        <v>0.74</v>
      </c>
    </row>
    <row r="730" spans="1:14" s="383" customFormat="1">
      <c r="A730" s="383" t="s">
        <v>1201</v>
      </c>
      <c r="B730" s="383" t="s">
        <v>4990</v>
      </c>
      <c r="D730" s="383" t="s">
        <v>5148</v>
      </c>
      <c r="E730" s="383">
        <v>9.8000000000000004E-2</v>
      </c>
      <c r="F730" s="383">
        <v>0.98699999999999999</v>
      </c>
      <c r="G730" s="383">
        <v>5.09</v>
      </c>
      <c r="H730" s="383">
        <v>0.03</v>
      </c>
      <c r="I730" s="383">
        <v>6.02</v>
      </c>
      <c r="J730" s="383">
        <v>23.3</v>
      </c>
      <c r="K730" s="383">
        <v>0.28399999999999997</v>
      </c>
      <c r="L730" s="383">
        <v>7.99</v>
      </c>
      <c r="M730" s="415">
        <v>0.78</v>
      </c>
      <c r="N730" s="383">
        <v>0.75</v>
      </c>
    </row>
    <row r="731" spans="1:14" s="383" customFormat="1">
      <c r="A731" s="383" t="s">
        <v>1201</v>
      </c>
      <c r="B731" s="383" t="s">
        <v>4990</v>
      </c>
      <c r="D731" s="383" t="s">
        <v>5149</v>
      </c>
      <c r="E731" s="383">
        <v>8.8999999999999996E-2</v>
      </c>
      <c r="F731" s="383">
        <v>0.99099999999999999</v>
      </c>
      <c r="G731" s="383">
        <v>3.98</v>
      </c>
      <c r="H731" s="383">
        <v>2.5999999999999999E-2</v>
      </c>
      <c r="I731" s="383">
        <v>4.05</v>
      </c>
      <c r="J731" s="383">
        <v>20.3</v>
      </c>
      <c r="K731" s="383">
        <v>0.24299999999999999</v>
      </c>
      <c r="L731" s="383">
        <v>7.12</v>
      </c>
      <c r="M731" s="415">
        <v>0.71</v>
      </c>
      <c r="N731" s="383">
        <v>0.69</v>
      </c>
    </row>
    <row r="732" spans="1:14" s="383" customFormat="1">
      <c r="A732" s="383" t="s">
        <v>1201</v>
      </c>
      <c r="B732" s="383" t="s">
        <v>4990</v>
      </c>
      <c r="D732" s="383" t="s">
        <v>4812</v>
      </c>
      <c r="E732" s="415">
        <v>0.75</v>
      </c>
    </row>
    <row r="733" spans="1:14" s="383" customFormat="1">
      <c r="A733" s="383" t="s">
        <v>1201</v>
      </c>
      <c r="B733" s="383" t="s">
        <v>4990</v>
      </c>
      <c r="E733" s="415">
        <v>0.78</v>
      </c>
    </row>
    <row r="734" spans="1:14" s="383" customFormat="1">
      <c r="A734" s="383" t="s">
        <v>1201</v>
      </c>
      <c r="B734" s="383" t="s">
        <v>4990</v>
      </c>
      <c r="E734" s="415">
        <v>0.71</v>
      </c>
    </row>
    <row r="735" spans="1:14" s="383" customFormat="1">
      <c r="A735" s="383" t="s">
        <v>1201</v>
      </c>
      <c r="B735" s="383" t="s">
        <v>4990</v>
      </c>
      <c r="D735" s="383" t="s">
        <v>510</v>
      </c>
      <c r="E735" s="383">
        <f>AVERAGE(E732:E734)</f>
        <v>0.7466666666666667</v>
      </c>
    </row>
    <row r="736" spans="1:14" s="383" customFormat="1">
      <c r="A736" s="383" t="s">
        <v>1201</v>
      </c>
      <c r="B736" s="383" t="s">
        <v>4990</v>
      </c>
      <c r="D736" s="383" t="s">
        <v>4892</v>
      </c>
      <c r="E736" s="416">
        <f>[1]MonoSugar!$J$5</f>
        <v>4.0568181818181817</v>
      </c>
    </row>
    <row r="737" spans="1:11" s="383" customFormat="1">
      <c r="A737" s="383" t="s">
        <v>1201</v>
      </c>
      <c r="B737" s="383" t="s">
        <v>4990</v>
      </c>
      <c r="D737" s="383" t="s">
        <v>5031</v>
      </c>
      <c r="E737" s="383">
        <f>E735*E736%</f>
        <v>3.0290909090909091E-2</v>
      </c>
    </row>
    <row r="738" spans="1:11" s="383" customFormat="1">
      <c r="A738" s="383" t="s">
        <v>1201</v>
      </c>
      <c r="B738" s="383" t="s">
        <v>4990</v>
      </c>
      <c r="C738" s="417" t="s">
        <v>226</v>
      </c>
      <c r="D738" s="416">
        <v>0.59</v>
      </c>
      <c r="E738" s="383" t="s">
        <v>4810</v>
      </c>
      <c r="F738" s="416">
        <f>D738*'[2]STEP1 SETUP'!$AS$19/100</f>
        <v>0.26078884999999996</v>
      </c>
      <c r="G738" s="418"/>
      <c r="K738" s="383" t="s">
        <v>6268</v>
      </c>
    </row>
    <row r="739" spans="1:11" s="383" customFormat="1">
      <c r="A739" s="383" t="s">
        <v>1201</v>
      </c>
      <c r="B739" s="383" t="s">
        <v>4990</v>
      </c>
      <c r="C739" s="417" t="s">
        <v>396</v>
      </c>
      <c r="D739" s="416">
        <v>0.9</v>
      </c>
      <c r="E739" s="383" t="s">
        <v>4810</v>
      </c>
      <c r="F739" s="416">
        <f>D739*'[2]STEP1 SETUP'!$AS$19/100</f>
        <v>0.39781349999999999</v>
      </c>
      <c r="G739" s="418"/>
      <c r="K739" s="383" t="s">
        <v>6267</v>
      </c>
    </row>
    <row r="740" spans="1:11" s="383" customFormat="1">
      <c r="A740" s="383" t="s">
        <v>1201</v>
      </c>
      <c r="B740" s="383" t="s">
        <v>4990</v>
      </c>
      <c r="C740" s="417" t="s">
        <v>420</v>
      </c>
      <c r="D740" s="416">
        <f>35/40</f>
        <v>0.875</v>
      </c>
      <c r="E740" s="383" t="s">
        <v>6266</v>
      </c>
      <c r="F740" s="416">
        <f>D740*'[2]STEP1 SETUP'!$AS$19/100</f>
        <v>0.38676312499999993</v>
      </c>
      <c r="G740" s="418"/>
      <c r="K740" s="383" t="s">
        <v>6265</v>
      </c>
    </row>
    <row r="741" spans="1:11" s="383" customFormat="1">
      <c r="A741" s="383" t="s">
        <v>1201</v>
      </c>
      <c r="B741" s="383" t="s">
        <v>4990</v>
      </c>
      <c r="C741" s="417" t="s">
        <v>425</v>
      </c>
      <c r="D741" s="416">
        <v>0.88</v>
      </c>
      <c r="E741" s="383" t="s">
        <v>4810</v>
      </c>
      <c r="F741" s="416">
        <f>D741*'[2]STEP1 SETUP'!$AS$19/100</f>
        <v>0.38897319999999991</v>
      </c>
      <c r="G741" s="418"/>
      <c r="K741" s="383" t="s">
        <v>6264</v>
      </c>
    </row>
    <row r="742" spans="1:11" s="383" customFormat="1">
      <c r="A742" s="383" t="s">
        <v>1201</v>
      </c>
      <c r="B742" s="383" t="s">
        <v>4990</v>
      </c>
      <c r="C742" s="417" t="s">
        <v>5084</v>
      </c>
      <c r="D742" s="416">
        <v>0.16</v>
      </c>
      <c r="E742" s="383" t="s">
        <v>6263</v>
      </c>
      <c r="F742" s="416">
        <f>D742</f>
        <v>0.16</v>
      </c>
      <c r="G742" s="418"/>
      <c r="K742" s="383" t="s">
        <v>6262</v>
      </c>
    </row>
    <row r="743" spans="1:11" s="383" customFormat="1">
      <c r="A743" s="383" t="s">
        <v>1201</v>
      </c>
      <c r="B743" s="383" t="s">
        <v>4990</v>
      </c>
      <c r="C743" s="417" t="s">
        <v>6269</v>
      </c>
      <c r="D743" s="416">
        <v>41.88</v>
      </c>
      <c r="E743" s="383" t="s">
        <v>6261</v>
      </c>
      <c r="F743" s="416">
        <f>D743/100*'[2]STEP1 SETUP'!$AS$19/100</f>
        <v>0.18511588199999998</v>
      </c>
      <c r="G743" s="418"/>
      <c r="K743" s="383" t="s">
        <v>6260</v>
      </c>
    </row>
    <row r="744" spans="1:11">
      <c r="A744" t="s">
        <v>1201</v>
      </c>
      <c r="B744" t="s">
        <v>5014</v>
      </c>
    </row>
    <row r="745" spans="1:11">
      <c r="A745" t="s">
        <v>1201</v>
      </c>
      <c r="B745" t="s">
        <v>5014</v>
      </c>
      <c r="C745" t="s">
        <v>638</v>
      </c>
      <c r="D745" t="s">
        <v>1202</v>
      </c>
    </row>
    <row r="746" spans="1:11">
      <c r="A746" t="s">
        <v>1201</v>
      </c>
      <c r="B746" t="s">
        <v>5014</v>
      </c>
      <c r="D746" t="s">
        <v>1203</v>
      </c>
    </row>
    <row r="747" spans="1:11">
      <c r="A747" t="s">
        <v>1201</v>
      </c>
      <c r="B747" t="s">
        <v>5014</v>
      </c>
      <c r="D747" t="s">
        <v>1205</v>
      </c>
      <c r="E747">
        <v>0.48590909090909096</v>
      </c>
    </row>
    <row r="748" spans="1:11">
      <c r="A748" t="s">
        <v>1201</v>
      </c>
      <c r="B748" t="s">
        <v>5014</v>
      </c>
      <c r="D748" s="48" t="s">
        <v>6255</v>
      </c>
      <c r="E748" s="51">
        <f>[1]MonoSugar!$J$5</f>
        <v>4.0568181818181817</v>
      </c>
    </row>
    <row r="749" spans="1:11">
      <c r="A749" t="s">
        <v>1201</v>
      </c>
      <c r="B749" t="s">
        <v>5014</v>
      </c>
      <c r="D749" s="48" t="s">
        <v>6256</v>
      </c>
      <c r="E749" s="48">
        <f>E747*E748%</f>
        <v>1.971244834710744E-2</v>
      </c>
    </row>
    <row r="750" spans="1:11">
      <c r="A750" t="s">
        <v>1201</v>
      </c>
      <c r="B750" t="s">
        <v>5014</v>
      </c>
    </row>
    <row r="751" spans="1:11">
      <c r="A751" t="s">
        <v>1201</v>
      </c>
      <c r="B751" t="s">
        <v>5014</v>
      </c>
    </row>
    <row r="752" spans="1:11">
      <c r="A752" t="s">
        <v>1201</v>
      </c>
      <c r="B752" t="s">
        <v>5014</v>
      </c>
    </row>
    <row r="753" spans="1:4" s="383" customFormat="1">
      <c r="A753" s="383" t="s">
        <v>1201</v>
      </c>
      <c r="B753" s="383" t="s">
        <v>4978</v>
      </c>
      <c r="C753" s="383" t="s">
        <v>197</v>
      </c>
      <c r="D753" s="383" t="s">
        <v>5153</v>
      </c>
    </row>
    <row r="754" spans="1:4" s="383" customFormat="1">
      <c r="A754" s="383" t="s">
        <v>1201</v>
      </c>
      <c r="B754" s="383" t="s">
        <v>4978</v>
      </c>
      <c r="D754" s="383" t="s">
        <v>5154</v>
      </c>
    </row>
    <row r="755" spans="1:4" s="383" customFormat="1">
      <c r="A755" s="383" t="s">
        <v>1201</v>
      </c>
      <c r="B755" s="383" t="s">
        <v>4978</v>
      </c>
      <c r="D755" s="383" t="s">
        <v>5155</v>
      </c>
    </row>
    <row r="756" spans="1:4" s="383" customFormat="1">
      <c r="A756" s="383" t="s">
        <v>1201</v>
      </c>
      <c r="B756" s="383" t="s">
        <v>4978</v>
      </c>
    </row>
    <row r="757" spans="1:4" s="383" customFormat="1">
      <c r="A757" s="383" t="s">
        <v>1201</v>
      </c>
      <c r="B757" s="383" t="s">
        <v>4978</v>
      </c>
    </row>
    <row r="758" spans="1:4" s="383" customFormat="1">
      <c r="A758" s="383" t="s">
        <v>1201</v>
      </c>
      <c r="B758" s="383" t="s">
        <v>4978</v>
      </c>
    </row>
    <row r="759" spans="1:4" s="383" customFormat="1">
      <c r="A759" s="383" t="s">
        <v>1201</v>
      </c>
      <c r="B759" s="383" t="s">
        <v>4978</v>
      </c>
    </row>
    <row r="760" spans="1:4" s="383" customFormat="1">
      <c r="A760" s="383" t="s">
        <v>1201</v>
      </c>
      <c r="B760" s="383" t="s">
        <v>4978</v>
      </c>
    </row>
    <row r="761" spans="1:4" s="383" customFormat="1">
      <c r="A761" s="383" t="s">
        <v>1201</v>
      </c>
      <c r="B761" s="383" t="s">
        <v>4978</v>
      </c>
    </row>
    <row r="762" spans="1:4" s="383" customFormat="1">
      <c r="A762" s="383" t="s">
        <v>1201</v>
      </c>
      <c r="B762" s="383" t="s">
        <v>4978</v>
      </c>
    </row>
    <row r="763" spans="1:4" s="383" customFormat="1">
      <c r="A763" s="383" t="s">
        <v>1201</v>
      </c>
      <c r="B763" s="383" t="s">
        <v>4978</v>
      </c>
    </row>
    <row r="764" spans="1:4" s="383" customFormat="1">
      <c r="A764" s="383" t="s">
        <v>1201</v>
      </c>
      <c r="B764" s="383" t="s">
        <v>4978</v>
      </c>
    </row>
    <row r="765" spans="1:4" s="383" customFormat="1">
      <c r="A765" s="383" t="s">
        <v>1201</v>
      </c>
      <c r="B765" s="383" t="s">
        <v>4978</v>
      </c>
    </row>
    <row r="766" spans="1:4" s="383" customFormat="1">
      <c r="A766" s="383" t="s">
        <v>1201</v>
      </c>
      <c r="B766" s="383" t="s">
        <v>4978</v>
      </c>
    </row>
    <row r="767" spans="1:4" s="383" customFormat="1">
      <c r="A767" s="383" t="s">
        <v>1201</v>
      </c>
      <c r="B767" s="383" t="s">
        <v>4978</v>
      </c>
    </row>
    <row r="768" spans="1:4" s="383" customFormat="1">
      <c r="A768" s="383" t="s">
        <v>1201</v>
      </c>
      <c r="B768" s="383" t="s">
        <v>4978</v>
      </c>
    </row>
    <row r="769" spans="1:4" s="383" customFormat="1">
      <c r="A769" s="383" t="s">
        <v>1201</v>
      </c>
      <c r="B769" s="383" t="s">
        <v>4978</v>
      </c>
    </row>
    <row r="770" spans="1:4" s="383" customFormat="1">
      <c r="A770" s="383" t="s">
        <v>1201</v>
      </c>
      <c r="B770" s="383" t="s">
        <v>4978</v>
      </c>
    </row>
    <row r="771" spans="1:4" s="383" customFormat="1">
      <c r="A771" s="383" t="s">
        <v>1201</v>
      </c>
      <c r="B771" s="383" t="s">
        <v>4978</v>
      </c>
    </row>
    <row r="772" spans="1:4" s="383" customFormat="1">
      <c r="A772" s="383" t="s">
        <v>1201</v>
      </c>
      <c r="B772" s="383" t="s">
        <v>4978</v>
      </c>
    </row>
    <row r="773" spans="1:4" s="383" customFormat="1">
      <c r="A773" s="383" t="s">
        <v>1201</v>
      </c>
      <c r="B773" s="383" t="s">
        <v>4978</v>
      </c>
    </row>
    <row r="774" spans="1:4" s="383" customFormat="1">
      <c r="A774" s="383" t="s">
        <v>1201</v>
      </c>
      <c r="B774" s="383" t="s">
        <v>4978</v>
      </c>
    </row>
    <row r="775" spans="1:4" s="383" customFormat="1">
      <c r="A775" s="383" t="s">
        <v>1201</v>
      </c>
      <c r="B775" s="383" t="s">
        <v>4978</v>
      </c>
    </row>
    <row r="776" spans="1:4" s="383" customFormat="1">
      <c r="A776" s="383" t="s">
        <v>1201</v>
      </c>
      <c r="B776" s="383" t="s">
        <v>4978</v>
      </c>
    </row>
    <row r="777" spans="1:4" s="383" customFormat="1">
      <c r="A777" s="383" t="s">
        <v>1201</v>
      </c>
      <c r="B777" s="383" t="s">
        <v>4978</v>
      </c>
    </row>
    <row r="778" spans="1:4" s="383" customFormat="1">
      <c r="A778" s="383" t="s">
        <v>1201</v>
      </c>
      <c r="B778" s="383" t="s">
        <v>4978</v>
      </c>
    </row>
    <row r="779" spans="1:4" s="383" customFormat="1">
      <c r="A779" s="383" t="s">
        <v>1201</v>
      </c>
      <c r="B779" s="383" t="s">
        <v>4978</v>
      </c>
    </row>
    <row r="780" spans="1:4" s="383" customFormat="1">
      <c r="A780" s="383" t="s">
        <v>1201</v>
      </c>
      <c r="B780" s="383" t="s">
        <v>4978</v>
      </c>
    </row>
    <row r="781" spans="1:4" s="383" customFormat="1">
      <c r="A781" s="383" t="s">
        <v>1201</v>
      </c>
      <c r="B781" s="383" t="s">
        <v>4978</v>
      </c>
    </row>
    <row r="782" spans="1:4">
      <c r="A782" t="s">
        <v>1201</v>
      </c>
      <c r="B782" t="s">
        <v>4978</v>
      </c>
      <c r="C782" t="s">
        <v>226</v>
      </c>
      <c r="D782" t="s">
        <v>5156</v>
      </c>
    </row>
    <row r="783" spans="1:4">
      <c r="A783" t="s">
        <v>1201</v>
      </c>
      <c r="B783" t="s">
        <v>4978</v>
      </c>
      <c r="D783" t="s">
        <v>5157</v>
      </c>
    </row>
    <row r="784" spans="1:4">
      <c r="A784" t="s">
        <v>1201</v>
      </c>
      <c r="B784" t="s">
        <v>4978</v>
      </c>
    </row>
    <row r="785" spans="1:5" ht="15" thickBot="1">
      <c r="A785" t="s">
        <v>1201</v>
      </c>
      <c r="B785" t="s">
        <v>4978</v>
      </c>
      <c r="D785" s="160" t="s">
        <v>5158</v>
      </c>
    </row>
    <row r="786" spans="1:5" ht="15" thickBot="1">
      <c r="A786" t="s">
        <v>1201</v>
      </c>
      <c r="B786" t="s">
        <v>4978</v>
      </c>
      <c r="D786" s="362" t="s">
        <v>5159</v>
      </c>
      <c r="E786" s="351" t="s">
        <v>5160</v>
      </c>
    </row>
    <row r="787" spans="1:5">
      <c r="A787" t="s">
        <v>1201</v>
      </c>
      <c r="B787" t="s">
        <v>4978</v>
      </c>
      <c r="D787" s="628" t="s">
        <v>5161</v>
      </c>
      <c r="E787" s="628"/>
    </row>
    <row r="788" spans="1:5">
      <c r="A788" t="s">
        <v>1201</v>
      </c>
      <c r="B788" t="s">
        <v>4978</v>
      </c>
      <c r="D788" s="175" t="s">
        <v>5162</v>
      </c>
      <c r="E788" s="229" t="s">
        <v>5163</v>
      </c>
    </row>
    <row r="789" spans="1:5">
      <c r="A789" t="s">
        <v>1201</v>
      </c>
      <c r="B789" t="s">
        <v>4978</v>
      </c>
      <c r="D789" s="175" t="s">
        <v>5164</v>
      </c>
      <c r="E789" s="175" t="s">
        <v>5165</v>
      </c>
    </row>
    <row r="790" spans="1:5">
      <c r="A790" t="s">
        <v>1201</v>
      </c>
      <c r="B790" t="s">
        <v>4978</v>
      </c>
      <c r="D790" s="175" t="s">
        <v>5166</v>
      </c>
      <c r="E790" s="175" t="s">
        <v>5167</v>
      </c>
    </row>
    <row r="791" spans="1:5">
      <c r="A791" t="s">
        <v>1201</v>
      </c>
      <c r="B791" t="s">
        <v>4978</v>
      </c>
      <c r="D791" s="615"/>
      <c r="E791" s="615"/>
    </row>
    <row r="792" spans="1:5">
      <c r="A792" t="s">
        <v>1201</v>
      </c>
      <c r="B792" t="s">
        <v>4978</v>
      </c>
      <c r="D792" s="648" t="s">
        <v>5168</v>
      </c>
      <c r="E792" s="648"/>
    </row>
    <row r="793" spans="1:5" ht="20.399999999999999">
      <c r="A793" t="s">
        <v>1201</v>
      </c>
      <c r="B793" t="s">
        <v>4978</v>
      </c>
      <c r="D793" s="175" t="s">
        <v>5169</v>
      </c>
      <c r="E793" s="175" t="s">
        <v>5170</v>
      </c>
    </row>
    <row r="794" spans="1:5">
      <c r="A794" t="s">
        <v>1201</v>
      </c>
      <c r="B794" t="s">
        <v>4978</v>
      </c>
      <c r="D794" s="175" t="s">
        <v>5171</v>
      </c>
      <c r="E794" s="175" t="s">
        <v>5172</v>
      </c>
    </row>
    <row r="795" spans="1:5">
      <c r="A795" t="s">
        <v>1201</v>
      </c>
      <c r="B795" t="s">
        <v>4978</v>
      </c>
      <c r="D795" s="615"/>
      <c r="E795" s="615"/>
    </row>
    <row r="796" spans="1:5">
      <c r="A796" t="s">
        <v>1201</v>
      </c>
      <c r="B796" t="s">
        <v>4978</v>
      </c>
      <c r="D796" s="658" t="s">
        <v>5173</v>
      </c>
      <c r="E796" s="658"/>
    </row>
    <row r="797" spans="1:5">
      <c r="A797" t="s">
        <v>1201</v>
      </c>
      <c r="B797" t="s">
        <v>4978</v>
      </c>
      <c r="D797" s="648" t="s">
        <v>5161</v>
      </c>
      <c r="E797" s="648"/>
    </row>
    <row r="798" spans="1:5">
      <c r="A798" t="s">
        <v>1201</v>
      </c>
      <c r="B798" t="s">
        <v>4978</v>
      </c>
      <c r="D798" s="175" t="s">
        <v>5174</v>
      </c>
      <c r="E798" s="175" t="s">
        <v>5175</v>
      </c>
    </row>
    <row r="799" spans="1:5">
      <c r="A799" t="s">
        <v>1201</v>
      </c>
      <c r="B799" t="s">
        <v>4978</v>
      </c>
      <c r="D799" s="175" t="s">
        <v>5176</v>
      </c>
      <c r="E799" s="175" t="s">
        <v>5177</v>
      </c>
    </row>
    <row r="800" spans="1:5">
      <c r="A800" t="s">
        <v>1201</v>
      </c>
      <c r="B800" t="s">
        <v>4978</v>
      </c>
      <c r="D800" s="175" t="s">
        <v>5164</v>
      </c>
      <c r="E800" s="175" t="s">
        <v>5178</v>
      </c>
    </row>
    <row r="801" spans="1:5">
      <c r="A801" t="s">
        <v>1201</v>
      </c>
      <c r="B801" t="s">
        <v>4978</v>
      </c>
      <c r="D801" s="175" t="s">
        <v>5166</v>
      </c>
      <c r="E801" s="175" t="s">
        <v>5179</v>
      </c>
    </row>
    <row r="802" spans="1:5">
      <c r="A802" t="s">
        <v>1201</v>
      </c>
      <c r="B802" t="s">
        <v>4978</v>
      </c>
      <c r="D802" s="615"/>
      <c r="E802" s="615"/>
    </row>
    <row r="803" spans="1:5">
      <c r="A803" t="s">
        <v>1201</v>
      </c>
      <c r="B803" t="s">
        <v>4978</v>
      </c>
      <c r="D803" s="648" t="s">
        <v>5168</v>
      </c>
      <c r="E803" s="648"/>
    </row>
    <row r="804" spans="1:5" ht="20.399999999999999">
      <c r="A804" t="s">
        <v>1201</v>
      </c>
      <c r="B804" t="s">
        <v>4978</v>
      </c>
      <c r="D804" s="175" t="s">
        <v>5180</v>
      </c>
      <c r="E804" s="175" t="s">
        <v>5181</v>
      </c>
    </row>
    <row r="805" spans="1:5">
      <c r="A805" t="s">
        <v>1201</v>
      </c>
      <c r="B805" t="s">
        <v>4978</v>
      </c>
      <c r="D805" s="175" t="s">
        <v>5182</v>
      </c>
      <c r="E805" s="175" t="s">
        <v>5183</v>
      </c>
    </row>
    <row r="806" spans="1:5">
      <c r="A806" t="s">
        <v>1201</v>
      </c>
      <c r="B806" t="s">
        <v>4978</v>
      </c>
      <c r="D806" s="615"/>
      <c r="E806" s="615"/>
    </row>
    <row r="807" spans="1:5">
      <c r="A807" t="s">
        <v>1201</v>
      </c>
      <c r="B807" t="s">
        <v>4978</v>
      </c>
      <c r="D807" s="658" t="s">
        <v>2049</v>
      </c>
      <c r="E807" s="658"/>
    </row>
    <row r="808" spans="1:5">
      <c r="A808" t="s">
        <v>1201</v>
      </c>
      <c r="B808" t="s">
        <v>4978</v>
      </c>
      <c r="D808" s="648" t="s">
        <v>5161</v>
      </c>
      <c r="E808" s="648"/>
    </row>
    <row r="809" spans="1:5" ht="28.8">
      <c r="A809" t="s">
        <v>1201</v>
      </c>
      <c r="B809" t="s">
        <v>4978</v>
      </c>
      <c r="D809" s="176" t="s">
        <v>5184</v>
      </c>
      <c r="E809" s="175" t="s">
        <v>5178</v>
      </c>
    </row>
    <row r="810" spans="1:5">
      <c r="A810" t="s">
        <v>1201</v>
      </c>
      <c r="B810" t="s">
        <v>4978</v>
      </c>
      <c r="D810" s="175" t="s">
        <v>5185</v>
      </c>
      <c r="E810" s="175" t="s">
        <v>5186</v>
      </c>
    </row>
    <row r="811" spans="1:5">
      <c r="A811" t="s">
        <v>1201</v>
      </c>
      <c r="B811" t="s">
        <v>4978</v>
      </c>
      <c r="D811" s="175" t="s">
        <v>5187</v>
      </c>
      <c r="E811" s="175" t="s">
        <v>5188</v>
      </c>
    </row>
    <row r="812" spans="1:5">
      <c r="A812" t="s">
        <v>1201</v>
      </c>
      <c r="B812" t="s">
        <v>4978</v>
      </c>
      <c r="D812" s="175" t="s">
        <v>5189</v>
      </c>
      <c r="E812" s="175" t="s">
        <v>5190</v>
      </c>
    </row>
    <row r="813" spans="1:5">
      <c r="A813" t="s">
        <v>1201</v>
      </c>
      <c r="B813" t="s">
        <v>4978</v>
      </c>
      <c r="D813" s="175" t="s">
        <v>5166</v>
      </c>
      <c r="E813" s="175" t="s">
        <v>5191</v>
      </c>
    </row>
    <row r="814" spans="1:5">
      <c r="A814" t="s">
        <v>1201</v>
      </c>
      <c r="B814" t="s">
        <v>4978</v>
      </c>
      <c r="D814" s="615"/>
      <c r="E814" s="615"/>
    </row>
    <row r="815" spans="1:5">
      <c r="A815" t="s">
        <v>1201</v>
      </c>
      <c r="B815" t="s">
        <v>4978</v>
      </c>
      <c r="D815" s="648" t="s">
        <v>5168</v>
      </c>
      <c r="E815" s="648"/>
    </row>
    <row r="816" spans="1:5" ht="29.4" thickBot="1">
      <c r="A816" t="s">
        <v>1201</v>
      </c>
      <c r="B816" t="s">
        <v>4978</v>
      </c>
      <c r="D816" s="178" t="s">
        <v>5192</v>
      </c>
      <c r="E816" s="201" t="s">
        <v>5193</v>
      </c>
    </row>
    <row r="817" spans="1:12">
      <c r="A817" t="s">
        <v>1201</v>
      </c>
      <c r="B817" t="s">
        <v>4978</v>
      </c>
      <c r="D817" s="159" t="s">
        <v>1177</v>
      </c>
    </row>
    <row r="818" spans="1:12">
      <c r="A818" t="s">
        <v>1201</v>
      </c>
      <c r="B818" t="s">
        <v>4978</v>
      </c>
      <c r="D818" s="161" t="s">
        <v>5194</v>
      </c>
    </row>
    <row r="819" spans="1:12">
      <c r="A819" t="s">
        <v>1201</v>
      </c>
      <c r="B819" t="s">
        <v>4978</v>
      </c>
    </row>
    <row r="820" spans="1:12">
      <c r="A820" t="s">
        <v>1201</v>
      </c>
      <c r="B820" t="s">
        <v>4978</v>
      </c>
      <c r="D820" s="48" t="s">
        <v>5195</v>
      </c>
      <c r="E820" s="48">
        <f>6.134/300</f>
        <v>2.0446666666666669E-2</v>
      </c>
    </row>
    <row r="821" spans="1:12">
      <c r="A821" t="s">
        <v>1201</v>
      </c>
      <c r="B821" t="s">
        <v>4978</v>
      </c>
    </row>
    <row r="822" spans="1:12">
      <c r="A822" t="s">
        <v>1201</v>
      </c>
      <c r="B822" t="s">
        <v>4978</v>
      </c>
    </row>
    <row r="823" spans="1:12">
      <c r="A823" t="s">
        <v>1201</v>
      </c>
      <c r="B823" t="s">
        <v>4978</v>
      </c>
      <c r="C823" t="s">
        <v>396</v>
      </c>
      <c r="D823" t="s">
        <v>5215</v>
      </c>
    </row>
    <row r="824" spans="1:12">
      <c r="A824" t="s">
        <v>1201</v>
      </c>
      <c r="B824" t="s">
        <v>4978</v>
      </c>
      <c r="D824" t="s">
        <v>5214</v>
      </c>
    </row>
    <row r="825" spans="1:12">
      <c r="A825" t="s">
        <v>1201</v>
      </c>
      <c r="B825" t="s">
        <v>4978</v>
      </c>
    </row>
    <row r="826" spans="1:12">
      <c r="A826" t="s">
        <v>1201</v>
      </c>
      <c r="B826" t="s">
        <v>4978</v>
      </c>
      <c r="D826" t="s">
        <v>5196</v>
      </c>
    </row>
    <row r="827" spans="1:12">
      <c r="A827" t="s">
        <v>1201</v>
      </c>
      <c r="B827" t="s">
        <v>4978</v>
      </c>
      <c r="D827" t="s">
        <v>5197</v>
      </c>
      <c r="E827" t="s">
        <v>5198</v>
      </c>
      <c r="F827" t="s">
        <v>5200</v>
      </c>
      <c r="G827" t="s">
        <v>5201</v>
      </c>
      <c r="H827" t="s">
        <v>5202</v>
      </c>
      <c r="I827" t="s">
        <v>5203</v>
      </c>
      <c r="J827" t="s">
        <v>5204</v>
      </c>
      <c r="K827" t="s">
        <v>5205</v>
      </c>
      <c r="L827" t="s">
        <v>5206</v>
      </c>
    </row>
    <row r="828" spans="1:12">
      <c r="A828" t="s">
        <v>1201</v>
      </c>
      <c r="B828" t="s">
        <v>4978</v>
      </c>
      <c r="E828" t="s">
        <v>5199</v>
      </c>
    </row>
    <row r="829" spans="1:12">
      <c r="A829" t="s">
        <v>1201</v>
      </c>
      <c r="B829" t="s">
        <v>4978</v>
      </c>
      <c r="D829" t="s">
        <v>5207</v>
      </c>
      <c r="E829" t="s">
        <v>5208</v>
      </c>
      <c r="F829" t="s">
        <v>3417</v>
      </c>
      <c r="G829" t="s">
        <v>3824</v>
      </c>
      <c r="H829" t="s">
        <v>5209</v>
      </c>
      <c r="I829" t="s">
        <v>3417</v>
      </c>
      <c r="J829" t="s">
        <v>5208</v>
      </c>
      <c r="K829" t="s">
        <v>4199</v>
      </c>
      <c r="L829" t="s">
        <v>5208</v>
      </c>
    </row>
    <row r="830" spans="1:12">
      <c r="A830" t="s">
        <v>1201</v>
      </c>
      <c r="B830" t="s">
        <v>4978</v>
      </c>
      <c r="D830">
        <v>3.1</v>
      </c>
      <c r="E830">
        <v>30</v>
      </c>
      <c r="F830">
        <v>49</v>
      </c>
      <c r="G830">
        <v>24</v>
      </c>
      <c r="H830">
        <v>0.61</v>
      </c>
      <c r="I830" t="s">
        <v>5210</v>
      </c>
      <c r="J830">
        <v>3</v>
      </c>
      <c r="K830">
        <v>0.55000000000000004</v>
      </c>
      <c r="L830">
        <v>4</v>
      </c>
    </row>
    <row r="831" spans="1:12">
      <c r="A831" t="s">
        <v>1201</v>
      </c>
      <c r="B831" t="s">
        <v>4978</v>
      </c>
      <c r="D831">
        <v>2.1</v>
      </c>
      <c r="E831">
        <v>30</v>
      </c>
      <c r="F831">
        <v>58</v>
      </c>
      <c r="G831">
        <v>24</v>
      </c>
      <c r="H831">
        <v>0.66</v>
      </c>
      <c r="I831" t="s">
        <v>5211</v>
      </c>
      <c r="J831">
        <v>4.5</v>
      </c>
      <c r="K831">
        <v>0.71</v>
      </c>
      <c r="L831">
        <v>2.7</v>
      </c>
    </row>
    <row r="832" spans="1:12">
      <c r="A832" t="s">
        <v>1201</v>
      </c>
      <c r="B832" t="s">
        <v>4978</v>
      </c>
      <c r="D832">
        <v>1.1000000000000001</v>
      </c>
      <c r="E832">
        <v>30</v>
      </c>
      <c r="F832">
        <v>58</v>
      </c>
      <c r="G832">
        <v>48</v>
      </c>
      <c r="H832">
        <v>0.49</v>
      </c>
      <c r="I832">
        <v>41</v>
      </c>
      <c r="J832">
        <v>1.4</v>
      </c>
      <c r="K832">
        <v>0.61</v>
      </c>
      <c r="L832">
        <v>2</v>
      </c>
    </row>
    <row r="833" spans="1:12">
      <c r="A833" t="s">
        <v>1201</v>
      </c>
      <c r="B833" t="s">
        <v>4978</v>
      </c>
      <c r="D833">
        <v>3.1</v>
      </c>
      <c r="E833">
        <v>55</v>
      </c>
      <c r="F833">
        <v>42</v>
      </c>
      <c r="G833">
        <v>72</v>
      </c>
      <c r="H833">
        <v>0.88</v>
      </c>
      <c r="I833">
        <v>35</v>
      </c>
      <c r="J833">
        <v>0.2</v>
      </c>
      <c r="K833">
        <v>0.43</v>
      </c>
      <c r="L833">
        <v>2</v>
      </c>
    </row>
    <row r="834" spans="1:12">
      <c r="A834" t="s">
        <v>1201</v>
      </c>
      <c r="B834" t="s">
        <v>4978</v>
      </c>
      <c r="D834">
        <v>2.1</v>
      </c>
      <c r="E834">
        <v>55</v>
      </c>
      <c r="F834">
        <v>50</v>
      </c>
      <c r="G834">
        <v>72</v>
      </c>
      <c r="H834">
        <v>0.88</v>
      </c>
      <c r="I834">
        <v>39</v>
      </c>
      <c r="J834">
        <v>0.5</v>
      </c>
      <c r="K834">
        <v>0.51</v>
      </c>
      <c r="L834">
        <v>6.1</v>
      </c>
    </row>
    <row r="835" spans="1:12">
      <c r="A835" t="s">
        <v>1201</v>
      </c>
      <c r="B835" t="s">
        <v>4978</v>
      </c>
      <c r="D835">
        <v>2.1</v>
      </c>
      <c r="E835">
        <v>55</v>
      </c>
      <c r="F835">
        <v>48</v>
      </c>
      <c r="G835">
        <v>72</v>
      </c>
      <c r="H835">
        <v>0.91</v>
      </c>
      <c r="I835">
        <v>40</v>
      </c>
      <c r="J835">
        <v>0.4</v>
      </c>
      <c r="K835">
        <v>0.49</v>
      </c>
      <c r="L835">
        <v>5.9</v>
      </c>
    </row>
    <row r="836" spans="1:12">
      <c r="A836" t="s">
        <v>1201</v>
      </c>
      <c r="B836" t="s">
        <v>4978</v>
      </c>
      <c r="D836">
        <v>2.1</v>
      </c>
      <c r="E836">
        <v>55</v>
      </c>
      <c r="F836">
        <v>49</v>
      </c>
      <c r="G836">
        <v>72</v>
      </c>
      <c r="H836">
        <v>0.92</v>
      </c>
      <c r="I836">
        <v>40</v>
      </c>
      <c r="J836">
        <v>0.6</v>
      </c>
      <c r="K836">
        <v>0.5</v>
      </c>
      <c r="L836">
        <v>6</v>
      </c>
    </row>
    <row r="837" spans="1:12">
      <c r="A837" t="s">
        <v>1201</v>
      </c>
      <c r="B837" t="s">
        <v>4978</v>
      </c>
      <c r="D837">
        <v>1.1000000000000001</v>
      </c>
      <c r="E837">
        <v>55</v>
      </c>
      <c r="F837">
        <v>52</v>
      </c>
      <c r="G837">
        <v>72</v>
      </c>
      <c r="H837">
        <v>0.59</v>
      </c>
      <c r="I837">
        <v>26</v>
      </c>
      <c r="J837">
        <v>5.3</v>
      </c>
      <c r="K837">
        <v>0.57999999999999996</v>
      </c>
      <c r="L837">
        <v>5.7</v>
      </c>
    </row>
    <row r="838" spans="1:12">
      <c r="A838" t="s">
        <v>1201</v>
      </c>
      <c r="B838" t="s">
        <v>4978</v>
      </c>
      <c r="D838">
        <v>3.1</v>
      </c>
      <c r="E838">
        <v>80</v>
      </c>
      <c r="F838">
        <v>34</v>
      </c>
      <c r="G838">
        <v>96</v>
      </c>
      <c r="H838">
        <v>0.93</v>
      </c>
      <c r="I838">
        <v>27</v>
      </c>
      <c r="J838">
        <v>9.6999999999999993</v>
      </c>
      <c r="K838">
        <v>0.39</v>
      </c>
      <c r="L838">
        <v>3.1</v>
      </c>
    </row>
    <row r="839" spans="1:12">
      <c r="A839" t="s">
        <v>1201</v>
      </c>
      <c r="B839" t="s">
        <v>4978</v>
      </c>
      <c r="D839">
        <v>2.1</v>
      </c>
      <c r="E839">
        <v>80</v>
      </c>
      <c r="F839">
        <v>36</v>
      </c>
      <c r="G839">
        <v>96</v>
      </c>
      <c r="H839">
        <v>0.87</v>
      </c>
      <c r="I839">
        <v>26</v>
      </c>
      <c r="J839">
        <v>19.8</v>
      </c>
      <c r="K839">
        <v>0.49</v>
      </c>
      <c r="L839">
        <v>5.9</v>
      </c>
    </row>
    <row r="840" spans="1:12">
      <c r="A840" t="s">
        <v>1201</v>
      </c>
      <c r="B840" t="s">
        <v>4978</v>
      </c>
      <c r="D840">
        <v>1.1000000000000001</v>
      </c>
      <c r="E840">
        <v>80</v>
      </c>
      <c r="F840">
        <v>39</v>
      </c>
      <c r="G840">
        <v>96</v>
      </c>
      <c r="H840">
        <v>0.6</v>
      </c>
      <c r="I840">
        <v>18</v>
      </c>
      <c r="J840">
        <v>30.3</v>
      </c>
      <c r="K840">
        <v>0.64</v>
      </c>
      <c r="L840">
        <v>2.8</v>
      </c>
    </row>
    <row r="841" spans="1:12">
      <c r="A841" t="s">
        <v>1201</v>
      </c>
      <c r="B841" t="s">
        <v>4978</v>
      </c>
      <c r="D841" t="s">
        <v>5212</v>
      </c>
      <c r="J841" t="s">
        <v>510</v>
      </c>
      <c r="K841">
        <f>AVERAGE(K830:K840)</f>
        <v>0.53636363636363638</v>
      </c>
    </row>
    <row r="842" spans="1:12">
      <c r="A842" t="s">
        <v>1201</v>
      </c>
      <c r="B842" t="s">
        <v>4978</v>
      </c>
      <c r="D842" s="359" t="s">
        <v>5213</v>
      </c>
      <c r="K842">
        <f>MIN(K830:K840)</f>
        <v>0.39</v>
      </c>
    </row>
    <row r="843" spans="1:12">
      <c r="A843" t="s">
        <v>1201</v>
      </c>
      <c r="B843" t="s">
        <v>4978</v>
      </c>
      <c r="D843" s="48" t="s">
        <v>4812</v>
      </c>
      <c r="E843" s="48">
        <f>K841</f>
        <v>0.53636363636363638</v>
      </c>
      <c r="K843">
        <f>MAX(K830:K840)</f>
        <v>0.71</v>
      </c>
    </row>
    <row r="844" spans="1:12">
      <c r="A844" t="s">
        <v>1201</v>
      </c>
      <c r="B844" t="s">
        <v>4978</v>
      </c>
      <c r="D844" s="48" t="s">
        <v>5216</v>
      </c>
      <c r="E844" s="51">
        <f>[1]MonoSugar!$J$6</f>
        <v>15.3</v>
      </c>
    </row>
    <row r="845" spans="1:12">
      <c r="A845" t="s">
        <v>1201</v>
      </c>
      <c r="B845" t="s">
        <v>4978</v>
      </c>
      <c r="D845" s="48" t="s">
        <v>5217</v>
      </c>
      <c r="E845" s="48">
        <f>E843*E844%</f>
        <v>8.2063636363636366E-2</v>
      </c>
    </row>
    <row r="846" spans="1:12">
      <c r="A846" t="s">
        <v>1201</v>
      </c>
      <c r="B846" t="s">
        <v>4978</v>
      </c>
    </row>
    <row r="847" spans="1:12">
      <c r="A847" t="s">
        <v>1201</v>
      </c>
      <c r="B847" t="s">
        <v>4978</v>
      </c>
      <c r="C847" t="s">
        <v>420</v>
      </c>
      <c r="D847" t="s">
        <v>5221</v>
      </c>
    </row>
    <row r="848" spans="1:12">
      <c r="A848" t="s">
        <v>1201</v>
      </c>
      <c r="B848" t="s">
        <v>4978</v>
      </c>
      <c r="D848" t="s">
        <v>5220</v>
      </c>
    </row>
    <row r="849" spans="1:5">
      <c r="A849" t="s">
        <v>1201</v>
      </c>
      <c r="B849" t="s">
        <v>4978</v>
      </c>
    </row>
    <row r="850" spans="1:5">
      <c r="A850" t="s">
        <v>1201</v>
      </c>
      <c r="B850" t="s">
        <v>4978</v>
      </c>
      <c r="D850" t="s">
        <v>5218</v>
      </c>
    </row>
    <row r="851" spans="1:5">
      <c r="A851" t="s">
        <v>1201</v>
      </c>
      <c r="B851" t="s">
        <v>4978</v>
      </c>
      <c r="D851" s="186" t="s">
        <v>5219</v>
      </c>
    </row>
    <row r="852" spans="1:5">
      <c r="A852" t="s">
        <v>1201</v>
      </c>
      <c r="B852" t="s">
        <v>4978</v>
      </c>
      <c r="D852" t="s">
        <v>5222</v>
      </c>
      <c r="E852">
        <v>0.72</v>
      </c>
    </row>
    <row r="853" spans="1:5">
      <c r="A853" t="s">
        <v>1201</v>
      </c>
      <c r="B853" t="s">
        <v>4978</v>
      </c>
      <c r="D853" t="s">
        <v>5222</v>
      </c>
      <c r="E853">
        <v>0.68</v>
      </c>
    </row>
    <row r="854" spans="1:5">
      <c r="A854" t="s">
        <v>1201</v>
      </c>
      <c r="B854" t="s">
        <v>4978</v>
      </c>
      <c r="D854" t="s">
        <v>510</v>
      </c>
      <c r="E854">
        <f>AVERAGE(E852:E853)</f>
        <v>0.7</v>
      </c>
    </row>
    <row r="855" spans="1:5">
      <c r="A855" t="s">
        <v>1201</v>
      </c>
      <c r="B855" t="s">
        <v>4978</v>
      </c>
      <c r="D855" s="48" t="s">
        <v>5216</v>
      </c>
      <c r="E855" s="51">
        <f>[1]MonoSugar!$J$6</f>
        <v>15.3</v>
      </c>
    </row>
    <row r="856" spans="1:5">
      <c r="A856" t="s">
        <v>1201</v>
      </c>
      <c r="B856" t="s">
        <v>4978</v>
      </c>
      <c r="D856" s="48" t="s">
        <v>5217</v>
      </c>
      <c r="E856" s="48">
        <f>E854*E855%</f>
        <v>0.10709999999999999</v>
      </c>
    </row>
    <row r="857" spans="1:5">
      <c r="A857" t="s">
        <v>1201</v>
      </c>
      <c r="B857" t="s">
        <v>4978</v>
      </c>
    </row>
    <row r="858" spans="1:5">
      <c r="A858" t="s">
        <v>1201</v>
      </c>
      <c r="B858" t="s">
        <v>4978</v>
      </c>
    </row>
    <row r="859" spans="1:5">
      <c r="A859" t="s">
        <v>1201</v>
      </c>
      <c r="B859" t="s">
        <v>4978</v>
      </c>
    </row>
    <row r="860" spans="1:5">
      <c r="A860" t="s">
        <v>1201</v>
      </c>
      <c r="B860" t="s">
        <v>4985</v>
      </c>
      <c r="C860" t="s">
        <v>638</v>
      </c>
      <c r="D860" t="s">
        <v>1202</v>
      </c>
    </row>
    <row r="861" spans="1:5">
      <c r="A861" t="s">
        <v>1201</v>
      </c>
      <c r="B861" t="s">
        <v>4985</v>
      </c>
      <c r="D861" t="s">
        <v>1203</v>
      </c>
    </row>
    <row r="862" spans="1:5">
      <c r="A862" t="s">
        <v>1201</v>
      </c>
      <c r="B862" t="s">
        <v>4985</v>
      </c>
      <c r="D862" t="s">
        <v>1205</v>
      </c>
      <c r="E862">
        <v>0.48590909090909096</v>
      </c>
    </row>
    <row r="863" spans="1:5">
      <c r="A863" t="s">
        <v>1201</v>
      </c>
      <c r="B863" t="s">
        <v>4985</v>
      </c>
      <c r="D863" s="48" t="s">
        <v>5151</v>
      </c>
      <c r="E863" s="48">
        <v>0</v>
      </c>
    </row>
    <row r="864" spans="1:5">
      <c r="A864" t="s">
        <v>1201</v>
      </c>
      <c r="B864" t="s">
        <v>4985</v>
      </c>
      <c r="D864" s="48" t="s">
        <v>5152</v>
      </c>
      <c r="E864" s="48">
        <f>E862*E863%</f>
        <v>0</v>
      </c>
    </row>
    <row r="865" spans="1:2">
      <c r="A865" t="s">
        <v>1201</v>
      </c>
      <c r="B865" t="s">
        <v>4985</v>
      </c>
    </row>
    <row r="866" spans="1:2">
      <c r="A866" t="s">
        <v>1201</v>
      </c>
      <c r="B866" t="s">
        <v>4985</v>
      </c>
    </row>
    <row r="867" spans="1:2">
      <c r="A867" t="s">
        <v>1201</v>
      </c>
      <c r="B867" t="s">
        <v>4985</v>
      </c>
    </row>
    <row r="868" spans="1:2">
      <c r="A868" t="s">
        <v>1201</v>
      </c>
      <c r="B868" t="s">
        <v>4985</v>
      </c>
    </row>
    <row r="869" spans="1:2">
      <c r="A869" t="s">
        <v>1201</v>
      </c>
      <c r="B869" t="s">
        <v>4985</v>
      </c>
    </row>
  </sheetData>
  <mergeCells count="33">
    <mergeCell ref="D4:E5"/>
    <mergeCell ref="D6:D8"/>
    <mergeCell ref="D9:D11"/>
    <mergeCell ref="D12:D14"/>
    <mergeCell ref="D15:D16"/>
    <mergeCell ref="D807:E807"/>
    <mergeCell ref="D808:E808"/>
    <mergeCell ref="D814:E814"/>
    <mergeCell ref="D815:E815"/>
    <mergeCell ref="D795:E795"/>
    <mergeCell ref="D796:E796"/>
    <mergeCell ref="D797:E797"/>
    <mergeCell ref="D802:E802"/>
    <mergeCell ref="D803:E803"/>
    <mergeCell ref="D791:E791"/>
    <mergeCell ref="D792:E792"/>
    <mergeCell ref="D72:D73"/>
    <mergeCell ref="E72:F72"/>
    <mergeCell ref="D806:E806"/>
    <mergeCell ref="D554:D555"/>
    <mergeCell ref="E554:F554"/>
    <mergeCell ref="D406:D407"/>
    <mergeCell ref="E406:G406"/>
    <mergeCell ref="D285:D286"/>
    <mergeCell ref="G72:H72"/>
    <mergeCell ref="M187:M188"/>
    <mergeCell ref="K187:L187"/>
    <mergeCell ref="I187:J187"/>
    <mergeCell ref="D187:D188"/>
    <mergeCell ref="D787:E787"/>
    <mergeCell ref="I285:J285"/>
    <mergeCell ref="K285:L285"/>
    <mergeCell ref="M285:M286"/>
  </mergeCells>
  <hyperlinks>
    <hyperlink ref="D2" r:id="rId1" xr:uid="{5DC8FC47-58A0-4E01-899F-213A96D00C62}"/>
    <hyperlink ref="D3" r:id="rId2" xr:uid="{2B32C60E-92F0-4F96-A4BC-03968E619644}"/>
    <hyperlink ref="H4" r:id="rId3" location="tbl3fna" xr:uid="{81832293-591D-46CE-BB0E-4190DED3B030}"/>
    <hyperlink ref="L4" r:id="rId4" location="tbl3fnc" xr:uid="{EA1E778A-FA4E-4A13-B92C-3219FC19D18F}"/>
    <hyperlink ref="M4" r:id="rId5" location="tbl3fnc" xr:uid="{4C9CFA74-5B1D-4994-B181-1B3ED2FC0E2B}"/>
    <hyperlink ref="N4" r:id="rId6" location="tbl3fnd" xr:uid="{3D65E609-EEF2-4EEA-A43C-61C044D42A0D}"/>
    <hyperlink ref="I5" r:id="rId7" location="tbl3fnb" xr:uid="{C2DDD900-E10F-45E3-BF8F-0930E26FA51F}"/>
    <hyperlink ref="D20" r:id="rId8" xr:uid="{80C4BC4C-395B-4355-9729-A7D95EA972D9}"/>
    <hyperlink ref="D21" r:id="rId9" xr:uid="{0E44A144-25CC-4F06-A19F-F9EAD5B88CB0}"/>
    <hyperlink ref="D87" r:id="rId10" xr:uid="{C89FB364-953A-49F0-BF96-EBD2F0F3D202}"/>
    <hyperlink ref="D88" r:id="rId11" location="fig0020" xr:uid="{79D30BEE-3F4E-432E-8C0D-287D2D02D3A3}"/>
    <hyperlink ref="D92" r:id="rId12" xr:uid="{972CEB0A-BBF5-44AC-A164-76E4E0001249}"/>
    <hyperlink ref="D93" r:id="rId13" xr:uid="{AEFC27A6-C923-48A3-96F2-146DCD3024C5}"/>
    <hyperlink ref="D283" r:id="rId14" xr:uid="{FC34FA9E-14C7-44C6-96C4-8BE5EB40AF23}"/>
    <hyperlink ref="D284" r:id="rId15" xr:uid="{FE63DC40-8D2C-46B2-A8C3-BBC9591986B8}"/>
    <hyperlink ref="I285" r:id="rId16" location="tblfn1" xr:uid="{61140E35-D554-4FCC-ADF6-6F4A229F4CCE}"/>
    <hyperlink ref="K285" r:id="rId17" location="tblfn2" xr:uid="{990DD4E4-C1B8-4085-94B6-782F1C35B009}"/>
    <hyperlink ref="M285" r:id="rId18" location="tblfn3" xr:uid="{18632CA6-EF16-44C7-95F7-119DCACA1643}"/>
    <hyperlink ref="D319" r:id="rId19" xr:uid="{4AA66CFE-A55C-4DCA-8E38-C8BFDCEBCF7C}"/>
    <hyperlink ref="D320" r:id="rId20" xr:uid="{561FA88D-88F9-4109-BDC1-D6FC845A0136}"/>
    <hyperlink ref="D375" r:id="rId21" xr:uid="{7769DDC0-F4D1-467D-BCAE-EDFC1260637E}"/>
    <hyperlink ref="D374" r:id="rId22" xr:uid="{AB25FCF6-EFD7-45E3-9C07-814D4FB2A810}"/>
    <hyperlink ref="D396" r:id="rId23" xr:uid="{D1894295-18EA-4012-9BE2-E7F122E0AC8B}"/>
    <hyperlink ref="D395" r:id="rId24" xr:uid="{79836589-E5F7-40EE-A9C7-76ABFE21779E}"/>
    <hyperlink ref="G407" r:id="rId25" location="tblfn6" xr:uid="{2D74186F-FADD-4811-A6E2-294462A6B7EA}"/>
    <hyperlink ref="D408" r:id="rId26" location="tblfn3" xr:uid="{E22F4342-131E-4F2A-9C2A-5F7AFEE444D4}"/>
    <hyperlink ref="D409" r:id="rId27" location="tblfn3" xr:uid="{342E3192-1607-464C-B8BD-108215A92192}"/>
    <hyperlink ref="D410" r:id="rId28" location="tblfn4" xr:uid="{071362D1-F7BD-4A5B-97AC-3222C0094169}"/>
    <hyperlink ref="D411" r:id="rId29" location="tblfn4" xr:uid="{F9498F44-9D1B-4233-B902-90E77C5D5D01}"/>
    <hyperlink ref="D412" r:id="rId30" location="tblfn4" xr:uid="{94B192C3-EA99-4A43-B849-C53840805069}"/>
    <hyperlink ref="D413" r:id="rId31" location="tblfn4" xr:uid="{F49DCA59-093E-4202-82A8-0270EC6F0C25}"/>
    <hyperlink ref="D414" r:id="rId32" location="tblfn5" xr:uid="{3D11E32C-5A1B-4584-8DC6-FE2E2AA80EB8}"/>
    <hyperlink ref="D405" r:id="rId33" xr:uid="{05F1869B-A22D-443E-8CFA-C4085AB2AC26}"/>
    <hyperlink ref="D404" r:id="rId34" xr:uid="{54A6F2EC-D4E1-4677-B38C-54E91EE57C4D}"/>
    <hyperlink ref="D418" r:id="rId35" xr:uid="{17B06D0A-606D-45CF-A934-4CA614A96A19}"/>
    <hyperlink ref="D419" r:id="rId36" xr:uid="{14BD25D6-8871-49BF-9B39-2728BF1501A9}"/>
    <hyperlink ref="F528" r:id="rId37" location="bib3" display="https://www.sciencedirect.com/science/article/pii/S0960852406005815 - bib3" xr:uid="{8406E138-75FE-4ED1-8046-EB8B867021B3}"/>
    <hyperlink ref="F529" r:id="rId38" location="bib4" display="https://www.sciencedirect.com/science/article/pii/S0960852406005815 - bib4" xr:uid="{4E763B2F-6BD2-46F7-9844-9F7A13A9D25F}"/>
    <hyperlink ref="F530" r:id="rId39" location="bib5" display="https://www.sciencedirect.com/science/article/pii/S0960852406005815 - bib5" xr:uid="{1F77F0BC-CC7B-4693-BA5B-5CD5798B821C}"/>
    <hyperlink ref="F531" r:id="rId40" location="bib6" display="https://www.sciencedirect.com/science/article/pii/S0960852406005815 - bib6" xr:uid="{699AF421-BAD1-4B3C-8AAB-A85124A45C44}"/>
    <hyperlink ref="D578" r:id="rId41" tooltip="Learn more about ALA from ScienceDirect's AI-generated Topic Pages" display="https://www.sciencedirect.com/topics/biochemistry-genetics-and-molecular-biology/alpha-linolenic-acid" xr:uid="{F50E53AF-6B57-4457-B572-3854F4612F51}"/>
    <hyperlink ref="D608" r:id="rId42" location="b0075" display="https://www.sciencedirect.com/science/article/pii/S0960852420311275 - b0075" xr:uid="{B3245011-EC08-4F68-B903-6B76F67952E2}"/>
    <hyperlink ref="D809" r:id="rId43" location="tbl2fna" display="https://www.sciencedirect.com/science/article/pii/S095965262302824X?casa_token=AJVwBlQT4awAAAAA:iBE6Ui5a4rPA9r4mYyLL37VyFgt7coeu9x2puuBiwdn-YedaKrYdNlUSC4CAOSj830Yn6MA - tbl2fna" xr:uid="{14DA8137-FC20-4088-9E00-FA69CD4DF1EC}"/>
    <hyperlink ref="D179" r:id="rId44" xr:uid="{5FBA2682-7E67-400B-A8AC-B51BEAAECCF4}"/>
    <hyperlink ref="D180" r:id="rId45" xr:uid="{E2D46D79-314C-4682-B236-AE87932A8A83}"/>
    <hyperlink ref="D238" r:id="rId46" xr:uid="{E81D66AF-88C2-4463-9E2A-701647878CF4}"/>
    <hyperlink ref="D239" r:id="rId47" xr:uid="{3C16018D-E44F-4AEB-AF87-06AB6A72FF9A}"/>
    <hyperlink ref="D224" r:id="rId48" xr:uid="{AAF4898A-3B7B-4993-8D51-26C834DC59F4}"/>
    <hyperlink ref="D225" r:id="rId49" xr:uid="{D23B944F-D88D-46D3-B8AE-D107AC1FD15E}"/>
    <hyperlink ref="D186" r:id="rId50" xr:uid="{2D4C8DC5-A2F1-45F2-8080-1E208BA4734E}"/>
    <hyperlink ref="D185" r:id="rId51" xr:uid="{0A0B1BDA-897E-44C0-A5CD-0D38443BD8A0}"/>
    <hyperlink ref="M187" r:id="rId52" location="tblfn3" xr:uid="{88C22FFC-3FBE-4215-A2B8-D016E94BB2E9}"/>
    <hyperlink ref="K187" r:id="rId53" location="tblfn2" xr:uid="{6E39BB46-1271-4496-B429-FA00C10A038E}"/>
    <hyperlink ref="I187" r:id="rId54" location="tblfn1" xr:uid="{5BE531E7-14B9-4B48-AB87-65B07C4E8794}"/>
    <hyperlink ref="D648" r:id="rId55" location="b0030" display="https://www.sciencedirect.com/science/article/pii/S0960852420311275 - b0030" xr:uid="{9425D970-063E-46D0-A63B-EDD2F2DABFBE}"/>
  </hyperlinks>
  <pageMargins left="0.7" right="0.7" top="0.75" bottom="0.75" header="0.3" footer="0.3"/>
  <pageSetup paperSize="9" orientation="portrait" r:id="rId56"/>
  <drawing r:id="rId5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732E0-2661-4675-912A-6FF87F80F7B9}">
  <dimension ref="A1:L171"/>
  <sheetViews>
    <sheetView workbookViewId="0">
      <selection activeCell="M8" sqref="M8"/>
    </sheetView>
  </sheetViews>
  <sheetFormatPr defaultRowHeight="14.4"/>
  <cols>
    <col min="2" max="2" width="15.44140625" bestFit="1" customWidth="1"/>
    <col min="3" max="3" width="10.5546875" bestFit="1" customWidth="1"/>
    <col min="4" max="4" width="36.109375" customWidth="1"/>
    <col min="11" max="11" width="11.5546875" customWidth="1"/>
    <col min="12" max="12" width="12.5546875" bestFit="1" customWidth="1"/>
  </cols>
  <sheetData>
    <row r="1" spans="1:12">
      <c r="A1" t="s">
        <v>0</v>
      </c>
      <c r="B1" t="s">
        <v>1</v>
      </c>
    </row>
    <row r="2" spans="1:12">
      <c r="A2" t="s">
        <v>2</v>
      </c>
      <c r="B2" t="s">
        <v>3688</v>
      </c>
      <c r="C2" t="s">
        <v>4</v>
      </c>
      <c r="D2" s="7" t="s">
        <v>3689</v>
      </c>
    </row>
    <row r="3" spans="1:12">
      <c r="A3" t="s">
        <v>2</v>
      </c>
      <c r="B3" t="s">
        <v>3688</v>
      </c>
      <c r="D3" s="7" t="s">
        <v>3690</v>
      </c>
    </row>
    <row r="4" spans="1:12" ht="46.5" customHeight="1">
      <c r="A4" t="s">
        <v>2</v>
      </c>
      <c r="B4" t="s">
        <v>3688</v>
      </c>
      <c r="D4" s="634" t="s">
        <v>3601</v>
      </c>
      <c r="E4" s="295" t="s">
        <v>3691</v>
      </c>
      <c r="F4" s="295" t="s">
        <v>3692</v>
      </c>
      <c r="G4" s="295" t="s">
        <v>3693</v>
      </c>
      <c r="H4" s="295" t="s">
        <v>3694</v>
      </c>
      <c r="I4" s="662" t="s">
        <v>3695</v>
      </c>
      <c r="J4" s="663"/>
      <c r="K4" s="634" t="s">
        <v>2900</v>
      </c>
      <c r="L4" s="48" t="s">
        <v>3696</v>
      </c>
    </row>
    <row r="5" spans="1:12" ht="37.5" customHeight="1">
      <c r="A5" t="s">
        <v>2</v>
      </c>
      <c r="B5" t="s">
        <v>3688</v>
      </c>
      <c r="D5" s="635"/>
      <c r="E5" s="291" t="s">
        <v>3697</v>
      </c>
      <c r="F5" s="291" t="s">
        <v>3697</v>
      </c>
      <c r="G5" s="291" t="s">
        <v>3698</v>
      </c>
      <c r="H5" s="291" t="s">
        <v>3698</v>
      </c>
      <c r="I5" s="291" t="s">
        <v>3699</v>
      </c>
      <c r="J5" s="291" t="s">
        <v>3700</v>
      </c>
      <c r="K5" s="635"/>
      <c r="L5" s="48" t="s">
        <v>3701</v>
      </c>
    </row>
    <row r="6" spans="1:12">
      <c r="A6" t="s">
        <v>2</v>
      </c>
      <c r="B6" t="s">
        <v>3688</v>
      </c>
      <c r="D6" s="292" t="s">
        <v>3702</v>
      </c>
      <c r="E6" s="292">
        <v>6.21</v>
      </c>
      <c r="F6" s="292">
        <v>10</v>
      </c>
      <c r="G6" s="304">
        <v>71811</v>
      </c>
      <c r="H6" s="292">
        <v>2549</v>
      </c>
      <c r="I6" s="292">
        <v>127</v>
      </c>
      <c r="J6" s="292">
        <v>1273</v>
      </c>
      <c r="K6" s="296" t="s">
        <v>790</v>
      </c>
    </row>
    <row r="7" spans="1:12">
      <c r="A7" t="s">
        <v>2</v>
      </c>
      <c r="B7" t="s">
        <v>3688</v>
      </c>
      <c r="D7" s="296" t="s">
        <v>3703</v>
      </c>
      <c r="E7" s="292">
        <v>4.97</v>
      </c>
      <c r="F7" s="292">
        <v>8</v>
      </c>
      <c r="G7" s="304">
        <v>57449</v>
      </c>
      <c r="H7" s="292">
        <v>2039</v>
      </c>
      <c r="I7" s="292">
        <v>50</v>
      </c>
      <c r="J7" s="292">
        <v>497</v>
      </c>
      <c r="K7" s="296" t="s">
        <v>790</v>
      </c>
    </row>
    <row r="8" spans="1:12">
      <c r="A8" t="s">
        <v>2</v>
      </c>
      <c r="B8" t="s">
        <v>3688</v>
      </c>
      <c r="D8" s="296" t="s">
        <v>3704</v>
      </c>
      <c r="E8" s="292">
        <v>0.57999999999999996</v>
      </c>
      <c r="F8" s="292">
        <v>0.63</v>
      </c>
      <c r="G8" s="292">
        <v>431</v>
      </c>
      <c r="H8" s="292">
        <v>254</v>
      </c>
      <c r="I8" s="292">
        <v>45</v>
      </c>
      <c r="J8" s="292">
        <v>28</v>
      </c>
      <c r="K8" s="307" t="s">
        <v>3705</v>
      </c>
    </row>
    <row r="9" spans="1:12">
      <c r="A9" t="s">
        <v>2</v>
      </c>
      <c r="B9" t="s">
        <v>3688</v>
      </c>
      <c r="D9" s="296" t="s">
        <v>3706</v>
      </c>
      <c r="E9" s="292">
        <v>0.49</v>
      </c>
      <c r="F9" s="292">
        <v>0.48</v>
      </c>
      <c r="G9" s="292">
        <v>81</v>
      </c>
      <c r="H9" s="292">
        <v>62</v>
      </c>
      <c r="I9" s="292">
        <v>52</v>
      </c>
      <c r="J9" s="292">
        <v>25</v>
      </c>
      <c r="K9" s="307" t="s">
        <v>3707</v>
      </c>
    </row>
    <row r="10" spans="1:12">
      <c r="A10" t="s">
        <v>2</v>
      </c>
      <c r="B10" t="s">
        <v>3688</v>
      </c>
      <c r="D10" s="296" t="s">
        <v>3708</v>
      </c>
      <c r="E10" s="292">
        <v>0.7</v>
      </c>
      <c r="F10" s="292">
        <v>1.28</v>
      </c>
      <c r="G10" s="292">
        <v>936</v>
      </c>
      <c r="H10" s="292">
        <v>154</v>
      </c>
      <c r="I10" s="292">
        <v>46</v>
      </c>
      <c r="J10" s="292">
        <v>59</v>
      </c>
      <c r="K10" s="307" t="s">
        <v>3707</v>
      </c>
    </row>
    <row r="11" spans="1:12">
      <c r="A11" t="s">
        <v>2</v>
      </c>
      <c r="B11" t="s">
        <v>3688</v>
      </c>
      <c r="D11" s="301" t="s">
        <v>3709</v>
      </c>
      <c r="E11" s="290">
        <v>1.98</v>
      </c>
      <c r="F11" s="290">
        <v>2.04</v>
      </c>
      <c r="G11" s="290">
        <v>5728</v>
      </c>
      <c r="H11" s="290">
        <v>5513</v>
      </c>
      <c r="I11" s="290">
        <v>26</v>
      </c>
      <c r="J11" s="290">
        <v>53</v>
      </c>
      <c r="K11" s="308" t="s">
        <v>3707</v>
      </c>
      <c r="L11" s="48">
        <f>789*I11/1000000</f>
        <v>2.0514000000000001E-2</v>
      </c>
    </row>
    <row r="12" spans="1:12">
      <c r="A12" t="s">
        <v>2</v>
      </c>
      <c r="B12" t="s">
        <v>3688</v>
      </c>
      <c r="D12" t="s">
        <v>5346</v>
      </c>
      <c r="E12" s="186" t="s">
        <v>5347</v>
      </c>
      <c r="G12" s="370"/>
    </row>
    <row r="13" spans="1:12">
      <c r="A13" t="s">
        <v>2</v>
      </c>
      <c r="B13" t="s">
        <v>3688</v>
      </c>
    </row>
    <row r="14" spans="1:12">
      <c r="A14" t="s">
        <v>2</v>
      </c>
      <c r="B14" t="s">
        <v>3688</v>
      </c>
    </row>
    <row r="15" spans="1:12">
      <c r="A15" t="s">
        <v>2</v>
      </c>
      <c r="B15" t="s">
        <v>3710</v>
      </c>
      <c r="C15" t="s">
        <v>4</v>
      </c>
      <c r="D15" s="7" t="s">
        <v>3711</v>
      </c>
      <c r="J15" t="s">
        <v>3161</v>
      </c>
    </row>
    <row r="16" spans="1:12">
      <c r="A16" t="s">
        <v>2</v>
      </c>
      <c r="B16" t="s">
        <v>3710</v>
      </c>
      <c r="D16" s="7" t="s">
        <v>3712</v>
      </c>
    </row>
    <row r="17" spans="1:5">
      <c r="A17" t="s">
        <v>2</v>
      </c>
      <c r="B17" t="s">
        <v>3710</v>
      </c>
      <c r="D17" s="48" t="s">
        <v>3713</v>
      </c>
      <c r="E17" s="48">
        <v>5.21</v>
      </c>
    </row>
    <row r="18" spans="1:5">
      <c r="A18" t="s">
        <v>2</v>
      </c>
      <c r="B18" t="s">
        <v>3710</v>
      </c>
      <c r="D18" s="48" t="s">
        <v>3714</v>
      </c>
      <c r="E18" s="48">
        <f>E17/100</f>
        <v>5.21E-2</v>
      </c>
    </row>
    <row r="19" spans="1:5">
      <c r="A19" t="s">
        <v>2</v>
      </c>
      <c r="B19" t="s">
        <v>3710</v>
      </c>
    </row>
    <row r="20" spans="1:5">
      <c r="A20" t="s">
        <v>2</v>
      </c>
      <c r="B20" t="s">
        <v>3710</v>
      </c>
    </row>
    <row r="21" spans="1:5">
      <c r="A21" t="s">
        <v>2</v>
      </c>
      <c r="B21" t="s">
        <v>3710</v>
      </c>
    </row>
    <row r="22" spans="1:5">
      <c r="A22" t="s">
        <v>3168</v>
      </c>
      <c r="B22" t="s">
        <v>3688</v>
      </c>
      <c r="C22" t="s">
        <v>638</v>
      </c>
      <c r="D22" t="s">
        <v>639</v>
      </c>
    </row>
    <row r="23" spans="1:5">
      <c r="A23" t="s">
        <v>3168</v>
      </c>
      <c r="B23" t="s">
        <v>3688</v>
      </c>
      <c r="D23" t="s">
        <v>640</v>
      </c>
    </row>
    <row r="24" spans="1:5">
      <c r="A24" t="s">
        <v>3168</v>
      </c>
      <c r="B24" t="s">
        <v>3688</v>
      </c>
    </row>
    <row r="25" spans="1:5">
      <c r="A25" t="s">
        <v>3168</v>
      </c>
      <c r="B25" t="s">
        <v>3688</v>
      </c>
      <c r="D25" s="48" t="s">
        <v>641</v>
      </c>
      <c r="E25" s="48">
        <v>0.72719999999999996</v>
      </c>
    </row>
    <row r="26" spans="1:5">
      <c r="A26" t="s">
        <v>3168</v>
      </c>
      <c r="B26" t="s">
        <v>3688</v>
      </c>
      <c r="D26" s="48" t="s">
        <v>642</v>
      </c>
      <c r="E26" s="48">
        <f>0.38/100</f>
        <v>3.8E-3</v>
      </c>
    </row>
    <row r="27" spans="1:5">
      <c r="A27" t="s">
        <v>3168</v>
      </c>
      <c r="B27" t="s">
        <v>3688</v>
      </c>
      <c r="D27" s="48" t="s">
        <v>643</v>
      </c>
      <c r="E27" s="48">
        <f>E25*E26</f>
        <v>2.7633599999999999E-3</v>
      </c>
    </row>
    <row r="28" spans="1:5">
      <c r="A28" t="s">
        <v>3168</v>
      </c>
      <c r="B28" t="s">
        <v>3688</v>
      </c>
    </row>
    <row r="29" spans="1:5">
      <c r="A29" t="s">
        <v>3168</v>
      </c>
      <c r="B29" t="s">
        <v>3710</v>
      </c>
      <c r="C29" t="s">
        <v>638</v>
      </c>
      <c r="D29" t="s">
        <v>639</v>
      </c>
    </row>
    <row r="30" spans="1:5">
      <c r="A30" t="s">
        <v>3168</v>
      </c>
      <c r="B30" t="s">
        <v>3710</v>
      </c>
      <c r="D30" t="s">
        <v>640</v>
      </c>
    </row>
    <row r="31" spans="1:5">
      <c r="A31" t="s">
        <v>3168</v>
      </c>
      <c r="B31" t="s">
        <v>3710</v>
      </c>
    </row>
    <row r="32" spans="1:5">
      <c r="A32" t="s">
        <v>3168</v>
      </c>
      <c r="B32" t="s">
        <v>3710</v>
      </c>
      <c r="D32" s="48" t="s">
        <v>641</v>
      </c>
      <c r="E32" s="48">
        <v>0.72719999999999996</v>
      </c>
    </row>
    <row r="33" spans="1:5">
      <c r="A33" t="s">
        <v>3168</v>
      </c>
      <c r="B33" t="s">
        <v>3710</v>
      </c>
      <c r="D33" s="48" t="s">
        <v>642</v>
      </c>
      <c r="E33" s="48">
        <f>1.51/100</f>
        <v>1.5100000000000001E-2</v>
      </c>
    </row>
    <row r="34" spans="1:5">
      <c r="A34" t="s">
        <v>3168</v>
      </c>
      <c r="B34" t="s">
        <v>3710</v>
      </c>
      <c r="D34" s="48" t="s">
        <v>643</v>
      </c>
      <c r="E34" s="48">
        <f>E32*E33</f>
        <v>1.0980719999999999E-2</v>
      </c>
    </row>
    <row r="35" spans="1:5">
      <c r="A35" t="s">
        <v>3168</v>
      </c>
      <c r="B35" t="s">
        <v>3710</v>
      </c>
    </row>
    <row r="36" spans="1:5">
      <c r="A36" t="s">
        <v>679</v>
      </c>
      <c r="B36" t="s">
        <v>3688</v>
      </c>
      <c r="C36" t="s">
        <v>638</v>
      </c>
      <c r="D36" t="s">
        <v>680</v>
      </c>
    </row>
    <row r="37" spans="1:5">
      <c r="A37" t="s">
        <v>679</v>
      </c>
      <c r="B37" t="s">
        <v>3688</v>
      </c>
      <c r="D37" s="184" t="s">
        <v>681</v>
      </c>
    </row>
    <row r="38" spans="1:5">
      <c r="A38" t="s">
        <v>679</v>
      </c>
      <c r="B38" t="s">
        <v>3688</v>
      </c>
      <c r="D38">
        <v>180</v>
      </c>
      <c r="E38">
        <v>126</v>
      </c>
    </row>
    <row r="39" spans="1:5">
      <c r="A39" t="s">
        <v>679</v>
      </c>
      <c r="B39" t="s">
        <v>3688</v>
      </c>
      <c r="D39" s="48" t="s">
        <v>809</v>
      </c>
      <c r="E39" s="48">
        <f>1/180*126</f>
        <v>0.70000000000000007</v>
      </c>
    </row>
    <row r="40" spans="1:5">
      <c r="A40" t="s">
        <v>679</v>
      </c>
      <c r="B40" t="s">
        <v>3688</v>
      </c>
      <c r="D40" s="48" t="s">
        <v>810</v>
      </c>
      <c r="E40" s="48">
        <v>1.72</v>
      </c>
    </row>
    <row r="41" spans="1:5">
      <c r="A41" t="s">
        <v>679</v>
      </c>
      <c r="B41" t="s">
        <v>3688</v>
      </c>
      <c r="D41" s="48" t="s">
        <v>811</v>
      </c>
      <c r="E41" s="48">
        <f>E39*E40%</f>
        <v>1.204E-2</v>
      </c>
    </row>
    <row r="42" spans="1:5">
      <c r="A42" t="s">
        <v>679</v>
      </c>
      <c r="B42" t="s">
        <v>3688</v>
      </c>
    </row>
    <row r="43" spans="1:5">
      <c r="A43" t="s">
        <v>679</v>
      </c>
      <c r="B43" t="s">
        <v>3710</v>
      </c>
      <c r="C43" t="s">
        <v>638</v>
      </c>
      <c r="D43" t="s">
        <v>680</v>
      </c>
    </row>
    <row r="44" spans="1:5">
      <c r="A44" t="s">
        <v>679</v>
      </c>
      <c r="B44" t="s">
        <v>3710</v>
      </c>
      <c r="D44" s="184" t="s">
        <v>681</v>
      </c>
    </row>
    <row r="45" spans="1:5">
      <c r="A45" t="s">
        <v>679</v>
      </c>
      <c r="B45" t="s">
        <v>3710</v>
      </c>
      <c r="D45">
        <v>180</v>
      </c>
      <c r="E45">
        <v>126</v>
      </c>
    </row>
    <row r="46" spans="1:5">
      <c r="A46" t="s">
        <v>679</v>
      </c>
      <c r="B46" t="s">
        <v>3710</v>
      </c>
      <c r="D46" s="48" t="s">
        <v>809</v>
      </c>
      <c r="E46" s="48">
        <f>1/180*126</f>
        <v>0.70000000000000007</v>
      </c>
    </row>
    <row r="47" spans="1:5">
      <c r="A47" t="s">
        <v>679</v>
      </c>
      <c r="B47" t="s">
        <v>3710</v>
      </c>
      <c r="D47" s="48" t="s">
        <v>810</v>
      </c>
      <c r="E47" s="48">
        <v>1.67</v>
      </c>
    </row>
    <row r="48" spans="1:5">
      <c r="A48" t="s">
        <v>679</v>
      </c>
      <c r="B48" t="s">
        <v>3710</v>
      </c>
      <c r="D48" s="48" t="s">
        <v>811</v>
      </c>
      <c r="E48" s="48">
        <f>E46*E47%</f>
        <v>1.1690000000000001E-2</v>
      </c>
    </row>
    <row r="49" spans="1:5">
      <c r="A49" t="s">
        <v>679</v>
      </c>
      <c r="B49" t="s">
        <v>3710</v>
      </c>
    </row>
    <row r="50" spans="1:5">
      <c r="A50" t="s">
        <v>823</v>
      </c>
      <c r="B50" t="s">
        <v>3688</v>
      </c>
      <c r="C50" t="s">
        <v>638</v>
      </c>
      <c r="D50" t="s">
        <v>824</v>
      </c>
    </row>
    <row r="51" spans="1:5">
      <c r="A51" t="s">
        <v>823</v>
      </c>
      <c r="B51" t="s">
        <v>3688</v>
      </c>
      <c r="D51" t="s">
        <v>825</v>
      </c>
    </row>
    <row r="52" spans="1:5">
      <c r="A52" t="s">
        <v>823</v>
      </c>
      <c r="B52" t="s">
        <v>3688</v>
      </c>
      <c r="D52" t="s">
        <v>836</v>
      </c>
      <c r="E52">
        <v>0.86699999999999999</v>
      </c>
    </row>
    <row r="53" spans="1:5">
      <c r="A53" t="s">
        <v>823</v>
      </c>
      <c r="B53" t="s">
        <v>3688</v>
      </c>
      <c r="D53" s="48" t="s">
        <v>3715</v>
      </c>
      <c r="E53" s="51">
        <v>3.17</v>
      </c>
    </row>
    <row r="54" spans="1:5">
      <c r="A54" t="s">
        <v>823</v>
      </c>
      <c r="B54" t="s">
        <v>3688</v>
      </c>
      <c r="D54" s="48" t="s">
        <v>840</v>
      </c>
      <c r="E54" s="48">
        <f>E52*E53%</f>
        <v>2.7483899999999999E-2</v>
      </c>
    </row>
    <row r="55" spans="1:5">
      <c r="A55" t="s">
        <v>823</v>
      </c>
      <c r="B55" t="s">
        <v>3688</v>
      </c>
    </row>
    <row r="56" spans="1:5">
      <c r="A56" t="s">
        <v>823</v>
      </c>
      <c r="B56" t="s">
        <v>3710</v>
      </c>
      <c r="C56" t="s">
        <v>638</v>
      </c>
      <c r="D56" t="s">
        <v>824</v>
      </c>
    </row>
    <row r="57" spans="1:5">
      <c r="A57" t="s">
        <v>823</v>
      </c>
      <c r="B57" t="s">
        <v>3710</v>
      </c>
      <c r="D57" t="s">
        <v>825</v>
      </c>
    </row>
    <row r="58" spans="1:5">
      <c r="A58" t="s">
        <v>823</v>
      </c>
      <c r="B58" t="s">
        <v>3710</v>
      </c>
      <c r="D58" t="s">
        <v>836</v>
      </c>
      <c r="E58">
        <v>0.86699999999999999</v>
      </c>
    </row>
    <row r="59" spans="1:5">
      <c r="A59" t="s">
        <v>823</v>
      </c>
      <c r="B59" t="s">
        <v>3710</v>
      </c>
      <c r="D59" s="48" t="s">
        <v>3716</v>
      </c>
      <c r="E59" s="51">
        <v>7.87</v>
      </c>
    </row>
    <row r="60" spans="1:5">
      <c r="A60" t="s">
        <v>823</v>
      </c>
      <c r="B60" t="s">
        <v>3710</v>
      </c>
      <c r="D60" s="48" t="s">
        <v>840</v>
      </c>
      <c r="E60" s="48">
        <f>E58*E59%</f>
        <v>6.8232899999999999E-2</v>
      </c>
    </row>
    <row r="61" spans="1:5">
      <c r="A61" t="s">
        <v>823</v>
      </c>
      <c r="B61" t="s">
        <v>3710</v>
      </c>
    </row>
    <row r="62" spans="1:5">
      <c r="A62" t="s">
        <v>843</v>
      </c>
      <c r="B62" t="s">
        <v>3688</v>
      </c>
      <c r="C62" t="s">
        <v>638</v>
      </c>
      <c r="D62" t="s">
        <v>3717</v>
      </c>
      <c r="E62" s="142">
        <v>1.46</v>
      </c>
    </row>
    <row r="63" spans="1:5">
      <c r="A63" t="s">
        <v>843</v>
      </c>
      <c r="B63" t="s">
        <v>3688</v>
      </c>
      <c r="D63" s="48" t="s">
        <v>3718</v>
      </c>
      <c r="E63" s="48">
        <f>E62%*17%</f>
        <v>2.4820000000000003E-3</v>
      </c>
    </row>
    <row r="64" spans="1:5">
      <c r="A64" t="s">
        <v>843</v>
      </c>
      <c r="B64" t="s">
        <v>3688</v>
      </c>
    </row>
    <row r="65" spans="1:5">
      <c r="A65" t="s">
        <v>843</v>
      </c>
      <c r="B65" t="s">
        <v>3710</v>
      </c>
      <c r="C65" t="s">
        <v>638</v>
      </c>
      <c r="D65" t="s">
        <v>3719</v>
      </c>
      <c r="E65" s="142">
        <v>6.21</v>
      </c>
    </row>
    <row r="66" spans="1:5">
      <c r="A66" t="s">
        <v>843</v>
      </c>
      <c r="B66" t="s">
        <v>3710</v>
      </c>
      <c r="D66" s="48" t="s">
        <v>3720</v>
      </c>
      <c r="E66" s="48">
        <f>E65%*17%</f>
        <v>1.0557E-2</v>
      </c>
    </row>
    <row r="67" spans="1:5">
      <c r="A67" t="s">
        <v>843</v>
      </c>
      <c r="B67" t="s">
        <v>3710</v>
      </c>
    </row>
    <row r="68" spans="1:5">
      <c r="A68" t="s">
        <v>876</v>
      </c>
      <c r="B68" t="s">
        <v>3688</v>
      </c>
      <c r="C68" t="s">
        <v>638</v>
      </c>
      <c r="D68" t="s">
        <v>883</v>
      </c>
      <c r="E68">
        <v>0.66714285714285715</v>
      </c>
    </row>
    <row r="69" spans="1:5">
      <c r="A69" t="s">
        <v>876</v>
      </c>
      <c r="B69" t="s">
        <v>3688</v>
      </c>
      <c r="D69" s="48" t="s">
        <v>5348</v>
      </c>
      <c r="E69" s="51">
        <f>[1]MonoSugar!$K$9</f>
        <v>3.2746382158426366</v>
      </c>
    </row>
    <row r="70" spans="1:5">
      <c r="A70" t="s">
        <v>876</v>
      </c>
      <c r="B70" t="s">
        <v>3688</v>
      </c>
      <c r="D70" s="48" t="s">
        <v>5349</v>
      </c>
      <c r="E70" s="48">
        <f>E68*E69%</f>
        <v>2.1846514954264446E-2</v>
      </c>
    </row>
    <row r="72" spans="1:5">
      <c r="A72" t="s">
        <v>876</v>
      </c>
      <c r="B72" t="s">
        <v>3710</v>
      </c>
      <c r="C72" t="s">
        <v>638</v>
      </c>
      <c r="D72" t="s">
        <v>883</v>
      </c>
      <c r="E72">
        <v>0.66714285714285715</v>
      </c>
    </row>
    <row r="73" spans="1:5">
      <c r="A73" t="s">
        <v>876</v>
      </c>
      <c r="B73" t="s">
        <v>3710</v>
      </c>
      <c r="D73" s="48" t="s">
        <v>5350</v>
      </c>
      <c r="E73" s="51">
        <f>[1]MonoSugar!$K$10</f>
        <v>9.383541666666666</v>
      </c>
    </row>
    <row r="74" spans="1:5">
      <c r="A74" t="s">
        <v>876</v>
      </c>
      <c r="B74" t="s">
        <v>3710</v>
      </c>
      <c r="D74" s="48" t="s">
        <v>5351</v>
      </c>
      <c r="E74" s="48">
        <f>E72*E73%</f>
        <v>6.2601627976190469E-2</v>
      </c>
    </row>
    <row r="76" spans="1:5">
      <c r="A76" t="s">
        <v>892</v>
      </c>
      <c r="B76" t="s">
        <v>3688</v>
      </c>
      <c r="C76" t="s">
        <v>638</v>
      </c>
      <c r="D76" t="s">
        <v>883</v>
      </c>
      <c r="E76">
        <v>0.23649999999999999</v>
      </c>
    </row>
    <row r="77" spans="1:5">
      <c r="A77" t="s">
        <v>892</v>
      </c>
      <c r="B77" t="s">
        <v>3688</v>
      </c>
      <c r="D77" t="s">
        <v>3717</v>
      </c>
      <c r="E77" s="142">
        <f>[1]MonoSugar!$H$9</f>
        <v>1.467187976608187</v>
      </c>
    </row>
    <row r="78" spans="1:5">
      <c r="A78" t="s">
        <v>892</v>
      </c>
      <c r="B78" t="s">
        <v>3688</v>
      </c>
      <c r="D78" s="48" t="s">
        <v>5352</v>
      </c>
      <c r="E78" s="48">
        <f>E77%*E76</f>
        <v>3.469899564678362E-3</v>
      </c>
    </row>
    <row r="79" spans="1:5">
      <c r="A79" t="s">
        <v>892</v>
      </c>
    </row>
    <row r="80" spans="1:5">
      <c r="A80" t="s">
        <v>892</v>
      </c>
      <c r="B80" t="s">
        <v>3710</v>
      </c>
      <c r="C80" t="s">
        <v>638</v>
      </c>
      <c r="D80" t="s">
        <v>883</v>
      </c>
      <c r="E80">
        <v>0.23649999999999999</v>
      </c>
    </row>
    <row r="81" spans="1:5">
      <c r="A81" t="s">
        <v>892</v>
      </c>
      <c r="B81" t="s">
        <v>3710</v>
      </c>
      <c r="D81" t="s">
        <v>5353</v>
      </c>
      <c r="E81" s="142">
        <f>[1]MonoSugar!$H$10</f>
        <v>6.2091666666666665</v>
      </c>
    </row>
    <row r="82" spans="1:5">
      <c r="A82" t="s">
        <v>892</v>
      </c>
      <c r="B82" t="s">
        <v>3710</v>
      </c>
      <c r="D82" s="48" t="s">
        <v>5354</v>
      </c>
      <c r="E82" s="48">
        <f>E81%*E80</f>
        <v>1.4684679166666666E-2</v>
      </c>
    </row>
    <row r="84" spans="1:5">
      <c r="A84" t="s">
        <v>931</v>
      </c>
      <c r="B84" t="s">
        <v>3688</v>
      </c>
      <c r="C84" t="s">
        <v>638</v>
      </c>
      <c r="D84" t="s">
        <v>940</v>
      </c>
      <c r="E84">
        <v>0.52103333333333335</v>
      </c>
    </row>
    <row r="85" spans="1:5">
      <c r="A85" t="s">
        <v>931</v>
      </c>
      <c r="B85" t="s">
        <v>3688</v>
      </c>
      <c r="D85" t="s">
        <v>5355</v>
      </c>
      <c r="E85" s="142">
        <f>[1]MonoSugar!$L$9</f>
        <v>3.1830563976608186</v>
      </c>
    </row>
    <row r="86" spans="1:5">
      <c r="A86" t="s">
        <v>931</v>
      </c>
      <c r="B86" t="s">
        <v>3688</v>
      </c>
      <c r="D86" s="48" t="s">
        <v>5356</v>
      </c>
      <c r="E86" s="48">
        <f>E84*E85%</f>
        <v>1.6584784850612086E-2</v>
      </c>
    </row>
    <row r="87" spans="1:5">
      <c r="A87" t="s">
        <v>931</v>
      </c>
      <c r="B87" t="s">
        <v>3688</v>
      </c>
    </row>
    <row r="88" spans="1:5">
      <c r="A88" t="s">
        <v>931</v>
      </c>
      <c r="B88" t="s">
        <v>3710</v>
      </c>
      <c r="C88" t="s">
        <v>638</v>
      </c>
      <c r="D88" t="s">
        <v>940</v>
      </c>
      <c r="E88">
        <v>0.52103333333333335</v>
      </c>
    </row>
    <row r="89" spans="1:5">
      <c r="A89" t="s">
        <v>931</v>
      </c>
      <c r="B89" t="s">
        <v>3710</v>
      </c>
      <c r="D89" t="s">
        <v>5357</v>
      </c>
      <c r="E89" s="142">
        <f>[1]MonoSugar!$L$10</f>
        <v>7.8741666666666665</v>
      </c>
    </row>
    <row r="90" spans="1:5">
      <c r="A90" t="s">
        <v>931</v>
      </c>
      <c r="B90" t="s">
        <v>3710</v>
      </c>
      <c r="D90" s="48" t="s">
        <v>5358</v>
      </c>
      <c r="E90" s="48">
        <f>E88*E89%</f>
        <v>4.1027033055555558E-2</v>
      </c>
    </row>
    <row r="92" spans="1:5">
      <c r="A92" t="s">
        <v>1731</v>
      </c>
      <c r="B92" t="s">
        <v>3688</v>
      </c>
      <c r="C92" t="s">
        <v>638</v>
      </c>
      <c r="D92" t="s">
        <v>984</v>
      </c>
    </row>
    <row r="93" spans="1:5">
      <c r="A93" t="s">
        <v>1731</v>
      </c>
      <c r="B93" t="s">
        <v>3688</v>
      </c>
      <c r="D93" t="s">
        <v>985</v>
      </c>
    </row>
    <row r="94" spans="1:5" ht="15.6">
      <c r="A94" t="s">
        <v>1731</v>
      </c>
      <c r="B94" t="s">
        <v>3688</v>
      </c>
      <c r="D94" s="199" t="s">
        <v>986</v>
      </c>
    </row>
    <row r="95" spans="1:5">
      <c r="A95" t="s">
        <v>1731</v>
      </c>
      <c r="B95" t="s">
        <v>3688</v>
      </c>
      <c r="D95" t="s">
        <v>987</v>
      </c>
      <c r="E95">
        <v>0.76</v>
      </c>
    </row>
    <row r="96" spans="1:5">
      <c r="A96" t="s">
        <v>1731</v>
      </c>
      <c r="B96" t="s">
        <v>3688</v>
      </c>
      <c r="D96" t="s">
        <v>5359</v>
      </c>
      <c r="E96" s="142">
        <f>[1]MonoSugar!$K$9</f>
        <v>3.2746382158426366</v>
      </c>
    </row>
    <row r="97" spans="1:8">
      <c r="A97" t="s">
        <v>1731</v>
      </c>
      <c r="B97" t="s">
        <v>3688</v>
      </c>
      <c r="D97" s="48" t="s">
        <v>2099</v>
      </c>
      <c r="E97" s="48">
        <f>E95*E96%</f>
        <v>2.4887250440404039E-2</v>
      </c>
    </row>
    <row r="100" spans="1:8">
      <c r="A100" t="s">
        <v>1731</v>
      </c>
      <c r="B100" t="s">
        <v>3710</v>
      </c>
      <c r="C100" t="s">
        <v>197</v>
      </c>
      <c r="D100" t="s">
        <v>5361</v>
      </c>
    </row>
    <row r="101" spans="1:8">
      <c r="A101" t="s">
        <v>1731</v>
      </c>
      <c r="B101" t="s">
        <v>3710</v>
      </c>
      <c r="D101" t="s">
        <v>5360</v>
      </c>
    </row>
    <row r="102" spans="1:8">
      <c r="A102" t="s">
        <v>1731</v>
      </c>
      <c r="B102" t="s">
        <v>3710</v>
      </c>
    </row>
    <row r="103" spans="1:8">
      <c r="A103" t="s">
        <v>1731</v>
      </c>
      <c r="B103" t="s">
        <v>3710</v>
      </c>
    </row>
    <row r="104" spans="1:8">
      <c r="A104" t="s">
        <v>1731</v>
      </c>
      <c r="B104" t="s">
        <v>3710</v>
      </c>
      <c r="D104" t="s">
        <v>5362</v>
      </c>
    </row>
    <row r="105" spans="1:8">
      <c r="A105" t="s">
        <v>1731</v>
      </c>
      <c r="B105" t="s">
        <v>3710</v>
      </c>
      <c r="D105" t="s">
        <v>5363</v>
      </c>
      <c r="E105" t="s">
        <v>5364</v>
      </c>
      <c r="F105" t="s">
        <v>5365</v>
      </c>
      <c r="G105" t="s">
        <v>5366</v>
      </c>
      <c r="H105" t="s">
        <v>966</v>
      </c>
    </row>
    <row r="106" spans="1:8">
      <c r="A106" t="s">
        <v>1731</v>
      </c>
      <c r="B106" t="s">
        <v>3710</v>
      </c>
      <c r="H106" t="s">
        <v>19</v>
      </c>
    </row>
    <row r="107" spans="1:8">
      <c r="A107" t="s">
        <v>1731</v>
      </c>
      <c r="B107" t="s">
        <v>3710</v>
      </c>
      <c r="D107" t="s">
        <v>5367</v>
      </c>
      <c r="E107">
        <v>100</v>
      </c>
      <c r="F107" t="s">
        <v>5368</v>
      </c>
      <c r="G107" t="s">
        <v>5369</v>
      </c>
      <c r="H107" t="s">
        <v>5370</v>
      </c>
    </row>
    <row r="108" spans="1:8">
      <c r="A108" t="s">
        <v>1731</v>
      </c>
      <c r="B108" t="s">
        <v>3710</v>
      </c>
      <c r="D108" t="s">
        <v>5371</v>
      </c>
      <c r="E108">
        <v>100</v>
      </c>
      <c r="F108" t="s">
        <v>5372</v>
      </c>
      <c r="G108" t="s">
        <v>5373</v>
      </c>
      <c r="H108" t="s">
        <v>5374</v>
      </c>
    </row>
    <row r="109" spans="1:8">
      <c r="A109" t="s">
        <v>1731</v>
      </c>
      <c r="B109" t="s">
        <v>3710</v>
      </c>
      <c r="D109" t="s">
        <v>5375</v>
      </c>
      <c r="E109">
        <v>100</v>
      </c>
      <c r="F109" t="s">
        <v>5376</v>
      </c>
      <c r="G109" t="s">
        <v>5377</v>
      </c>
      <c r="H109" t="s">
        <v>5378</v>
      </c>
    </row>
    <row r="110" spans="1:8">
      <c r="A110" t="s">
        <v>1731</v>
      </c>
      <c r="B110" t="s">
        <v>3710</v>
      </c>
      <c r="D110" s="204" t="s">
        <v>5379</v>
      </c>
      <c r="E110" s="204">
        <v>100</v>
      </c>
      <c r="F110" s="204" t="s">
        <v>5380</v>
      </c>
      <c r="G110" s="204" t="s">
        <v>5381</v>
      </c>
      <c r="H110" s="204" t="s">
        <v>5382</v>
      </c>
    </row>
    <row r="111" spans="1:8">
      <c r="A111" t="s">
        <v>1731</v>
      </c>
      <c r="B111" t="s">
        <v>3710</v>
      </c>
      <c r="D111" t="s">
        <v>5383</v>
      </c>
      <c r="E111">
        <v>100</v>
      </c>
      <c r="F111" t="s">
        <v>5384</v>
      </c>
      <c r="G111" t="s">
        <v>5385</v>
      </c>
      <c r="H111" t="s">
        <v>5386</v>
      </c>
    </row>
    <row r="112" spans="1:8">
      <c r="A112" t="s">
        <v>1731</v>
      </c>
      <c r="B112" t="s">
        <v>3710</v>
      </c>
      <c r="D112" t="s">
        <v>5387</v>
      </c>
      <c r="E112" s="371">
        <v>2.1180555555555558</v>
      </c>
      <c r="F112" t="s">
        <v>5388</v>
      </c>
      <c r="G112" t="s">
        <v>5389</v>
      </c>
      <c r="H112" t="s">
        <v>5390</v>
      </c>
    </row>
    <row r="113" spans="1:8">
      <c r="A113" t="s">
        <v>1731</v>
      </c>
      <c r="B113" t="s">
        <v>3710</v>
      </c>
      <c r="D113" t="s">
        <v>5387</v>
      </c>
      <c r="E113" t="s">
        <v>5391</v>
      </c>
      <c r="F113" t="s">
        <v>5392</v>
      </c>
      <c r="G113" t="s">
        <v>5393</v>
      </c>
      <c r="H113" t="s">
        <v>5394</v>
      </c>
    </row>
    <row r="114" spans="1:8">
      <c r="A114" t="s">
        <v>1731</v>
      </c>
      <c r="B114" t="s">
        <v>3710</v>
      </c>
      <c r="D114" t="s">
        <v>5387</v>
      </c>
      <c r="E114" s="371">
        <v>2.9375</v>
      </c>
      <c r="F114" t="s">
        <v>5395</v>
      </c>
      <c r="G114" t="s">
        <v>5396</v>
      </c>
      <c r="H114" t="s">
        <v>5397</v>
      </c>
    </row>
    <row r="115" spans="1:8">
      <c r="A115" t="s">
        <v>1731</v>
      </c>
      <c r="B115" t="s">
        <v>3710</v>
      </c>
      <c r="D115" t="s">
        <v>5398</v>
      </c>
      <c r="E115" s="371">
        <v>2.1180555555555558</v>
      </c>
      <c r="F115" t="s">
        <v>5399</v>
      </c>
      <c r="G115" t="s">
        <v>5400</v>
      </c>
      <c r="H115" t="s">
        <v>5401</v>
      </c>
    </row>
    <row r="116" spans="1:8">
      <c r="A116" t="s">
        <v>1731</v>
      </c>
      <c r="B116" t="s">
        <v>3710</v>
      </c>
      <c r="D116" t="s">
        <v>5398</v>
      </c>
      <c r="E116" t="s">
        <v>5391</v>
      </c>
      <c r="F116" t="s">
        <v>5402</v>
      </c>
      <c r="G116" t="s">
        <v>5403</v>
      </c>
      <c r="H116" t="s">
        <v>5404</v>
      </c>
    </row>
    <row r="117" spans="1:8">
      <c r="A117" t="s">
        <v>1731</v>
      </c>
      <c r="B117" t="s">
        <v>3710</v>
      </c>
      <c r="D117" t="s">
        <v>5398</v>
      </c>
      <c r="E117" s="371">
        <v>2.9375</v>
      </c>
      <c r="F117" t="s">
        <v>5405</v>
      </c>
      <c r="G117" t="s">
        <v>5406</v>
      </c>
      <c r="H117" t="s">
        <v>5407</v>
      </c>
    </row>
    <row r="118" spans="1:8">
      <c r="A118" t="s">
        <v>1731</v>
      </c>
      <c r="B118" t="s">
        <v>3710</v>
      </c>
      <c r="D118" t="s">
        <v>5408</v>
      </c>
      <c r="E118" s="371">
        <v>2.1180555555555558</v>
      </c>
      <c r="F118" t="s">
        <v>5409</v>
      </c>
      <c r="G118" t="s">
        <v>5410</v>
      </c>
      <c r="H118" t="s">
        <v>5411</v>
      </c>
    </row>
    <row r="119" spans="1:8">
      <c r="A119" t="s">
        <v>1731</v>
      </c>
      <c r="B119" t="s">
        <v>3710</v>
      </c>
      <c r="D119" t="s">
        <v>5412</v>
      </c>
      <c r="E119" s="371">
        <v>2.5141203703703705</v>
      </c>
      <c r="F119" t="s">
        <v>5413</v>
      </c>
      <c r="G119" t="s">
        <v>5414</v>
      </c>
      <c r="H119" t="s">
        <v>5415</v>
      </c>
    </row>
    <row r="120" spans="1:8">
      <c r="A120" t="s">
        <v>1731</v>
      </c>
      <c r="B120" t="s">
        <v>3710</v>
      </c>
    </row>
    <row r="121" spans="1:8">
      <c r="A121" t="s">
        <v>1731</v>
      </c>
      <c r="B121" t="s">
        <v>3710</v>
      </c>
      <c r="D121" s="359" t="s">
        <v>5416</v>
      </c>
    </row>
    <row r="122" spans="1:8">
      <c r="A122" t="s">
        <v>1731</v>
      </c>
      <c r="B122" t="s">
        <v>3710</v>
      </c>
    </row>
    <row r="123" spans="1:8">
      <c r="A123" t="s">
        <v>1731</v>
      </c>
      <c r="B123" t="s">
        <v>3710</v>
      </c>
    </row>
    <row r="124" spans="1:8">
      <c r="A124" t="s">
        <v>1731</v>
      </c>
      <c r="B124" t="s">
        <v>3710</v>
      </c>
      <c r="D124" t="s">
        <v>5417</v>
      </c>
      <c r="E124" s="174">
        <v>0.27</v>
      </c>
    </row>
    <row r="125" spans="1:8">
      <c r="A125" t="s">
        <v>1731</v>
      </c>
      <c r="B125" t="s">
        <v>3710</v>
      </c>
      <c r="D125" t="s">
        <v>5418</v>
      </c>
      <c r="E125" s="142">
        <f>[1]MonoSugar!$L$10</f>
        <v>7.8741666666666665</v>
      </c>
    </row>
    <row r="126" spans="1:8">
      <c r="A126" t="s">
        <v>1731</v>
      </c>
      <c r="B126" t="s">
        <v>3710</v>
      </c>
      <c r="D126" t="s">
        <v>5419</v>
      </c>
      <c r="E126">
        <f>E125%*E124</f>
        <v>2.1260250000000001E-2</v>
      </c>
    </row>
    <row r="127" spans="1:8">
      <c r="A127" t="s">
        <v>1731</v>
      </c>
      <c r="B127" t="s">
        <v>3710</v>
      </c>
    </row>
    <row r="128" spans="1:8">
      <c r="A128" t="s">
        <v>1731</v>
      </c>
      <c r="B128" t="s">
        <v>3710</v>
      </c>
      <c r="C128" t="s">
        <v>226</v>
      </c>
      <c r="D128" t="s">
        <v>5420</v>
      </c>
    </row>
    <row r="129" spans="1:5">
      <c r="A129" t="s">
        <v>1731</v>
      </c>
      <c r="B129" t="s">
        <v>3710</v>
      </c>
      <c r="D129" t="s">
        <v>5421</v>
      </c>
    </row>
    <row r="130" spans="1:5">
      <c r="A130" t="s">
        <v>1731</v>
      </c>
      <c r="B130" t="s">
        <v>3710</v>
      </c>
    </row>
    <row r="131" spans="1:5">
      <c r="A131" t="s">
        <v>1731</v>
      </c>
      <c r="B131" t="s">
        <v>3710</v>
      </c>
    </row>
    <row r="132" spans="1:5">
      <c r="A132" t="s">
        <v>1731</v>
      </c>
      <c r="B132" t="s">
        <v>3710</v>
      </c>
    </row>
    <row r="133" spans="1:5">
      <c r="A133" t="s">
        <v>1731</v>
      </c>
      <c r="B133" t="s">
        <v>3710</v>
      </c>
      <c r="D133" t="s">
        <v>2260</v>
      </c>
      <c r="E133">
        <v>0.19</v>
      </c>
    </row>
    <row r="134" spans="1:5">
      <c r="A134" t="s">
        <v>1731</v>
      </c>
      <c r="B134" t="s">
        <v>3710</v>
      </c>
      <c r="E134">
        <v>1.36</v>
      </c>
    </row>
    <row r="135" spans="1:5">
      <c r="A135" t="s">
        <v>1731</v>
      </c>
      <c r="B135" t="s">
        <v>3710</v>
      </c>
      <c r="E135">
        <v>1.43</v>
      </c>
    </row>
    <row r="136" spans="1:5">
      <c r="A136" t="s">
        <v>1731</v>
      </c>
      <c r="B136" t="s">
        <v>3710</v>
      </c>
      <c r="E136">
        <v>1.69</v>
      </c>
    </row>
    <row r="137" spans="1:5">
      <c r="A137" t="s">
        <v>1731</v>
      </c>
      <c r="B137" t="s">
        <v>3710</v>
      </c>
      <c r="D137" t="s">
        <v>510</v>
      </c>
      <c r="E137">
        <f>AVERAGE(E133:E136)</f>
        <v>1.1675</v>
      </c>
    </row>
    <row r="138" spans="1:5">
      <c r="A138" t="s">
        <v>1731</v>
      </c>
      <c r="B138" t="s">
        <v>3710</v>
      </c>
    </row>
    <row r="139" spans="1:5">
      <c r="A139" t="s">
        <v>1731</v>
      </c>
      <c r="B139" t="s">
        <v>3710</v>
      </c>
      <c r="D139" t="s">
        <v>5422</v>
      </c>
    </row>
    <row r="140" spans="1:5">
      <c r="A140" t="s">
        <v>1731</v>
      </c>
      <c r="B140" t="s">
        <v>3710</v>
      </c>
    </row>
    <row r="141" spans="1:5">
      <c r="A141" t="s">
        <v>1731</v>
      </c>
      <c r="B141" t="s">
        <v>3710</v>
      </c>
      <c r="D141" t="s">
        <v>5423</v>
      </c>
      <c r="E141">
        <v>65.8</v>
      </c>
    </row>
    <row r="142" spans="1:5">
      <c r="A142" t="s">
        <v>1731</v>
      </c>
      <c r="B142" t="s">
        <v>3710</v>
      </c>
    </row>
    <row r="143" spans="1:5">
      <c r="A143" t="s">
        <v>1731</v>
      </c>
      <c r="B143" t="s">
        <v>3710</v>
      </c>
    </row>
    <row r="144" spans="1:5">
      <c r="A144" t="s">
        <v>1731</v>
      </c>
      <c r="B144" t="s">
        <v>3710</v>
      </c>
      <c r="D144" t="s">
        <v>5424</v>
      </c>
      <c r="E144">
        <f>E137%*E141%</f>
        <v>7.6821499999999987E-3</v>
      </c>
    </row>
    <row r="145" spans="1:5">
      <c r="A145" t="s">
        <v>1186</v>
      </c>
      <c r="B145" t="s">
        <v>3688</v>
      </c>
      <c r="C145" t="s">
        <v>638</v>
      </c>
      <c r="D145" t="s">
        <v>1187</v>
      </c>
    </row>
    <row r="146" spans="1:5">
      <c r="A146" t="s">
        <v>1186</v>
      </c>
      <c r="B146" t="s">
        <v>3688</v>
      </c>
      <c r="D146" t="s">
        <v>1188</v>
      </c>
    </row>
    <row r="147" spans="1:5">
      <c r="A147" t="s">
        <v>1186</v>
      </c>
      <c r="B147" t="s">
        <v>3688</v>
      </c>
      <c r="D147" t="s">
        <v>1194</v>
      </c>
      <c r="E147">
        <v>95.2</v>
      </c>
    </row>
    <row r="148" spans="1:5">
      <c r="A148" t="s">
        <v>1186</v>
      </c>
      <c r="B148" t="s">
        <v>3688</v>
      </c>
      <c r="D148" t="s">
        <v>1193</v>
      </c>
      <c r="E148">
        <v>0.96257777777777775</v>
      </c>
    </row>
    <row r="149" spans="1:5">
      <c r="A149" t="s">
        <v>1186</v>
      </c>
      <c r="B149" t="s">
        <v>3688</v>
      </c>
      <c r="D149" s="48" t="s">
        <v>5425</v>
      </c>
      <c r="E149" s="51">
        <f>[1]MonoSugar!$L$9</f>
        <v>3.1830563976608186</v>
      </c>
    </row>
    <row r="150" spans="1:5">
      <c r="A150" t="s">
        <v>1186</v>
      </c>
      <c r="B150" t="s">
        <v>3688</v>
      </c>
      <c r="D150" s="48" t="s">
        <v>5426</v>
      </c>
      <c r="E150" s="48">
        <f>E148*E149%</f>
        <v>3.0639393538016896E-2</v>
      </c>
    </row>
    <row r="151" spans="1:5">
      <c r="A151" t="s">
        <v>1186</v>
      </c>
      <c r="B151" t="s">
        <v>3688</v>
      </c>
    </row>
    <row r="152" spans="1:5">
      <c r="A152" t="s">
        <v>1186</v>
      </c>
      <c r="B152" t="s">
        <v>3710</v>
      </c>
      <c r="C152" t="s">
        <v>638</v>
      </c>
      <c r="D152" t="s">
        <v>1187</v>
      </c>
    </row>
    <row r="153" spans="1:5">
      <c r="A153" t="s">
        <v>1186</v>
      </c>
      <c r="B153" t="s">
        <v>3710</v>
      </c>
      <c r="D153" t="s">
        <v>1188</v>
      </c>
    </row>
    <row r="154" spans="1:5">
      <c r="A154" t="s">
        <v>1186</v>
      </c>
      <c r="B154" t="s">
        <v>3710</v>
      </c>
      <c r="D154" t="s">
        <v>1194</v>
      </c>
      <c r="E154">
        <v>95.2</v>
      </c>
    </row>
    <row r="155" spans="1:5">
      <c r="A155" t="s">
        <v>1186</v>
      </c>
      <c r="B155" t="s">
        <v>3710</v>
      </c>
      <c r="D155" t="s">
        <v>1193</v>
      </c>
      <c r="E155">
        <v>0.96257777777777775</v>
      </c>
    </row>
    <row r="156" spans="1:5">
      <c r="A156" t="s">
        <v>1186</v>
      </c>
      <c r="B156" t="s">
        <v>3710</v>
      </c>
      <c r="D156" s="48" t="s">
        <v>5427</v>
      </c>
      <c r="E156" s="51">
        <f>[1]MonoSugar!$L$10</f>
        <v>7.8741666666666665</v>
      </c>
    </row>
    <row r="157" spans="1:5">
      <c r="A157" t="s">
        <v>1186</v>
      </c>
      <c r="B157" t="s">
        <v>3710</v>
      </c>
      <c r="D157" s="48" t="s">
        <v>5428</v>
      </c>
      <c r="E157" s="48">
        <f>E155*E156%</f>
        <v>7.5794978518518519E-2</v>
      </c>
    </row>
    <row r="158" spans="1:5">
      <c r="A158" t="s">
        <v>1186</v>
      </c>
      <c r="B158" t="s">
        <v>3710</v>
      </c>
    </row>
    <row r="159" spans="1:5">
      <c r="A159" t="s">
        <v>1201</v>
      </c>
      <c r="B159" t="s">
        <v>3688</v>
      </c>
      <c r="C159" t="s">
        <v>638</v>
      </c>
      <c r="D159" t="s">
        <v>1202</v>
      </c>
    </row>
    <row r="160" spans="1:5">
      <c r="A160" t="s">
        <v>1201</v>
      </c>
      <c r="B160" t="s">
        <v>3688</v>
      </c>
      <c r="D160" t="s">
        <v>1203</v>
      </c>
    </row>
    <row r="161" spans="1:5">
      <c r="A161" t="s">
        <v>1201</v>
      </c>
      <c r="B161" t="s">
        <v>3688</v>
      </c>
      <c r="D161" t="s">
        <v>1205</v>
      </c>
      <c r="E161">
        <v>0.48590909090909096</v>
      </c>
    </row>
    <row r="162" spans="1:5">
      <c r="A162" t="s">
        <v>1201</v>
      </c>
      <c r="B162" t="s">
        <v>3688</v>
      </c>
      <c r="D162" s="48" t="s">
        <v>5429</v>
      </c>
      <c r="E162" s="51">
        <f>[1]MonoSugar!$J$9</f>
        <v>9.1581818181818167E-2</v>
      </c>
    </row>
    <row r="163" spans="1:5">
      <c r="A163" t="s">
        <v>1201</v>
      </c>
      <c r="B163" t="s">
        <v>3688</v>
      </c>
      <c r="D163" s="48" t="s">
        <v>5430</v>
      </c>
      <c r="E163" s="48">
        <f>E161*E162%</f>
        <v>4.4500438016528926E-4</v>
      </c>
    </row>
    <row r="164" spans="1:5">
      <c r="A164" t="s">
        <v>1201</v>
      </c>
      <c r="B164" t="s">
        <v>3688</v>
      </c>
    </row>
    <row r="165" spans="1:5">
      <c r="A165" t="s">
        <v>1201</v>
      </c>
      <c r="B165" t="s">
        <v>3688</v>
      </c>
    </row>
    <row r="166" spans="1:5">
      <c r="A166" t="s">
        <v>1201</v>
      </c>
      <c r="B166" t="s">
        <v>3710</v>
      </c>
      <c r="C166" t="s">
        <v>638</v>
      </c>
      <c r="D166" t="s">
        <v>1202</v>
      </c>
    </row>
    <row r="167" spans="1:5">
      <c r="A167" t="s">
        <v>1201</v>
      </c>
      <c r="B167" t="s">
        <v>3710</v>
      </c>
      <c r="D167" t="s">
        <v>1203</v>
      </c>
    </row>
    <row r="168" spans="1:5">
      <c r="A168" t="s">
        <v>1201</v>
      </c>
      <c r="B168" t="s">
        <v>3710</v>
      </c>
      <c r="D168" t="s">
        <v>1205</v>
      </c>
      <c r="E168">
        <v>0.48590909090909096</v>
      </c>
    </row>
    <row r="169" spans="1:5">
      <c r="A169" t="s">
        <v>1201</v>
      </c>
      <c r="B169" t="s">
        <v>3710</v>
      </c>
      <c r="D169" s="48" t="s">
        <v>5431</v>
      </c>
      <c r="E169" s="51">
        <f>[1]MonoSugar!$J$10</f>
        <v>1.5093749999999999</v>
      </c>
    </row>
    <row r="170" spans="1:5">
      <c r="A170" t="s">
        <v>1201</v>
      </c>
      <c r="B170" t="s">
        <v>3710</v>
      </c>
      <c r="D170" s="48" t="s">
        <v>5432</v>
      </c>
      <c r="E170" s="48">
        <f>E168*E169%</f>
        <v>7.3341903409090917E-3</v>
      </c>
    </row>
    <row r="171" spans="1:5">
      <c r="A171" t="s">
        <v>1201</v>
      </c>
    </row>
  </sheetData>
  <mergeCells count="3">
    <mergeCell ref="D4:D5"/>
    <mergeCell ref="I4:J4"/>
    <mergeCell ref="K4:K5"/>
  </mergeCells>
  <hyperlinks>
    <hyperlink ref="D2" r:id="rId1" location="bib35" xr:uid="{BB810EA8-6957-4707-BEDA-5B26D71493A9}"/>
    <hyperlink ref="D3" r:id="rId2" location="bib35" xr:uid="{29D87982-0724-4767-84C3-8C1D950FBAEC}"/>
    <hyperlink ref="I4" r:id="rId3" location="tbl1fnd" xr:uid="{353EE47E-A99F-44FC-84AB-87F5D597CD79}"/>
    <hyperlink ref="K6" r:id="rId4" location="bib9" xr:uid="{76985613-AD74-4D36-9489-22ED5064C888}"/>
    <hyperlink ref="D7" r:id="rId5" location="tbl1fna" xr:uid="{2EB188D2-7E96-4530-A307-8DC6E5EFD098}"/>
    <hyperlink ref="K7" r:id="rId6" location="bib9" xr:uid="{B47791FA-7735-4FC4-9092-729A3678C6BE}"/>
    <hyperlink ref="D8" r:id="rId7" location="tbl1fnb" xr:uid="{E9EDFDEE-8B0C-45A4-BAD7-7D728E75091C}"/>
    <hyperlink ref="D9" r:id="rId8" location="tbl1fnb" xr:uid="{1B382FFA-9EB8-4D39-A475-8C09D418CE19}"/>
    <hyperlink ref="D10" r:id="rId9" location="tbl1fnb" xr:uid="{9767EA24-5D1E-4BC3-93C8-B2A147FA6537}"/>
    <hyperlink ref="D11" r:id="rId10" location="tbl1fnb" xr:uid="{F558453B-7418-43BC-A6A1-EB45CA9954CC}"/>
    <hyperlink ref="D15" r:id="rId11" xr:uid="{5163C63E-402C-4446-A9A0-6F12C51C0124}"/>
    <hyperlink ref="D16" r:id="rId12" xr:uid="{CB816F86-E832-4F2D-B8FC-4AA6724A315D}"/>
  </hyperlinks>
  <pageMargins left="0.7" right="0.7" top="0.75" bottom="0.75" header="0.3" footer="0.3"/>
  <drawing r:id="rId1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E60AA98D48F84584040D598A3D8990" ma:contentTypeVersion="11" ma:contentTypeDescription="Create a new document." ma:contentTypeScope="" ma:versionID="75a9f95070da5e6f89b39aa44595d5df">
  <xsd:schema xmlns:xsd="http://www.w3.org/2001/XMLSchema" xmlns:xs="http://www.w3.org/2001/XMLSchema" xmlns:p="http://schemas.microsoft.com/office/2006/metadata/properties" xmlns:ns2="cd24688d-6ca2-4fc8-9560-34f0b2b0ded6" xmlns:ns3="c10a484c-108f-4ff5-b50b-06fb15257a60" targetNamespace="http://schemas.microsoft.com/office/2006/metadata/properties" ma:root="true" ma:fieldsID="ab3696f7f2bc12818b4b3de1f3e7efb2" ns2:_="" ns3:_="">
    <xsd:import namespace="cd24688d-6ca2-4fc8-9560-34f0b2b0ded6"/>
    <xsd:import namespace="c10a484c-108f-4ff5-b50b-06fb15257a6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24688d-6ca2-4fc8-9560-34f0b2b0de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ec99919-4982-4388-8a64-83a11d2ca21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0a484c-108f-4ff5-b50b-06fb15257a6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386a6e4-68a2-4556-920e-547f05de6823}" ma:internalName="TaxCatchAll" ma:showField="CatchAllData" ma:web="c10a484c-108f-4ff5-b50b-06fb15257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10a484c-108f-4ff5-b50b-06fb15257a60" xsi:nil="true"/>
    <lcf76f155ced4ddcb4097134ff3c332f xmlns="cd24688d-6ca2-4fc8-9560-34f0b2b0ded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C06A2A3-B136-492C-A1E9-0F936EC4E2B5}"/>
</file>

<file path=customXml/itemProps2.xml><?xml version="1.0" encoding="utf-8"?>
<ds:datastoreItem xmlns:ds="http://schemas.openxmlformats.org/officeDocument/2006/customXml" ds:itemID="{D3F4DF2F-953F-4D9F-BD47-B74403E418D2}">
  <ds:schemaRefs>
    <ds:schemaRef ds:uri="http://schemas.microsoft.com/sharepoint/v3/contenttype/forms"/>
  </ds:schemaRefs>
</ds:datastoreItem>
</file>

<file path=customXml/itemProps3.xml><?xml version="1.0" encoding="utf-8"?>
<ds:datastoreItem xmlns:ds="http://schemas.openxmlformats.org/officeDocument/2006/customXml" ds:itemID="{C2D5CE27-61D0-435F-8BBA-BE9148C92DDD}">
  <ds:schemaRefs>
    <ds:schemaRef ds:uri="http://purl.org/dc/dcmitype/"/>
    <ds:schemaRef ds:uri="http://schemas.microsoft.com/office/2006/documentManagement/types"/>
    <ds:schemaRef ds:uri="cd24688d-6ca2-4fc8-9560-34f0b2b0ded6"/>
    <ds:schemaRef ds:uri="http://www.w3.org/XML/1998/namespac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terms/"/>
    <ds:schemaRef ds:uri="c10a484c-108f-4ff5-b50b-06fb15257a6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59</vt:i4>
      </vt:variant>
    </vt:vector>
  </HeadingPairs>
  <TitlesOfParts>
    <vt:vector size="72" baseType="lpstr">
      <vt:lpstr>rice</vt:lpstr>
      <vt:lpstr>apple</vt:lpstr>
      <vt:lpstr>orange</vt:lpstr>
      <vt:lpstr>banana</vt:lpstr>
      <vt:lpstr>potato</vt:lpstr>
      <vt:lpstr>sweet potato</vt:lpstr>
      <vt:lpstr>corn</vt:lpstr>
      <vt:lpstr>Wheat</vt:lpstr>
      <vt:lpstr>Tomato</vt:lpstr>
      <vt:lpstr>Sugarcane</vt:lpstr>
      <vt:lpstr>Sugar Beet</vt:lpstr>
      <vt:lpstr>rapeseed</vt:lpstr>
      <vt:lpstr>barley</vt:lpstr>
      <vt:lpstr>banana!bbib0345</vt:lpstr>
      <vt:lpstr>banana!bbib0350</vt:lpstr>
      <vt:lpstr>banana!bbib0355</vt:lpstr>
      <vt:lpstr>banana!bbib0360</vt:lpstr>
      <vt:lpstr>banana!bbib0365</vt:lpstr>
      <vt:lpstr>banana!bbib0370</vt:lpstr>
      <vt:lpstr>bbib10</vt:lpstr>
      <vt:lpstr>bbib11</vt:lpstr>
      <vt:lpstr>potato!bbib22</vt:lpstr>
      <vt:lpstr>bbib23</vt:lpstr>
      <vt:lpstr>bbib24</vt:lpstr>
      <vt:lpstr>bbib25</vt:lpstr>
      <vt:lpstr>orange!bbib26</vt:lpstr>
      <vt:lpstr>bbib26</vt:lpstr>
      <vt:lpstr>orange!bbib27</vt:lpstr>
      <vt:lpstr>orange!bbib30</vt:lpstr>
      <vt:lpstr>orange!bbib34</vt:lpstr>
      <vt:lpstr>bbib35</vt:lpstr>
      <vt:lpstr>orange!bbib36</vt:lpstr>
      <vt:lpstr>potato!bbib37</vt:lpstr>
      <vt:lpstr>potato!bbib38</vt:lpstr>
      <vt:lpstr>potato!bbib39</vt:lpstr>
      <vt:lpstr>potato!bbib40</vt:lpstr>
      <vt:lpstr>potato!bbib41</vt:lpstr>
      <vt:lpstr>orange!bbib42</vt:lpstr>
      <vt:lpstr>potato!bbib43</vt:lpstr>
      <vt:lpstr>potato!bbib44</vt:lpstr>
      <vt:lpstr>orange!bbib52</vt:lpstr>
      <vt:lpstr>orange!bbib54</vt:lpstr>
      <vt:lpstr>orange!bbib59</vt:lpstr>
      <vt:lpstr>orange!bbib6</vt:lpstr>
      <vt:lpstr>bbib64</vt:lpstr>
      <vt:lpstr>orange!bbib9</vt:lpstr>
      <vt:lpstr>bbib9</vt:lpstr>
      <vt:lpstr>btbl1fna</vt:lpstr>
      <vt:lpstr>btbl1fnb</vt:lpstr>
      <vt:lpstr>btbl1fnd</vt:lpstr>
      <vt:lpstr>Wheat!btbl2fna</vt:lpstr>
      <vt:lpstr>apple!btbl4fna</vt:lpstr>
      <vt:lpstr>apple!btbl5fna</vt:lpstr>
      <vt:lpstr>'sweet potato'!btbl6fna</vt:lpstr>
      <vt:lpstr>btblfn0005</vt:lpstr>
      <vt:lpstr>btblfn0010</vt:lpstr>
      <vt:lpstr>orange!btblfn0015</vt:lpstr>
      <vt:lpstr>btblfn0015</vt:lpstr>
      <vt:lpstr>orange!btblfn0020</vt:lpstr>
      <vt:lpstr>orange!btblfn0025</vt:lpstr>
      <vt:lpstr>orange!btblfn0030</vt:lpstr>
      <vt:lpstr>rice!btblfn1</vt:lpstr>
      <vt:lpstr>btblfn1</vt:lpstr>
      <vt:lpstr>banana!btblfn2</vt:lpstr>
      <vt:lpstr>btblfn2</vt:lpstr>
      <vt:lpstr>apple!btblfn3</vt:lpstr>
      <vt:lpstr>btblfn3</vt:lpstr>
      <vt:lpstr>btblfn4</vt:lpstr>
      <vt:lpstr>apple!btblfn4a</vt:lpstr>
      <vt:lpstr>btblfn5</vt:lpstr>
      <vt:lpstr>apple!btblfn6</vt:lpstr>
      <vt:lpstr>btblfn6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Wei, Yujun</dc:creator>
  <cp:keywords/>
  <dc:description/>
  <cp:lastModifiedBy>Wei, Yujun</cp:lastModifiedBy>
  <cp:revision/>
  <dcterms:created xsi:type="dcterms:W3CDTF">2015-06-05T18:17:20Z</dcterms:created>
  <dcterms:modified xsi:type="dcterms:W3CDTF">2024-11-14T14:38:30Z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0x010100BDE60AA98D48F84584040D598A3D8990</vt:lpwstr>
  </property>
  <property fmtid="{D5CDD505-2E9C-101B-9397-08002B2CF9AE}" pid="3" name="MediaServiceImageTags">
    <vt:lpwstr/>
  </property>
</Properties>
</file>