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u0817010\Box\rWGS Clinical\4. Projects and Manuscripts\Provider Surveys\"/>
    </mc:Choice>
  </mc:AlternateContent>
  <xr:revisionPtr revIDLastSave="0" documentId="8_{32192617-8480-493E-A254-AC04F297A5E3}" xr6:coauthVersionLast="47" xr6:coauthVersionMax="47" xr10:uidLastSave="{00000000-0000-0000-0000-000000000000}"/>
  <bookViews>
    <workbookView xWindow="30" yWindow="740" windowWidth="19170" windowHeight="10060" xr2:uid="{80932673-3014-4467-B7C1-FCFEF8875144}"/>
  </bookViews>
  <sheets>
    <sheet name="Overall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46" i="1"/>
  <c r="D47" i="1"/>
  <c r="D45" i="1"/>
  <c r="D44" i="1"/>
  <c r="D43" i="1"/>
  <c r="F29" i="1" l="1"/>
  <c r="AP71" i="1" l="1"/>
  <c r="AP70" i="1"/>
  <c r="AP66" i="1"/>
  <c r="AN71" i="1"/>
  <c r="AN67" i="1"/>
  <c r="AN66" i="1"/>
  <c r="AL71" i="1"/>
  <c r="AL70" i="1"/>
  <c r="AL69" i="1"/>
  <c r="AL66" i="1"/>
  <c r="AJ71" i="1"/>
  <c r="AJ66" i="1"/>
  <c r="AH71" i="1"/>
  <c r="AH70" i="1"/>
  <c r="AH69" i="1"/>
  <c r="AH68" i="1"/>
  <c r="AH67" i="1"/>
  <c r="AH66" i="1"/>
  <c r="AD70" i="1"/>
  <c r="AD68" i="1"/>
  <c r="AD67" i="1"/>
  <c r="AD27" i="1"/>
  <c r="AB71" i="1"/>
  <c r="AB70" i="1"/>
  <c r="AB68" i="1"/>
  <c r="AB67" i="1"/>
  <c r="AB66" i="1"/>
  <c r="AB62" i="1"/>
  <c r="AB61" i="1"/>
  <c r="AB59" i="1"/>
  <c r="AB58" i="1"/>
  <c r="AB57" i="1"/>
  <c r="AB53" i="1"/>
  <c r="AB42" i="1"/>
  <c r="AB31" i="1"/>
  <c r="AB30" i="1"/>
  <c r="AB28" i="1"/>
  <c r="AB27" i="1"/>
  <c r="Z71" i="1"/>
  <c r="Z70" i="1"/>
  <c r="Z69" i="1"/>
  <c r="Z68" i="1"/>
  <c r="Z67" i="1"/>
  <c r="Z66" i="1"/>
  <c r="X71" i="1"/>
  <c r="X70" i="1"/>
  <c r="X69" i="1"/>
  <c r="X68" i="1"/>
  <c r="X67" i="1"/>
  <c r="X66" i="1"/>
  <c r="X65" i="1"/>
  <c r="X56" i="1"/>
  <c r="X62" i="1"/>
  <c r="X61" i="1"/>
  <c r="X60" i="1"/>
  <c r="X59" i="1"/>
  <c r="X58" i="1"/>
  <c r="X57" i="1"/>
  <c r="R62" i="1"/>
  <c r="R61" i="1"/>
  <c r="R60" i="1"/>
  <c r="R59" i="1"/>
  <c r="R58" i="1"/>
  <c r="R57" i="1"/>
  <c r="R53" i="1"/>
  <c r="R52" i="1"/>
  <c r="R51" i="1"/>
  <c r="R50" i="1"/>
  <c r="R49" i="1"/>
  <c r="R42" i="1"/>
  <c r="R33" i="1"/>
  <c r="R32" i="1"/>
  <c r="R31" i="1"/>
  <c r="R30" i="1"/>
  <c r="R29" i="1"/>
  <c r="R28" i="1"/>
  <c r="R27" i="1"/>
  <c r="P71" i="1"/>
  <c r="P70" i="1"/>
  <c r="P69" i="1"/>
  <c r="P68" i="1"/>
  <c r="P67" i="1"/>
  <c r="P66" i="1"/>
  <c r="N71" i="1"/>
  <c r="N70" i="1"/>
  <c r="N69" i="1"/>
  <c r="N68" i="1"/>
  <c r="N67" i="1"/>
  <c r="N66" i="1"/>
  <c r="N58" i="1"/>
  <c r="N62" i="1"/>
  <c r="N61" i="1"/>
  <c r="N60" i="1"/>
  <c r="N59" i="1"/>
  <c r="N57" i="1"/>
  <c r="N56" i="1"/>
  <c r="N53" i="1"/>
  <c r="N52" i="1"/>
  <c r="N51" i="1"/>
  <c r="N50" i="1"/>
  <c r="N49" i="1"/>
  <c r="N42" i="1"/>
  <c r="N33" i="1"/>
  <c r="N32" i="1"/>
  <c r="N31" i="1"/>
  <c r="N30" i="1"/>
  <c r="N29" i="1"/>
  <c r="N28" i="1"/>
  <c r="N27" i="1"/>
  <c r="N26" i="1"/>
  <c r="L71" i="1"/>
  <c r="L70" i="1"/>
  <c r="L69" i="1"/>
  <c r="L68" i="1"/>
  <c r="L67" i="1"/>
  <c r="L66" i="1"/>
  <c r="L65" i="1"/>
  <c r="L57" i="1"/>
  <c r="L56" i="1"/>
  <c r="L26" i="1"/>
  <c r="L42" i="1"/>
  <c r="L27" i="1"/>
  <c r="J71" i="1"/>
  <c r="J70" i="1"/>
  <c r="J69" i="1"/>
  <c r="J68" i="1"/>
  <c r="J67" i="1"/>
  <c r="J66" i="1"/>
  <c r="J32" i="1"/>
  <c r="H71" i="1"/>
  <c r="H70" i="1"/>
  <c r="H69" i="1"/>
  <c r="H68" i="1"/>
  <c r="H67" i="1"/>
  <c r="H66" i="1"/>
  <c r="H65" i="1"/>
  <c r="H62" i="1"/>
  <c r="H61" i="1"/>
  <c r="H60" i="1"/>
  <c r="H59" i="1"/>
  <c r="H58" i="1"/>
  <c r="H57" i="1"/>
  <c r="H56" i="1"/>
  <c r="H53" i="1"/>
  <c r="H52" i="1"/>
  <c r="H51" i="1"/>
  <c r="H50" i="1"/>
  <c r="H49" i="1"/>
  <c r="H42" i="1"/>
  <c r="H33" i="1"/>
  <c r="H32" i="1"/>
  <c r="H31" i="1"/>
  <c r="H30" i="1"/>
  <c r="H29" i="1"/>
  <c r="H28" i="1"/>
  <c r="H27" i="1"/>
  <c r="H26" i="1"/>
  <c r="J26" i="1"/>
  <c r="F71" i="1"/>
  <c r="F70" i="1"/>
  <c r="F69" i="1"/>
  <c r="F68" i="1"/>
  <c r="F67" i="1"/>
  <c r="F66" i="1"/>
  <c r="AP65" i="1"/>
  <c r="AP62" i="1"/>
  <c r="AP61" i="1"/>
  <c r="AP69" i="1"/>
  <c r="AP68" i="1"/>
  <c r="AP67" i="1"/>
  <c r="AP60" i="1"/>
  <c r="AP59" i="1"/>
  <c r="AP58" i="1"/>
  <c r="AP57" i="1"/>
  <c r="AP56" i="1"/>
  <c r="AP26" i="1"/>
  <c r="AP53" i="1"/>
  <c r="AP52" i="1"/>
  <c r="AP33" i="1"/>
  <c r="AP31" i="1"/>
  <c r="AP23" i="1"/>
  <c r="AP22" i="1"/>
  <c r="AP21" i="1"/>
  <c r="AP20" i="1"/>
  <c r="AP16" i="1"/>
  <c r="AP15" i="1"/>
  <c r="AP12" i="1"/>
  <c r="AP11" i="1"/>
  <c r="AP10" i="1"/>
  <c r="AP9" i="1"/>
  <c r="AP6" i="1"/>
  <c r="AP5" i="1"/>
  <c r="AN27" i="1"/>
  <c r="AN62" i="1"/>
  <c r="AN57" i="1"/>
  <c r="AN61" i="1"/>
  <c r="AN70" i="1"/>
  <c r="AN69" i="1"/>
  <c r="AN68" i="1"/>
  <c r="AN60" i="1"/>
  <c r="AN59" i="1"/>
  <c r="AN58" i="1"/>
  <c r="AN65" i="1"/>
  <c r="AN56" i="1"/>
  <c r="AN23" i="1"/>
  <c r="AN22" i="1"/>
  <c r="AN53" i="1"/>
  <c r="AN52" i="1"/>
  <c r="AN51" i="1"/>
  <c r="AN50" i="1"/>
  <c r="AN49" i="1"/>
  <c r="AN42" i="1"/>
  <c r="AN33" i="1"/>
  <c r="AN21" i="1"/>
  <c r="AN20" i="1"/>
  <c r="AN16" i="1"/>
  <c r="AN15" i="1"/>
  <c r="AN12" i="1"/>
  <c r="AN32" i="1"/>
  <c r="AN31" i="1"/>
  <c r="AN30" i="1"/>
  <c r="AN29" i="1"/>
  <c r="AN28" i="1"/>
  <c r="AN11" i="1"/>
  <c r="AN10" i="1"/>
  <c r="AN9" i="1"/>
  <c r="AN6" i="1"/>
  <c r="AN5" i="1"/>
  <c r="AN26" i="1"/>
  <c r="AL23" i="1"/>
  <c r="AL22" i="1"/>
  <c r="AL21" i="1"/>
  <c r="AL20" i="1"/>
  <c r="AL16" i="1"/>
  <c r="AL15" i="1"/>
  <c r="AL12" i="1"/>
  <c r="AL11" i="1"/>
  <c r="AL10" i="1"/>
  <c r="AL9" i="1"/>
  <c r="AL6" i="1"/>
  <c r="AL5" i="1"/>
  <c r="AL53" i="1"/>
  <c r="AL52" i="1"/>
  <c r="AL51" i="1"/>
  <c r="AL50" i="1"/>
  <c r="AL49" i="1"/>
  <c r="AL42" i="1"/>
  <c r="AL33" i="1"/>
  <c r="AL32" i="1"/>
  <c r="AL31" i="1"/>
  <c r="AL30" i="1"/>
  <c r="AL29" i="1"/>
  <c r="AL28" i="1"/>
  <c r="AL27" i="1"/>
  <c r="AL26" i="1"/>
  <c r="AL68" i="1"/>
  <c r="AL67" i="1"/>
  <c r="AL65" i="1"/>
  <c r="AL62" i="1"/>
  <c r="AL61" i="1"/>
  <c r="AL60" i="1"/>
  <c r="AL59" i="1"/>
  <c r="AL58" i="1"/>
  <c r="AL57" i="1"/>
  <c r="AL56" i="1"/>
  <c r="AJ62" i="1"/>
  <c r="AJ61" i="1"/>
  <c r="AJ59" i="1"/>
  <c r="AJ57" i="1"/>
  <c r="AJ60" i="1"/>
  <c r="AJ70" i="1"/>
  <c r="AJ69" i="1"/>
  <c r="AJ68" i="1"/>
  <c r="AJ67" i="1"/>
  <c r="AJ58" i="1"/>
  <c r="AJ65" i="1"/>
  <c r="AJ56" i="1"/>
  <c r="AJ42" i="1"/>
  <c r="AJ53" i="1"/>
  <c r="AJ51" i="1"/>
  <c r="AJ31" i="1"/>
  <c r="AJ52" i="1"/>
  <c r="AJ50" i="1"/>
  <c r="AJ49" i="1"/>
  <c r="AJ33" i="1"/>
  <c r="AJ32" i="1"/>
  <c r="AJ30" i="1"/>
  <c r="AJ29" i="1"/>
  <c r="AJ28" i="1"/>
  <c r="AJ27" i="1"/>
  <c r="AJ26" i="1"/>
  <c r="AJ23" i="1"/>
  <c r="AJ22" i="1"/>
  <c r="AJ21" i="1"/>
  <c r="AJ20" i="1"/>
  <c r="AJ16" i="1"/>
  <c r="AJ15" i="1"/>
  <c r="AJ12" i="1"/>
  <c r="AJ11" i="1"/>
  <c r="AJ10" i="1"/>
  <c r="AJ9" i="1"/>
  <c r="AJ6" i="1"/>
  <c r="AJ5" i="1"/>
  <c r="AH62" i="1"/>
  <c r="AH61" i="1"/>
  <c r="AH60" i="1"/>
  <c r="AH59" i="1"/>
  <c r="AH58" i="1"/>
  <c r="AH57" i="1"/>
  <c r="AH65" i="1"/>
  <c r="AH56" i="1"/>
  <c r="AH53" i="1"/>
  <c r="AH52" i="1"/>
  <c r="AH51" i="1"/>
  <c r="AH50" i="1"/>
  <c r="AH49" i="1"/>
  <c r="AH42" i="1"/>
  <c r="AH33" i="1"/>
  <c r="AH32" i="1"/>
  <c r="AH31" i="1"/>
  <c r="AH30" i="1"/>
  <c r="AH29" i="1"/>
  <c r="AH28" i="1"/>
  <c r="AH27" i="1"/>
  <c r="AH26" i="1"/>
  <c r="AH23" i="1"/>
  <c r="AH22" i="1"/>
  <c r="AH21" i="1"/>
  <c r="AH20" i="1"/>
  <c r="AH16" i="1"/>
  <c r="AH15" i="1"/>
  <c r="AH12" i="1"/>
  <c r="AH11" i="1"/>
  <c r="AH10" i="1"/>
  <c r="AH9" i="1"/>
  <c r="AH6" i="1"/>
  <c r="AH5" i="1"/>
  <c r="AD56" i="1"/>
  <c r="AF69" i="1"/>
  <c r="AF67" i="1"/>
  <c r="AF62" i="1"/>
  <c r="AF61" i="1"/>
  <c r="AF60" i="1"/>
  <c r="AF59" i="1"/>
  <c r="AF66" i="1"/>
  <c r="AF68" i="1"/>
  <c r="AF57" i="1"/>
  <c r="AF71" i="1"/>
  <c r="AF70" i="1"/>
  <c r="AF58" i="1"/>
  <c r="AF65" i="1"/>
  <c r="AF56" i="1"/>
  <c r="AF26" i="1"/>
  <c r="AD65" i="1"/>
  <c r="AF27" i="1"/>
  <c r="AF53" i="1"/>
  <c r="AF33" i="1"/>
  <c r="AF28" i="1"/>
  <c r="AF52" i="1"/>
  <c r="AF51" i="1"/>
  <c r="AF50" i="1"/>
  <c r="AF49" i="1"/>
  <c r="AF42" i="1"/>
  <c r="AF32" i="1"/>
  <c r="AF31" i="1"/>
  <c r="AF30" i="1"/>
  <c r="AF29" i="1"/>
  <c r="AF23" i="1"/>
  <c r="AF22" i="1"/>
  <c r="AF15" i="1"/>
  <c r="AF21" i="1"/>
  <c r="AF20" i="1"/>
  <c r="AF16" i="1"/>
  <c r="AF12" i="1"/>
  <c r="AF11" i="1"/>
  <c r="AF10" i="1"/>
  <c r="AF9" i="1"/>
  <c r="AF6" i="1"/>
  <c r="AF5" i="1"/>
  <c r="AD62" i="1"/>
  <c r="AD61" i="1"/>
  <c r="AD60" i="1"/>
  <c r="AD58" i="1"/>
  <c r="AD57" i="1"/>
  <c r="AD59" i="1"/>
  <c r="AD71" i="1"/>
  <c r="AD69" i="1"/>
  <c r="AD66" i="1"/>
  <c r="AD51" i="1"/>
  <c r="AD42" i="1"/>
  <c r="AD23" i="1"/>
  <c r="AD22" i="1"/>
  <c r="AD21" i="1"/>
  <c r="AD16" i="1"/>
  <c r="AD15" i="1"/>
  <c r="AD12" i="1"/>
  <c r="AD11" i="1"/>
  <c r="AD53" i="1"/>
  <c r="AD52" i="1"/>
  <c r="AD50" i="1"/>
  <c r="AD49" i="1"/>
  <c r="AD33" i="1"/>
  <c r="AD32" i="1"/>
  <c r="AD31" i="1"/>
  <c r="AD30" i="1"/>
  <c r="AD29" i="1"/>
  <c r="AD28" i="1"/>
  <c r="AD20" i="1"/>
  <c r="AD10" i="1"/>
  <c r="AD9" i="1"/>
  <c r="AD6" i="1"/>
  <c r="AD5" i="1"/>
  <c r="Z65" i="1"/>
  <c r="AB26" i="1"/>
  <c r="AB65" i="1"/>
  <c r="AB56" i="1"/>
  <c r="AB23" i="1"/>
  <c r="AB22" i="1"/>
  <c r="AB21" i="1"/>
  <c r="AB16" i="1"/>
  <c r="AB10" i="1"/>
  <c r="AB5" i="1"/>
  <c r="AB15" i="1"/>
  <c r="AB12" i="1"/>
  <c r="AB11" i="1"/>
  <c r="AB9" i="1"/>
  <c r="AB6" i="1"/>
  <c r="Z21" i="1"/>
  <c r="Z22" i="1"/>
  <c r="Z16" i="1"/>
  <c r="Z12" i="1"/>
  <c r="Z11" i="1"/>
  <c r="Z23" i="1"/>
  <c r="Z15" i="1"/>
  <c r="Z20" i="1"/>
  <c r="Z10" i="1"/>
  <c r="Z9" i="1"/>
  <c r="Z6" i="1"/>
  <c r="Z5" i="1"/>
  <c r="Z53" i="1"/>
  <c r="Z42" i="1"/>
  <c r="Z33" i="1"/>
  <c r="Z52" i="1"/>
  <c r="Z51" i="1"/>
  <c r="Z50" i="1"/>
  <c r="Z49" i="1"/>
  <c r="Z32" i="1"/>
  <c r="Z31" i="1"/>
  <c r="Z30" i="1"/>
  <c r="Z29" i="1"/>
  <c r="Z28" i="1"/>
  <c r="Z27" i="1"/>
  <c r="Z26" i="1"/>
  <c r="Z62" i="1"/>
  <c r="Z60" i="1"/>
  <c r="Z61" i="1"/>
  <c r="Z59" i="1"/>
  <c r="Z58" i="1"/>
  <c r="Z57" i="1"/>
  <c r="Z56" i="1"/>
  <c r="X53" i="1"/>
  <c r="X51" i="1"/>
  <c r="X52" i="1"/>
  <c r="X50" i="1"/>
  <c r="X49" i="1"/>
  <c r="X42" i="1"/>
  <c r="X33" i="1"/>
  <c r="X32" i="1"/>
  <c r="X31" i="1"/>
  <c r="X30" i="1"/>
  <c r="X29" i="1"/>
  <c r="X28" i="1"/>
  <c r="X27" i="1"/>
  <c r="X23" i="1"/>
  <c r="X22" i="1"/>
  <c r="X21" i="1"/>
  <c r="X20" i="1"/>
  <c r="X16" i="1"/>
  <c r="X15" i="1"/>
  <c r="X12" i="1"/>
  <c r="X11" i="1"/>
  <c r="X10" i="1"/>
  <c r="X9" i="1"/>
  <c r="X6" i="1"/>
  <c r="X5" i="1"/>
  <c r="X26" i="1"/>
  <c r="V71" i="1"/>
  <c r="V70" i="1"/>
  <c r="V69" i="1"/>
  <c r="V68" i="1"/>
  <c r="V66" i="1"/>
  <c r="V65" i="1"/>
  <c r="V62" i="1"/>
  <c r="V61" i="1"/>
  <c r="V60" i="1"/>
  <c r="V59" i="1"/>
  <c r="V58" i="1"/>
  <c r="V57" i="1"/>
  <c r="V56" i="1"/>
  <c r="V67" i="1"/>
  <c r="V51" i="1"/>
  <c r="V50" i="1"/>
  <c r="V49" i="1"/>
  <c r="V33" i="1"/>
  <c r="V42" i="1"/>
  <c r="V31" i="1"/>
  <c r="V28" i="1"/>
  <c r="V53" i="1"/>
  <c r="V52" i="1"/>
  <c r="V32" i="1"/>
  <c r="V29" i="1"/>
  <c r="V30" i="1"/>
  <c r="V27" i="1"/>
  <c r="V26" i="1"/>
  <c r="V16" i="1"/>
  <c r="V15" i="1"/>
  <c r="V12" i="1"/>
  <c r="V21" i="1"/>
  <c r="V20" i="1"/>
  <c r="V19" i="1"/>
  <c r="V11" i="1"/>
  <c r="V10" i="1"/>
  <c r="V9" i="1"/>
  <c r="V23" i="1"/>
  <c r="V22" i="1"/>
  <c r="V6" i="1"/>
  <c r="V5" i="1"/>
  <c r="T23" i="1"/>
  <c r="T22" i="1"/>
  <c r="T16" i="1"/>
  <c r="T15" i="1"/>
  <c r="T12" i="1"/>
  <c r="T11" i="1"/>
  <c r="T10" i="1"/>
  <c r="T9" i="1"/>
  <c r="T6" i="1"/>
  <c r="T71" i="1"/>
  <c r="T70" i="1"/>
  <c r="T69" i="1"/>
  <c r="T68" i="1"/>
  <c r="T67" i="1"/>
  <c r="T66" i="1"/>
  <c r="T65" i="1"/>
  <c r="T62" i="1"/>
  <c r="T61" i="1"/>
  <c r="T60" i="1"/>
  <c r="T59" i="1"/>
  <c r="T58" i="1"/>
  <c r="T57" i="1"/>
  <c r="T56" i="1"/>
  <c r="T53" i="1"/>
  <c r="T52" i="1"/>
  <c r="T51" i="1"/>
  <c r="T50" i="1"/>
  <c r="T49" i="1"/>
  <c r="T42" i="1"/>
  <c r="T33" i="1"/>
  <c r="T32" i="1"/>
  <c r="T31" i="1"/>
  <c r="T30" i="1"/>
  <c r="T29" i="1"/>
  <c r="T28" i="1"/>
  <c r="T27" i="1"/>
  <c r="T26" i="1"/>
  <c r="T5" i="1"/>
  <c r="R71" i="1"/>
  <c r="R70" i="1"/>
  <c r="R69" i="1"/>
  <c r="R68" i="1"/>
  <c r="R67" i="1"/>
  <c r="R66" i="1"/>
  <c r="R65" i="1"/>
  <c r="R56" i="1"/>
  <c r="R26" i="1"/>
  <c r="R23" i="1"/>
  <c r="R22" i="1"/>
  <c r="R21" i="1"/>
  <c r="R20" i="1"/>
  <c r="R16" i="1"/>
  <c r="R15" i="1"/>
  <c r="R12" i="1"/>
  <c r="R11" i="1"/>
  <c r="R10" i="1"/>
  <c r="R9" i="1"/>
  <c r="R6" i="1"/>
  <c r="R5" i="1"/>
  <c r="P62" i="1"/>
  <c r="P61" i="1"/>
  <c r="P59" i="1"/>
  <c r="P60" i="1"/>
  <c r="P58" i="1"/>
  <c r="P57" i="1"/>
  <c r="P65" i="1"/>
  <c r="P56" i="1"/>
  <c r="P53" i="1"/>
  <c r="P52" i="1"/>
  <c r="P51" i="1"/>
  <c r="P50" i="1"/>
  <c r="P49" i="1"/>
  <c r="P42" i="1"/>
  <c r="P33" i="1"/>
  <c r="P32" i="1"/>
  <c r="P31" i="1"/>
  <c r="P30" i="1"/>
  <c r="P29" i="1"/>
  <c r="P28" i="1"/>
  <c r="P27" i="1"/>
  <c r="P26" i="1"/>
  <c r="P23" i="1"/>
  <c r="P22" i="1"/>
  <c r="P21" i="1"/>
  <c r="P20" i="1"/>
  <c r="P16" i="1"/>
  <c r="P15" i="1"/>
  <c r="P12" i="1"/>
  <c r="P11" i="1"/>
  <c r="P10" i="1"/>
  <c r="P9" i="1"/>
  <c r="P6" i="1"/>
  <c r="P5" i="1"/>
  <c r="N65" i="1"/>
  <c r="N22" i="1"/>
  <c r="N21" i="1"/>
  <c r="N20" i="1"/>
  <c r="N16" i="1"/>
  <c r="N15" i="1"/>
  <c r="N12" i="1"/>
  <c r="N11" i="1"/>
  <c r="N10" i="1"/>
  <c r="N9" i="1"/>
  <c r="N6" i="1"/>
  <c r="N5" i="1"/>
  <c r="L62" i="1"/>
  <c r="L61" i="1"/>
  <c r="L60" i="1"/>
  <c r="L59" i="1"/>
  <c r="L58" i="1"/>
  <c r="L53" i="1"/>
  <c r="L52" i="1"/>
  <c r="L51" i="1"/>
  <c r="L50" i="1"/>
  <c r="L49" i="1"/>
  <c r="L33" i="1"/>
  <c r="L32" i="1"/>
  <c r="L31" i="1"/>
  <c r="L30" i="1"/>
  <c r="L29" i="1"/>
  <c r="L28" i="1"/>
  <c r="L23" i="1"/>
  <c r="L22" i="1"/>
  <c r="L21" i="1"/>
  <c r="L20" i="1"/>
  <c r="L16" i="1"/>
  <c r="L15" i="1"/>
  <c r="L12" i="1"/>
  <c r="L11" i="1"/>
  <c r="L10" i="1"/>
  <c r="L9" i="1"/>
  <c r="L6" i="1"/>
  <c r="L5" i="1"/>
  <c r="J65" i="1"/>
  <c r="J62" i="1"/>
  <c r="J61" i="1"/>
  <c r="J60" i="1"/>
  <c r="J59" i="1"/>
  <c r="J58" i="1"/>
  <c r="J57" i="1"/>
  <c r="J56" i="1"/>
  <c r="J53" i="1"/>
  <c r="J52" i="1"/>
  <c r="J51" i="1"/>
  <c r="J50" i="1"/>
  <c r="J49" i="1"/>
  <c r="J42" i="1"/>
  <c r="J33" i="1"/>
  <c r="J31" i="1"/>
  <c r="J30" i="1"/>
  <c r="J29" i="1"/>
  <c r="J28" i="1"/>
  <c r="J27" i="1"/>
  <c r="J23" i="1"/>
  <c r="J22" i="1"/>
  <c r="J21" i="1"/>
  <c r="J20" i="1"/>
  <c r="J16" i="1"/>
  <c r="J15" i="1"/>
  <c r="J12" i="1"/>
  <c r="J11" i="1"/>
  <c r="J10" i="1"/>
  <c r="J9" i="1"/>
  <c r="J6" i="1"/>
  <c r="J5" i="1"/>
  <c r="H23" i="1"/>
  <c r="H22" i="1"/>
  <c r="H21" i="1"/>
  <c r="H20" i="1"/>
  <c r="H16" i="1"/>
  <c r="H15" i="1"/>
  <c r="H12" i="1"/>
  <c r="H11" i="1"/>
  <c r="H10" i="1"/>
  <c r="H9" i="1"/>
  <c r="H6" i="1"/>
  <c r="H5" i="1"/>
  <c r="F65" i="1"/>
  <c r="F57" i="1"/>
  <c r="F58" i="1"/>
  <c r="F59" i="1"/>
  <c r="F60" i="1"/>
  <c r="F61" i="1"/>
  <c r="F62" i="1"/>
  <c r="F56" i="1"/>
  <c r="F53" i="1"/>
  <c r="F52" i="1"/>
  <c r="F51" i="1"/>
  <c r="F50" i="1"/>
  <c r="F49" i="1"/>
  <c r="F42" i="1"/>
  <c r="F33" i="1"/>
  <c r="F32" i="1"/>
  <c r="F31" i="1"/>
  <c r="F28" i="1"/>
  <c r="F27" i="1"/>
  <c r="F26" i="1"/>
  <c r="F23" i="1"/>
  <c r="F22" i="1"/>
  <c r="F21" i="1"/>
  <c r="F20" i="1"/>
  <c r="F16" i="1"/>
  <c r="F15" i="1"/>
  <c r="F10" i="1"/>
  <c r="F12" i="1"/>
  <c r="F11" i="1"/>
  <c r="F9" i="1"/>
  <c r="F5" i="1"/>
</calcChain>
</file>

<file path=xl/sharedStrings.xml><?xml version="1.0" encoding="utf-8"?>
<sst xmlns="http://schemas.openxmlformats.org/spreadsheetml/2006/main" count="237" uniqueCount="158">
  <si>
    <t>Provider Credentials</t>
  </si>
  <si>
    <t>MD</t>
  </si>
  <si>
    <t>Fellow</t>
  </si>
  <si>
    <t>All surveys</t>
  </si>
  <si>
    <t>Positive Surveys</t>
  </si>
  <si>
    <t>Uncertain surveys</t>
  </si>
  <si>
    <t>Negative surveys</t>
  </si>
  <si>
    <t>NICU</t>
  </si>
  <si>
    <t>PICU</t>
  </si>
  <si>
    <t>CICU</t>
  </si>
  <si>
    <t>Non-ICU</t>
  </si>
  <si>
    <t>Overall</t>
  </si>
  <si>
    <t>Explains ALL of symptoms</t>
  </si>
  <si>
    <t xml:space="preserve">Explains SOME of symptoms </t>
  </si>
  <si>
    <t xml:space="preserve">MAY explain symptoms </t>
  </si>
  <si>
    <t xml:space="preserve">Does NOT explain symptoms </t>
  </si>
  <si>
    <t>Results returned after discharge</t>
  </si>
  <si>
    <t>Yes</t>
  </si>
  <si>
    <t>No</t>
  </si>
  <si>
    <t>Clinical utility of genomic testing</t>
  </si>
  <si>
    <t>Not useful at all</t>
  </si>
  <si>
    <t>Not very useful</t>
  </si>
  <si>
    <t>Neutral</t>
  </si>
  <si>
    <t>Useful</t>
  </si>
  <si>
    <t>Very useful</t>
  </si>
  <si>
    <t xml:space="preserve">How did rWGS impact clinical management plan? </t>
  </si>
  <si>
    <t>It did not change management</t>
  </si>
  <si>
    <t>Medical therapy initiated</t>
  </si>
  <si>
    <t>Medical therapy stopped</t>
  </si>
  <si>
    <t>Dietary change</t>
  </si>
  <si>
    <t>Avoidance of procedure/diagnostic test</t>
  </si>
  <si>
    <t>Early tracheostomy and/or gastrostomy tube placement</t>
  </si>
  <si>
    <t>Cardiology</t>
  </si>
  <si>
    <t>Pulmonolgy</t>
  </si>
  <si>
    <t>Neurology</t>
  </si>
  <si>
    <t>Gastroenterology</t>
  </si>
  <si>
    <t>Genetics</t>
  </si>
  <si>
    <t>Immunology</t>
  </si>
  <si>
    <t>Rainbow Kids</t>
  </si>
  <si>
    <t>Other</t>
  </si>
  <si>
    <t>Skeletal survey</t>
  </si>
  <si>
    <t>Hearing test</t>
  </si>
  <si>
    <t>Eye exam</t>
  </si>
  <si>
    <t>Renal ultrasound</t>
  </si>
  <si>
    <t>Brain MRI</t>
  </si>
  <si>
    <t>Palliative care initiated</t>
  </si>
  <si>
    <t>Palliative care withdrawn</t>
  </si>
  <si>
    <t>Change in medical care unrelated to primary diagnosis</t>
  </si>
  <si>
    <t>Shortened length of stay</t>
  </si>
  <si>
    <t xml:space="preserve">How did rWGS impact clinical care? </t>
  </si>
  <si>
    <t>Provided clarity for the primary care team</t>
  </si>
  <si>
    <t>Changed management plan for consulting specialist</t>
  </si>
  <si>
    <t>Shortened length of time to diagnosis</t>
  </si>
  <si>
    <t>Created more confusion for the care team</t>
  </si>
  <si>
    <t>Improved communication of outcome/prognosis with family</t>
  </si>
  <si>
    <t>The result was not helpful or did not change care</t>
  </si>
  <si>
    <t xml:space="preserve">How did your patients rWGS result affect the family? </t>
  </si>
  <si>
    <t>Provided clarity for the family</t>
  </si>
  <si>
    <t>Additional familial screening</t>
  </si>
  <si>
    <t>Reproductive counseling/planning</t>
  </si>
  <si>
    <t>Family referred to services</t>
  </si>
  <si>
    <t>Created more confusion for family</t>
  </si>
  <si>
    <t>%</t>
  </si>
  <si>
    <t>Clinical management was impacted</t>
  </si>
  <si>
    <t>98/171</t>
  </si>
  <si>
    <t>Clinical care was impacted</t>
  </si>
  <si>
    <t>Family was impacted</t>
  </si>
  <si>
    <t>118/171</t>
  </si>
  <si>
    <t>144/156</t>
  </si>
  <si>
    <t>5/47</t>
  </si>
  <si>
    <t>42/47</t>
  </si>
  <si>
    <t>0</t>
  </si>
  <si>
    <t>6/46</t>
  </si>
  <si>
    <t>17/46</t>
  </si>
  <si>
    <t>20/46</t>
  </si>
  <si>
    <t>3/46</t>
  </si>
  <si>
    <t>21/47</t>
  </si>
  <si>
    <t>30/47</t>
  </si>
  <si>
    <t>Understanding of patients results</t>
  </si>
  <si>
    <t>26</t>
  </si>
  <si>
    <t>2</t>
  </si>
  <si>
    <t>1</t>
  </si>
  <si>
    <t>4</t>
  </si>
  <si>
    <t>7</t>
  </si>
  <si>
    <t>9</t>
  </si>
  <si>
    <t>6</t>
  </si>
  <si>
    <t>3</t>
  </si>
  <si>
    <t>5</t>
  </si>
  <si>
    <t>8</t>
  </si>
  <si>
    <t>41/41</t>
  </si>
  <si>
    <t>16</t>
  </si>
  <si>
    <t>15/29</t>
  </si>
  <si>
    <t>19/29</t>
  </si>
  <si>
    <t>22/24</t>
  </si>
  <si>
    <t>10</t>
  </si>
  <si>
    <t>19</t>
  </si>
  <si>
    <t>12</t>
  </si>
  <si>
    <t>23</t>
  </si>
  <si>
    <t>13</t>
  </si>
  <si>
    <t>68/82</t>
  </si>
  <si>
    <t>74/83</t>
  </si>
  <si>
    <t>82/83</t>
  </si>
  <si>
    <t>15/21</t>
  </si>
  <si>
    <t>20/21</t>
  </si>
  <si>
    <t>20/20</t>
  </si>
  <si>
    <t>17</t>
  </si>
  <si>
    <t>11</t>
  </si>
  <si>
    <t>27/29</t>
  </si>
  <si>
    <t>26/30</t>
  </si>
  <si>
    <t>29/31</t>
  </si>
  <si>
    <t>10/13</t>
  </si>
  <si>
    <t>13/13</t>
  </si>
  <si>
    <t>16/19</t>
  </si>
  <si>
    <t>19/19</t>
  </si>
  <si>
    <t xml:space="preserve"> 9/35</t>
  </si>
  <si>
    <t>15/34</t>
  </si>
  <si>
    <t>24/28</t>
  </si>
  <si>
    <t xml:space="preserve"> 2/10</t>
  </si>
  <si>
    <t xml:space="preserve"> 5/11</t>
  </si>
  <si>
    <t xml:space="preserve"> 9/11</t>
  </si>
  <si>
    <t xml:space="preserve"> 8/8</t>
  </si>
  <si>
    <t xml:space="preserve"> 2/3</t>
  </si>
  <si>
    <t xml:space="preserve"> 3/6</t>
  </si>
  <si>
    <t xml:space="preserve"> 6/6</t>
  </si>
  <si>
    <t xml:space="preserve"> 5/6</t>
  </si>
  <si>
    <t xml:space="preserve"> 2/7</t>
  </si>
  <si>
    <t>n=52</t>
  </si>
  <si>
    <t>21/54</t>
  </si>
  <si>
    <t>27/54</t>
  </si>
  <si>
    <t>41/45</t>
  </si>
  <si>
    <t>n=16</t>
  </si>
  <si>
    <t xml:space="preserve"> 4/16</t>
  </si>
  <si>
    <t xml:space="preserve"> 8/16</t>
  </si>
  <si>
    <t xml:space="preserve"> 13/13</t>
  </si>
  <si>
    <t xml:space="preserve"> 10/15</t>
  </si>
  <si>
    <t xml:space="preserve"> 11/12</t>
  </si>
  <si>
    <t xml:space="preserve"> 8/15</t>
  </si>
  <si>
    <t xml:space="preserve"> 5/9</t>
  </si>
  <si>
    <t xml:space="preserve"> 5/9 </t>
  </si>
  <si>
    <t xml:space="preserve"> 4/14</t>
  </si>
  <si>
    <t xml:space="preserve"> 8/12 </t>
  </si>
  <si>
    <t>40/56</t>
  </si>
  <si>
    <t>41/56</t>
  </si>
  <si>
    <t>49/55</t>
  </si>
  <si>
    <t>23/39</t>
  </si>
  <si>
    <t>26/39</t>
  </si>
  <si>
    <t>31/37</t>
  </si>
  <si>
    <t>Referral to one or more specialists</t>
  </si>
  <si>
    <t>One or more additional medical screening(s)</t>
  </si>
  <si>
    <t>3/36</t>
  </si>
  <si>
    <t>0/36</t>
  </si>
  <si>
    <t>14/36</t>
  </si>
  <si>
    <t>2/36</t>
  </si>
  <si>
    <t>19/36</t>
  </si>
  <si>
    <t>12/36</t>
  </si>
  <si>
    <t>3/30</t>
  </si>
  <si>
    <t>5/30</t>
  </si>
  <si>
    <t>17/30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</si>
</sst>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textRotation="90"/>
    </xf>
    <xf numFmtId="0" fontId="3" fillId="2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 textRotation="90"/>
    </xf>
    <xf numFmtId="0" fontId="3" fillId="10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 textRotation="90"/>
    </xf>
    <xf numFmtId="0" fontId="3" fillId="12" borderId="0" xfId="0" applyFont="1" applyFill="1" applyAlignment="1">
      <alignment horizontal="center" vertical="center" textRotation="90"/>
    </xf>
    <xf numFmtId="0" fontId="3" fillId="12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textRotation="90"/>
    </xf>
    <xf numFmtId="0" fontId="3" fillId="5" borderId="0" xfId="0" applyFont="1" applyFill="1" applyAlignment="1">
      <alignment horizontal="center" vertical="center"/>
    </xf>
    <xf numFmtId="0" fontId="3" fillId="13" borderId="0" xfId="0" applyFont="1" applyFill="1" applyAlignment="1">
      <alignment horizontal="center" vertical="center" textRotation="90"/>
    </xf>
    <xf numFmtId="0" fontId="3" fillId="13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 textRotation="90"/>
    </xf>
    <xf numFmtId="0" fontId="3" fillId="14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center" vertical="center" textRotation="90"/>
    </xf>
    <xf numFmtId="0" fontId="3" fillId="15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 textRotation="90"/>
    </xf>
    <xf numFmtId="0" fontId="3" fillId="7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 textRotation="90"/>
    </xf>
    <xf numFmtId="0" fontId="3" fillId="16" borderId="0" xfId="0" applyFont="1" applyFill="1" applyAlignment="1">
      <alignment horizontal="center" vertical="center"/>
    </xf>
    <xf numFmtId="0" fontId="3" fillId="17" borderId="0" xfId="0" applyFont="1" applyFill="1" applyAlignment="1">
      <alignment horizontal="center" vertical="center" textRotation="90"/>
    </xf>
    <xf numFmtId="0" fontId="3" fillId="17" borderId="0" xfId="0" applyFont="1" applyFill="1" applyAlignment="1">
      <alignment horizontal="center" vertical="center"/>
    </xf>
    <xf numFmtId="0" fontId="3" fillId="18" borderId="0" xfId="0" applyFont="1" applyFill="1" applyAlignment="1">
      <alignment horizontal="center" vertical="center" textRotation="90"/>
    </xf>
    <xf numFmtId="0" fontId="3" fillId="18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 textRotation="90"/>
    </xf>
    <xf numFmtId="0" fontId="3" fillId="9" borderId="0" xfId="0" applyFont="1" applyFill="1" applyAlignment="1">
      <alignment horizontal="center" vertical="center"/>
    </xf>
    <xf numFmtId="0" fontId="3" fillId="19" borderId="0" xfId="0" applyFont="1" applyFill="1" applyAlignment="1">
      <alignment horizontal="center" vertical="center" textRotation="90"/>
    </xf>
    <xf numFmtId="0" fontId="3" fillId="19" borderId="0" xfId="0" applyFont="1" applyFill="1" applyAlignment="1">
      <alignment horizontal="center" vertical="center"/>
    </xf>
    <xf numFmtId="0" fontId="3" fillId="20" borderId="0" xfId="0" applyFont="1" applyFill="1" applyAlignment="1">
      <alignment horizontal="center" vertical="center" textRotation="90"/>
    </xf>
    <xf numFmtId="0" fontId="3" fillId="20" borderId="0" xfId="0" applyFont="1" applyFill="1" applyAlignment="1">
      <alignment horizontal="center" vertical="center"/>
    </xf>
    <xf numFmtId="0" fontId="3" fillId="21" borderId="0" xfId="0" applyFont="1" applyFill="1" applyAlignment="1">
      <alignment horizontal="center" vertical="center" textRotation="90"/>
    </xf>
    <xf numFmtId="0" fontId="3" fillId="21" borderId="0" xfId="0" applyFont="1" applyFill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9" fontId="0" fillId="10" borderId="1" xfId="1" applyFont="1" applyFill="1" applyBorder="1" applyAlignment="1">
      <alignment horizontal="center" vertical="center"/>
    </xf>
    <xf numFmtId="9" fontId="0" fillId="10" borderId="1" xfId="0" applyNumberForma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9" fontId="0" fillId="11" borderId="1" xfId="1" applyFont="1" applyFill="1" applyBorder="1" applyAlignment="1">
      <alignment horizontal="center" vertical="center"/>
    </xf>
    <xf numFmtId="9" fontId="0" fillId="12" borderId="1" xfId="0" applyNumberFormat="1" applyFill="1" applyBorder="1" applyAlignment="1">
      <alignment horizontal="center" vertical="center"/>
    </xf>
    <xf numFmtId="9" fontId="0" fillId="7" borderId="1" xfId="0" applyNumberFormat="1" applyFill="1" applyBorder="1" applyAlignment="1">
      <alignment horizontal="center" vertical="center"/>
    </xf>
    <xf numFmtId="9" fontId="0" fillId="16" borderId="1" xfId="0" applyNumberFormat="1" applyFill="1" applyBorder="1" applyAlignment="1">
      <alignment horizontal="center" vertical="center"/>
    </xf>
    <xf numFmtId="9" fontId="0" fillId="17" borderId="1" xfId="0" applyNumberFormat="1" applyFill="1" applyBorder="1" applyAlignment="1">
      <alignment horizontal="center" vertical="center"/>
    </xf>
    <xf numFmtId="9" fontId="0" fillId="18" borderId="1" xfId="0" applyNumberFormat="1" applyFill="1" applyBorder="1" applyAlignment="1">
      <alignment horizontal="center" vertical="center"/>
    </xf>
    <xf numFmtId="9" fontId="0" fillId="9" borderId="1" xfId="0" applyNumberFormat="1" applyFill="1" applyBorder="1" applyAlignment="1">
      <alignment horizontal="center" vertical="center"/>
    </xf>
    <xf numFmtId="9" fontId="0" fillId="19" borderId="1" xfId="0" applyNumberFormat="1" applyFill="1" applyBorder="1" applyAlignment="1">
      <alignment horizontal="center" vertical="center"/>
    </xf>
    <xf numFmtId="9" fontId="0" fillId="20" borderId="1" xfId="0" applyNumberFormat="1" applyFill="1" applyBorder="1" applyAlignment="1">
      <alignment horizontal="center" vertical="center"/>
    </xf>
    <xf numFmtId="9" fontId="0" fillId="21" borderId="1" xfId="0" applyNumberForma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9" fontId="0" fillId="1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9" fontId="0" fillId="5" borderId="1" xfId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9" fontId="0" fillId="13" borderId="1" xfId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9" fontId="0" fillId="14" borderId="1" xfId="1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9" fontId="0" fillId="15" borderId="1" xfId="1" applyFont="1" applyFill="1" applyBorder="1" applyAlignment="1">
      <alignment horizontal="center" vertical="center"/>
    </xf>
    <xf numFmtId="9" fontId="0" fillId="2" borderId="1" xfId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9" fontId="1" fillId="5" borderId="1" xfId="1" applyFont="1" applyFill="1" applyBorder="1" applyAlignment="1">
      <alignment horizontal="center" vertical="center"/>
    </xf>
    <xf numFmtId="0" fontId="0" fillId="5" borderId="1" xfId="1" applyNumberFormat="1" applyFont="1" applyFill="1" applyBorder="1" applyAlignment="1">
      <alignment horizontal="center" vertical="center"/>
    </xf>
    <xf numFmtId="13" fontId="0" fillId="14" borderId="1" xfId="0" applyNumberFormat="1" applyFill="1" applyBorder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3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0" fillId="7" borderId="1" xfId="0" applyNumberFormat="1" applyFill="1" applyBorder="1" applyAlignment="1">
      <alignment horizontal="center" vertical="center"/>
    </xf>
    <xf numFmtId="16" fontId="0" fillId="16" borderId="1" xfId="0" applyNumberFormat="1" applyFill="1" applyBorder="1" applyAlignment="1">
      <alignment horizontal="center" vertical="center"/>
    </xf>
    <xf numFmtId="16" fontId="0" fillId="17" borderId="1" xfId="0" applyNumberFormat="1" applyFill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2" fontId="3" fillId="11" borderId="0" xfId="0" applyNumberFormat="1" applyFont="1" applyFill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" fillId="4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E8133-6847-43EB-9A1B-9F21385D5ADD}">
  <dimension ref="A1:AP80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41" sqref="C41"/>
    </sheetView>
  </sheetViews>
  <sheetFormatPr defaultRowHeight="14.5" x14ac:dyDescent="0.35"/>
  <cols>
    <col min="2" max="2" width="22" customWidth="1"/>
    <col min="3" max="42" width="9.7265625" style="53" customWidth="1"/>
  </cols>
  <sheetData>
    <row r="1" spans="1:42" s="1" customFormat="1" ht="21" x14ac:dyDescent="0.35">
      <c r="C1" s="112" t="s">
        <v>3</v>
      </c>
      <c r="D1" s="112"/>
      <c r="E1" s="112"/>
      <c r="F1" s="112"/>
      <c r="G1" s="112"/>
      <c r="H1" s="112"/>
      <c r="I1" s="112"/>
      <c r="J1" s="112"/>
      <c r="K1" s="112"/>
      <c r="L1" s="4"/>
      <c r="M1" s="115" t="s">
        <v>4</v>
      </c>
      <c r="N1" s="115"/>
      <c r="O1" s="115"/>
      <c r="P1" s="115"/>
      <c r="Q1" s="115"/>
      <c r="R1" s="115"/>
      <c r="S1" s="115"/>
      <c r="T1" s="115"/>
      <c r="U1" s="115"/>
      <c r="V1" s="5"/>
      <c r="W1" s="116" t="s">
        <v>5</v>
      </c>
      <c r="X1" s="116"/>
      <c r="Y1" s="116"/>
      <c r="Z1" s="116"/>
      <c r="AA1" s="116"/>
      <c r="AB1" s="116"/>
      <c r="AC1" s="116"/>
      <c r="AD1" s="116"/>
      <c r="AE1" s="116"/>
      <c r="AF1" s="6"/>
      <c r="AG1" s="117" t="s">
        <v>6</v>
      </c>
      <c r="AH1" s="117"/>
      <c r="AI1" s="117"/>
      <c r="AJ1" s="117"/>
      <c r="AK1" s="117"/>
      <c r="AL1" s="117"/>
      <c r="AM1" s="117"/>
      <c r="AN1" s="117"/>
      <c r="AO1" s="117"/>
      <c r="AP1" s="7"/>
    </row>
    <row r="2" spans="1:42" ht="50" x14ac:dyDescent="0.35">
      <c r="C2" s="90" t="s">
        <v>11</v>
      </c>
      <c r="D2" s="91" t="s">
        <v>62</v>
      </c>
      <c r="E2" s="8" t="s">
        <v>7</v>
      </c>
      <c r="F2" s="9" t="s">
        <v>62</v>
      </c>
      <c r="G2" s="10" t="s">
        <v>8</v>
      </c>
      <c r="H2" s="11" t="s">
        <v>62</v>
      </c>
      <c r="I2" s="12" t="s">
        <v>9</v>
      </c>
      <c r="J2" s="107" t="s">
        <v>62</v>
      </c>
      <c r="K2" s="13" t="s">
        <v>10</v>
      </c>
      <c r="L2" s="14" t="s">
        <v>62</v>
      </c>
      <c r="M2" s="90" t="s">
        <v>11</v>
      </c>
      <c r="N2" s="91" t="s">
        <v>62</v>
      </c>
      <c r="O2" s="15" t="s">
        <v>7</v>
      </c>
      <c r="P2" s="16" t="s">
        <v>62</v>
      </c>
      <c r="Q2" s="17" t="s">
        <v>8</v>
      </c>
      <c r="R2" s="18" t="s">
        <v>62</v>
      </c>
      <c r="S2" s="19" t="s">
        <v>9</v>
      </c>
      <c r="T2" s="20" t="s">
        <v>62</v>
      </c>
      <c r="U2" s="21" t="s">
        <v>10</v>
      </c>
      <c r="V2" s="22" t="s">
        <v>62</v>
      </c>
      <c r="W2" s="90" t="s">
        <v>11</v>
      </c>
      <c r="X2" s="91" t="s">
        <v>62</v>
      </c>
      <c r="Y2" s="23" t="s">
        <v>7</v>
      </c>
      <c r="Z2" s="24" t="s">
        <v>62</v>
      </c>
      <c r="AA2" s="25" t="s">
        <v>8</v>
      </c>
      <c r="AB2" s="26" t="s">
        <v>62</v>
      </c>
      <c r="AC2" s="27" t="s">
        <v>9</v>
      </c>
      <c r="AD2" s="28" t="s">
        <v>62</v>
      </c>
      <c r="AE2" s="29" t="s">
        <v>10</v>
      </c>
      <c r="AF2" s="30" t="s">
        <v>62</v>
      </c>
      <c r="AG2" s="90" t="s">
        <v>11</v>
      </c>
      <c r="AH2" s="91" t="s">
        <v>62</v>
      </c>
      <c r="AI2" s="31" t="s">
        <v>7</v>
      </c>
      <c r="AJ2" s="32" t="s">
        <v>62</v>
      </c>
      <c r="AK2" s="33" t="s">
        <v>8</v>
      </c>
      <c r="AL2" s="34" t="s">
        <v>62</v>
      </c>
      <c r="AM2" s="35" t="s">
        <v>9</v>
      </c>
      <c r="AN2" s="36" t="s">
        <v>62</v>
      </c>
      <c r="AO2" s="37" t="s">
        <v>10</v>
      </c>
      <c r="AP2" s="38" t="s">
        <v>62</v>
      </c>
    </row>
    <row r="3" spans="1:42" x14ac:dyDescent="0.35">
      <c r="A3" s="111" t="s">
        <v>0</v>
      </c>
      <c r="B3" s="111"/>
      <c r="C3" s="73"/>
      <c r="D3" s="73"/>
      <c r="E3" s="2"/>
      <c r="F3" s="2"/>
      <c r="G3" s="3"/>
      <c r="H3" s="3"/>
      <c r="I3" s="39"/>
      <c r="J3" s="39"/>
      <c r="K3" s="40"/>
      <c r="L3" s="40"/>
      <c r="M3" s="73"/>
      <c r="N3" s="73"/>
      <c r="O3" s="41"/>
      <c r="P3" s="41"/>
      <c r="Q3" s="42"/>
      <c r="R3" s="42"/>
      <c r="S3" s="43"/>
      <c r="T3" s="43"/>
      <c r="U3" s="44"/>
      <c r="V3" s="44"/>
      <c r="W3" s="73"/>
      <c r="X3" s="73"/>
      <c r="Y3" s="45"/>
      <c r="Z3" s="45"/>
      <c r="AA3" s="46"/>
      <c r="AB3" s="46"/>
      <c r="AC3" s="47"/>
      <c r="AD3" s="47"/>
      <c r="AE3" s="48"/>
      <c r="AF3" s="48"/>
      <c r="AG3" s="73"/>
      <c r="AH3" s="73"/>
      <c r="AI3" s="49"/>
      <c r="AJ3" s="49"/>
      <c r="AK3" s="50"/>
      <c r="AL3" s="50"/>
      <c r="AM3" s="51"/>
      <c r="AN3" s="51"/>
      <c r="AO3" s="52"/>
      <c r="AP3" s="52"/>
    </row>
    <row r="4" spans="1:42" x14ac:dyDescent="0.35">
      <c r="A4" s="111"/>
      <c r="B4" s="111"/>
      <c r="C4" s="92"/>
      <c r="D4" s="73"/>
      <c r="E4" s="56"/>
      <c r="F4" s="2"/>
      <c r="G4" s="59"/>
      <c r="H4" s="3"/>
      <c r="I4" s="60"/>
      <c r="J4" s="39"/>
      <c r="K4" s="71"/>
      <c r="L4" s="40"/>
      <c r="M4" s="92"/>
      <c r="N4" s="73"/>
      <c r="O4" s="76"/>
      <c r="P4" s="41"/>
      <c r="Q4" s="77"/>
      <c r="R4" s="42"/>
      <c r="S4" s="79"/>
      <c r="T4" s="43"/>
      <c r="U4" s="81"/>
      <c r="V4" s="44"/>
      <c r="W4" s="92"/>
      <c r="X4" s="73"/>
      <c r="Y4" s="94"/>
      <c r="Z4" s="45"/>
      <c r="AA4" s="95"/>
      <c r="AB4" s="46"/>
      <c r="AC4" s="96"/>
      <c r="AD4" s="47"/>
      <c r="AE4" s="97"/>
      <c r="AF4" s="48"/>
      <c r="AG4" s="92"/>
      <c r="AH4" s="73"/>
      <c r="AI4" s="98"/>
      <c r="AJ4" s="49"/>
      <c r="AK4" s="99"/>
      <c r="AL4" s="50"/>
      <c r="AM4" s="100"/>
      <c r="AN4" s="51"/>
      <c r="AO4" s="101"/>
      <c r="AP4" s="52"/>
    </row>
    <row r="5" spans="1:42" x14ac:dyDescent="0.35">
      <c r="A5" s="113" t="s">
        <v>1</v>
      </c>
      <c r="B5" s="113"/>
      <c r="C5" s="73">
        <v>158</v>
      </c>
      <c r="D5" s="93">
        <v>0.91</v>
      </c>
      <c r="E5" s="2">
        <v>47</v>
      </c>
      <c r="F5" s="83">
        <f>47/47</f>
        <v>1</v>
      </c>
      <c r="G5" s="3">
        <v>53</v>
      </c>
      <c r="H5" s="57">
        <f>53/58</f>
        <v>0.91379310344827591</v>
      </c>
      <c r="I5" s="39">
        <v>29</v>
      </c>
      <c r="J5" s="61">
        <f>29/29</f>
        <v>1</v>
      </c>
      <c r="K5" s="40">
        <v>29</v>
      </c>
      <c r="L5" s="72">
        <f>29/39</f>
        <v>0.74358974358974361</v>
      </c>
      <c r="M5" s="73">
        <v>79</v>
      </c>
      <c r="N5" s="74">
        <f>79/84</f>
        <v>0.94047619047619047</v>
      </c>
      <c r="O5" s="41">
        <v>21</v>
      </c>
      <c r="P5" s="75">
        <f>21/21</f>
        <v>1</v>
      </c>
      <c r="Q5" s="42">
        <v>30</v>
      </c>
      <c r="R5" s="78">
        <f>30/31</f>
        <v>0.967741935483871</v>
      </c>
      <c r="S5" s="43">
        <v>13</v>
      </c>
      <c r="T5" s="80">
        <f>13/13</f>
        <v>1</v>
      </c>
      <c r="U5" s="44">
        <v>15</v>
      </c>
      <c r="V5" s="82">
        <f>15/19</f>
        <v>0.78947368421052633</v>
      </c>
      <c r="W5" s="73">
        <v>30</v>
      </c>
      <c r="X5" s="93">
        <f>30/35</f>
        <v>0.8571428571428571</v>
      </c>
      <c r="Y5" s="45">
        <v>10</v>
      </c>
      <c r="Z5" s="63">
        <f>10/10</f>
        <v>1</v>
      </c>
      <c r="AA5" s="46">
        <v>8</v>
      </c>
      <c r="AB5" s="64">
        <f>8/12</f>
        <v>0.66666666666666663</v>
      </c>
      <c r="AC5" s="47">
        <v>7</v>
      </c>
      <c r="AD5" s="65">
        <f>7/7</f>
        <v>1</v>
      </c>
      <c r="AE5" s="48">
        <v>5</v>
      </c>
      <c r="AF5" s="66">
        <f>5/6</f>
        <v>0.83333333333333337</v>
      </c>
      <c r="AG5" s="73">
        <v>49</v>
      </c>
      <c r="AH5" s="93">
        <f>49/54</f>
        <v>0.90740740740740744</v>
      </c>
      <c r="AI5" s="49">
        <v>16</v>
      </c>
      <c r="AJ5" s="67">
        <f>16/16</f>
        <v>1</v>
      </c>
      <c r="AK5" s="50">
        <v>15</v>
      </c>
      <c r="AL5" s="68">
        <f>15/15</f>
        <v>1</v>
      </c>
      <c r="AM5" s="51">
        <v>9</v>
      </c>
      <c r="AN5" s="69">
        <f>9/9</f>
        <v>1</v>
      </c>
      <c r="AO5" s="52">
        <v>9</v>
      </c>
      <c r="AP5" s="70">
        <f>9/14</f>
        <v>0.6428571428571429</v>
      </c>
    </row>
    <row r="6" spans="1:42" x14ac:dyDescent="0.35">
      <c r="A6" s="113" t="s">
        <v>2</v>
      </c>
      <c r="B6" s="113"/>
      <c r="C6" s="73">
        <v>15</v>
      </c>
      <c r="D6" s="93">
        <v>0.09</v>
      </c>
      <c r="E6" s="2">
        <v>0</v>
      </c>
      <c r="F6" s="55">
        <v>0</v>
      </c>
      <c r="G6" s="3">
        <v>5</v>
      </c>
      <c r="H6" s="57">
        <f>5/58</f>
        <v>8.6206896551724144E-2</v>
      </c>
      <c r="I6" s="39">
        <v>0</v>
      </c>
      <c r="J6" s="61">
        <f>0/29</f>
        <v>0</v>
      </c>
      <c r="K6" s="40">
        <v>10</v>
      </c>
      <c r="L6" s="72">
        <f>10/39</f>
        <v>0.25641025641025639</v>
      </c>
      <c r="M6" s="73">
        <v>5</v>
      </c>
      <c r="N6" s="74">
        <f>5/84</f>
        <v>5.9523809523809521E-2</v>
      </c>
      <c r="O6" s="41">
        <v>0</v>
      </c>
      <c r="P6" s="75">
        <f>0/21</f>
        <v>0</v>
      </c>
      <c r="Q6" s="42">
        <v>1</v>
      </c>
      <c r="R6" s="78">
        <f>1/31</f>
        <v>3.2258064516129031E-2</v>
      </c>
      <c r="S6" s="43">
        <v>0</v>
      </c>
      <c r="T6" s="80">
        <f>0/13</f>
        <v>0</v>
      </c>
      <c r="U6" s="44">
        <v>4</v>
      </c>
      <c r="V6" s="82">
        <f>4/19</f>
        <v>0.21052631578947367</v>
      </c>
      <c r="W6" s="73">
        <v>5</v>
      </c>
      <c r="X6" s="93">
        <f>5/35</f>
        <v>0.14285714285714285</v>
      </c>
      <c r="Y6" s="45">
        <v>0</v>
      </c>
      <c r="Z6" s="63">
        <f>0/10</f>
        <v>0</v>
      </c>
      <c r="AA6" s="46">
        <v>4</v>
      </c>
      <c r="AB6" s="64">
        <f>4/12</f>
        <v>0.33333333333333331</v>
      </c>
      <c r="AC6" s="47">
        <v>0</v>
      </c>
      <c r="AD6" s="65">
        <f>0/7</f>
        <v>0</v>
      </c>
      <c r="AE6" s="48">
        <v>1</v>
      </c>
      <c r="AF6" s="66">
        <f>1/6</f>
        <v>0.16666666666666666</v>
      </c>
      <c r="AG6" s="73">
        <v>5</v>
      </c>
      <c r="AH6" s="93">
        <f>5/54</f>
        <v>9.2592592592592587E-2</v>
      </c>
      <c r="AI6" s="49">
        <v>0</v>
      </c>
      <c r="AJ6" s="67">
        <f>0/16</f>
        <v>0</v>
      </c>
      <c r="AK6" s="50">
        <v>0</v>
      </c>
      <c r="AL6" s="68">
        <f>0/15</f>
        <v>0</v>
      </c>
      <c r="AM6" s="51">
        <v>0</v>
      </c>
      <c r="AN6" s="69">
        <f>0/9</f>
        <v>0</v>
      </c>
      <c r="AO6" s="52">
        <v>5</v>
      </c>
      <c r="AP6" s="70">
        <f>5/14</f>
        <v>0.35714285714285715</v>
      </c>
    </row>
    <row r="7" spans="1:42" x14ac:dyDescent="0.35">
      <c r="A7" s="118" t="s">
        <v>78</v>
      </c>
      <c r="B7" s="118"/>
      <c r="C7" s="73"/>
      <c r="D7" s="73"/>
      <c r="E7" s="2"/>
      <c r="F7" s="2"/>
      <c r="G7" s="3"/>
      <c r="H7" s="3"/>
      <c r="I7" s="39"/>
      <c r="J7" s="61"/>
      <c r="K7" s="40"/>
      <c r="L7" s="40"/>
      <c r="M7" s="73"/>
      <c r="N7" s="73"/>
      <c r="O7" s="41"/>
      <c r="P7" s="75"/>
      <c r="Q7" s="42"/>
      <c r="R7" s="78"/>
      <c r="S7" s="43"/>
      <c r="T7" s="80"/>
      <c r="U7" s="44"/>
      <c r="V7" s="82"/>
      <c r="W7" s="73"/>
      <c r="X7" s="73"/>
      <c r="Y7" s="45"/>
      <c r="Z7" s="45"/>
      <c r="AA7" s="46"/>
      <c r="AB7" s="46"/>
      <c r="AC7" s="47"/>
      <c r="AD7" s="47"/>
      <c r="AE7" s="48"/>
      <c r="AF7" s="48"/>
      <c r="AG7" s="73"/>
      <c r="AH7" s="73"/>
      <c r="AI7" s="49"/>
      <c r="AJ7" s="49"/>
      <c r="AK7" s="50"/>
      <c r="AL7" s="50"/>
      <c r="AM7" s="51"/>
      <c r="AN7" s="51"/>
      <c r="AO7" s="52"/>
      <c r="AP7" s="52"/>
    </row>
    <row r="8" spans="1:42" x14ac:dyDescent="0.35">
      <c r="A8" s="118"/>
      <c r="B8" s="118"/>
      <c r="C8" s="92"/>
      <c r="D8" s="73"/>
      <c r="E8" s="56"/>
      <c r="F8" s="2"/>
      <c r="G8" s="59"/>
      <c r="H8" s="3"/>
      <c r="I8" s="60"/>
      <c r="J8" s="61"/>
      <c r="K8" s="71"/>
      <c r="L8" s="40"/>
      <c r="M8" s="92"/>
      <c r="N8" s="73"/>
      <c r="O8" s="76"/>
      <c r="P8" s="75"/>
      <c r="Q8" s="77"/>
      <c r="R8" s="78"/>
      <c r="S8" s="79"/>
      <c r="T8" s="80"/>
      <c r="U8" s="81"/>
      <c r="V8" s="44"/>
      <c r="W8" s="92"/>
      <c r="X8" s="73"/>
      <c r="Y8" s="94"/>
      <c r="Z8" s="45"/>
      <c r="AA8" s="95"/>
      <c r="AB8" s="46"/>
      <c r="AC8" s="96"/>
      <c r="AD8" s="47"/>
      <c r="AE8" s="97"/>
      <c r="AF8" s="48"/>
      <c r="AG8" s="92" t="s">
        <v>126</v>
      </c>
      <c r="AH8" s="73"/>
      <c r="AI8" s="98" t="s">
        <v>130</v>
      </c>
      <c r="AJ8" s="49"/>
      <c r="AK8" s="99"/>
      <c r="AL8" s="50"/>
      <c r="AM8" s="100"/>
      <c r="AN8" s="51"/>
      <c r="AO8" s="101"/>
      <c r="AP8" s="52"/>
    </row>
    <row r="9" spans="1:42" ht="15" customHeight="1" x14ac:dyDescent="0.35">
      <c r="A9" s="113" t="s">
        <v>12</v>
      </c>
      <c r="B9" s="113"/>
      <c r="C9" s="73">
        <v>42</v>
      </c>
      <c r="D9" s="93">
        <v>0.25</v>
      </c>
      <c r="E9" s="2">
        <v>13</v>
      </c>
      <c r="F9" s="83">
        <f>13/46</f>
        <v>0.28260869565217389</v>
      </c>
      <c r="G9" s="3">
        <v>15</v>
      </c>
      <c r="H9" s="57">
        <f>15/56</f>
        <v>0.26785714285714285</v>
      </c>
      <c r="I9" s="39">
        <v>3</v>
      </c>
      <c r="J9" s="61">
        <f>3/29</f>
        <v>0.10344827586206896</v>
      </c>
      <c r="K9" s="40">
        <v>11</v>
      </c>
      <c r="L9" s="72">
        <f>11/38</f>
        <v>0.28947368421052633</v>
      </c>
      <c r="M9" s="73">
        <v>40</v>
      </c>
      <c r="N9" s="74">
        <f>40/83</f>
        <v>0.48192771084337349</v>
      </c>
      <c r="O9" s="41">
        <v>12</v>
      </c>
      <c r="P9" s="75">
        <f>12/21</f>
        <v>0.5714285714285714</v>
      </c>
      <c r="Q9" s="42">
        <v>14</v>
      </c>
      <c r="R9" s="78">
        <f>14/30</f>
        <v>0.46666666666666667</v>
      </c>
      <c r="S9" s="43">
        <v>3</v>
      </c>
      <c r="T9" s="80">
        <f>3/13</f>
        <v>0.23076923076923078</v>
      </c>
      <c r="U9" s="44">
        <v>11</v>
      </c>
      <c r="V9" s="82">
        <f>11/19</f>
        <v>0.57894736842105265</v>
      </c>
      <c r="W9" s="73">
        <v>1</v>
      </c>
      <c r="X9" s="93">
        <f>1/34</f>
        <v>2.9411764705882353E-2</v>
      </c>
      <c r="Y9" s="45">
        <v>0</v>
      </c>
      <c r="Z9" s="63">
        <f t="shared" ref="Z9:Z10" si="0">0/10</f>
        <v>0</v>
      </c>
      <c r="AA9" s="46">
        <v>1</v>
      </c>
      <c r="AB9" s="64">
        <f>1/12</f>
        <v>8.3333333333333329E-2</v>
      </c>
      <c r="AC9" s="47">
        <v>0</v>
      </c>
      <c r="AD9" s="65">
        <f t="shared" ref="AD9:AD10" si="1">0/7</f>
        <v>0</v>
      </c>
      <c r="AE9" s="48">
        <v>0</v>
      </c>
      <c r="AF9" s="66">
        <f>0/6</f>
        <v>0</v>
      </c>
      <c r="AG9" s="73">
        <v>1</v>
      </c>
      <c r="AH9" s="93">
        <f>1/52</f>
        <v>1.9230769230769232E-2</v>
      </c>
      <c r="AI9" s="49">
        <v>1</v>
      </c>
      <c r="AJ9" s="67">
        <f>1/16</f>
        <v>6.25E-2</v>
      </c>
      <c r="AK9" s="50">
        <v>0</v>
      </c>
      <c r="AL9" s="68">
        <f>0/14</f>
        <v>0</v>
      </c>
      <c r="AM9" s="51">
        <v>0</v>
      </c>
      <c r="AN9" s="69">
        <f t="shared" ref="AN9:AN11" si="2">0/9</f>
        <v>0</v>
      </c>
      <c r="AO9" s="52">
        <v>0</v>
      </c>
      <c r="AP9" s="70">
        <f>0/13</f>
        <v>0</v>
      </c>
    </row>
    <row r="10" spans="1:42" x14ac:dyDescent="0.35">
      <c r="A10" s="113" t="s">
        <v>13</v>
      </c>
      <c r="B10" s="113"/>
      <c r="C10" s="73">
        <v>31</v>
      </c>
      <c r="D10" s="93">
        <v>0.18</v>
      </c>
      <c r="E10" s="2">
        <v>7</v>
      </c>
      <c r="F10" s="83">
        <f>7/46</f>
        <v>0.15217391304347827</v>
      </c>
      <c r="G10" s="3">
        <v>12</v>
      </c>
      <c r="H10" s="57">
        <f>12/56</f>
        <v>0.21428571428571427</v>
      </c>
      <c r="I10" s="39">
        <v>4</v>
      </c>
      <c r="J10" s="61">
        <f>4/29</f>
        <v>0.13793103448275862</v>
      </c>
      <c r="K10" s="40">
        <v>8</v>
      </c>
      <c r="L10" s="72">
        <f>8/38</f>
        <v>0.21052631578947367</v>
      </c>
      <c r="M10" s="73">
        <v>27</v>
      </c>
      <c r="N10" s="74">
        <f>27/83</f>
        <v>0.3253012048192771</v>
      </c>
      <c r="O10" s="41">
        <v>6</v>
      </c>
      <c r="P10" s="75">
        <f>6/21</f>
        <v>0.2857142857142857</v>
      </c>
      <c r="Q10" s="42">
        <v>10</v>
      </c>
      <c r="R10" s="78">
        <f>10/30</f>
        <v>0.33333333333333331</v>
      </c>
      <c r="S10" s="43">
        <v>4</v>
      </c>
      <c r="T10" s="80">
        <f>4/13</f>
        <v>0.30769230769230771</v>
      </c>
      <c r="U10" s="44">
        <v>7</v>
      </c>
      <c r="V10" s="82">
        <f>7/19</f>
        <v>0.36842105263157893</v>
      </c>
      <c r="W10" s="73">
        <v>2</v>
      </c>
      <c r="X10" s="93">
        <f>2/34</f>
        <v>5.8823529411764705E-2</v>
      </c>
      <c r="Y10" s="45">
        <v>0</v>
      </c>
      <c r="Z10" s="63">
        <f t="shared" si="0"/>
        <v>0</v>
      </c>
      <c r="AA10" s="46">
        <v>1</v>
      </c>
      <c r="AB10" s="64">
        <f>1/12</f>
        <v>8.3333333333333329E-2</v>
      </c>
      <c r="AC10" s="47">
        <v>0</v>
      </c>
      <c r="AD10" s="65">
        <f t="shared" si="1"/>
        <v>0</v>
      </c>
      <c r="AE10" s="48">
        <v>1</v>
      </c>
      <c r="AF10" s="66">
        <f>1/6</f>
        <v>0.16666666666666666</v>
      </c>
      <c r="AG10" s="73">
        <v>2</v>
      </c>
      <c r="AH10" s="93">
        <f>2/52</f>
        <v>3.8461538461538464E-2</v>
      </c>
      <c r="AI10" s="49">
        <v>1</v>
      </c>
      <c r="AJ10" s="67">
        <f>1/16</f>
        <v>6.25E-2</v>
      </c>
      <c r="AK10" s="50">
        <v>1</v>
      </c>
      <c r="AL10" s="68">
        <f>1/14</f>
        <v>7.1428571428571425E-2</v>
      </c>
      <c r="AM10" s="51">
        <v>0</v>
      </c>
      <c r="AN10" s="69">
        <f t="shared" si="2"/>
        <v>0</v>
      </c>
      <c r="AO10" s="52">
        <v>0</v>
      </c>
      <c r="AP10" s="70">
        <f>0/13</f>
        <v>0</v>
      </c>
    </row>
    <row r="11" spans="1:42" x14ac:dyDescent="0.35">
      <c r="A11" s="113" t="s">
        <v>14</v>
      </c>
      <c r="B11" s="113"/>
      <c r="C11" s="73">
        <v>28</v>
      </c>
      <c r="D11" s="93">
        <v>0.17</v>
      </c>
      <c r="E11" s="2">
        <v>5</v>
      </c>
      <c r="F11" s="83">
        <f>5/46</f>
        <v>0.10869565217391304</v>
      </c>
      <c r="G11" s="3">
        <v>11</v>
      </c>
      <c r="H11" s="57">
        <f>11/56</f>
        <v>0.19642857142857142</v>
      </c>
      <c r="I11" s="39">
        <v>7</v>
      </c>
      <c r="J11" s="61">
        <f>7/29</f>
        <v>0.2413793103448276</v>
      </c>
      <c r="K11" s="40">
        <v>5</v>
      </c>
      <c r="L11" s="72">
        <f>5/38</f>
        <v>0.13157894736842105</v>
      </c>
      <c r="M11" s="73">
        <v>9</v>
      </c>
      <c r="N11" s="74">
        <f>9/83</f>
        <v>0.10843373493975904</v>
      </c>
      <c r="O11" s="41">
        <v>1</v>
      </c>
      <c r="P11" s="75">
        <f>1/21</f>
        <v>4.7619047619047616E-2</v>
      </c>
      <c r="Q11" s="42">
        <v>4</v>
      </c>
      <c r="R11" s="78">
        <f>4/30</f>
        <v>0.13333333333333333</v>
      </c>
      <c r="S11" s="43">
        <v>4</v>
      </c>
      <c r="T11" s="80">
        <f>4/13</f>
        <v>0.30769230769230771</v>
      </c>
      <c r="U11" s="44">
        <v>0</v>
      </c>
      <c r="V11" s="82">
        <f>0/19</f>
        <v>0</v>
      </c>
      <c r="W11" s="73">
        <v>19</v>
      </c>
      <c r="X11" s="93">
        <f>19/34</f>
        <v>0.55882352941176472</v>
      </c>
      <c r="Y11" s="45">
        <v>4</v>
      </c>
      <c r="Z11" s="63">
        <f>4/10</f>
        <v>0.4</v>
      </c>
      <c r="AA11" s="46">
        <v>7</v>
      </c>
      <c r="AB11" s="64">
        <f>7/12</f>
        <v>0.58333333333333337</v>
      </c>
      <c r="AC11" s="47">
        <v>3</v>
      </c>
      <c r="AD11" s="65">
        <f>3/7</f>
        <v>0.42857142857142855</v>
      </c>
      <c r="AE11" s="48">
        <v>5</v>
      </c>
      <c r="AF11" s="66">
        <f>5/6</f>
        <v>0.83333333333333337</v>
      </c>
      <c r="AG11" s="73">
        <v>0</v>
      </c>
      <c r="AH11" s="93">
        <f>0/52</f>
        <v>0</v>
      </c>
      <c r="AI11" s="49">
        <v>0</v>
      </c>
      <c r="AJ11" s="67">
        <f>0/16</f>
        <v>0</v>
      </c>
      <c r="AK11" s="50">
        <v>0</v>
      </c>
      <c r="AL11" s="68">
        <f>0/14</f>
        <v>0</v>
      </c>
      <c r="AM11" s="51">
        <v>0</v>
      </c>
      <c r="AN11" s="69">
        <f t="shared" si="2"/>
        <v>0</v>
      </c>
      <c r="AO11" s="52">
        <v>0</v>
      </c>
      <c r="AP11" s="70">
        <f>0/13</f>
        <v>0</v>
      </c>
    </row>
    <row r="12" spans="1:42" x14ac:dyDescent="0.35">
      <c r="A12" s="113" t="s">
        <v>15</v>
      </c>
      <c r="B12" s="113"/>
      <c r="C12" s="73">
        <v>68</v>
      </c>
      <c r="D12" s="93">
        <v>0.4</v>
      </c>
      <c r="E12" s="2">
        <v>21</v>
      </c>
      <c r="F12" s="83">
        <f>21/46</f>
        <v>0.45652173913043476</v>
      </c>
      <c r="G12" s="3">
        <v>18</v>
      </c>
      <c r="H12" s="57">
        <f>18/56</f>
        <v>0.32142857142857145</v>
      </c>
      <c r="I12" s="39">
        <v>15</v>
      </c>
      <c r="J12" s="61">
        <f>15/29</f>
        <v>0.51724137931034486</v>
      </c>
      <c r="K12" s="40">
        <v>14</v>
      </c>
      <c r="L12" s="72">
        <f>14/38</f>
        <v>0.36842105263157893</v>
      </c>
      <c r="M12" s="73">
        <v>7</v>
      </c>
      <c r="N12" s="74">
        <f>7/83</f>
        <v>8.4337349397590355E-2</v>
      </c>
      <c r="O12" s="41">
        <v>2</v>
      </c>
      <c r="P12" s="75">
        <f>2/21</f>
        <v>9.5238095238095233E-2</v>
      </c>
      <c r="Q12" s="42">
        <v>2</v>
      </c>
      <c r="R12" s="78">
        <f>2/30</f>
        <v>6.6666666666666666E-2</v>
      </c>
      <c r="S12" s="43">
        <v>2</v>
      </c>
      <c r="T12" s="80">
        <f>2/13</f>
        <v>0.15384615384615385</v>
      </c>
      <c r="U12" s="44">
        <v>1</v>
      </c>
      <c r="V12" s="82">
        <f>1/19</f>
        <v>5.2631578947368418E-2</v>
      </c>
      <c r="W12" s="73">
        <v>12</v>
      </c>
      <c r="X12" s="93">
        <f>12/34</f>
        <v>0.35294117647058826</v>
      </c>
      <c r="Y12" s="45">
        <v>5</v>
      </c>
      <c r="Z12" s="63">
        <f>5/10</f>
        <v>0.5</v>
      </c>
      <c r="AA12" s="46">
        <v>3</v>
      </c>
      <c r="AB12" s="64">
        <f>3/12</f>
        <v>0.25</v>
      </c>
      <c r="AC12" s="47">
        <v>4</v>
      </c>
      <c r="AD12" s="65">
        <f>4/7</f>
        <v>0.5714285714285714</v>
      </c>
      <c r="AE12" s="48">
        <v>0</v>
      </c>
      <c r="AF12" s="66">
        <f>0/6</f>
        <v>0</v>
      </c>
      <c r="AG12" s="73">
        <v>49</v>
      </c>
      <c r="AH12" s="93">
        <f>49/52</f>
        <v>0.94230769230769229</v>
      </c>
      <c r="AI12" s="49">
        <v>14</v>
      </c>
      <c r="AJ12" s="67">
        <f>14/16</f>
        <v>0.875</v>
      </c>
      <c r="AK12" s="50">
        <v>13</v>
      </c>
      <c r="AL12" s="68">
        <f>13/14</f>
        <v>0.9285714285714286</v>
      </c>
      <c r="AM12" s="51">
        <v>9</v>
      </c>
      <c r="AN12" s="69">
        <f>9/9</f>
        <v>1</v>
      </c>
      <c r="AO12" s="52">
        <v>13</v>
      </c>
      <c r="AP12" s="70">
        <f>13/13</f>
        <v>1</v>
      </c>
    </row>
    <row r="13" spans="1:42" x14ac:dyDescent="0.35">
      <c r="A13" s="111" t="s">
        <v>16</v>
      </c>
      <c r="B13" s="111"/>
      <c r="C13" s="73"/>
      <c r="D13" s="73"/>
      <c r="E13" s="2"/>
      <c r="F13" s="2"/>
      <c r="G13" s="3"/>
      <c r="H13" s="3"/>
      <c r="I13" s="39"/>
      <c r="J13" s="61"/>
      <c r="K13" s="40"/>
      <c r="L13" s="40"/>
      <c r="M13" s="73"/>
      <c r="N13" s="73"/>
      <c r="O13" s="41"/>
      <c r="P13" s="75"/>
      <c r="Q13" s="42"/>
      <c r="R13" s="78"/>
      <c r="S13" s="43"/>
      <c r="T13" s="80"/>
      <c r="U13" s="44"/>
      <c r="V13" s="82"/>
      <c r="W13" s="73"/>
      <c r="X13" s="73"/>
      <c r="Y13" s="45"/>
      <c r="Z13" s="45"/>
      <c r="AA13" s="46"/>
      <c r="AB13" s="46"/>
      <c r="AC13" s="47"/>
      <c r="AD13" s="47"/>
      <c r="AE13" s="48"/>
      <c r="AF13" s="48"/>
      <c r="AG13" s="73"/>
      <c r="AH13" s="73"/>
      <c r="AI13" s="49"/>
      <c r="AJ13" s="49"/>
      <c r="AK13" s="50"/>
      <c r="AL13" s="50"/>
      <c r="AM13" s="51"/>
      <c r="AN13" s="51"/>
      <c r="AO13" s="52"/>
      <c r="AP13" s="52"/>
    </row>
    <row r="14" spans="1:42" x14ac:dyDescent="0.35">
      <c r="A14" s="111"/>
      <c r="B14" s="111"/>
      <c r="C14" s="92"/>
      <c r="D14" s="73"/>
      <c r="E14" s="56"/>
      <c r="F14" s="2"/>
      <c r="G14" s="59"/>
      <c r="H14" s="3"/>
      <c r="I14" s="60"/>
      <c r="J14" s="61"/>
      <c r="K14" s="71"/>
      <c r="L14" s="40"/>
      <c r="M14" s="92"/>
      <c r="N14" s="73"/>
      <c r="O14" s="76"/>
      <c r="P14" s="75"/>
      <c r="Q14" s="77"/>
      <c r="R14" s="78"/>
      <c r="S14" s="79"/>
      <c r="T14" s="80"/>
      <c r="U14" s="81"/>
      <c r="V14" s="44"/>
      <c r="W14" s="92"/>
      <c r="X14" s="73"/>
      <c r="Y14" s="94"/>
      <c r="Z14" s="45"/>
      <c r="AA14" s="95"/>
      <c r="AB14" s="46"/>
      <c r="AC14" s="96"/>
      <c r="AD14" s="47"/>
      <c r="AE14" s="97"/>
      <c r="AF14" s="48"/>
      <c r="AG14" s="92"/>
      <c r="AH14" s="73"/>
      <c r="AI14" s="98"/>
      <c r="AJ14" s="49"/>
      <c r="AK14" s="99"/>
      <c r="AL14" s="50"/>
      <c r="AM14" s="100"/>
      <c r="AN14" s="51"/>
      <c r="AO14" s="101"/>
      <c r="AP14" s="52"/>
    </row>
    <row r="15" spans="1:42" x14ac:dyDescent="0.35">
      <c r="A15" s="113" t="s">
        <v>17</v>
      </c>
      <c r="B15" s="113"/>
      <c r="C15" s="73">
        <v>32</v>
      </c>
      <c r="D15" s="93">
        <v>0.36</v>
      </c>
      <c r="E15" s="2" t="s">
        <v>69</v>
      </c>
      <c r="F15" s="83">
        <f>5/47</f>
        <v>0.10638297872340426</v>
      </c>
      <c r="G15" s="3">
        <v>19</v>
      </c>
      <c r="H15" s="57">
        <f>19/55</f>
        <v>0.34545454545454546</v>
      </c>
      <c r="I15" s="39">
        <v>6</v>
      </c>
      <c r="J15" s="61">
        <f>6/29</f>
        <v>0.20689655172413793</v>
      </c>
      <c r="K15" s="40">
        <v>32</v>
      </c>
      <c r="L15" s="72">
        <f>32/39</f>
        <v>0.82051282051282048</v>
      </c>
      <c r="M15" s="73">
        <v>26</v>
      </c>
      <c r="N15" s="74">
        <f>26/82</f>
        <v>0.31707317073170732</v>
      </c>
      <c r="O15" s="41">
        <v>2</v>
      </c>
      <c r="P15" s="75">
        <f>2/21</f>
        <v>9.5238095238095233E-2</v>
      </c>
      <c r="Q15" s="42">
        <v>9</v>
      </c>
      <c r="R15" s="78">
        <f>9/29</f>
        <v>0.31034482758620691</v>
      </c>
      <c r="S15" s="43">
        <v>1</v>
      </c>
      <c r="T15" s="80">
        <f>1/13</f>
        <v>7.6923076923076927E-2</v>
      </c>
      <c r="U15" s="44">
        <v>14</v>
      </c>
      <c r="V15" s="82">
        <f>14/19</f>
        <v>0.73684210526315785</v>
      </c>
      <c r="W15" s="73">
        <v>12</v>
      </c>
      <c r="X15" s="93">
        <f>12/35</f>
        <v>0.34285714285714286</v>
      </c>
      <c r="Y15" s="45">
        <v>2</v>
      </c>
      <c r="Z15" s="63">
        <f>2/10</f>
        <v>0.2</v>
      </c>
      <c r="AA15" s="46">
        <v>3</v>
      </c>
      <c r="AB15" s="64">
        <f>3/12</f>
        <v>0.25</v>
      </c>
      <c r="AC15" s="47">
        <v>2</v>
      </c>
      <c r="AD15" s="65">
        <f>2/7</f>
        <v>0.2857142857142857</v>
      </c>
      <c r="AE15" s="48">
        <v>5</v>
      </c>
      <c r="AF15" s="66">
        <f>5/6</f>
        <v>0.83333333333333337</v>
      </c>
      <c r="AG15" s="73">
        <v>24</v>
      </c>
      <c r="AH15" s="93">
        <f>24/53</f>
        <v>0.45283018867924529</v>
      </c>
      <c r="AI15" s="49">
        <v>1</v>
      </c>
      <c r="AJ15" s="67">
        <f>1/16</f>
        <v>6.25E-2</v>
      </c>
      <c r="AK15" s="50">
        <v>7</v>
      </c>
      <c r="AL15" s="68">
        <f>7/14</f>
        <v>0.5</v>
      </c>
      <c r="AM15" s="51">
        <v>3</v>
      </c>
      <c r="AN15" s="69">
        <f>3/9</f>
        <v>0.33333333333333331</v>
      </c>
      <c r="AO15" s="52">
        <v>13</v>
      </c>
      <c r="AP15" s="70">
        <f>13/14</f>
        <v>0.9285714285714286</v>
      </c>
    </row>
    <row r="16" spans="1:42" x14ac:dyDescent="0.35">
      <c r="A16" s="113" t="s">
        <v>18</v>
      </c>
      <c r="B16" s="113"/>
      <c r="C16" s="73">
        <v>108</v>
      </c>
      <c r="D16" s="93">
        <v>0.64</v>
      </c>
      <c r="E16" s="2" t="s">
        <v>70</v>
      </c>
      <c r="F16" s="83">
        <f>42/47</f>
        <v>0.8936170212765957</v>
      </c>
      <c r="G16" s="3">
        <v>36</v>
      </c>
      <c r="H16" s="57">
        <f>36/55</f>
        <v>0.65454545454545454</v>
      </c>
      <c r="I16" s="39">
        <v>23</v>
      </c>
      <c r="J16" s="61">
        <f>23/29</f>
        <v>0.7931034482758621</v>
      </c>
      <c r="K16" s="40">
        <v>7</v>
      </c>
      <c r="L16" s="72">
        <f>7/39</f>
        <v>0.17948717948717949</v>
      </c>
      <c r="M16" s="73">
        <v>56</v>
      </c>
      <c r="N16" s="74">
        <f>56/82</f>
        <v>0.68292682926829273</v>
      </c>
      <c r="O16" s="41">
        <v>19</v>
      </c>
      <c r="P16" s="75">
        <f>19/21</f>
        <v>0.90476190476190477</v>
      </c>
      <c r="Q16" s="42">
        <v>20</v>
      </c>
      <c r="R16" s="78">
        <f>20/29</f>
        <v>0.68965517241379315</v>
      </c>
      <c r="S16" s="43">
        <v>12</v>
      </c>
      <c r="T16" s="80">
        <f>12/13</f>
        <v>0.92307692307692313</v>
      </c>
      <c r="U16" s="44">
        <v>5</v>
      </c>
      <c r="V16" s="82">
        <f>5/19</f>
        <v>0.26315789473684209</v>
      </c>
      <c r="W16" s="73">
        <v>23</v>
      </c>
      <c r="X16" s="93">
        <f>23/35</f>
        <v>0.65714285714285714</v>
      </c>
      <c r="Y16" s="45">
        <v>8</v>
      </c>
      <c r="Z16" s="63">
        <f>8/10</f>
        <v>0.8</v>
      </c>
      <c r="AA16" s="46">
        <v>9</v>
      </c>
      <c r="AB16" s="64">
        <f>9/12</f>
        <v>0.75</v>
      </c>
      <c r="AC16" s="47">
        <v>5</v>
      </c>
      <c r="AD16" s="65">
        <f>5/7</f>
        <v>0.7142857142857143</v>
      </c>
      <c r="AE16" s="48">
        <v>1</v>
      </c>
      <c r="AF16" s="66">
        <f>1/6</f>
        <v>0.16666666666666666</v>
      </c>
      <c r="AG16" s="73">
        <v>29</v>
      </c>
      <c r="AH16" s="93">
        <f>29/53</f>
        <v>0.54716981132075471</v>
      </c>
      <c r="AI16" s="49">
        <v>15</v>
      </c>
      <c r="AJ16" s="67">
        <f>15/16</f>
        <v>0.9375</v>
      </c>
      <c r="AK16" s="50">
        <v>7</v>
      </c>
      <c r="AL16" s="68">
        <f>7/14</f>
        <v>0.5</v>
      </c>
      <c r="AM16" s="51">
        <v>6</v>
      </c>
      <c r="AN16" s="69">
        <f>6/9</f>
        <v>0.66666666666666663</v>
      </c>
      <c r="AO16" s="52">
        <v>1</v>
      </c>
      <c r="AP16" s="70">
        <f>1/14</f>
        <v>7.1428571428571425E-2</v>
      </c>
    </row>
    <row r="17" spans="1:42" x14ac:dyDescent="0.35">
      <c r="A17" s="111" t="s">
        <v>19</v>
      </c>
      <c r="B17" s="111"/>
      <c r="C17" s="73"/>
      <c r="D17" s="73"/>
      <c r="E17" s="2"/>
      <c r="F17" s="2"/>
      <c r="G17" s="3"/>
      <c r="H17" s="3"/>
      <c r="I17" s="39"/>
      <c r="J17" s="61"/>
      <c r="K17" s="40"/>
      <c r="L17" s="40"/>
      <c r="M17" s="73"/>
      <c r="N17" s="73"/>
      <c r="O17" s="41"/>
      <c r="P17" s="75"/>
      <c r="Q17" s="42"/>
      <c r="R17" s="78"/>
      <c r="S17" s="43"/>
      <c r="T17" s="80"/>
      <c r="U17" s="44"/>
      <c r="V17" s="44"/>
      <c r="W17" s="73"/>
      <c r="X17" s="73"/>
      <c r="Y17" s="45"/>
      <c r="Z17" s="45"/>
      <c r="AA17" s="46"/>
      <c r="AB17" s="46"/>
      <c r="AC17" s="47"/>
      <c r="AD17" s="47"/>
      <c r="AE17" s="48"/>
      <c r="AF17" s="48"/>
      <c r="AG17" s="73"/>
      <c r="AH17" s="73"/>
      <c r="AI17" s="49"/>
      <c r="AJ17" s="49"/>
      <c r="AK17" s="50"/>
      <c r="AL17" s="50"/>
      <c r="AM17" s="51"/>
      <c r="AN17" s="51"/>
      <c r="AO17" s="52"/>
      <c r="AP17" s="52"/>
    </row>
    <row r="18" spans="1:42" x14ac:dyDescent="0.35">
      <c r="A18" s="111"/>
      <c r="B18" s="111"/>
      <c r="C18" s="92"/>
      <c r="D18" s="73"/>
      <c r="E18" s="56"/>
      <c r="F18" s="2"/>
      <c r="G18" s="59"/>
      <c r="H18" s="3"/>
      <c r="I18" s="60"/>
      <c r="J18" s="61"/>
      <c r="K18" s="71"/>
      <c r="L18" s="40"/>
      <c r="M18" s="92"/>
      <c r="N18" s="73"/>
      <c r="O18" s="76"/>
      <c r="P18" s="75"/>
      <c r="Q18" s="77"/>
      <c r="R18" s="78"/>
      <c r="S18" s="79"/>
      <c r="T18" s="80"/>
      <c r="U18" s="81"/>
      <c r="V18" s="44"/>
      <c r="W18" s="92"/>
      <c r="X18" s="73"/>
      <c r="Y18" s="94"/>
      <c r="Z18" s="45"/>
      <c r="AA18" s="95"/>
      <c r="AB18" s="46"/>
      <c r="AC18" s="96"/>
      <c r="AD18" s="47"/>
      <c r="AE18" s="97"/>
      <c r="AF18" s="48"/>
      <c r="AG18" s="92"/>
      <c r="AH18" s="73"/>
      <c r="AI18" s="98"/>
      <c r="AJ18" s="49"/>
      <c r="AK18" s="99"/>
      <c r="AL18" s="50"/>
      <c r="AM18" s="100"/>
      <c r="AN18" s="51"/>
      <c r="AO18" s="101"/>
      <c r="AP18" s="52"/>
    </row>
    <row r="19" spans="1:42" x14ac:dyDescent="0.35">
      <c r="A19" s="113" t="s">
        <v>20</v>
      </c>
      <c r="B19" s="113"/>
      <c r="C19" s="73">
        <v>0</v>
      </c>
      <c r="D19" s="93">
        <v>0</v>
      </c>
      <c r="E19" s="2">
        <v>0</v>
      </c>
      <c r="F19" s="55">
        <v>0</v>
      </c>
      <c r="G19" s="3" t="s">
        <v>71</v>
      </c>
      <c r="H19" s="58">
        <v>0</v>
      </c>
      <c r="I19" s="39">
        <v>0</v>
      </c>
      <c r="J19" s="61">
        <v>0</v>
      </c>
      <c r="K19" s="40">
        <v>0</v>
      </c>
      <c r="L19" s="62">
        <v>0</v>
      </c>
      <c r="M19" s="73">
        <v>0</v>
      </c>
      <c r="N19" s="74">
        <v>0</v>
      </c>
      <c r="O19" s="41">
        <v>0</v>
      </c>
      <c r="P19" s="75">
        <v>0</v>
      </c>
      <c r="Q19" s="42">
        <v>0</v>
      </c>
      <c r="R19" s="78">
        <v>0</v>
      </c>
      <c r="S19" s="43">
        <v>0</v>
      </c>
      <c r="T19" s="80">
        <v>0</v>
      </c>
      <c r="U19" s="44">
        <v>0</v>
      </c>
      <c r="V19" s="82">
        <f t="shared" ref="V19:V21" si="3">0/19</f>
        <v>0</v>
      </c>
      <c r="W19" s="73">
        <v>0</v>
      </c>
      <c r="X19" s="93">
        <v>0</v>
      </c>
      <c r="Y19" s="45">
        <v>0</v>
      </c>
      <c r="Z19" s="63">
        <v>0</v>
      </c>
      <c r="AA19" s="46">
        <v>0</v>
      </c>
      <c r="AB19" s="64">
        <v>0</v>
      </c>
      <c r="AC19" s="47">
        <v>0</v>
      </c>
      <c r="AD19" s="65">
        <v>0</v>
      </c>
      <c r="AE19" s="48">
        <v>0</v>
      </c>
      <c r="AF19" s="66">
        <v>0</v>
      </c>
      <c r="AG19" s="73">
        <v>0</v>
      </c>
      <c r="AH19" s="93">
        <v>0</v>
      </c>
      <c r="AI19" s="49">
        <v>0</v>
      </c>
      <c r="AJ19" s="67">
        <v>0</v>
      </c>
      <c r="AK19" s="50">
        <v>0</v>
      </c>
      <c r="AL19" s="68">
        <v>0</v>
      </c>
      <c r="AM19" s="51">
        <v>0</v>
      </c>
      <c r="AN19" s="69">
        <v>0</v>
      </c>
      <c r="AO19" s="52">
        <v>0</v>
      </c>
      <c r="AP19" s="70">
        <v>0</v>
      </c>
    </row>
    <row r="20" spans="1:42" x14ac:dyDescent="0.35">
      <c r="A20" s="113" t="s">
        <v>21</v>
      </c>
      <c r="B20" s="113"/>
      <c r="C20" s="73">
        <v>7</v>
      </c>
      <c r="D20" s="93">
        <v>0.04</v>
      </c>
      <c r="E20" s="2" t="s">
        <v>75</v>
      </c>
      <c r="F20" s="83">
        <f>3/46</f>
        <v>6.5217391304347824E-2</v>
      </c>
      <c r="G20" s="3">
        <v>1</v>
      </c>
      <c r="H20" s="57">
        <f>1/58</f>
        <v>1.7241379310344827E-2</v>
      </c>
      <c r="I20" s="39">
        <v>1</v>
      </c>
      <c r="J20" s="61">
        <f>1/29</f>
        <v>3.4482758620689655E-2</v>
      </c>
      <c r="K20" s="40">
        <v>2</v>
      </c>
      <c r="L20" s="72">
        <f>2/39</f>
        <v>5.128205128205128E-2</v>
      </c>
      <c r="M20" s="73">
        <v>0</v>
      </c>
      <c r="N20" s="74">
        <f>0/84</f>
        <v>0</v>
      </c>
      <c r="O20" s="41">
        <v>0</v>
      </c>
      <c r="P20" s="75">
        <f>0/21</f>
        <v>0</v>
      </c>
      <c r="Q20" s="42">
        <v>0</v>
      </c>
      <c r="R20" s="78">
        <f>0/31</f>
        <v>0</v>
      </c>
      <c r="S20" s="43">
        <v>0</v>
      </c>
      <c r="T20" s="80">
        <v>0</v>
      </c>
      <c r="U20" s="44">
        <v>0</v>
      </c>
      <c r="V20" s="82">
        <f t="shared" si="3"/>
        <v>0</v>
      </c>
      <c r="W20" s="73">
        <v>1</v>
      </c>
      <c r="X20" s="93">
        <f>1/35</f>
        <v>2.8571428571428571E-2</v>
      </c>
      <c r="Y20" s="45">
        <v>1</v>
      </c>
      <c r="Z20" s="63">
        <f>1/10</f>
        <v>0.1</v>
      </c>
      <c r="AA20" s="46">
        <v>0</v>
      </c>
      <c r="AB20" s="64">
        <v>0</v>
      </c>
      <c r="AC20" s="47">
        <v>0</v>
      </c>
      <c r="AD20" s="65">
        <f>0/7</f>
        <v>0</v>
      </c>
      <c r="AE20" s="48">
        <v>0</v>
      </c>
      <c r="AF20" s="66">
        <f t="shared" ref="AF20:AF21" si="4">0/6</f>
        <v>0</v>
      </c>
      <c r="AG20" s="73">
        <v>6</v>
      </c>
      <c r="AH20" s="93">
        <f>6/53</f>
        <v>0.11320754716981132</v>
      </c>
      <c r="AI20" s="49">
        <v>2</v>
      </c>
      <c r="AJ20" s="67">
        <f>2/15</f>
        <v>0.13333333333333333</v>
      </c>
      <c r="AK20" s="50">
        <v>1</v>
      </c>
      <c r="AL20" s="68">
        <f>1/15</f>
        <v>6.6666666666666666E-2</v>
      </c>
      <c r="AM20" s="51">
        <v>1</v>
      </c>
      <c r="AN20" s="69">
        <f>1/9</f>
        <v>0.1111111111111111</v>
      </c>
      <c r="AO20" s="52">
        <v>2</v>
      </c>
      <c r="AP20" s="70">
        <f>2/14</f>
        <v>0.14285714285714285</v>
      </c>
    </row>
    <row r="21" spans="1:42" x14ac:dyDescent="0.35">
      <c r="A21" s="113" t="s">
        <v>22</v>
      </c>
      <c r="B21" s="113"/>
      <c r="C21" s="73">
        <v>25</v>
      </c>
      <c r="D21" s="93">
        <v>0.15</v>
      </c>
      <c r="E21" s="2" t="s">
        <v>72</v>
      </c>
      <c r="F21" s="83">
        <f>6/46</f>
        <v>0.13043478260869565</v>
      </c>
      <c r="G21" s="3">
        <v>8</v>
      </c>
      <c r="H21" s="57">
        <f>8/58</f>
        <v>0.13793103448275862</v>
      </c>
      <c r="I21" s="39">
        <v>4</v>
      </c>
      <c r="J21" s="61">
        <f>4/29</f>
        <v>0.13793103448275862</v>
      </c>
      <c r="K21" s="40">
        <v>7</v>
      </c>
      <c r="L21" s="72">
        <f>7/39</f>
        <v>0.17948717948717949</v>
      </c>
      <c r="M21" s="73">
        <v>2</v>
      </c>
      <c r="N21" s="74">
        <f>2/84</f>
        <v>2.3809523809523808E-2</v>
      </c>
      <c r="O21" s="41">
        <v>0</v>
      </c>
      <c r="P21" s="75">
        <f>0/21</f>
        <v>0</v>
      </c>
      <c r="Q21" s="42">
        <v>2</v>
      </c>
      <c r="R21" s="78">
        <f>2/31</f>
        <v>6.4516129032258063E-2</v>
      </c>
      <c r="S21" s="43">
        <v>0</v>
      </c>
      <c r="T21" s="80">
        <v>0</v>
      </c>
      <c r="U21" s="44">
        <v>0</v>
      </c>
      <c r="V21" s="82">
        <f t="shared" si="3"/>
        <v>0</v>
      </c>
      <c r="W21" s="73">
        <v>10</v>
      </c>
      <c r="X21" s="93">
        <f>10/35</f>
        <v>0.2857142857142857</v>
      </c>
      <c r="Y21" s="45">
        <v>3</v>
      </c>
      <c r="Z21" s="63">
        <f>3/10</f>
        <v>0.3</v>
      </c>
      <c r="AA21" s="46">
        <v>4</v>
      </c>
      <c r="AB21" s="64">
        <f>4/12</f>
        <v>0.33333333333333331</v>
      </c>
      <c r="AC21" s="47">
        <v>3</v>
      </c>
      <c r="AD21" s="65">
        <f>3/7</f>
        <v>0.42857142857142855</v>
      </c>
      <c r="AE21" s="48">
        <v>0</v>
      </c>
      <c r="AF21" s="66">
        <f t="shared" si="4"/>
        <v>0</v>
      </c>
      <c r="AG21" s="73">
        <v>13</v>
      </c>
      <c r="AH21" s="93">
        <f>13/53</f>
        <v>0.24528301886792453</v>
      </c>
      <c r="AI21" s="49">
        <v>3</v>
      </c>
      <c r="AJ21" s="67">
        <f>3/15</f>
        <v>0.2</v>
      </c>
      <c r="AK21" s="50">
        <v>2</v>
      </c>
      <c r="AL21" s="68">
        <f>2/15</f>
        <v>0.13333333333333333</v>
      </c>
      <c r="AM21" s="51">
        <v>1</v>
      </c>
      <c r="AN21" s="69">
        <f>1/9</f>
        <v>0.1111111111111111</v>
      </c>
      <c r="AO21" s="52">
        <v>7</v>
      </c>
      <c r="AP21" s="70">
        <f>7/14</f>
        <v>0.5</v>
      </c>
    </row>
    <row r="22" spans="1:42" x14ac:dyDescent="0.35">
      <c r="A22" s="113" t="s">
        <v>23</v>
      </c>
      <c r="B22" s="113"/>
      <c r="C22" s="73">
        <v>59</v>
      </c>
      <c r="D22" s="93">
        <v>0.34</v>
      </c>
      <c r="E22" s="2" t="s">
        <v>73</v>
      </c>
      <c r="F22" s="83">
        <f>17/46</f>
        <v>0.36956521739130432</v>
      </c>
      <c r="G22" s="3">
        <v>18</v>
      </c>
      <c r="H22" s="57">
        <f>18/58</f>
        <v>0.31034482758620691</v>
      </c>
      <c r="I22" s="39">
        <v>14</v>
      </c>
      <c r="J22" s="61">
        <f>14/29</f>
        <v>0.48275862068965519</v>
      </c>
      <c r="K22" s="40">
        <v>10</v>
      </c>
      <c r="L22" s="72">
        <f>10/39</f>
        <v>0.25641025641025639</v>
      </c>
      <c r="M22" s="73">
        <v>22</v>
      </c>
      <c r="N22" s="74">
        <f>22/84</f>
        <v>0.26190476190476192</v>
      </c>
      <c r="O22" s="41">
        <v>6</v>
      </c>
      <c r="P22" s="75">
        <f>6/21</f>
        <v>0.2857142857142857</v>
      </c>
      <c r="Q22" s="42">
        <v>6</v>
      </c>
      <c r="R22" s="78">
        <f>6/31</f>
        <v>0.19354838709677419</v>
      </c>
      <c r="S22" s="43">
        <v>6</v>
      </c>
      <c r="T22" s="80">
        <f>6/13</f>
        <v>0.46153846153846156</v>
      </c>
      <c r="U22" s="44">
        <v>4</v>
      </c>
      <c r="V22" s="82">
        <f>4/19</f>
        <v>0.21052631578947367</v>
      </c>
      <c r="W22" s="73">
        <v>15</v>
      </c>
      <c r="X22" s="93">
        <f>15/35</f>
        <v>0.42857142857142855</v>
      </c>
      <c r="Y22" s="45">
        <v>4</v>
      </c>
      <c r="Z22" s="63">
        <f>4/10</f>
        <v>0.4</v>
      </c>
      <c r="AA22" s="46">
        <v>6</v>
      </c>
      <c r="AB22" s="64">
        <f>6/12</f>
        <v>0.5</v>
      </c>
      <c r="AC22" s="47">
        <v>3</v>
      </c>
      <c r="AD22" s="65">
        <f>3/7</f>
        <v>0.42857142857142855</v>
      </c>
      <c r="AE22" s="48">
        <v>2</v>
      </c>
      <c r="AF22" s="66">
        <f>2/6</f>
        <v>0.33333333333333331</v>
      </c>
      <c r="AG22" s="73">
        <v>22</v>
      </c>
      <c r="AH22" s="93">
        <f>22/53</f>
        <v>0.41509433962264153</v>
      </c>
      <c r="AI22" s="49">
        <v>7</v>
      </c>
      <c r="AJ22" s="67">
        <f>7/15</f>
        <v>0.46666666666666667</v>
      </c>
      <c r="AK22" s="50">
        <v>6</v>
      </c>
      <c r="AL22" s="68">
        <f>6/15</f>
        <v>0.4</v>
      </c>
      <c r="AM22" s="51">
        <v>5</v>
      </c>
      <c r="AN22" s="69">
        <f>5/9</f>
        <v>0.55555555555555558</v>
      </c>
      <c r="AO22" s="52">
        <v>4</v>
      </c>
      <c r="AP22" s="70">
        <f>4/14</f>
        <v>0.2857142857142857</v>
      </c>
    </row>
    <row r="23" spans="1:42" x14ac:dyDescent="0.35">
      <c r="A23" s="113" t="s">
        <v>24</v>
      </c>
      <c r="B23" s="113"/>
      <c r="C23" s="73">
        <v>81</v>
      </c>
      <c r="D23" s="93">
        <v>0.47</v>
      </c>
      <c r="E23" s="2" t="s">
        <v>74</v>
      </c>
      <c r="F23" s="83">
        <f>20/46</f>
        <v>0.43478260869565216</v>
      </c>
      <c r="G23" s="3">
        <v>31</v>
      </c>
      <c r="H23" s="57">
        <f>31/58</f>
        <v>0.53448275862068961</v>
      </c>
      <c r="I23" s="39">
        <v>10</v>
      </c>
      <c r="J23" s="61">
        <f>10/29</f>
        <v>0.34482758620689657</v>
      </c>
      <c r="K23" s="40">
        <v>20</v>
      </c>
      <c r="L23" s="72">
        <f>20/39</f>
        <v>0.51282051282051277</v>
      </c>
      <c r="M23" s="73">
        <v>60</v>
      </c>
      <c r="N23" s="74">
        <v>0.72</v>
      </c>
      <c r="O23" s="41">
        <v>15</v>
      </c>
      <c r="P23" s="75">
        <f>15/21</f>
        <v>0.7142857142857143</v>
      </c>
      <c r="Q23" s="42">
        <v>23</v>
      </c>
      <c r="R23" s="78">
        <f>23/31</f>
        <v>0.74193548387096775</v>
      </c>
      <c r="S23" s="43">
        <v>7</v>
      </c>
      <c r="T23" s="80">
        <f>7/13</f>
        <v>0.53846153846153844</v>
      </c>
      <c r="U23" s="44">
        <v>15</v>
      </c>
      <c r="V23" s="82">
        <f>15/19</f>
        <v>0.78947368421052633</v>
      </c>
      <c r="W23" s="73">
        <v>9</v>
      </c>
      <c r="X23" s="93">
        <f>9/35</f>
        <v>0.25714285714285712</v>
      </c>
      <c r="Y23" s="45">
        <v>2</v>
      </c>
      <c r="Z23" s="63">
        <f>2/10</f>
        <v>0.2</v>
      </c>
      <c r="AA23" s="46">
        <v>2</v>
      </c>
      <c r="AB23" s="64">
        <f>2/12</f>
        <v>0.16666666666666666</v>
      </c>
      <c r="AC23" s="47">
        <v>1</v>
      </c>
      <c r="AD23" s="65">
        <f>1/7</f>
        <v>0.14285714285714285</v>
      </c>
      <c r="AE23" s="48">
        <v>4</v>
      </c>
      <c r="AF23" s="66">
        <f>4/6</f>
        <v>0.66666666666666663</v>
      </c>
      <c r="AG23" s="73">
        <v>12</v>
      </c>
      <c r="AH23" s="93">
        <f>12/53</f>
        <v>0.22641509433962265</v>
      </c>
      <c r="AI23" s="49">
        <v>3</v>
      </c>
      <c r="AJ23" s="67">
        <f>3/15</f>
        <v>0.2</v>
      </c>
      <c r="AK23" s="50">
        <v>6</v>
      </c>
      <c r="AL23" s="68">
        <f>6/15</f>
        <v>0.4</v>
      </c>
      <c r="AM23" s="51">
        <v>2</v>
      </c>
      <c r="AN23" s="69">
        <f>2/9</f>
        <v>0.22222222222222221</v>
      </c>
      <c r="AO23" s="52">
        <v>1</v>
      </c>
      <c r="AP23" s="70">
        <f>1/14</f>
        <v>7.1428571428571425E-2</v>
      </c>
    </row>
    <row r="24" spans="1:42" ht="15" customHeight="1" x14ac:dyDescent="0.35">
      <c r="A24" s="111" t="s">
        <v>25</v>
      </c>
      <c r="B24" s="111"/>
      <c r="C24" s="73"/>
      <c r="D24" s="73"/>
      <c r="E24" s="2"/>
      <c r="F24" s="2"/>
      <c r="G24" s="3"/>
      <c r="H24" s="3"/>
      <c r="I24" s="39"/>
      <c r="J24" s="61"/>
      <c r="K24" s="40"/>
      <c r="L24" s="40"/>
      <c r="M24" s="73"/>
      <c r="N24" s="74"/>
      <c r="O24" s="75"/>
      <c r="P24" s="75"/>
      <c r="Q24" s="42"/>
      <c r="R24" s="78"/>
      <c r="S24" s="43"/>
      <c r="T24" s="80"/>
      <c r="U24" s="89"/>
      <c r="V24" s="89"/>
      <c r="W24" s="73"/>
      <c r="X24" s="73"/>
      <c r="Y24" s="45"/>
      <c r="Z24" s="45"/>
      <c r="AA24" s="46"/>
      <c r="AB24" s="46"/>
      <c r="AC24" s="47"/>
      <c r="AD24" s="47"/>
      <c r="AE24" s="48"/>
      <c r="AF24" s="48"/>
      <c r="AG24" s="73"/>
      <c r="AH24" s="73"/>
      <c r="AI24" s="49"/>
      <c r="AJ24" s="49"/>
      <c r="AK24" s="50"/>
      <c r="AL24" s="50"/>
      <c r="AM24" s="51"/>
      <c r="AN24" s="51"/>
      <c r="AO24" s="52"/>
      <c r="AP24" s="52"/>
    </row>
    <row r="25" spans="1:42" ht="34.5" customHeight="1" x14ac:dyDescent="0.35">
      <c r="A25" s="111"/>
      <c r="B25" s="111"/>
      <c r="C25" s="73"/>
      <c r="D25" s="73"/>
      <c r="E25" s="2"/>
      <c r="F25" s="2"/>
      <c r="G25" s="3"/>
      <c r="H25" s="3"/>
      <c r="I25" s="39"/>
      <c r="J25" s="61"/>
      <c r="K25" s="40"/>
      <c r="L25" s="40"/>
      <c r="M25" s="92"/>
      <c r="N25" s="74"/>
      <c r="O25" s="86"/>
      <c r="P25" s="75"/>
      <c r="Q25" s="77"/>
      <c r="R25" s="78"/>
      <c r="S25" s="79"/>
      <c r="T25" s="80"/>
      <c r="U25" s="81"/>
      <c r="V25" s="89"/>
      <c r="W25" s="92"/>
      <c r="X25" s="73"/>
      <c r="Y25" s="94"/>
      <c r="Z25" s="45"/>
      <c r="AA25" s="95"/>
      <c r="AB25" s="46"/>
      <c r="AC25" s="96"/>
      <c r="AD25" s="47"/>
      <c r="AE25" s="97"/>
      <c r="AF25" s="48"/>
      <c r="AG25" s="92"/>
      <c r="AH25" s="73"/>
      <c r="AI25" s="98"/>
      <c r="AJ25" s="49"/>
      <c r="AK25" s="99"/>
      <c r="AL25" s="50"/>
      <c r="AM25" s="100"/>
      <c r="AN25" s="51"/>
      <c r="AO25" s="101"/>
      <c r="AP25" s="52"/>
    </row>
    <row r="26" spans="1:42" ht="30.75" customHeight="1" x14ac:dyDescent="0.35">
      <c r="A26" s="110" t="s">
        <v>63</v>
      </c>
      <c r="B26" s="110"/>
      <c r="C26" s="73" t="s">
        <v>64</v>
      </c>
      <c r="D26" s="106">
        <v>0.56999999999999995</v>
      </c>
      <c r="E26" s="2" t="s">
        <v>76</v>
      </c>
      <c r="F26" s="83">
        <f>21/47</f>
        <v>0.44680851063829785</v>
      </c>
      <c r="G26" s="3" t="s">
        <v>141</v>
      </c>
      <c r="H26" s="57">
        <f>39/56</f>
        <v>0.6964285714285714</v>
      </c>
      <c r="I26" s="39" t="s">
        <v>91</v>
      </c>
      <c r="J26" s="61">
        <f>15/29</f>
        <v>0.51724137931034486</v>
      </c>
      <c r="K26" s="40" t="s">
        <v>144</v>
      </c>
      <c r="L26" s="72">
        <f>23/39</f>
        <v>0.58974358974358976</v>
      </c>
      <c r="M26" s="73" t="s">
        <v>99</v>
      </c>
      <c r="N26" s="74">
        <f>68/82</f>
        <v>0.82926829268292679</v>
      </c>
      <c r="O26" s="75" t="s">
        <v>102</v>
      </c>
      <c r="P26" s="75">
        <f>15/21</f>
        <v>0.7142857142857143</v>
      </c>
      <c r="Q26" s="42" t="s">
        <v>107</v>
      </c>
      <c r="R26" s="78">
        <f>27/29</f>
        <v>0.93103448275862066</v>
      </c>
      <c r="S26" s="43" t="s">
        <v>110</v>
      </c>
      <c r="T26" s="80">
        <f>10/13</f>
        <v>0.76923076923076927</v>
      </c>
      <c r="U26" s="44" t="s">
        <v>112</v>
      </c>
      <c r="V26" s="82">
        <f>16/19</f>
        <v>0.84210526315789469</v>
      </c>
      <c r="W26" s="102" t="s">
        <v>114</v>
      </c>
      <c r="X26" s="93">
        <f>9/35</f>
        <v>0.25714285714285712</v>
      </c>
      <c r="Y26" s="103" t="s">
        <v>117</v>
      </c>
      <c r="Z26" s="63">
        <f>2/10</f>
        <v>0.2</v>
      </c>
      <c r="AA26" s="46" t="s">
        <v>117</v>
      </c>
      <c r="AB26" s="64">
        <f>2/10</f>
        <v>0.2</v>
      </c>
      <c r="AC26" s="65">
        <v>0</v>
      </c>
      <c r="AD26" s="65">
        <v>0</v>
      </c>
      <c r="AE26" s="48" t="s">
        <v>122</v>
      </c>
      <c r="AF26" s="66">
        <f>3/6</f>
        <v>0.5</v>
      </c>
      <c r="AG26" s="73" t="s">
        <v>127</v>
      </c>
      <c r="AH26" s="93">
        <f>21/54</f>
        <v>0.3888888888888889</v>
      </c>
      <c r="AI26" s="49" t="s">
        <v>131</v>
      </c>
      <c r="AJ26" s="67">
        <f>4/16</f>
        <v>0.25</v>
      </c>
      <c r="AK26" s="50" t="s">
        <v>136</v>
      </c>
      <c r="AL26" s="68">
        <f>8/15</f>
        <v>0.53333333333333333</v>
      </c>
      <c r="AM26" s="51" t="s">
        <v>137</v>
      </c>
      <c r="AN26" s="69">
        <f>5/9</f>
        <v>0.55555555555555558</v>
      </c>
      <c r="AO26" s="52" t="s">
        <v>139</v>
      </c>
      <c r="AP26" s="70">
        <f>4/14</f>
        <v>0.2857142857142857</v>
      </c>
    </row>
    <row r="27" spans="1:42" x14ac:dyDescent="0.35">
      <c r="A27" t="s">
        <v>26</v>
      </c>
      <c r="C27" s="73">
        <v>73</v>
      </c>
      <c r="D27" s="93">
        <v>0.43</v>
      </c>
      <c r="E27" s="85" t="s">
        <v>79</v>
      </c>
      <c r="F27" s="83">
        <f>26/47</f>
        <v>0.55319148936170215</v>
      </c>
      <c r="G27" s="3">
        <v>16</v>
      </c>
      <c r="H27" s="57">
        <f>16/56</f>
        <v>0.2857142857142857</v>
      </c>
      <c r="I27" s="39">
        <v>14</v>
      </c>
      <c r="J27" s="61">
        <f>14/29</f>
        <v>0.48275862068965519</v>
      </c>
      <c r="K27" s="40">
        <v>17</v>
      </c>
      <c r="L27" s="72">
        <f>17/39</f>
        <v>0.4358974358974359</v>
      </c>
      <c r="M27" s="73">
        <v>14</v>
      </c>
      <c r="N27" s="74">
        <f>14/82</f>
        <v>0.17073170731707318</v>
      </c>
      <c r="O27" s="87">
        <v>6</v>
      </c>
      <c r="P27" s="75">
        <f>6/21</f>
        <v>0.2857142857142857</v>
      </c>
      <c r="Q27" s="42">
        <v>2</v>
      </c>
      <c r="R27" s="78">
        <f>2/29</f>
        <v>6.8965517241379309E-2</v>
      </c>
      <c r="S27" s="43">
        <v>3</v>
      </c>
      <c r="T27" s="80">
        <f>3/13</f>
        <v>0.23076923076923078</v>
      </c>
      <c r="U27" s="44">
        <v>3</v>
      </c>
      <c r="V27" s="82">
        <f>3/19</f>
        <v>0.15789473684210525</v>
      </c>
      <c r="W27" s="73">
        <v>26</v>
      </c>
      <c r="X27" s="93">
        <f>26/35</f>
        <v>0.74285714285714288</v>
      </c>
      <c r="Y27" s="45">
        <v>8</v>
      </c>
      <c r="Z27" s="63">
        <f>8/10</f>
        <v>0.8</v>
      </c>
      <c r="AA27" s="46">
        <v>8</v>
      </c>
      <c r="AB27" s="64">
        <f>8/10</f>
        <v>0.8</v>
      </c>
      <c r="AC27" s="47">
        <v>6</v>
      </c>
      <c r="AD27" s="65">
        <f>6/7</f>
        <v>0.8571428571428571</v>
      </c>
      <c r="AE27" s="48">
        <v>4</v>
      </c>
      <c r="AF27" s="66">
        <f>4/6</f>
        <v>0.66666666666666663</v>
      </c>
      <c r="AG27" s="73">
        <v>33</v>
      </c>
      <c r="AH27" s="93">
        <f xml:space="preserve"> 33/54</f>
        <v>0.61111111111111116</v>
      </c>
      <c r="AI27" s="49">
        <v>12</v>
      </c>
      <c r="AJ27" s="67">
        <f>12/16</f>
        <v>0.75</v>
      </c>
      <c r="AK27" s="50">
        <v>6</v>
      </c>
      <c r="AL27" s="68">
        <f>6/15</f>
        <v>0.4</v>
      </c>
      <c r="AM27" s="51">
        <v>5</v>
      </c>
      <c r="AN27" s="69">
        <f>5/9</f>
        <v>0.55555555555555558</v>
      </c>
      <c r="AO27" s="52">
        <v>10</v>
      </c>
      <c r="AP27" s="70">
        <v>0.71</v>
      </c>
    </row>
    <row r="28" spans="1:42" x14ac:dyDescent="0.35">
      <c r="A28" t="s">
        <v>27</v>
      </c>
      <c r="C28" s="73">
        <v>22</v>
      </c>
      <c r="D28" s="93">
        <v>0.13</v>
      </c>
      <c r="E28" s="84" t="s">
        <v>80</v>
      </c>
      <c r="F28" s="83">
        <f>2/47</f>
        <v>4.2553191489361701E-2</v>
      </c>
      <c r="G28" s="3">
        <v>7</v>
      </c>
      <c r="H28" s="57">
        <f>7/56</f>
        <v>0.125</v>
      </c>
      <c r="I28" s="39">
        <v>4</v>
      </c>
      <c r="J28" s="61">
        <f>4/29</f>
        <v>0.13793103448275862</v>
      </c>
      <c r="K28" s="40">
        <v>9</v>
      </c>
      <c r="L28" s="72">
        <f>9/39</f>
        <v>0.23076923076923078</v>
      </c>
      <c r="M28" s="73">
        <v>20</v>
      </c>
      <c r="N28" s="74">
        <f>20/82</f>
        <v>0.24390243902439024</v>
      </c>
      <c r="O28" s="75" t="s">
        <v>80</v>
      </c>
      <c r="P28" s="75">
        <f>2/21</f>
        <v>9.5238095238095233E-2</v>
      </c>
      <c r="Q28" s="42">
        <v>6</v>
      </c>
      <c r="R28" s="78">
        <f>6/29</f>
        <v>0.20689655172413793</v>
      </c>
      <c r="S28" s="43">
        <v>4</v>
      </c>
      <c r="T28" s="80">
        <f>4/13</f>
        <v>0.30769230769230771</v>
      </c>
      <c r="U28" s="44">
        <v>8</v>
      </c>
      <c r="V28" s="82">
        <f>8/19</f>
        <v>0.42105263157894735</v>
      </c>
      <c r="W28" s="73">
        <v>2</v>
      </c>
      <c r="X28" s="93">
        <f>2/35</f>
        <v>5.7142857142857141E-2</v>
      </c>
      <c r="Y28" s="45">
        <v>0</v>
      </c>
      <c r="Z28" s="63">
        <f>0/10</f>
        <v>0</v>
      </c>
      <c r="AA28" s="46">
        <v>1</v>
      </c>
      <c r="AB28" s="64">
        <f>1/10</f>
        <v>0.1</v>
      </c>
      <c r="AC28" s="47">
        <v>0</v>
      </c>
      <c r="AD28" s="65">
        <f t="shared" ref="AD28:AD33" si="5">0/7</f>
        <v>0</v>
      </c>
      <c r="AE28" s="48">
        <v>1</v>
      </c>
      <c r="AF28" s="66">
        <f>1/6</f>
        <v>0.16666666666666666</v>
      </c>
      <c r="AG28" s="73">
        <v>0</v>
      </c>
      <c r="AH28" s="93">
        <f>0/54</f>
        <v>0</v>
      </c>
      <c r="AI28" s="49">
        <v>0</v>
      </c>
      <c r="AJ28" s="67">
        <f>0/16</f>
        <v>0</v>
      </c>
      <c r="AK28" s="50">
        <v>0</v>
      </c>
      <c r="AL28" s="68">
        <f>0/15</f>
        <v>0</v>
      </c>
      <c r="AM28" s="51">
        <v>0</v>
      </c>
      <c r="AN28" s="69">
        <f t="shared" ref="AN28:AN32" si="6">0/9</f>
        <v>0</v>
      </c>
      <c r="AO28" s="52">
        <v>0</v>
      </c>
      <c r="AP28" s="70">
        <v>0</v>
      </c>
    </row>
    <row r="29" spans="1:42" x14ac:dyDescent="0.35">
      <c r="A29" t="s">
        <v>28</v>
      </c>
      <c r="C29" s="73">
        <v>4</v>
      </c>
      <c r="D29" s="93">
        <v>0.02</v>
      </c>
      <c r="E29" s="84" t="s">
        <v>81</v>
      </c>
      <c r="F29" s="83">
        <f>1/47</f>
        <v>2.1276595744680851E-2</v>
      </c>
      <c r="G29" s="3">
        <v>0</v>
      </c>
      <c r="H29" s="57">
        <f>0/56</f>
        <v>0</v>
      </c>
      <c r="I29" s="39">
        <v>2</v>
      </c>
      <c r="J29" s="61">
        <f>2/29</f>
        <v>6.8965517241379309E-2</v>
      </c>
      <c r="K29" s="40">
        <v>1</v>
      </c>
      <c r="L29" s="72">
        <f>1/39</f>
        <v>2.564102564102564E-2</v>
      </c>
      <c r="M29" s="73">
        <v>4</v>
      </c>
      <c r="N29" s="74">
        <f>4/82</f>
        <v>4.878048780487805E-2</v>
      </c>
      <c r="O29" s="75" t="s">
        <v>81</v>
      </c>
      <c r="P29" s="75">
        <f>1/21</f>
        <v>4.7619047619047616E-2</v>
      </c>
      <c r="Q29" s="42">
        <v>0</v>
      </c>
      <c r="R29" s="78">
        <f>0/29</f>
        <v>0</v>
      </c>
      <c r="S29" s="43">
        <v>2</v>
      </c>
      <c r="T29" s="80">
        <f>2/13</f>
        <v>0.15384615384615385</v>
      </c>
      <c r="U29" s="44">
        <v>1</v>
      </c>
      <c r="V29" s="82">
        <f>1/19</f>
        <v>5.2631578947368418E-2</v>
      </c>
      <c r="W29" s="73">
        <v>0</v>
      </c>
      <c r="X29" s="93">
        <f>0/35</f>
        <v>0</v>
      </c>
      <c r="Y29" s="45">
        <v>0</v>
      </c>
      <c r="Z29" s="63">
        <f t="shared" ref="Z29:Z32" si="7">0/10</f>
        <v>0</v>
      </c>
      <c r="AA29" s="46">
        <v>0</v>
      </c>
      <c r="AB29" s="64">
        <v>0</v>
      </c>
      <c r="AC29" s="47">
        <v>0</v>
      </c>
      <c r="AD29" s="65">
        <f t="shared" si="5"/>
        <v>0</v>
      </c>
      <c r="AE29" s="48">
        <v>0</v>
      </c>
      <c r="AF29" s="66">
        <f t="shared" ref="AF29:AF32" si="8">0/6</f>
        <v>0</v>
      </c>
      <c r="AG29" s="73">
        <v>0</v>
      </c>
      <c r="AH29" s="93">
        <f>0/54</f>
        <v>0</v>
      </c>
      <c r="AI29" s="49">
        <v>0</v>
      </c>
      <c r="AJ29" s="67">
        <f t="shared" ref="AJ29:AJ30" si="9">0/16</f>
        <v>0</v>
      </c>
      <c r="AK29" s="50">
        <v>0</v>
      </c>
      <c r="AL29" s="68">
        <f>0/15</f>
        <v>0</v>
      </c>
      <c r="AM29" s="51">
        <v>0</v>
      </c>
      <c r="AN29" s="69">
        <f t="shared" si="6"/>
        <v>0</v>
      </c>
      <c r="AO29" s="52">
        <v>0</v>
      </c>
      <c r="AP29" s="70">
        <v>0</v>
      </c>
    </row>
    <row r="30" spans="1:42" x14ac:dyDescent="0.35">
      <c r="A30" t="s">
        <v>29</v>
      </c>
      <c r="C30" s="73">
        <v>7</v>
      </c>
      <c r="D30" s="93">
        <v>0.04</v>
      </c>
      <c r="E30" s="84" t="s">
        <v>71</v>
      </c>
      <c r="F30" s="83">
        <v>0</v>
      </c>
      <c r="G30" s="3">
        <v>4</v>
      </c>
      <c r="H30" s="57">
        <f>4/56</f>
        <v>7.1428571428571425E-2</v>
      </c>
      <c r="I30" s="39">
        <v>0</v>
      </c>
      <c r="J30" s="61">
        <f>0/29</f>
        <v>0</v>
      </c>
      <c r="K30" s="40">
        <v>3</v>
      </c>
      <c r="L30" s="72">
        <f>3/39</f>
        <v>7.6923076923076927E-2</v>
      </c>
      <c r="M30" s="73">
        <v>5</v>
      </c>
      <c r="N30" s="74">
        <f>5/82</f>
        <v>6.097560975609756E-2</v>
      </c>
      <c r="O30" s="75" t="s">
        <v>71</v>
      </c>
      <c r="P30" s="75">
        <f>0/21</f>
        <v>0</v>
      </c>
      <c r="Q30" s="42">
        <v>2</v>
      </c>
      <c r="R30" s="78">
        <f>2/29</f>
        <v>6.8965517241379309E-2</v>
      </c>
      <c r="S30" s="43">
        <v>0</v>
      </c>
      <c r="T30" s="80">
        <f>0/13</f>
        <v>0</v>
      </c>
      <c r="U30" s="44">
        <v>3</v>
      </c>
      <c r="V30" s="82">
        <f>3/19</f>
        <v>0.15789473684210525</v>
      </c>
      <c r="W30" s="73">
        <v>1</v>
      </c>
      <c r="X30" s="93">
        <f>1/35</f>
        <v>2.8571428571428571E-2</v>
      </c>
      <c r="Y30" s="45">
        <v>0</v>
      </c>
      <c r="Z30" s="63">
        <f t="shared" si="7"/>
        <v>0</v>
      </c>
      <c r="AA30" s="46">
        <v>1</v>
      </c>
      <c r="AB30" s="64">
        <f>1/10</f>
        <v>0.1</v>
      </c>
      <c r="AC30" s="47">
        <v>0</v>
      </c>
      <c r="AD30" s="65">
        <f t="shared" si="5"/>
        <v>0</v>
      </c>
      <c r="AE30" s="48">
        <v>0</v>
      </c>
      <c r="AF30" s="66">
        <f t="shared" si="8"/>
        <v>0</v>
      </c>
      <c r="AG30" s="73">
        <v>1</v>
      </c>
      <c r="AH30" s="93">
        <f>1/54</f>
        <v>1.8518518518518517E-2</v>
      </c>
      <c r="AI30" s="49">
        <v>0</v>
      </c>
      <c r="AJ30" s="67">
        <f t="shared" si="9"/>
        <v>0</v>
      </c>
      <c r="AK30" s="50">
        <v>1</v>
      </c>
      <c r="AL30" s="68">
        <f>1/15</f>
        <v>6.6666666666666666E-2</v>
      </c>
      <c r="AM30" s="51">
        <v>0</v>
      </c>
      <c r="AN30" s="69">
        <f t="shared" si="6"/>
        <v>0</v>
      </c>
      <c r="AO30" s="52">
        <v>0</v>
      </c>
      <c r="AP30" s="70">
        <v>0</v>
      </c>
    </row>
    <row r="31" spans="1:42" x14ac:dyDescent="0.35">
      <c r="A31" t="s">
        <v>30</v>
      </c>
      <c r="C31" s="73">
        <v>24</v>
      </c>
      <c r="D31" s="93">
        <v>0.14000000000000001</v>
      </c>
      <c r="E31" s="84" t="s">
        <v>82</v>
      </c>
      <c r="F31" s="83">
        <f>4/47</f>
        <v>8.5106382978723402E-2</v>
      </c>
      <c r="G31" s="3">
        <v>13</v>
      </c>
      <c r="H31" s="57">
        <f>13/56</f>
        <v>0.23214285714285715</v>
      </c>
      <c r="I31" s="39">
        <v>2</v>
      </c>
      <c r="J31" s="61">
        <f>2/29</f>
        <v>6.8965517241379309E-2</v>
      </c>
      <c r="K31" s="40">
        <v>5</v>
      </c>
      <c r="L31" s="72">
        <f>5/39</f>
        <v>0.12820512820512819</v>
      </c>
      <c r="M31" s="73">
        <v>15</v>
      </c>
      <c r="N31" s="74">
        <f>15/82</f>
        <v>0.18292682926829268</v>
      </c>
      <c r="O31" s="75" t="s">
        <v>86</v>
      </c>
      <c r="P31" s="75">
        <f>3/21</f>
        <v>0.14285714285714285</v>
      </c>
      <c r="Q31" s="42">
        <v>6</v>
      </c>
      <c r="R31" s="78">
        <f>6/29</f>
        <v>0.20689655172413793</v>
      </c>
      <c r="S31" s="43">
        <v>2</v>
      </c>
      <c r="T31" s="80">
        <f>2/13</f>
        <v>0.15384615384615385</v>
      </c>
      <c r="U31" s="44">
        <v>4</v>
      </c>
      <c r="V31" s="82">
        <f>4/19</f>
        <v>0.21052631578947367</v>
      </c>
      <c r="W31" s="73">
        <v>1</v>
      </c>
      <c r="X31" s="93">
        <f>1/35</f>
        <v>2.8571428571428571E-2</v>
      </c>
      <c r="Y31" s="45">
        <v>0</v>
      </c>
      <c r="Z31" s="63">
        <f t="shared" si="7"/>
        <v>0</v>
      </c>
      <c r="AA31" s="46">
        <v>1</v>
      </c>
      <c r="AB31" s="64">
        <f>1/10</f>
        <v>0.1</v>
      </c>
      <c r="AC31" s="47">
        <v>0</v>
      </c>
      <c r="AD31" s="65">
        <f t="shared" si="5"/>
        <v>0</v>
      </c>
      <c r="AE31" s="48">
        <v>0</v>
      </c>
      <c r="AF31" s="66">
        <f t="shared" si="8"/>
        <v>0</v>
      </c>
      <c r="AG31" s="73">
        <v>8</v>
      </c>
      <c r="AH31" s="93">
        <f>8/54</f>
        <v>0.14814814814814814</v>
      </c>
      <c r="AI31" s="49">
        <v>1</v>
      </c>
      <c r="AJ31" s="67">
        <f>1/16</f>
        <v>6.25E-2</v>
      </c>
      <c r="AK31" s="50">
        <v>6</v>
      </c>
      <c r="AL31" s="68">
        <f>6/15</f>
        <v>0.4</v>
      </c>
      <c r="AM31" s="51">
        <v>0</v>
      </c>
      <c r="AN31" s="69">
        <f t="shared" si="6"/>
        <v>0</v>
      </c>
      <c r="AO31" s="52">
        <v>1</v>
      </c>
      <c r="AP31" s="70">
        <f>1/14</f>
        <v>7.1428571428571425E-2</v>
      </c>
    </row>
    <row r="32" spans="1:42" x14ac:dyDescent="0.35">
      <c r="A32" t="s">
        <v>31</v>
      </c>
      <c r="C32" s="73">
        <v>2</v>
      </c>
      <c r="D32" s="93">
        <v>0.01</v>
      </c>
      <c r="E32" s="84" t="s">
        <v>81</v>
      </c>
      <c r="F32" s="83">
        <f>1/47</f>
        <v>2.1276595744680851E-2</v>
      </c>
      <c r="G32" s="3">
        <v>0</v>
      </c>
      <c r="H32" s="57">
        <f>0/56</f>
        <v>0</v>
      </c>
      <c r="I32" s="39">
        <v>0</v>
      </c>
      <c r="J32" s="61">
        <f>0/29</f>
        <v>0</v>
      </c>
      <c r="K32" s="40">
        <v>1</v>
      </c>
      <c r="L32" s="72">
        <f>1/39</f>
        <v>2.564102564102564E-2</v>
      </c>
      <c r="M32" s="73">
        <v>2</v>
      </c>
      <c r="N32" s="74">
        <f>2/82</f>
        <v>2.4390243902439025E-2</v>
      </c>
      <c r="O32" s="75" t="s">
        <v>81</v>
      </c>
      <c r="P32" s="75">
        <f>1/21</f>
        <v>4.7619047619047616E-2</v>
      </c>
      <c r="Q32" s="42">
        <v>0</v>
      </c>
      <c r="R32" s="78">
        <f>0/29</f>
        <v>0</v>
      </c>
      <c r="S32" s="43">
        <v>0</v>
      </c>
      <c r="T32" s="80">
        <f>0/13</f>
        <v>0</v>
      </c>
      <c r="U32" s="44">
        <v>1</v>
      </c>
      <c r="V32" s="82">
        <f>1/19</f>
        <v>5.2631578947368418E-2</v>
      </c>
      <c r="W32" s="73">
        <v>0</v>
      </c>
      <c r="X32" s="93">
        <f>0/35</f>
        <v>0</v>
      </c>
      <c r="Y32" s="45">
        <v>0</v>
      </c>
      <c r="Z32" s="63">
        <f t="shared" si="7"/>
        <v>0</v>
      </c>
      <c r="AA32" s="46">
        <v>0</v>
      </c>
      <c r="AB32" s="64">
        <v>0</v>
      </c>
      <c r="AC32" s="47">
        <v>0</v>
      </c>
      <c r="AD32" s="65">
        <f t="shared" si="5"/>
        <v>0</v>
      </c>
      <c r="AE32" s="48">
        <v>0</v>
      </c>
      <c r="AF32" s="66">
        <f t="shared" si="8"/>
        <v>0</v>
      </c>
      <c r="AG32" s="73">
        <v>0</v>
      </c>
      <c r="AH32" s="93">
        <f>0/54</f>
        <v>0</v>
      </c>
      <c r="AI32" s="49">
        <v>0</v>
      </c>
      <c r="AJ32" s="67">
        <f t="shared" ref="AJ32:AJ33" si="10">0/16</f>
        <v>0</v>
      </c>
      <c r="AK32" s="50">
        <v>0</v>
      </c>
      <c r="AL32" s="68">
        <f>0/15</f>
        <v>0</v>
      </c>
      <c r="AM32" s="51">
        <v>0</v>
      </c>
      <c r="AN32" s="69">
        <f t="shared" si="6"/>
        <v>0</v>
      </c>
      <c r="AO32" s="52">
        <v>0</v>
      </c>
      <c r="AP32" s="70">
        <v>0</v>
      </c>
    </row>
    <row r="33" spans="1:42" x14ac:dyDescent="0.35">
      <c r="A33" t="s">
        <v>147</v>
      </c>
      <c r="C33" s="73">
        <v>36</v>
      </c>
      <c r="D33" s="93">
        <v>0.21</v>
      </c>
      <c r="E33" s="84" t="s">
        <v>83</v>
      </c>
      <c r="F33" s="83">
        <f>7/47</f>
        <v>0.14893617021276595</v>
      </c>
      <c r="G33" s="3">
        <v>15</v>
      </c>
      <c r="H33" s="57">
        <f>15/56</f>
        <v>0.26785714285714285</v>
      </c>
      <c r="I33" s="39">
        <v>5</v>
      </c>
      <c r="J33" s="61">
        <f>5/29</f>
        <v>0.17241379310344829</v>
      </c>
      <c r="K33" s="40">
        <v>9</v>
      </c>
      <c r="L33" s="72">
        <f>9/39</f>
        <v>0.23076923076923078</v>
      </c>
      <c r="M33" s="73">
        <v>30</v>
      </c>
      <c r="N33" s="74">
        <f>30/82</f>
        <v>0.36585365853658536</v>
      </c>
      <c r="O33" s="75" t="s">
        <v>85</v>
      </c>
      <c r="P33" s="75">
        <f>6/21</f>
        <v>0.2857142857142857</v>
      </c>
      <c r="Q33" s="42">
        <v>13</v>
      </c>
      <c r="R33" s="78">
        <f>13/29</f>
        <v>0.44827586206896552</v>
      </c>
      <c r="S33" s="43">
        <v>4</v>
      </c>
      <c r="T33" s="80">
        <f>4/13</f>
        <v>0.30769230769230771</v>
      </c>
      <c r="U33" s="44">
        <v>7</v>
      </c>
      <c r="V33" s="82">
        <f>7/19</f>
        <v>0.36842105263157893</v>
      </c>
      <c r="W33" s="73">
        <v>2</v>
      </c>
      <c r="X33" s="93">
        <f>2/35</f>
        <v>5.7142857142857141E-2</v>
      </c>
      <c r="Y33" s="45">
        <v>1</v>
      </c>
      <c r="Z33" s="63">
        <f>1/10</f>
        <v>0.1</v>
      </c>
      <c r="AA33" s="46">
        <v>0</v>
      </c>
      <c r="AB33" s="64">
        <v>0</v>
      </c>
      <c r="AC33" s="47">
        <v>0</v>
      </c>
      <c r="AD33" s="65">
        <f t="shared" si="5"/>
        <v>0</v>
      </c>
      <c r="AE33" s="48">
        <v>1</v>
      </c>
      <c r="AF33" s="66">
        <f>1/6</f>
        <v>0.16666666666666666</v>
      </c>
      <c r="AG33" s="73">
        <v>4</v>
      </c>
      <c r="AH33" s="93">
        <f>4/54</f>
        <v>7.407407407407407E-2</v>
      </c>
      <c r="AI33" s="49">
        <v>0</v>
      </c>
      <c r="AJ33" s="67">
        <f t="shared" si="10"/>
        <v>0</v>
      </c>
      <c r="AK33" s="50">
        <v>2</v>
      </c>
      <c r="AL33" s="68">
        <f>2/15</f>
        <v>0.13333333333333333</v>
      </c>
      <c r="AM33" s="51">
        <v>1</v>
      </c>
      <c r="AN33" s="69">
        <f>1/9</f>
        <v>0.1111111111111111</v>
      </c>
      <c r="AO33" s="52">
        <v>1</v>
      </c>
      <c r="AP33" s="70">
        <f>1/14</f>
        <v>7.1428571428571425E-2</v>
      </c>
    </row>
    <row r="34" spans="1:42" x14ac:dyDescent="0.35">
      <c r="B34" t="s">
        <v>32</v>
      </c>
      <c r="C34" s="108" t="s">
        <v>149</v>
      </c>
      <c r="D34" s="109">
        <v>0.17</v>
      </c>
      <c r="E34" s="84"/>
      <c r="F34" s="83"/>
      <c r="G34" s="3"/>
      <c r="H34" s="57"/>
      <c r="I34" s="39"/>
      <c r="J34" s="61"/>
      <c r="K34" s="40"/>
      <c r="L34" s="72"/>
      <c r="M34" s="73"/>
      <c r="N34" s="74"/>
      <c r="O34" s="75"/>
      <c r="P34" s="75"/>
      <c r="Q34" s="42"/>
      <c r="R34" s="78"/>
      <c r="S34" s="43"/>
      <c r="T34" s="80"/>
      <c r="U34" s="44"/>
      <c r="V34" s="82"/>
      <c r="W34" s="73"/>
      <c r="X34" s="93"/>
      <c r="Y34" s="45"/>
      <c r="Z34" s="63"/>
      <c r="AA34" s="46"/>
      <c r="AB34" s="64"/>
      <c r="AC34" s="47"/>
      <c r="AD34" s="65"/>
      <c r="AE34" s="48"/>
      <c r="AF34" s="66"/>
      <c r="AH34" s="93"/>
      <c r="AI34" s="49"/>
      <c r="AJ34" s="67"/>
      <c r="AK34" s="50"/>
      <c r="AL34" s="68"/>
      <c r="AM34" s="51"/>
      <c r="AN34" s="69"/>
      <c r="AO34" s="52"/>
      <c r="AP34" s="70"/>
    </row>
    <row r="35" spans="1:42" x14ac:dyDescent="0.35">
      <c r="B35" t="s">
        <v>33</v>
      </c>
      <c r="C35" s="108" t="s">
        <v>150</v>
      </c>
      <c r="D35" s="109">
        <v>0</v>
      </c>
      <c r="E35" s="84"/>
      <c r="F35" s="83"/>
      <c r="G35" s="3"/>
      <c r="H35" s="57"/>
      <c r="I35" s="39"/>
      <c r="J35" s="61"/>
      <c r="K35" s="40"/>
      <c r="L35" s="72"/>
      <c r="M35" s="73"/>
      <c r="N35" s="74"/>
      <c r="O35" s="75"/>
      <c r="P35" s="75"/>
      <c r="Q35" s="42"/>
      <c r="R35" s="78"/>
      <c r="S35" s="43"/>
      <c r="T35" s="80"/>
      <c r="U35" s="44"/>
      <c r="V35" s="82"/>
      <c r="W35" s="73"/>
      <c r="X35" s="93"/>
      <c r="Y35" s="45"/>
      <c r="Z35" s="63"/>
      <c r="AA35" s="46"/>
      <c r="AB35" s="64"/>
      <c r="AC35" s="47"/>
      <c r="AD35" s="65"/>
      <c r="AE35" s="48"/>
      <c r="AF35" s="66"/>
      <c r="AH35" s="93"/>
      <c r="AI35" s="49"/>
      <c r="AJ35" s="67"/>
      <c r="AK35" s="50"/>
      <c r="AL35" s="68"/>
      <c r="AM35" s="51"/>
      <c r="AN35" s="69"/>
      <c r="AO35" s="52"/>
      <c r="AP35" s="70"/>
    </row>
    <row r="36" spans="1:42" x14ac:dyDescent="0.35">
      <c r="B36" t="s">
        <v>34</v>
      </c>
      <c r="C36" s="108" t="s">
        <v>151</v>
      </c>
      <c r="D36" s="109">
        <v>0.39</v>
      </c>
      <c r="E36" s="84"/>
      <c r="F36" s="83"/>
      <c r="G36" s="3"/>
      <c r="H36" s="57"/>
      <c r="I36" s="39"/>
      <c r="J36" s="61"/>
      <c r="K36" s="40"/>
      <c r="L36" s="72"/>
      <c r="M36" s="73"/>
      <c r="N36" s="74"/>
      <c r="O36" s="75"/>
      <c r="P36" s="75"/>
      <c r="Q36" s="42"/>
      <c r="R36" s="78"/>
      <c r="S36" s="43"/>
      <c r="T36" s="80"/>
      <c r="U36" s="44"/>
      <c r="V36" s="82"/>
      <c r="W36" s="73"/>
      <c r="X36" s="93"/>
      <c r="Y36" s="45"/>
      <c r="Z36" s="63"/>
      <c r="AA36" s="46"/>
      <c r="AB36" s="64"/>
      <c r="AC36" s="47"/>
      <c r="AD36" s="65"/>
      <c r="AE36" s="48"/>
      <c r="AF36" s="66"/>
      <c r="AH36" s="93"/>
      <c r="AI36" s="49"/>
      <c r="AJ36" s="67"/>
      <c r="AK36" s="50"/>
      <c r="AL36" s="68"/>
      <c r="AM36" s="51"/>
      <c r="AN36" s="69"/>
      <c r="AO36" s="52"/>
      <c r="AP36" s="70"/>
    </row>
    <row r="37" spans="1:42" x14ac:dyDescent="0.35">
      <c r="B37" t="s">
        <v>35</v>
      </c>
      <c r="C37" s="108" t="s">
        <v>152</v>
      </c>
      <c r="D37" s="109">
        <v>0.06</v>
      </c>
      <c r="E37" s="84"/>
      <c r="F37" s="83"/>
      <c r="G37" s="3"/>
      <c r="H37" s="57"/>
      <c r="I37" s="39"/>
      <c r="J37" s="61"/>
      <c r="K37" s="40"/>
      <c r="L37" s="72"/>
      <c r="M37" s="73"/>
      <c r="N37" s="74"/>
      <c r="O37" s="75"/>
      <c r="P37" s="75"/>
      <c r="Q37" s="42"/>
      <c r="R37" s="78"/>
      <c r="S37" s="43"/>
      <c r="T37" s="80"/>
      <c r="U37" s="44"/>
      <c r="V37" s="82"/>
      <c r="W37" s="73"/>
      <c r="X37" s="93"/>
      <c r="Y37" s="45"/>
      <c r="Z37" s="63"/>
      <c r="AA37" s="46"/>
      <c r="AB37" s="64"/>
      <c r="AC37" s="47"/>
      <c r="AD37" s="65"/>
      <c r="AE37" s="48"/>
      <c r="AF37" s="66"/>
      <c r="AH37" s="93"/>
      <c r="AI37" s="49"/>
      <c r="AJ37" s="67"/>
      <c r="AK37" s="50"/>
      <c r="AL37" s="68"/>
      <c r="AM37" s="51"/>
      <c r="AN37" s="69"/>
      <c r="AO37" s="52"/>
      <c r="AP37" s="70"/>
    </row>
    <row r="38" spans="1:42" x14ac:dyDescent="0.35">
      <c r="B38" t="s">
        <v>36</v>
      </c>
      <c r="C38" s="108" t="s">
        <v>153</v>
      </c>
      <c r="D38" s="109">
        <v>0.53</v>
      </c>
      <c r="E38" s="84"/>
      <c r="F38" s="83"/>
      <c r="G38" s="3"/>
      <c r="H38" s="57"/>
      <c r="I38" s="39"/>
      <c r="J38" s="61"/>
      <c r="K38" s="40"/>
      <c r="L38" s="72"/>
      <c r="M38" s="73"/>
      <c r="N38" s="74"/>
      <c r="O38" s="75"/>
      <c r="P38" s="75"/>
      <c r="Q38" s="42"/>
      <c r="R38" s="78"/>
      <c r="S38" s="43"/>
      <c r="T38" s="80"/>
      <c r="U38" s="44"/>
      <c r="V38" s="82"/>
      <c r="W38" s="73"/>
      <c r="X38" s="93"/>
      <c r="Y38" s="45"/>
      <c r="Z38" s="63"/>
      <c r="AA38" s="46"/>
      <c r="AB38" s="64"/>
      <c r="AC38" s="47"/>
      <c r="AD38" s="65"/>
      <c r="AE38" s="48"/>
      <c r="AF38" s="66"/>
      <c r="AH38" s="93"/>
      <c r="AI38" s="49"/>
      <c r="AJ38" s="67"/>
      <c r="AK38" s="50"/>
      <c r="AL38" s="68"/>
      <c r="AM38" s="51"/>
      <c r="AN38" s="69"/>
      <c r="AO38" s="52"/>
      <c r="AP38" s="70"/>
    </row>
    <row r="39" spans="1:42" x14ac:dyDescent="0.35">
      <c r="B39" t="s">
        <v>37</v>
      </c>
      <c r="C39" s="108" t="s">
        <v>152</v>
      </c>
      <c r="D39" s="109">
        <v>0.06</v>
      </c>
      <c r="E39" s="84"/>
      <c r="F39" s="83"/>
      <c r="G39" s="3"/>
      <c r="H39" s="57"/>
      <c r="I39" s="39"/>
      <c r="J39" s="61"/>
      <c r="K39" s="40"/>
      <c r="L39" s="72"/>
      <c r="M39" s="73"/>
      <c r="N39" s="74"/>
      <c r="O39" s="75"/>
      <c r="P39" s="75"/>
      <c r="Q39" s="42"/>
      <c r="R39" s="78"/>
      <c r="S39" s="43"/>
      <c r="T39" s="80"/>
      <c r="U39" s="44"/>
      <c r="V39" s="82"/>
      <c r="W39" s="73"/>
      <c r="X39" s="93"/>
      <c r="Y39" s="45"/>
      <c r="Z39" s="63"/>
      <c r="AA39" s="46"/>
      <c r="AB39" s="64"/>
      <c r="AC39" s="47"/>
      <c r="AD39" s="65"/>
      <c r="AE39" s="48"/>
      <c r="AF39" s="66"/>
      <c r="AH39" s="93"/>
      <c r="AI39" s="49"/>
      <c r="AJ39" s="67"/>
      <c r="AK39" s="50"/>
      <c r="AL39" s="68"/>
      <c r="AM39" s="51"/>
      <c r="AN39" s="69"/>
      <c r="AO39" s="52"/>
      <c r="AP39" s="70"/>
    </row>
    <row r="40" spans="1:42" x14ac:dyDescent="0.35">
      <c r="B40" t="s">
        <v>38</v>
      </c>
      <c r="C40" s="108" t="s">
        <v>152</v>
      </c>
      <c r="D40" s="109">
        <v>0.06</v>
      </c>
      <c r="E40" s="84"/>
      <c r="F40" s="83"/>
      <c r="G40" s="3"/>
      <c r="H40" s="57"/>
      <c r="I40" s="39"/>
      <c r="J40" s="61"/>
      <c r="K40" s="40"/>
      <c r="L40" s="72"/>
      <c r="M40" s="73"/>
      <c r="N40" s="74"/>
      <c r="O40" s="75"/>
      <c r="P40" s="75"/>
      <c r="Q40" s="42"/>
      <c r="R40" s="78"/>
      <c r="S40" s="43"/>
      <c r="T40" s="80"/>
      <c r="U40" s="44"/>
      <c r="V40" s="82"/>
      <c r="W40" s="73"/>
      <c r="X40" s="93"/>
      <c r="Y40" s="45"/>
      <c r="Z40" s="63"/>
      <c r="AA40" s="46"/>
      <c r="AB40" s="64"/>
      <c r="AC40" s="47"/>
      <c r="AD40" s="65"/>
      <c r="AE40" s="48"/>
      <c r="AF40" s="66"/>
      <c r="AG40" s="73"/>
      <c r="AH40" s="93"/>
      <c r="AI40" s="49"/>
      <c r="AJ40" s="67"/>
      <c r="AK40" s="50"/>
      <c r="AL40" s="68"/>
      <c r="AM40" s="51"/>
      <c r="AN40" s="69"/>
      <c r="AO40" s="52"/>
      <c r="AP40" s="70"/>
    </row>
    <row r="41" spans="1:42" x14ac:dyDescent="0.35">
      <c r="B41" t="s">
        <v>39</v>
      </c>
      <c r="C41" s="108" t="s">
        <v>154</v>
      </c>
      <c r="D41" s="109">
        <v>0.33</v>
      </c>
      <c r="E41" s="84"/>
      <c r="F41" s="83"/>
      <c r="G41" s="3"/>
      <c r="H41" s="57"/>
      <c r="I41" s="39"/>
      <c r="J41" s="61"/>
      <c r="K41" s="40"/>
      <c r="L41" s="72"/>
      <c r="M41" s="73"/>
      <c r="N41" s="74"/>
      <c r="O41" s="75"/>
      <c r="P41" s="75"/>
      <c r="Q41" s="42"/>
      <c r="R41" s="78"/>
      <c r="S41" s="43"/>
      <c r="T41" s="80"/>
      <c r="U41" s="44"/>
      <c r="V41" s="82"/>
      <c r="W41" s="73"/>
      <c r="X41" s="93"/>
      <c r="Y41" s="45"/>
      <c r="Z41" s="63"/>
      <c r="AA41" s="46"/>
      <c r="AB41" s="64"/>
      <c r="AC41" s="47"/>
      <c r="AD41" s="65"/>
      <c r="AE41" s="48"/>
      <c r="AF41" s="66"/>
      <c r="AG41" s="73"/>
      <c r="AH41" s="93"/>
      <c r="AI41" s="49"/>
      <c r="AJ41" s="67"/>
      <c r="AK41" s="50"/>
      <c r="AL41" s="68"/>
      <c r="AM41" s="51"/>
      <c r="AN41" s="69"/>
      <c r="AO41" s="52"/>
      <c r="AP41" s="70"/>
    </row>
    <row r="42" spans="1:42" ht="15" customHeight="1" x14ac:dyDescent="0.35">
      <c r="A42" s="113" t="s">
        <v>148</v>
      </c>
      <c r="B42" s="114"/>
      <c r="C42" s="73">
        <v>30</v>
      </c>
      <c r="D42" s="93">
        <v>0.18</v>
      </c>
      <c r="E42" s="84" t="s">
        <v>85</v>
      </c>
      <c r="F42" s="83">
        <f>6/47</f>
        <v>0.1276595744680851</v>
      </c>
      <c r="G42" s="3">
        <v>11</v>
      </c>
      <c r="H42" s="57">
        <f>11/56</f>
        <v>0.19642857142857142</v>
      </c>
      <c r="I42" s="39">
        <v>5</v>
      </c>
      <c r="J42" s="61">
        <f>5/29</f>
        <v>0.17241379310344829</v>
      </c>
      <c r="K42" s="40">
        <v>8</v>
      </c>
      <c r="L42" s="72">
        <f>8/39</f>
        <v>0.20512820512820512</v>
      </c>
      <c r="M42" s="73">
        <v>22</v>
      </c>
      <c r="N42" s="74">
        <f>22/82</f>
        <v>0.26829268292682928</v>
      </c>
      <c r="O42" s="75" t="s">
        <v>86</v>
      </c>
      <c r="P42" s="75">
        <f>3/21</f>
        <v>0.14285714285714285</v>
      </c>
      <c r="Q42" s="42">
        <v>9</v>
      </c>
      <c r="R42" s="78">
        <f>9/29</f>
        <v>0.31034482758620691</v>
      </c>
      <c r="S42" s="43">
        <v>2</v>
      </c>
      <c r="T42" s="80">
        <f>2/13</f>
        <v>0.15384615384615385</v>
      </c>
      <c r="U42" s="44">
        <v>8</v>
      </c>
      <c r="V42" s="82">
        <f>8/19</f>
        <v>0.42105263157894735</v>
      </c>
      <c r="W42" s="73">
        <v>4</v>
      </c>
      <c r="X42" s="93">
        <f>4/35</f>
        <v>0.11428571428571428</v>
      </c>
      <c r="Y42" s="45">
        <v>1</v>
      </c>
      <c r="Z42" s="63">
        <f>1/10</f>
        <v>0.1</v>
      </c>
      <c r="AA42" s="46">
        <v>1</v>
      </c>
      <c r="AB42" s="64">
        <f>1/10</f>
        <v>0.1</v>
      </c>
      <c r="AC42" s="47">
        <v>2</v>
      </c>
      <c r="AD42" s="65">
        <f>2/7</f>
        <v>0.2857142857142857</v>
      </c>
      <c r="AE42" s="48">
        <v>0</v>
      </c>
      <c r="AF42" s="66">
        <f t="shared" ref="AF42" si="11">0/6</f>
        <v>0</v>
      </c>
      <c r="AG42" s="73">
        <v>4</v>
      </c>
      <c r="AH42" s="93">
        <f>4/54</f>
        <v>7.407407407407407E-2</v>
      </c>
      <c r="AI42" s="49">
        <v>2</v>
      </c>
      <c r="AJ42" s="67">
        <f>2/16</f>
        <v>0.125</v>
      </c>
      <c r="AK42" s="50">
        <v>1</v>
      </c>
      <c r="AL42" s="68">
        <f>1/15</f>
        <v>6.6666666666666666E-2</v>
      </c>
      <c r="AM42" s="51">
        <v>1</v>
      </c>
      <c r="AN42" s="69">
        <f>1/9</f>
        <v>0.1111111111111111</v>
      </c>
      <c r="AO42" s="52">
        <v>0</v>
      </c>
      <c r="AP42" s="70">
        <v>0</v>
      </c>
    </row>
    <row r="43" spans="1:42" x14ac:dyDescent="0.35">
      <c r="B43" t="s">
        <v>40</v>
      </c>
      <c r="C43" s="108" t="s">
        <v>155</v>
      </c>
      <c r="D43" s="109">
        <f>3/30</f>
        <v>0.1</v>
      </c>
      <c r="E43" s="84"/>
      <c r="F43" s="83"/>
      <c r="G43" s="3"/>
      <c r="H43" s="57"/>
      <c r="I43" s="39"/>
      <c r="J43" s="61"/>
      <c r="K43" s="40"/>
      <c r="L43" s="72"/>
      <c r="M43" s="73"/>
      <c r="N43" s="74"/>
      <c r="O43" s="75"/>
      <c r="P43" s="75"/>
      <c r="Q43" s="42"/>
      <c r="R43" s="78"/>
      <c r="S43" s="43"/>
      <c r="T43" s="80"/>
      <c r="U43" s="44"/>
      <c r="V43" s="82"/>
      <c r="W43" s="73"/>
      <c r="X43" s="93"/>
      <c r="Y43" s="45"/>
      <c r="Z43" s="63"/>
      <c r="AA43" s="46"/>
      <c r="AB43" s="64"/>
      <c r="AC43" s="47"/>
      <c r="AD43" s="65"/>
      <c r="AE43" s="48"/>
      <c r="AF43" s="66"/>
      <c r="AH43" s="93"/>
      <c r="AI43" s="49"/>
      <c r="AJ43" s="67"/>
      <c r="AK43" s="50"/>
      <c r="AL43" s="68"/>
      <c r="AM43" s="51"/>
      <c r="AN43" s="69"/>
      <c r="AO43" s="52"/>
      <c r="AP43" s="70"/>
    </row>
    <row r="44" spans="1:42" x14ac:dyDescent="0.35">
      <c r="B44" t="s">
        <v>41</v>
      </c>
      <c r="C44" s="108" t="s">
        <v>155</v>
      </c>
      <c r="D44" s="109">
        <f>3/30</f>
        <v>0.1</v>
      </c>
      <c r="E44" s="84"/>
      <c r="F44" s="83"/>
      <c r="G44" s="3"/>
      <c r="H44" s="57"/>
      <c r="I44" s="39"/>
      <c r="J44" s="61"/>
      <c r="K44" s="40"/>
      <c r="L44" s="72"/>
      <c r="M44" s="73"/>
      <c r="N44" s="74"/>
      <c r="O44" s="75"/>
      <c r="P44" s="75"/>
      <c r="Q44" s="42"/>
      <c r="R44" s="78"/>
      <c r="S44" s="43"/>
      <c r="T44" s="80"/>
      <c r="U44" s="44"/>
      <c r="V44" s="82"/>
      <c r="W44" s="73"/>
      <c r="X44" s="93"/>
      <c r="Y44" s="45"/>
      <c r="Z44" s="63"/>
      <c r="AA44" s="46"/>
      <c r="AB44" s="64"/>
      <c r="AC44" s="47"/>
      <c r="AD44" s="65"/>
      <c r="AE44" s="48"/>
      <c r="AF44" s="66"/>
      <c r="AH44" s="93"/>
      <c r="AI44" s="49"/>
      <c r="AJ44" s="67"/>
      <c r="AK44" s="50"/>
      <c r="AL44" s="68"/>
      <c r="AM44" s="51"/>
      <c r="AN44" s="69"/>
      <c r="AO44" s="52"/>
      <c r="AP44" s="70"/>
    </row>
    <row r="45" spans="1:42" x14ac:dyDescent="0.35">
      <c r="B45" t="s">
        <v>42</v>
      </c>
      <c r="C45" s="108" t="s">
        <v>156</v>
      </c>
      <c r="D45" s="109">
        <f>5/30</f>
        <v>0.16666666666666666</v>
      </c>
      <c r="E45" s="84"/>
      <c r="F45" s="83"/>
      <c r="G45" s="3"/>
      <c r="H45" s="57"/>
      <c r="I45" s="39"/>
      <c r="J45" s="61"/>
      <c r="K45" s="40"/>
      <c r="L45" s="72"/>
      <c r="M45" s="73"/>
      <c r="N45" s="74"/>
      <c r="O45" s="75"/>
      <c r="P45" s="75"/>
      <c r="Q45" s="42"/>
      <c r="R45" s="78"/>
      <c r="S45" s="43"/>
      <c r="T45" s="80"/>
      <c r="U45" s="44"/>
      <c r="V45" s="82"/>
      <c r="W45" s="73"/>
      <c r="X45" s="93"/>
      <c r="Y45" s="45"/>
      <c r="Z45" s="63"/>
      <c r="AA45" s="46"/>
      <c r="AB45" s="64"/>
      <c r="AC45" s="47"/>
      <c r="AD45" s="65"/>
      <c r="AE45" s="48"/>
      <c r="AF45" s="66"/>
      <c r="AH45" s="93"/>
      <c r="AI45" s="49"/>
      <c r="AJ45" s="67"/>
      <c r="AK45" s="50"/>
      <c r="AL45" s="68"/>
      <c r="AM45" s="51"/>
      <c r="AN45" s="69"/>
      <c r="AO45" s="52"/>
      <c r="AP45" s="70"/>
    </row>
    <row r="46" spans="1:42" x14ac:dyDescent="0.35">
      <c r="B46" t="s">
        <v>43</v>
      </c>
      <c r="C46" s="108" t="s">
        <v>156</v>
      </c>
      <c r="D46" s="109">
        <f t="shared" ref="D46:D47" si="12">5/30</f>
        <v>0.16666666666666666</v>
      </c>
      <c r="E46" s="84"/>
      <c r="F46" s="83"/>
      <c r="G46" s="3"/>
      <c r="H46" s="57"/>
      <c r="I46" s="39"/>
      <c r="J46" s="61"/>
      <c r="K46" s="40"/>
      <c r="L46" s="72"/>
      <c r="M46" s="73"/>
      <c r="N46" s="74"/>
      <c r="O46" s="75"/>
      <c r="P46" s="75"/>
      <c r="Q46" s="42"/>
      <c r="R46" s="78"/>
      <c r="S46" s="43"/>
      <c r="T46" s="80"/>
      <c r="U46" s="44"/>
      <c r="V46" s="82"/>
      <c r="W46" s="73"/>
      <c r="X46" s="93"/>
      <c r="Y46" s="45"/>
      <c r="Z46" s="63"/>
      <c r="AA46" s="46"/>
      <c r="AB46" s="64"/>
      <c r="AC46" s="47"/>
      <c r="AD46" s="65"/>
      <c r="AE46" s="48"/>
      <c r="AF46" s="66"/>
      <c r="AH46" s="93"/>
      <c r="AI46" s="49"/>
      <c r="AJ46" s="67"/>
      <c r="AK46" s="50"/>
      <c r="AL46" s="68"/>
      <c r="AM46" s="51"/>
      <c r="AN46" s="69"/>
      <c r="AO46" s="52"/>
      <c r="AP46" s="70"/>
    </row>
    <row r="47" spans="1:42" x14ac:dyDescent="0.35">
      <c r="B47" t="s">
        <v>44</v>
      </c>
      <c r="C47" s="108" t="s">
        <v>156</v>
      </c>
      <c r="D47" s="109">
        <f t="shared" si="12"/>
        <v>0.16666666666666666</v>
      </c>
      <c r="E47" s="84"/>
      <c r="F47" s="83"/>
      <c r="G47" s="3"/>
      <c r="H47" s="57"/>
      <c r="I47" s="39"/>
      <c r="J47" s="61"/>
      <c r="K47" s="40"/>
      <c r="L47" s="72"/>
      <c r="M47" s="73"/>
      <c r="N47" s="74"/>
      <c r="O47" s="75"/>
      <c r="P47" s="75"/>
      <c r="Q47" s="42"/>
      <c r="R47" s="78"/>
      <c r="S47" s="43"/>
      <c r="T47" s="80"/>
      <c r="U47" s="44"/>
      <c r="V47" s="82"/>
      <c r="W47" s="73"/>
      <c r="X47" s="93"/>
      <c r="Y47" s="45"/>
      <c r="Z47" s="63"/>
      <c r="AA47" s="46"/>
      <c r="AB47" s="64"/>
      <c r="AC47" s="47"/>
      <c r="AD47" s="65"/>
      <c r="AE47" s="48"/>
      <c r="AF47" s="66"/>
      <c r="AH47" s="93"/>
      <c r="AI47" s="49"/>
      <c r="AJ47" s="67"/>
      <c r="AK47" s="50"/>
      <c r="AL47" s="68"/>
      <c r="AM47" s="51"/>
      <c r="AN47" s="69"/>
      <c r="AO47" s="52"/>
      <c r="AP47" s="70"/>
    </row>
    <row r="48" spans="1:42" x14ac:dyDescent="0.35">
      <c r="B48" t="s">
        <v>39</v>
      </c>
      <c r="C48" s="108" t="s">
        <v>157</v>
      </c>
      <c r="D48" s="109">
        <f>17/30</f>
        <v>0.56666666666666665</v>
      </c>
      <c r="E48" s="84"/>
      <c r="F48" s="83"/>
      <c r="G48" s="3"/>
      <c r="H48" s="57"/>
      <c r="I48" s="39"/>
      <c r="J48" s="61"/>
      <c r="K48" s="40"/>
      <c r="L48" s="72"/>
      <c r="M48" s="73"/>
      <c r="N48" s="74"/>
      <c r="O48" s="75"/>
      <c r="P48" s="75"/>
      <c r="Q48" s="42"/>
      <c r="R48" s="78"/>
      <c r="S48" s="43"/>
      <c r="T48" s="80"/>
      <c r="U48" s="44"/>
      <c r="V48" s="82"/>
      <c r="W48" s="73"/>
      <c r="X48" s="93"/>
      <c r="Y48" s="45"/>
      <c r="Z48" s="63"/>
      <c r="AA48" s="46"/>
      <c r="AB48" s="64"/>
      <c r="AC48" s="47"/>
      <c r="AD48" s="65"/>
      <c r="AE48" s="48"/>
      <c r="AF48" s="66"/>
      <c r="AG48" s="73"/>
      <c r="AH48" s="93"/>
      <c r="AI48" s="49"/>
      <c r="AJ48" s="67"/>
      <c r="AK48" s="50"/>
      <c r="AL48" s="68"/>
      <c r="AM48" s="51"/>
      <c r="AN48" s="69"/>
      <c r="AO48" s="52"/>
      <c r="AP48" s="70"/>
    </row>
    <row r="49" spans="1:42" x14ac:dyDescent="0.35">
      <c r="A49" t="s">
        <v>45</v>
      </c>
      <c r="C49" s="73">
        <v>8</v>
      </c>
      <c r="D49" s="93">
        <v>0.05</v>
      </c>
      <c r="E49" s="84" t="s">
        <v>80</v>
      </c>
      <c r="F49" s="83">
        <f>2/47</f>
        <v>4.2553191489361701E-2</v>
      </c>
      <c r="G49" s="3">
        <v>3</v>
      </c>
      <c r="H49" s="57">
        <f>3/56</f>
        <v>5.3571428571428568E-2</v>
      </c>
      <c r="I49" s="39">
        <v>1</v>
      </c>
      <c r="J49" s="61">
        <f>1/29</f>
        <v>3.4482758620689655E-2</v>
      </c>
      <c r="K49" s="40">
        <v>2</v>
      </c>
      <c r="L49" s="72">
        <f>2/39</f>
        <v>5.128205128205128E-2</v>
      </c>
      <c r="M49" s="73">
        <v>8</v>
      </c>
      <c r="N49" s="74">
        <f>8/82</f>
        <v>9.7560975609756101E-2</v>
      </c>
      <c r="O49" s="75" t="s">
        <v>80</v>
      </c>
      <c r="P49" s="75">
        <f>2/21</f>
        <v>9.5238095238095233E-2</v>
      </c>
      <c r="Q49" s="42">
        <v>3</v>
      </c>
      <c r="R49" s="78">
        <f>3/29</f>
        <v>0.10344827586206896</v>
      </c>
      <c r="S49" s="43">
        <v>1</v>
      </c>
      <c r="T49" s="80">
        <f>1/13</f>
        <v>7.6923076923076927E-2</v>
      </c>
      <c r="U49" s="44">
        <v>2</v>
      </c>
      <c r="V49" s="82">
        <f>2/19</f>
        <v>0.10526315789473684</v>
      </c>
      <c r="W49" s="73">
        <v>0</v>
      </c>
      <c r="X49" s="93">
        <f t="shared" ref="X49:X50" si="13">0/35</f>
        <v>0</v>
      </c>
      <c r="Y49" s="45">
        <v>0</v>
      </c>
      <c r="Z49" s="63">
        <f t="shared" ref="Z49:Z52" si="14">0/10</f>
        <v>0</v>
      </c>
      <c r="AA49" s="46">
        <v>0</v>
      </c>
      <c r="AB49" s="64">
        <v>0</v>
      </c>
      <c r="AC49" s="47">
        <v>0</v>
      </c>
      <c r="AD49" s="65">
        <f t="shared" ref="AD49:AD50" si="15">0/7</f>
        <v>0</v>
      </c>
      <c r="AE49" s="48">
        <v>0</v>
      </c>
      <c r="AF49" s="66">
        <f t="shared" ref="AF49:AF52" si="16">0/6</f>
        <v>0</v>
      </c>
      <c r="AG49" s="73">
        <v>0</v>
      </c>
      <c r="AH49" s="93">
        <f>0/54</f>
        <v>0</v>
      </c>
      <c r="AI49" s="49">
        <v>0</v>
      </c>
      <c r="AJ49" s="67">
        <f t="shared" ref="AJ49:AJ50" si="17">0/16</f>
        <v>0</v>
      </c>
      <c r="AK49" s="50">
        <v>0</v>
      </c>
      <c r="AL49" s="68">
        <f>0/15</f>
        <v>0</v>
      </c>
      <c r="AM49" s="51">
        <v>0</v>
      </c>
      <c r="AN49" s="69">
        <f t="shared" ref="AN49:AN52" si="18">0/9</f>
        <v>0</v>
      </c>
      <c r="AO49" s="52">
        <v>0</v>
      </c>
      <c r="AP49" s="70">
        <v>0</v>
      </c>
    </row>
    <row r="50" spans="1:42" x14ac:dyDescent="0.35">
      <c r="A50" t="s">
        <v>46</v>
      </c>
      <c r="C50" s="73">
        <v>1</v>
      </c>
      <c r="D50" s="93">
        <v>0.01</v>
      </c>
      <c r="E50" s="84" t="s">
        <v>81</v>
      </c>
      <c r="F50" s="83">
        <f>1/47</f>
        <v>2.1276595744680851E-2</v>
      </c>
      <c r="G50" s="3">
        <v>0</v>
      </c>
      <c r="H50" s="57">
        <f>0/56</f>
        <v>0</v>
      </c>
      <c r="I50" s="39">
        <v>0</v>
      </c>
      <c r="J50" s="61">
        <f>0/29</f>
        <v>0</v>
      </c>
      <c r="K50" s="40">
        <v>0</v>
      </c>
      <c r="L50" s="72">
        <f>0/39</f>
        <v>0</v>
      </c>
      <c r="M50" s="73">
        <v>1</v>
      </c>
      <c r="N50" s="74">
        <f>1/82</f>
        <v>1.2195121951219513E-2</v>
      </c>
      <c r="O50" s="75" t="s">
        <v>81</v>
      </c>
      <c r="P50" s="75">
        <f>1/21</f>
        <v>4.7619047619047616E-2</v>
      </c>
      <c r="Q50" s="42">
        <v>0</v>
      </c>
      <c r="R50" s="78">
        <f>0/29</f>
        <v>0</v>
      </c>
      <c r="S50" s="43">
        <v>0</v>
      </c>
      <c r="T50" s="80">
        <f>0/13</f>
        <v>0</v>
      </c>
      <c r="U50" s="44">
        <v>0</v>
      </c>
      <c r="V50" s="82">
        <f>0/19</f>
        <v>0</v>
      </c>
      <c r="W50" s="73">
        <v>0</v>
      </c>
      <c r="X50" s="93">
        <f t="shared" si="13"/>
        <v>0</v>
      </c>
      <c r="Y50" s="45">
        <v>0</v>
      </c>
      <c r="Z50" s="63">
        <f t="shared" si="14"/>
        <v>0</v>
      </c>
      <c r="AA50" s="46">
        <v>0</v>
      </c>
      <c r="AB50" s="64">
        <v>0</v>
      </c>
      <c r="AC50" s="47">
        <v>0</v>
      </c>
      <c r="AD50" s="65">
        <f t="shared" si="15"/>
        <v>0</v>
      </c>
      <c r="AE50" s="48">
        <v>0</v>
      </c>
      <c r="AF50" s="66">
        <f t="shared" si="16"/>
        <v>0</v>
      </c>
      <c r="AG50" s="73">
        <v>0</v>
      </c>
      <c r="AH50" s="93">
        <f>0/54</f>
        <v>0</v>
      </c>
      <c r="AI50" s="49">
        <v>0</v>
      </c>
      <c r="AJ50" s="67">
        <f t="shared" si="17"/>
        <v>0</v>
      </c>
      <c r="AK50" s="50">
        <v>0</v>
      </c>
      <c r="AL50" s="68">
        <f>0/15</f>
        <v>0</v>
      </c>
      <c r="AM50" s="51">
        <v>0</v>
      </c>
      <c r="AN50" s="69">
        <f t="shared" si="18"/>
        <v>0</v>
      </c>
      <c r="AO50" s="52">
        <v>0</v>
      </c>
      <c r="AP50" s="70">
        <v>0</v>
      </c>
    </row>
    <row r="51" spans="1:42" x14ac:dyDescent="0.35">
      <c r="A51" t="s">
        <v>47</v>
      </c>
      <c r="C51" s="73">
        <v>10</v>
      </c>
      <c r="D51" s="93">
        <v>0.06</v>
      </c>
      <c r="E51" s="84" t="s">
        <v>86</v>
      </c>
      <c r="F51" s="83">
        <f>3/47</f>
        <v>6.3829787234042548E-2</v>
      </c>
      <c r="G51" s="3">
        <v>3</v>
      </c>
      <c r="H51" s="57">
        <f>3/56</f>
        <v>5.3571428571428568E-2</v>
      </c>
      <c r="I51" s="39">
        <v>2</v>
      </c>
      <c r="J51" s="61">
        <f>2/29</f>
        <v>6.8965517241379309E-2</v>
      </c>
      <c r="K51" s="40">
        <v>2</v>
      </c>
      <c r="L51" s="72">
        <f>2/39</f>
        <v>5.128205128205128E-2</v>
      </c>
      <c r="M51" s="73">
        <v>7</v>
      </c>
      <c r="N51" s="74">
        <f>7/82</f>
        <v>8.5365853658536592E-2</v>
      </c>
      <c r="O51" s="75" t="s">
        <v>80</v>
      </c>
      <c r="P51" s="75">
        <f>2/21</f>
        <v>9.5238095238095233E-2</v>
      </c>
      <c r="Q51" s="42">
        <v>2</v>
      </c>
      <c r="R51" s="78">
        <f>2/29</f>
        <v>6.8965517241379309E-2</v>
      </c>
      <c r="S51" s="43">
        <v>1</v>
      </c>
      <c r="T51" s="80">
        <f>1/13</f>
        <v>7.6923076923076927E-2</v>
      </c>
      <c r="U51" s="44">
        <v>2</v>
      </c>
      <c r="V51" s="82">
        <f>2/19</f>
        <v>0.10526315789473684</v>
      </c>
      <c r="W51" s="73">
        <v>1</v>
      </c>
      <c r="X51" s="93">
        <f>1/35</f>
        <v>2.8571428571428571E-2</v>
      </c>
      <c r="Y51" s="45">
        <v>0</v>
      </c>
      <c r="Z51" s="63">
        <f t="shared" si="14"/>
        <v>0</v>
      </c>
      <c r="AA51" s="46">
        <v>0</v>
      </c>
      <c r="AB51" s="64">
        <v>0</v>
      </c>
      <c r="AC51" s="47">
        <v>1</v>
      </c>
      <c r="AD51" s="65">
        <f>1/7</f>
        <v>0.14285714285714285</v>
      </c>
      <c r="AE51" s="48">
        <v>0</v>
      </c>
      <c r="AF51" s="66">
        <f t="shared" si="16"/>
        <v>0</v>
      </c>
      <c r="AG51" s="73">
        <v>2</v>
      </c>
      <c r="AH51" s="93">
        <f>2/54</f>
        <v>3.7037037037037035E-2</v>
      </c>
      <c r="AI51" s="49">
        <v>1</v>
      </c>
      <c r="AJ51" s="67">
        <f>1/16</f>
        <v>6.25E-2</v>
      </c>
      <c r="AK51" s="50">
        <v>1</v>
      </c>
      <c r="AL51" s="68">
        <f>1/15</f>
        <v>6.6666666666666666E-2</v>
      </c>
      <c r="AM51" s="51">
        <v>0</v>
      </c>
      <c r="AN51" s="69">
        <f t="shared" si="18"/>
        <v>0</v>
      </c>
      <c r="AO51" s="52">
        <v>0</v>
      </c>
      <c r="AP51" s="70">
        <v>0</v>
      </c>
    </row>
    <row r="52" spans="1:42" x14ac:dyDescent="0.35">
      <c r="A52" t="s">
        <v>48</v>
      </c>
      <c r="C52" s="73">
        <v>6</v>
      </c>
      <c r="D52" s="93">
        <v>0.04</v>
      </c>
      <c r="E52" s="84" t="s">
        <v>81</v>
      </c>
      <c r="F52" s="83">
        <f>1/47</f>
        <v>2.1276595744680851E-2</v>
      </c>
      <c r="G52" s="3">
        <v>3</v>
      </c>
      <c r="H52" s="57">
        <f>3/56</f>
        <v>5.3571428571428568E-2</v>
      </c>
      <c r="I52" s="39">
        <v>0</v>
      </c>
      <c r="J52" s="61">
        <f>0/29</f>
        <v>0</v>
      </c>
      <c r="K52" s="40">
        <v>2</v>
      </c>
      <c r="L52" s="72">
        <f>2/39</f>
        <v>5.128205128205128E-2</v>
      </c>
      <c r="M52" s="73">
        <v>3</v>
      </c>
      <c r="N52" s="74">
        <f>3/82</f>
        <v>3.6585365853658534E-2</v>
      </c>
      <c r="O52" s="75" t="s">
        <v>81</v>
      </c>
      <c r="P52" s="75">
        <f>1/21</f>
        <v>4.7619047619047616E-2</v>
      </c>
      <c r="Q52" s="42">
        <v>1</v>
      </c>
      <c r="R52" s="78">
        <f>1/29</f>
        <v>3.4482758620689655E-2</v>
      </c>
      <c r="S52" s="43">
        <v>0</v>
      </c>
      <c r="T52" s="80">
        <f>0/13</f>
        <v>0</v>
      </c>
      <c r="U52" s="44">
        <v>1</v>
      </c>
      <c r="V52" s="82">
        <f t="shared" ref="V52:V53" si="19">1/19</f>
        <v>5.2631578947368418E-2</v>
      </c>
      <c r="W52" s="73">
        <v>0</v>
      </c>
      <c r="X52" s="93">
        <f>0/35</f>
        <v>0</v>
      </c>
      <c r="Y52" s="45">
        <v>0</v>
      </c>
      <c r="Z52" s="63">
        <f t="shared" si="14"/>
        <v>0</v>
      </c>
      <c r="AA52" s="46">
        <v>0</v>
      </c>
      <c r="AB52" s="64">
        <v>0</v>
      </c>
      <c r="AC52" s="47">
        <v>0</v>
      </c>
      <c r="AD52" s="65">
        <f t="shared" ref="AD52:AD53" si="20">0/7</f>
        <v>0</v>
      </c>
      <c r="AE52" s="48">
        <v>0</v>
      </c>
      <c r="AF52" s="66">
        <f t="shared" si="16"/>
        <v>0</v>
      </c>
      <c r="AG52" s="73">
        <v>3</v>
      </c>
      <c r="AH52" s="93">
        <f>3/54</f>
        <v>5.5555555555555552E-2</v>
      </c>
      <c r="AI52" s="49">
        <v>0</v>
      </c>
      <c r="AJ52" s="67">
        <f>0/16</f>
        <v>0</v>
      </c>
      <c r="AK52" s="50">
        <v>2</v>
      </c>
      <c r="AL52" s="68">
        <f>2/15</f>
        <v>0.13333333333333333</v>
      </c>
      <c r="AM52" s="51">
        <v>0</v>
      </c>
      <c r="AN52" s="69">
        <f t="shared" si="18"/>
        <v>0</v>
      </c>
      <c r="AO52" s="52">
        <v>1</v>
      </c>
      <c r="AP52" s="70">
        <f>1/14</f>
        <v>7.1428571428571425E-2</v>
      </c>
    </row>
    <row r="53" spans="1:42" x14ac:dyDescent="0.35">
      <c r="A53" t="s">
        <v>39</v>
      </c>
      <c r="C53" s="73">
        <v>25</v>
      </c>
      <c r="D53" s="93">
        <v>0.15</v>
      </c>
      <c r="E53" s="84" t="s">
        <v>82</v>
      </c>
      <c r="F53" s="83">
        <f>4/47</f>
        <v>8.5106382978723402E-2</v>
      </c>
      <c r="G53" s="3">
        <v>12</v>
      </c>
      <c r="H53" s="57">
        <f>12/56</f>
        <v>0.21428571428571427</v>
      </c>
      <c r="I53" s="39">
        <v>5</v>
      </c>
      <c r="J53" s="61">
        <f>5/29</f>
        <v>0.17241379310344829</v>
      </c>
      <c r="K53" s="40">
        <v>4</v>
      </c>
      <c r="L53" s="72">
        <f>4/39</f>
        <v>0.10256410256410256</v>
      </c>
      <c r="M53" s="73">
        <v>12</v>
      </c>
      <c r="N53" s="74">
        <f>12/82</f>
        <v>0.14634146341463414</v>
      </c>
      <c r="O53" s="75" t="s">
        <v>80</v>
      </c>
      <c r="P53" s="75">
        <f>2/21</f>
        <v>9.5238095238095233E-2</v>
      </c>
      <c r="Q53" s="42">
        <v>7</v>
      </c>
      <c r="R53" s="78">
        <f>7/29</f>
        <v>0.2413793103448276</v>
      </c>
      <c r="S53" s="43">
        <v>2</v>
      </c>
      <c r="T53" s="80">
        <f>2/13</f>
        <v>0.15384615384615385</v>
      </c>
      <c r="U53" s="44">
        <v>1</v>
      </c>
      <c r="V53" s="82">
        <f t="shared" si="19"/>
        <v>5.2631578947368418E-2</v>
      </c>
      <c r="W53" s="73">
        <v>4</v>
      </c>
      <c r="X53" s="93">
        <f>4/35</f>
        <v>0.11428571428571428</v>
      </c>
      <c r="Y53" s="45">
        <v>1</v>
      </c>
      <c r="Z53" s="63">
        <f>1/10</f>
        <v>0.1</v>
      </c>
      <c r="AA53" s="46">
        <v>2</v>
      </c>
      <c r="AB53" s="64">
        <f>2/10</f>
        <v>0.2</v>
      </c>
      <c r="AC53" s="47">
        <v>0</v>
      </c>
      <c r="AD53" s="65">
        <f t="shared" si="20"/>
        <v>0</v>
      </c>
      <c r="AE53" s="48">
        <v>1</v>
      </c>
      <c r="AF53" s="66">
        <f>1/6</f>
        <v>0.16666666666666666</v>
      </c>
      <c r="AG53" s="73">
        <v>9</v>
      </c>
      <c r="AH53" s="93">
        <f>9/54</f>
        <v>0.16666666666666666</v>
      </c>
      <c r="AI53" s="49">
        <v>1</v>
      </c>
      <c r="AJ53" s="67">
        <f>1/16</f>
        <v>6.25E-2</v>
      </c>
      <c r="AK53" s="50">
        <v>3</v>
      </c>
      <c r="AL53" s="68">
        <f>3/15</f>
        <v>0.2</v>
      </c>
      <c r="AM53" s="51">
        <v>3</v>
      </c>
      <c r="AN53" s="69">
        <f>3/9</f>
        <v>0.33333333333333331</v>
      </c>
      <c r="AO53" s="52">
        <v>2</v>
      </c>
      <c r="AP53" s="70">
        <f>2/14</f>
        <v>0.14285714285714285</v>
      </c>
    </row>
    <row r="54" spans="1:42" ht="15" customHeight="1" x14ac:dyDescent="0.35">
      <c r="A54" s="111" t="s">
        <v>49</v>
      </c>
      <c r="B54" s="111"/>
      <c r="C54" s="73"/>
      <c r="D54" s="73"/>
      <c r="E54" s="2"/>
      <c r="F54" s="2"/>
      <c r="G54" s="3"/>
      <c r="H54" s="3"/>
      <c r="I54" s="39"/>
      <c r="J54" s="61"/>
      <c r="K54" s="40"/>
      <c r="L54" s="72"/>
      <c r="M54" s="73"/>
      <c r="N54" s="74"/>
      <c r="O54" s="75"/>
      <c r="P54" s="75"/>
      <c r="Q54" s="42"/>
      <c r="R54" s="78"/>
      <c r="S54" s="43"/>
      <c r="T54" s="80"/>
      <c r="U54" s="44"/>
      <c r="V54" s="82"/>
      <c r="W54" s="73"/>
      <c r="X54" s="73"/>
      <c r="Y54" s="45"/>
      <c r="Z54" s="45"/>
      <c r="AA54" s="46"/>
      <c r="AB54" s="46"/>
      <c r="AC54" s="47"/>
      <c r="AD54" s="47"/>
      <c r="AE54" s="48"/>
      <c r="AF54" s="48"/>
      <c r="AG54" s="73"/>
      <c r="AH54" s="73"/>
      <c r="AI54" s="49"/>
      <c r="AJ54" s="49"/>
      <c r="AK54" s="50"/>
      <c r="AL54" s="50"/>
      <c r="AM54" s="51"/>
      <c r="AN54" s="51"/>
      <c r="AO54" s="52"/>
      <c r="AP54" s="52"/>
    </row>
    <row r="55" spans="1:42" x14ac:dyDescent="0.35">
      <c r="A55" s="111"/>
      <c r="B55" s="111"/>
      <c r="C55" s="92"/>
      <c r="D55" s="73"/>
      <c r="E55" s="56"/>
      <c r="F55" s="2"/>
      <c r="G55" s="59"/>
      <c r="H55" s="3"/>
      <c r="I55" s="60"/>
      <c r="J55" s="61"/>
      <c r="K55" s="71"/>
      <c r="L55" s="72"/>
      <c r="M55" s="92"/>
      <c r="N55" s="74"/>
      <c r="O55" s="86"/>
      <c r="P55" s="75"/>
      <c r="Q55" s="77"/>
      <c r="R55" s="78"/>
      <c r="S55" s="79"/>
      <c r="T55" s="80"/>
      <c r="U55" s="81"/>
      <c r="V55" s="89"/>
      <c r="W55" s="92"/>
      <c r="X55" s="73"/>
      <c r="Y55" s="94"/>
      <c r="Z55" s="45"/>
      <c r="AA55" s="95"/>
      <c r="AB55" s="46"/>
      <c r="AC55" s="96"/>
      <c r="AD55" s="47"/>
      <c r="AE55" s="97"/>
      <c r="AF55" s="48"/>
      <c r="AG55" s="92"/>
      <c r="AH55" s="73"/>
      <c r="AI55" s="98"/>
      <c r="AJ55" s="49"/>
      <c r="AK55" s="99"/>
      <c r="AL55" s="50"/>
      <c r="AM55" s="100"/>
      <c r="AN55" s="51"/>
      <c r="AO55" s="101"/>
      <c r="AP55" s="52"/>
    </row>
    <row r="56" spans="1:42" ht="30.75" customHeight="1" x14ac:dyDescent="0.35">
      <c r="A56" s="110" t="s">
        <v>65</v>
      </c>
      <c r="B56" s="110"/>
      <c r="C56" s="73" t="s">
        <v>67</v>
      </c>
      <c r="D56" s="93">
        <v>0.69</v>
      </c>
      <c r="E56" s="2" t="s">
        <v>77</v>
      </c>
      <c r="F56" s="83">
        <f>30/47</f>
        <v>0.63829787234042556</v>
      </c>
      <c r="G56" s="3" t="s">
        <v>142</v>
      </c>
      <c r="H56" s="57">
        <f>41/56</f>
        <v>0.7321428571428571</v>
      </c>
      <c r="I56" s="39" t="s">
        <v>92</v>
      </c>
      <c r="J56" s="61">
        <f>19/29</f>
        <v>0.65517241379310343</v>
      </c>
      <c r="K56" s="40" t="s">
        <v>145</v>
      </c>
      <c r="L56" s="72">
        <f>26/39</f>
        <v>0.66666666666666663</v>
      </c>
      <c r="M56" s="73" t="s">
        <v>100</v>
      </c>
      <c r="N56" s="74">
        <f>74/83</f>
        <v>0.89156626506024095</v>
      </c>
      <c r="O56" s="75" t="s">
        <v>103</v>
      </c>
      <c r="P56" s="75">
        <f>20/21</f>
        <v>0.95238095238095233</v>
      </c>
      <c r="Q56" s="42" t="s">
        <v>108</v>
      </c>
      <c r="R56" s="78">
        <f>26/30</f>
        <v>0.8666666666666667</v>
      </c>
      <c r="S56" s="88">
        <v>0.92307692307692313</v>
      </c>
      <c r="T56" s="80">
        <f>12/13</f>
        <v>0.92307692307692313</v>
      </c>
      <c r="U56" s="44" t="s">
        <v>112</v>
      </c>
      <c r="V56" s="82">
        <f>16/19</f>
        <v>0.84210526315789469</v>
      </c>
      <c r="W56" s="73" t="s">
        <v>115</v>
      </c>
      <c r="X56" s="93">
        <f>15/34</f>
        <v>0.44117647058823528</v>
      </c>
      <c r="Y56" s="103" t="s">
        <v>117</v>
      </c>
      <c r="Z56" s="63">
        <f>2/10</f>
        <v>0.2</v>
      </c>
      <c r="AA56" s="104" t="s">
        <v>118</v>
      </c>
      <c r="AB56" s="64">
        <f>5/11</f>
        <v>0.45454545454545453</v>
      </c>
      <c r="AC56" s="105" t="s">
        <v>125</v>
      </c>
      <c r="AD56" s="65">
        <f>2/7</f>
        <v>0.2857142857142857</v>
      </c>
      <c r="AE56" s="48" t="s">
        <v>123</v>
      </c>
      <c r="AF56" s="66">
        <f>6/6</f>
        <v>1</v>
      </c>
      <c r="AG56" s="73" t="s">
        <v>128</v>
      </c>
      <c r="AH56" s="93">
        <f>27/54</f>
        <v>0.5</v>
      </c>
      <c r="AI56" s="49" t="s">
        <v>132</v>
      </c>
      <c r="AJ56" s="67">
        <f>8/16</f>
        <v>0.5</v>
      </c>
      <c r="AK56" s="50" t="s">
        <v>134</v>
      </c>
      <c r="AL56" s="68">
        <f>10/15</f>
        <v>0.66666666666666663</v>
      </c>
      <c r="AM56" s="51" t="s">
        <v>138</v>
      </c>
      <c r="AN56" s="69">
        <f>5/9</f>
        <v>0.55555555555555558</v>
      </c>
      <c r="AO56" s="52" t="s">
        <v>139</v>
      </c>
      <c r="AP56" s="70">
        <f>4/14</f>
        <v>0.2857142857142857</v>
      </c>
    </row>
    <row r="57" spans="1:42" x14ac:dyDescent="0.35">
      <c r="A57" t="s">
        <v>50</v>
      </c>
      <c r="C57" s="73">
        <v>89</v>
      </c>
      <c r="D57" s="93">
        <v>0.52</v>
      </c>
      <c r="E57" s="2">
        <v>26</v>
      </c>
      <c r="F57" s="83">
        <f>26/47</f>
        <v>0.55319148936170215</v>
      </c>
      <c r="G57" s="3">
        <v>33</v>
      </c>
      <c r="H57" s="57">
        <f>33/56</f>
        <v>0.5892857142857143</v>
      </c>
      <c r="I57" s="39">
        <v>13</v>
      </c>
      <c r="J57" s="61">
        <f>13/29</f>
        <v>0.44827586206896552</v>
      </c>
      <c r="K57" s="40">
        <v>17</v>
      </c>
      <c r="L57" s="72">
        <f>17/39</f>
        <v>0.4358974358974359</v>
      </c>
      <c r="M57" s="73">
        <v>60</v>
      </c>
      <c r="N57" s="74">
        <f>60/83</f>
        <v>0.72289156626506024</v>
      </c>
      <c r="O57" s="75" t="s">
        <v>105</v>
      </c>
      <c r="P57" s="75">
        <f>17/21</f>
        <v>0.80952380952380953</v>
      </c>
      <c r="Q57" s="42">
        <v>22</v>
      </c>
      <c r="R57" s="78">
        <f>22/30</f>
        <v>0.73333333333333328</v>
      </c>
      <c r="S57" s="43">
        <v>9</v>
      </c>
      <c r="T57" s="80">
        <f>9/13</f>
        <v>0.69230769230769229</v>
      </c>
      <c r="U57" s="44">
        <v>12</v>
      </c>
      <c r="V57" s="82">
        <f>12/19</f>
        <v>0.63157894736842102</v>
      </c>
      <c r="W57" s="73">
        <v>7</v>
      </c>
      <c r="X57" s="93">
        <f>7/34</f>
        <v>0.20588235294117646</v>
      </c>
      <c r="Y57" s="45">
        <v>1</v>
      </c>
      <c r="Z57" s="63">
        <f>1/10</f>
        <v>0.1</v>
      </c>
      <c r="AA57" s="46">
        <v>2</v>
      </c>
      <c r="AB57" s="64">
        <f>2/11</f>
        <v>0.18181818181818182</v>
      </c>
      <c r="AC57" s="47">
        <v>1</v>
      </c>
      <c r="AD57" s="65">
        <f t="shared" ref="AD57:AD58" si="21">1/7</f>
        <v>0.14285714285714285</v>
      </c>
      <c r="AE57" s="48">
        <v>3</v>
      </c>
      <c r="AF57" s="66">
        <f>3/6</f>
        <v>0.5</v>
      </c>
      <c r="AG57" s="73">
        <v>22</v>
      </c>
      <c r="AH57" s="93">
        <f>22/54</f>
        <v>0.40740740740740738</v>
      </c>
      <c r="AI57" s="49">
        <v>8</v>
      </c>
      <c r="AJ57" s="67">
        <f>8/16</f>
        <v>0.5</v>
      </c>
      <c r="AK57" s="50">
        <v>9</v>
      </c>
      <c r="AL57" s="68">
        <f>9/15</f>
        <v>0.6</v>
      </c>
      <c r="AM57" s="51">
        <v>3</v>
      </c>
      <c r="AN57" s="69">
        <f>3/9</f>
        <v>0.33333333333333331</v>
      </c>
      <c r="AO57" s="52">
        <v>2</v>
      </c>
      <c r="AP57" s="70">
        <f>2/14</f>
        <v>0.14285714285714285</v>
      </c>
    </row>
    <row r="58" spans="1:42" x14ac:dyDescent="0.35">
      <c r="A58" t="s">
        <v>51</v>
      </c>
      <c r="C58" s="73">
        <v>45</v>
      </c>
      <c r="D58" s="93">
        <v>0.26</v>
      </c>
      <c r="E58" s="84" t="s">
        <v>84</v>
      </c>
      <c r="F58" s="83">
        <f>9/47</f>
        <v>0.19148936170212766</v>
      </c>
      <c r="G58" s="3">
        <v>19</v>
      </c>
      <c r="H58" s="57">
        <f>19/56</f>
        <v>0.3392857142857143</v>
      </c>
      <c r="I58" s="39">
        <v>7</v>
      </c>
      <c r="J58" s="61">
        <f>7/29</f>
        <v>0.2413793103448276</v>
      </c>
      <c r="K58" s="40" t="s">
        <v>94</v>
      </c>
      <c r="L58" s="72">
        <f>10/39</f>
        <v>0.25641025641025639</v>
      </c>
      <c r="M58" s="73">
        <v>37</v>
      </c>
      <c r="N58" s="74">
        <f>37/83</f>
        <v>0.44578313253012047</v>
      </c>
      <c r="O58" s="75" t="s">
        <v>84</v>
      </c>
      <c r="P58" s="75">
        <f>9/21</f>
        <v>0.42857142857142855</v>
      </c>
      <c r="Q58" s="42">
        <v>13</v>
      </c>
      <c r="R58" s="78">
        <f>13/30</f>
        <v>0.43333333333333335</v>
      </c>
      <c r="S58" s="43">
        <v>6</v>
      </c>
      <c r="T58" s="80">
        <f>6/13</f>
        <v>0.46153846153846156</v>
      </c>
      <c r="U58" s="44">
        <v>9</v>
      </c>
      <c r="V58" s="82">
        <f>9/19</f>
        <v>0.47368421052631576</v>
      </c>
      <c r="W58" s="73">
        <v>5</v>
      </c>
      <c r="X58" s="93">
        <f>5/34</f>
        <v>0.14705882352941177</v>
      </c>
      <c r="Y58" s="45">
        <v>0</v>
      </c>
      <c r="Z58" s="63">
        <f>0/10</f>
        <v>0</v>
      </c>
      <c r="AA58" s="46">
        <v>3</v>
      </c>
      <c r="AB58" s="64">
        <f>3/11</f>
        <v>0.27272727272727271</v>
      </c>
      <c r="AC58" s="47">
        <v>1</v>
      </c>
      <c r="AD58" s="65">
        <f t="shared" si="21"/>
        <v>0.14285714285714285</v>
      </c>
      <c r="AE58" s="48">
        <v>1</v>
      </c>
      <c r="AF58" s="66">
        <f>1/6</f>
        <v>0.16666666666666666</v>
      </c>
      <c r="AG58" s="73">
        <v>3</v>
      </c>
      <c r="AH58" s="93">
        <f>3/54</f>
        <v>5.5555555555555552E-2</v>
      </c>
      <c r="AI58" s="49">
        <v>0</v>
      </c>
      <c r="AJ58" s="67">
        <f t="shared" ref="AJ58" si="22">0/16</f>
        <v>0</v>
      </c>
      <c r="AK58" s="50">
        <v>3</v>
      </c>
      <c r="AL58" s="68">
        <f>3/15</f>
        <v>0.2</v>
      </c>
      <c r="AM58" s="51">
        <v>0</v>
      </c>
      <c r="AN58" s="69">
        <f t="shared" ref="AN58:AN60" si="23">0/9</f>
        <v>0</v>
      </c>
      <c r="AO58" s="52">
        <v>0</v>
      </c>
      <c r="AP58" s="70">
        <f>0/14</f>
        <v>0</v>
      </c>
    </row>
    <row r="59" spans="1:42" x14ac:dyDescent="0.35">
      <c r="A59" t="s">
        <v>52</v>
      </c>
      <c r="C59" s="73">
        <v>42</v>
      </c>
      <c r="D59" s="93">
        <v>0.25</v>
      </c>
      <c r="E59" s="2">
        <v>15</v>
      </c>
      <c r="F59" s="83">
        <f>15/47</f>
        <v>0.31914893617021278</v>
      </c>
      <c r="G59" s="3">
        <v>14</v>
      </c>
      <c r="H59" s="57">
        <f>14/56</f>
        <v>0.25</v>
      </c>
      <c r="I59" s="39">
        <v>3</v>
      </c>
      <c r="J59" s="61">
        <f>3/29</f>
        <v>0.10344827586206896</v>
      </c>
      <c r="K59" s="40" t="s">
        <v>94</v>
      </c>
      <c r="L59" s="72">
        <f>10/39</f>
        <v>0.25641025641025639</v>
      </c>
      <c r="M59" s="73">
        <v>34</v>
      </c>
      <c r="N59" s="74">
        <f>34/83</f>
        <v>0.40963855421686746</v>
      </c>
      <c r="O59" s="75" t="s">
        <v>98</v>
      </c>
      <c r="P59" s="75">
        <f>13/21</f>
        <v>0.61904761904761907</v>
      </c>
      <c r="Q59" s="42">
        <v>11</v>
      </c>
      <c r="R59" s="78">
        <f>11/30</f>
        <v>0.36666666666666664</v>
      </c>
      <c r="S59" s="43">
        <v>3</v>
      </c>
      <c r="T59" s="80">
        <f>3/13</f>
        <v>0.23076923076923078</v>
      </c>
      <c r="U59" s="44">
        <v>7</v>
      </c>
      <c r="V59" s="82">
        <f>7/19</f>
        <v>0.36842105263157893</v>
      </c>
      <c r="W59" s="73">
        <v>4</v>
      </c>
      <c r="X59" s="93">
        <f>4/34</f>
        <v>0.11764705882352941</v>
      </c>
      <c r="Y59" s="45">
        <v>0</v>
      </c>
      <c r="Z59" s="63">
        <f>0/10</f>
        <v>0</v>
      </c>
      <c r="AA59" s="46">
        <v>1</v>
      </c>
      <c r="AB59" s="64">
        <f>1/11</f>
        <v>9.0909090909090912E-2</v>
      </c>
      <c r="AC59" s="47">
        <v>0</v>
      </c>
      <c r="AD59" s="65">
        <f t="shared" ref="AD59" si="24">0/7</f>
        <v>0</v>
      </c>
      <c r="AE59" s="48">
        <v>3</v>
      </c>
      <c r="AF59" s="66">
        <f>3/6</f>
        <v>0.5</v>
      </c>
      <c r="AG59" s="73">
        <v>4</v>
      </c>
      <c r="AH59" s="93">
        <f>4/54</f>
        <v>7.407407407407407E-2</v>
      </c>
      <c r="AI59" s="49">
        <v>2</v>
      </c>
      <c r="AJ59" s="67">
        <f>2/16</f>
        <v>0.125</v>
      </c>
      <c r="AK59" s="50">
        <v>2</v>
      </c>
      <c r="AL59" s="68">
        <f>2/15</f>
        <v>0.13333333333333333</v>
      </c>
      <c r="AM59" s="51">
        <v>0</v>
      </c>
      <c r="AN59" s="69">
        <f t="shared" si="23"/>
        <v>0</v>
      </c>
      <c r="AO59" s="52">
        <v>0</v>
      </c>
      <c r="AP59" s="70">
        <f t="shared" ref="AP59:AP60" si="25">0/14</f>
        <v>0</v>
      </c>
    </row>
    <row r="60" spans="1:42" x14ac:dyDescent="0.35">
      <c r="A60" t="s">
        <v>53</v>
      </c>
      <c r="C60" s="73">
        <v>5</v>
      </c>
      <c r="D60" s="93">
        <v>0.03</v>
      </c>
      <c r="E60" s="84" t="s">
        <v>86</v>
      </c>
      <c r="F60" s="83">
        <f>3/47</f>
        <v>6.3829787234042548E-2</v>
      </c>
      <c r="G60" s="3">
        <v>0</v>
      </c>
      <c r="H60" s="57">
        <f>0/56</f>
        <v>0</v>
      </c>
      <c r="I60" s="39">
        <v>1</v>
      </c>
      <c r="J60" s="61">
        <f>1/29</f>
        <v>3.4482758620689655E-2</v>
      </c>
      <c r="K60" s="40" t="s">
        <v>81</v>
      </c>
      <c r="L60" s="72">
        <f>1/39</f>
        <v>2.564102564102564E-2</v>
      </c>
      <c r="M60" s="73">
        <v>1</v>
      </c>
      <c r="N60" s="74">
        <f>1/83</f>
        <v>1.2048192771084338E-2</v>
      </c>
      <c r="O60" s="75" t="s">
        <v>71</v>
      </c>
      <c r="P60" s="75">
        <f>0/21</f>
        <v>0</v>
      </c>
      <c r="Q60" s="42">
        <v>0</v>
      </c>
      <c r="R60" s="78">
        <f>0/30</f>
        <v>0</v>
      </c>
      <c r="S60" s="43">
        <v>0</v>
      </c>
      <c r="T60" s="80">
        <f>0/13</f>
        <v>0</v>
      </c>
      <c r="U60" s="44">
        <v>1</v>
      </c>
      <c r="V60" s="82">
        <f>1/19</f>
        <v>5.2631578947368418E-2</v>
      </c>
      <c r="W60" s="73">
        <v>3</v>
      </c>
      <c r="X60" s="93">
        <f>3/34</f>
        <v>8.8235294117647065E-2</v>
      </c>
      <c r="Y60" s="45">
        <v>2</v>
      </c>
      <c r="Z60" s="63">
        <f>2/10</f>
        <v>0.2</v>
      </c>
      <c r="AA60" s="46">
        <v>0</v>
      </c>
      <c r="AB60" s="64">
        <v>0</v>
      </c>
      <c r="AC60" s="47">
        <v>1</v>
      </c>
      <c r="AD60" s="65">
        <f t="shared" ref="AD60:AD61" si="26">1/7</f>
        <v>0.14285714285714285</v>
      </c>
      <c r="AE60" s="48">
        <v>0</v>
      </c>
      <c r="AF60" s="66">
        <f>0/6</f>
        <v>0</v>
      </c>
      <c r="AG60" s="73">
        <v>1</v>
      </c>
      <c r="AH60" s="93">
        <f>1/54</f>
        <v>1.8518518518518517E-2</v>
      </c>
      <c r="AI60" s="49">
        <v>1</v>
      </c>
      <c r="AJ60" s="67">
        <f>1/16</f>
        <v>6.25E-2</v>
      </c>
      <c r="AK60" s="50">
        <v>0</v>
      </c>
      <c r="AL60" s="68">
        <f>0/15</f>
        <v>0</v>
      </c>
      <c r="AM60" s="51">
        <v>0</v>
      </c>
      <c r="AN60" s="69">
        <f t="shared" si="23"/>
        <v>0</v>
      </c>
      <c r="AO60" s="52">
        <v>0</v>
      </c>
      <c r="AP60" s="70">
        <f t="shared" si="25"/>
        <v>0</v>
      </c>
    </row>
    <row r="61" spans="1:42" x14ac:dyDescent="0.35">
      <c r="A61" t="s">
        <v>54</v>
      </c>
      <c r="C61" s="73">
        <v>77</v>
      </c>
      <c r="D61" s="93">
        <v>0.45</v>
      </c>
      <c r="E61" s="2">
        <v>17</v>
      </c>
      <c r="F61" s="83">
        <f>17/47</f>
        <v>0.36170212765957449</v>
      </c>
      <c r="G61" s="3">
        <v>29</v>
      </c>
      <c r="H61" s="57">
        <f>29/56</f>
        <v>0.5178571428571429</v>
      </c>
      <c r="I61" s="39">
        <v>12</v>
      </c>
      <c r="J61" s="61">
        <f>12/29</f>
        <v>0.41379310344827586</v>
      </c>
      <c r="K61" s="40" t="s">
        <v>95</v>
      </c>
      <c r="L61" s="72">
        <f>19/39</f>
        <v>0.48717948717948717</v>
      </c>
      <c r="M61" s="73">
        <v>56</v>
      </c>
      <c r="N61" s="74">
        <f>56/83</f>
        <v>0.67469879518072284</v>
      </c>
      <c r="O61" s="75" t="s">
        <v>98</v>
      </c>
      <c r="P61" s="75">
        <f>13/21</f>
        <v>0.61904761904761907</v>
      </c>
      <c r="Q61" s="42">
        <v>21</v>
      </c>
      <c r="R61" s="78">
        <f>21/30</f>
        <v>0.7</v>
      </c>
      <c r="S61" s="43">
        <v>10</v>
      </c>
      <c r="T61" s="80">
        <f>10/13</f>
        <v>0.76923076923076927</v>
      </c>
      <c r="U61" s="44">
        <v>12</v>
      </c>
      <c r="V61" s="82">
        <f>12/19</f>
        <v>0.63157894736842102</v>
      </c>
      <c r="W61" s="73">
        <v>10</v>
      </c>
      <c r="X61" s="93">
        <f>10/34</f>
        <v>0.29411764705882354</v>
      </c>
      <c r="Y61" s="45">
        <v>1</v>
      </c>
      <c r="Z61" s="63">
        <f>1/10</f>
        <v>0.1</v>
      </c>
      <c r="AA61" s="46">
        <v>3</v>
      </c>
      <c r="AB61" s="64">
        <f>3/11</f>
        <v>0.27272727272727271</v>
      </c>
      <c r="AC61" s="47">
        <v>1</v>
      </c>
      <c r="AD61" s="65">
        <f t="shared" si="26"/>
        <v>0.14285714285714285</v>
      </c>
      <c r="AE61" s="48">
        <v>5</v>
      </c>
      <c r="AF61" s="66">
        <f>5/6</f>
        <v>0.83333333333333337</v>
      </c>
      <c r="AG61" s="73">
        <v>11</v>
      </c>
      <c r="AH61" s="93">
        <f>11/54</f>
        <v>0.20370370370370369</v>
      </c>
      <c r="AI61" s="49">
        <v>3</v>
      </c>
      <c r="AJ61" s="67">
        <f>3/16</f>
        <v>0.1875</v>
      </c>
      <c r="AK61" s="50">
        <v>5</v>
      </c>
      <c r="AL61" s="68">
        <f>5/15</f>
        <v>0.33333333333333331</v>
      </c>
      <c r="AM61" s="51">
        <v>1</v>
      </c>
      <c r="AN61" s="69">
        <f>1/9</f>
        <v>0.1111111111111111</v>
      </c>
      <c r="AO61" s="52">
        <v>2</v>
      </c>
      <c r="AP61" s="70">
        <f>2/14</f>
        <v>0.14285714285714285</v>
      </c>
    </row>
    <row r="62" spans="1:42" x14ac:dyDescent="0.35">
      <c r="A62" t="s">
        <v>55</v>
      </c>
      <c r="C62" s="73">
        <v>52</v>
      </c>
      <c r="D62" s="93">
        <v>0.3</v>
      </c>
      <c r="E62" s="2">
        <v>16</v>
      </c>
      <c r="F62" s="83">
        <f>16/47</f>
        <v>0.34042553191489361</v>
      </c>
      <c r="G62" s="3">
        <v>14</v>
      </c>
      <c r="H62" s="57">
        <f>14/56</f>
        <v>0.25</v>
      </c>
      <c r="I62" s="39">
        <v>10</v>
      </c>
      <c r="J62" s="61">
        <f>10/29</f>
        <v>0.34482758620689657</v>
      </c>
      <c r="K62" s="40" t="s">
        <v>96</v>
      </c>
      <c r="L62" s="72">
        <f>12/39</f>
        <v>0.30769230769230771</v>
      </c>
      <c r="M62" s="73">
        <v>8</v>
      </c>
      <c r="N62" s="74">
        <f>8/83</f>
        <v>9.6385542168674704E-2</v>
      </c>
      <c r="O62" s="75" t="s">
        <v>81</v>
      </c>
      <c r="P62" s="75">
        <f>1/21</f>
        <v>4.7619047619047616E-2</v>
      </c>
      <c r="Q62" s="42">
        <v>4</v>
      </c>
      <c r="R62" s="78">
        <f>4/30</f>
        <v>0.13333333333333333</v>
      </c>
      <c r="S62" s="43">
        <v>1</v>
      </c>
      <c r="T62" s="80">
        <f>1/13</f>
        <v>7.6923076923076927E-2</v>
      </c>
      <c r="U62" s="44">
        <v>2</v>
      </c>
      <c r="V62" s="82">
        <f>2/19</f>
        <v>0.10526315789473684</v>
      </c>
      <c r="W62" s="73">
        <v>18</v>
      </c>
      <c r="X62" s="93">
        <f>18/34</f>
        <v>0.52941176470588236</v>
      </c>
      <c r="Y62" s="45">
        <v>8</v>
      </c>
      <c r="Z62" s="63">
        <f>8/10</f>
        <v>0.8</v>
      </c>
      <c r="AA62" s="46">
        <v>6</v>
      </c>
      <c r="AB62" s="64">
        <f>6/11</f>
        <v>0.54545454545454541</v>
      </c>
      <c r="AC62" s="47">
        <v>4</v>
      </c>
      <c r="AD62" s="65">
        <f>4/7</f>
        <v>0.5714285714285714</v>
      </c>
      <c r="AE62" s="48">
        <v>0</v>
      </c>
      <c r="AF62" s="66">
        <f>0/6</f>
        <v>0</v>
      </c>
      <c r="AG62" s="73">
        <v>26</v>
      </c>
      <c r="AH62" s="93">
        <f>26/54</f>
        <v>0.48148148148148145</v>
      </c>
      <c r="AI62" s="49">
        <v>7</v>
      </c>
      <c r="AJ62" s="67">
        <f>7/16</f>
        <v>0.4375</v>
      </c>
      <c r="AK62" s="50">
        <v>4</v>
      </c>
      <c r="AL62" s="68">
        <f>4/15</f>
        <v>0.26666666666666666</v>
      </c>
      <c r="AM62" s="51">
        <v>5</v>
      </c>
      <c r="AN62" s="69">
        <f>5/9</f>
        <v>0.55555555555555558</v>
      </c>
      <c r="AO62" s="52">
        <v>10</v>
      </c>
      <c r="AP62" s="70">
        <f>10/14</f>
        <v>0.7142857142857143</v>
      </c>
    </row>
    <row r="63" spans="1:42" ht="15" customHeight="1" x14ac:dyDescent="0.35">
      <c r="A63" s="111" t="s">
        <v>56</v>
      </c>
      <c r="B63" s="111"/>
      <c r="C63" s="73"/>
      <c r="D63" s="73"/>
      <c r="E63" s="2"/>
      <c r="F63" s="2"/>
      <c r="G63" s="3"/>
      <c r="H63" s="3"/>
      <c r="I63" s="39"/>
      <c r="J63" s="61"/>
      <c r="K63" s="40"/>
      <c r="L63" s="72"/>
      <c r="M63" s="73"/>
      <c r="N63" s="74"/>
      <c r="O63" s="75"/>
      <c r="P63" s="75"/>
      <c r="Q63" s="42"/>
      <c r="R63" s="78"/>
      <c r="S63" s="43"/>
      <c r="T63" s="80"/>
      <c r="U63" s="44"/>
      <c r="V63" s="82"/>
      <c r="W63" s="73"/>
      <c r="X63" s="73"/>
      <c r="Y63" s="45"/>
      <c r="Z63" s="45"/>
      <c r="AA63" s="46"/>
      <c r="AB63" s="46"/>
      <c r="AC63" s="47"/>
      <c r="AD63" s="47"/>
      <c r="AE63" s="48"/>
      <c r="AF63" s="48"/>
      <c r="AG63" s="73"/>
      <c r="AH63" s="73"/>
      <c r="AI63" s="49"/>
      <c r="AJ63" s="49"/>
      <c r="AK63" s="50"/>
      <c r="AL63" s="50"/>
      <c r="AM63" s="51"/>
      <c r="AN63" s="51"/>
      <c r="AO63" s="52"/>
      <c r="AP63" s="52"/>
    </row>
    <row r="64" spans="1:42" x14ac:dyDescent="0.35">
      <c r="A64" s="111"/>
      <c r="B64" s="111"/>
      <c r="C64" s="92"/>
      <c r="D64" s="73"/>
      <c r="E64" s="56"/>
      <c r="F64" s="2"/>
      <c r="G64" s="59"/>
      <c r="H64" s="3"/>
      <c r="I64" s="60"/>
      <c r="J64" s="61"/>
      <c r="K64" s="71"/>
      <c r="L64" s="72"/>
      <c r="M64" s="92"/>
      <c r="N64" s="74"/>
      <c r="O64" s="86"/>
      <c r="P64" s="75"/>
      <c r="Q64" s="77"/>
      <c r="R64" s="78"/>
      <c r="S64" s="79"/>
      <c r="T64" s="80"/>
      <c r="U64" s="81"/>
      <c r="V64" s="89"/>
      <c r="W64" s="92"/>
      <c r="X64" s="73"/>
      <c r="Y64" s="94"/>
      <c r="Z64" s="45"/>
      <c r="AA64" s="95"/>
      <c r="AB64" s="46"/>
      <c r="AC64" s="96"/>
      <c r="AD64" s="47"/>
      <c r="AE64" s="97"/>
      <c r="AF64" s="48"/>
      <c r="AG64" s="92"/>
      <c r="AH64" s="73"/>
      <c r="AI64" s="98"/>
      <c r="AJ64" s="49"/>
      <c r="AK64" s="99"/>
      <c r="AL64" s="50"/>
      <c r="AM64" s="100"/>
      <c r="AN64" s="51"/>
      <c r="AO64" s="101"/>
      <c r="AP64" s="52"/>
    </row>
    <row r="65" spans="1:42" ht="30.75" customHeight="1" x14ac:dyDescent="0.35">
      <c r="A65" s="110" t="s">
        <v>66</v>
      </c>
      <c r="B65" s="110"/>
      <c r="C65" s="73" t="s">
        <v>68</v>
      </c>
      <c r="D65" s="93">
        <v>0.92</v>
      </c>
      <c r="E65" s="2" t="s">
        <v>89</v>
      </c>
      <c r="F65" s="83">
        <f>41/41</f>
        <v>1</v>
      </c>
      <c r="G65" s="3" t="s">
        <v>143</v>
      </c>
      <c r="H65" s="57">
        <f>49/55</f>
        <v>0.89090909090909087</v>
      </c>
      <c r="I65" s="39" t="s">
        <v>93</v>
      </c>
      <c r="J65" s="61">
        <f>22/24</f>
        <v>0.91666666666666663</v>
      </c>
      <c r="K65" s="40" t="s">
        <v>146</v>
      </c>
      <c r="L65" s="72">
        <f>31/37</f>
        <v>0.83783783783783783</v>
      </c>
      <c r="M65" s="73" t="s">
        <v>101</v>
      </c>
      <c r="N65" s="74">
        <f>82/83</f>
        <v>0.98795180722891562</v>
      </c>
      <c r="O65" s="75" t="s">
        <v>104</v>
      </c>
      <c r="P65" s="75">
        <f>20/20</f>
        <v>1</v>
      </c>
      <c r="Q65" s="42" t="s">
        <v>109</v>
      </c>
      <c r="R65" s="78">
        <f>29/31</f>
        <v>0.93548387096774188</v>
      </c>
      <c r="S65" s="43" t="s">
        <v>111</v>
      </c>
      <c r="T65" s="80">
        <f>13/13</f>
        <v>1</v>
      </c>
      <c r="U65" s="44" t="s">
        <v>113</v>
      </c>
      <c r="V65" s="82">
        <f>19/19</f>
        <v>1</v>
      </c>
      <c r="W65" s="73" t="s">
        <v>116</v>
      </c>
      <c r="X65" s="93">
        <f>24/28</f>
        <v>0.8571428571428571</v>
      </c>
      <c r="Y65" s="103" t="s">
        <v>120</v>
      </c>
      <c r="Z65" s="63">
        <f>8/8</f>
        <v>1</v>
      </c>
      <c r="AA65" s="46" t="s">
        <v>119</v>
      </c>
      <c r="AB65" s="64">
        <f>9/11</f>
        <v>0.81818181818181823</v>
      </c>
      <c r="AC65" s="47" t="s">
        <v>121</v>
      </c>
      <c r="AD65" s="65">
        <f>2/3</f>
        <v>0.66666666666666663</v>
      </c>
      <c r="AE65" s="48" t="s">
        <v>124</v>
      </c>
      <c r="AF65" s="66">
        <f>5/6</f>
        <v>0.83333333333333337</v>
      </c>
      <c r="AG65" s="73" t="s">
        <v>129</v>
      </c>
      <c r="AH65" s="93">
        <f>41/45</f>
        <v>0.91111111111111109</v>
      </c>
      <c r="AI65" s="49" t="s">
        <v>133</v>
      </c>
      <c r="AJ65" s="67">
        <f>13/13</f>
        <v>1</v>
      </c>
      <c r="AK65" s="50" t="s">
        <v>135</v>
      </c>
      <c r="AL65" s="68">
        <f>11/12</f>
        <v>0.91666666666666663</v>
      </c>
      <c r="AM65" s="51" t="s">
        <v>120</v>
      </c>
      <c r="AN65" s="69">
        <f>8/8</f>
        <v>1</v>
      </c>
      <c r="AO65" s="52" t="s">
        <v>140</v>
      </c>
      <c r="AP65" s="70">
        <f>8/12</f>
        <v>0.66666666666666663</v>
      </c>
    </row>
    <row r="66" spans="1:42" x14ac:dyDescent="0.35">
      <c r="A66" t="s">
        <v>57</v>
      </c>
      <c r="C66" s="73">
        <v>96</v>
      </c>
      <c r="D66" s="93">
        <v>0.62</v>
      </c>
      <c r="E66" s="2">
        <v>25</v>
      </c>
      <c r="F66" s="83">
        <f>25/41</f>
        <v>0.6097560975609756</v>
      </c>
      <c r="G66" s="3">
        <v>33</v>
      </c>
      <c r="H66" s="57">
        <f>33/54</f>
        <v>0.61111111111111116</v>
      </c>
      <c r="I66" s="39">
        <v>15</v>
      </c>
      <c r="J66" s="61">
        <f>15/24</f>
        <v>0.625</v>
      </c>
      <c r="K66" s="40" t="s">
        <v>97</v>
      </c>
      <c r="L66" s="72">
        <f>23/37</f>
        <v>0.6216216216216216</v>
      </c>
      <c r="M66" s="73">
        <v>65</v>
      </c>
      <c r="N66" s="74">
        <f>65/83</f>
        <v>0.7831325301204819</v>
      </c>
      <c r="O66" s="75" t="s">
        <v>90</v>
      </c>
      <c r="P66" s="75">
        <f>16/20</f>
        <v>0.8</v>
      </c>
      <c r="Q66" s="42">
        <v>24</v>
      </c>
      <c r="R66" s="78">
        <f>24/31</f>
        <v>0.77419354838709675</v>
      </c>
      <c r="S66" s="43">
        <v>10</v>
      </c>
      <c r="T66" s="80">
        <f>10/13</f>
        <v>0.76923076923076927</v>
      </c>
      <c r="U66" s="44">
        <v>15</v>
      </c>
      <c r="V66" s="82">
        <f>15/19</f>
        <v>0.78947368421052633</v>
      </c>
      <c r="W66" s="73">
        <v>9</v>
      </c>
      <c r="X66" s="93">
        <f>9/28</f>
        <v>0.32142857142857145</v>
      </c>
      <c r="Y66" s="45">
        <v>1</v>
      </c>
      <c r="Z66" s="63">
        <f>1/8</f>
        <v>0.125</v>
      </c>
      <c r="AA66" s="46">
        <v>3</v>
      </c>
      <c r="AB66" s="64">
        <f>3/11</f>
        <v>0.27272727272727271</v>
      </c>
      <c r="AC66" s="47">
        <v>0</v>
      </c>
      <c r="AD66" s="65">
        <f t="shared" ref="AD66" si="27">0/7</f>
        <v>0</v>
      </c>
      <c r="AE66" s="48">
        <v>5</v>
      </c>
      <c r="AF66" s="66">
        <f>5/6</f>
        <v>0.83333333333333337</v>
      </c>
      <c r="AG66" s="73">
        <v>22</v>
      </c>
      <c r="AH66" s="93">
        <f>22/45</f>
        <v>0.48888888888888887</v>
      </c>
      <c r="AI66" s="49">
        <v>8</v>
      </c>
      <c r="AJ66" s="67">
        <f>8/13</f>
        <v>0.61538461538461542</v>
      </c>
      <c r="AK66" s="50">
        <v>6</v>
      </c>
      <c r="AL66" s="68">
        <f>6/12</f>
        <v>0.5</v>
      </c>
      <c r="AM66" s="51">
        <v>5</v>
      </c>
      <c r="AN66" s="69">
        <f>5/8</f>
        <v>0.625</v>
      </c>
      <c r="AO66" s="52">
        <v>3</v>
      </c>
      <c r="AP66" s="70">
        <f>3/12</f>
        <v>0.25</v>
      </c>
    </row>
    <row r="67" spans="1:42" x14ac:dyDescent="0.35">
      <c r="A67" t="s">
        <v>58</v>
      </c>
      <c r="C67" s="73">
        <v>30</v>
      </c>
      <c r="D67" s="93">
        <v>0.19</v>
      </c>
      <c r="E67" s="2">
        <v>3</v>
      </c>
      <c r="F67" s="83">
        <f>3/41</f>
        <v>7.3170731707317069E-2</v>
      </c>
      <c r="G67" s="3">
        <v>14</v>
      </c>
      <c r="H67" s="57">
        <f>14/54</f>
        <v>0.25925925925925924</v>
      </c>
      <c r="I67" s="39">
        <v>8</v>
      </c>
      <c r="J67" s="61">
        <f>8/24</f>
        <v>0.33333333333333331</v>
      </c>
      <c r="K67" s="40" t="s">
        <v>87</v>
      </c>
      <c r="L67" s="72">
        <f>5/37</f>
        <v>0.13513513513513514</v>
      </c>
      <c r="M67" s="73">
        <v>22</v>
      </c>
      <c r="N67" s="74">
        <f>22/83</f>
        <v>0.26506024096385544</v>
      </c>
      <c r="O67" s="75" t="s">
        <v>80</v>
      </c>
      <c r="P67" s="75">
        <f>2/20</f>
        <v>0.1</v>
      </c>
      <c r="Q67" s="42">
        <v>11</v>
      </c>
      <c r="R67" s="78">
        <f>11/31</f>
        <v>0.35483870967741937</v>
      </c>
      <c r="S67" s="43">
        <v>6</v>
      </c>
      <c r="T67" s="80">
        <f>6/13</f>
        <v>0.46153846153846156</v>
      </c>
      <c r="U67" s="44">
        <v>3</v>
      </c>
      <c r="V67" s="82">
        <f>3/19</f>
        <v>0.15789473684210525</v>
      </c>
      <c r="W67" s="73">
        <v>7</v>
      </c>
      <c r="X67" s="93">
        <f>7/28</f>
        <v>0.25</v>
      </c>
      <c r="Y67" s="45">
        <v>1</v>
      </c>
      <c r="Z67" s="63">
        <f>1/8</f>
        <v>0.125</v>
      </c>
      <c r="AA67" s="46">
        <v>3</v>
      </c>
      <c r="AB67" s="64">
        <f>3/11</f>
        <v>0.27272727272727271</v>
      </c>
      <c r="AC67" s="47">
        <v>1</v>
      </c>
      <c r="AD67" s="65">
        <f>1/3</f>
        <v>0.33333333333333331</v>
      </c>
      <c r="AE67" s="48">
        <v>2</v>
      </c>
      <c r="AF67" s="66">
        <f>2/6</f>
        <v>0.33333333333333331</v>
      </c>
      <c r="AG67" s="73">
        <v>1</v>
      </c>
      <c r="AH67" s="93">
        <f>1/45</f>
        <v>2.2222222222222223E-2</v>
      </c>
      <c r="AI67" s="49">
        <v>0</v>
      </c>
      <c r="AJ67" s="67">
        <f t="shared" ref="AJ67:AJ70" si="28">0/16</f>
        <v>0</v>
      </c>
      <c r="AK67" s="50">
        <v>0</v>
      </c>
      <c r="AL67" s="68">
        <f>0/15</f>
        <v>0</v>
      </c>
      <c r="AM67" s="51">
        <v>1</v>
      </c>
      <c r="AN67" s="69">
        <f>1/8</f>
        <v>0.125</v>
      </c>
      <c r="AO67" s="52">
        <v>0</v>
      </c>
      <c r="AP67" s="70">
        <f t="shared" ref="AP67:AP69" si="29">0/14</f>
        <v>0</v>
      </c>
    </row>
    <row r="68" spans="1:42" x14ac:dyDescent="0.35">
      <c r="A68" t="s">
        <v>59</v>
      </c>
      <c r="C68" s="73">
        <v>30</v>
      </c>
      <c r="D68" s="93">
        <v>0.19</v>
      </c>
      <c r="E68" s="2">
        <v>11</v>
      </c>
      <c r="F68" s="83">
        <f>11/41</f>
        <v>0.26829268292682928</v>
      </c>
      <c r="G68" s="3">
        <v>5</v>
      </c>
      <c r="H68" s="57">
        <f>5/54</f>
        <v>9.2592592592592587E-2</v>
      </c>
      <c r="I68" s="39">
        <v>4</v>
      </c>
      <c r="J68" s="61">
        <f>4/24</f>
        <v>0.16666666666666666</v>
      </c>
      <c r="K68" s="40" t="s">
        <v>94</v>
      </c>
      <c r="L68" s="72">
        <f>10/37</f>
        <v>0.27027027027027029</v>
      </c>
      <c r="M68" s="73">
        <v>25</v>
      </c>
      <c r="N68" s="74">
        <f>25/83</f>
        <v>0.30120481927710846</v>
      </c>
      <c r="O68" s="75" t="s">
        <v>106</v>
      </c>
      <c r="P68" s="75">
        <f>11/20</f>
        <v>0.55000000000000004</v>
      </c>
      <c r="Q68" s="42">
        <v>4</v>
      </c>
      <c r="R68" s="78">
        <f>4/31</f>
        <v>0.12903225806451613</v>
      </c>
      <c r="S68" s="43">
        <v>3</v>
      </c>
      <c r="T68" s="80">
        <f>3/13</f>
        <v>0.23076923076923078</v>
      </c>
      <c r="U68" s="44">
        <v>7</v>
      </c>
      <c r="V68" s="82">
        <f>7/19</f>
        <v>0.36842105263157893</v>
      </c>
      <c r="W68" s="73">
        <v>5</v>
      </c>
      <c r="X68" s="93">
        <f>5/28</f>
        <v>0.17857142857142858</v>
      </c>
      <c r="Y68" s="45">
        <v>0</v>
      </c>
      <c r="Z68" s="63">
        <f>0/8</f>
        <v>0</v>
      </c>
      <c r="AA68" s="46">
        <v>1</v>
      </c>
      <c r="AB68" s="64">
        <f>1/11</f>
        <v>9.0909090909090912E-2</v>
      </c>
      <c r="AC68" s="47">
        <v>1</v>
      </c>
      <c r="AD68" s="65">
        <f>1/3</f>
        <v>0.33333333333333331</v>
      </c>
      <c r="AE68" s="48">
        <v>3</v>
      </c>
      <c r="AF68" s="66">
        <f>3/6</f>
        <v>0.5</v>
      </c>
      <c r="AG68" s="73">
        <v>0</v>
      </c>
      <c r="AH68" s="93">
        <f>0/45</f>
        <v>0</v>
      </c>
      <c r="AI68" s="49">
        <v>0</v>
      </c>
      <c r="AJ68" s="67">
        <f t="shared" si="28"/>
        <v>0</v>
      </c>
      <c r="AK68" s="50">
        <v>0</v>
      </c>
      <c r="AL68" s="68">
        <f>0/15</f>
        <v>0</v>
      </c>
      <c r="AM68" s="51">
        <v>0</v>
      </c>
      <c r="AN68" s="69">
        <f t="shared" ref="AN68:AN70" si="30">0/9</f>
        <v>0</v>
      </c>
      <c r="AO68" s="52">
        <v>0</v>
      </c>
      <c r="AP68" s="70">
        <f t="shared" si="29"/>
        <v>0</v>
      </c>
    </row>
    <row r="69" spans="1:42" x14ac:dyDescent="0.35">
      <c r="A69" t="s">
        <v>60</v>
      </c>
      <c r="C69" s="73">
        <v>25</v>
      </c>
      <c r="D69" s="93">
        <v>0.16</v>
      </c>
      <c r="E69" s="2">
        <v>8</v>
      </c>
      <c r="F69" s="83">
        <f>8/41</f>
        <v>0.1951219512195122</v>
      </c>
      <c r="G69" s="3">
        <v>5</v>
      </c>
      <c r="H69" s="57">
        <f>5/54</f>
        <v>9.2592592592592587E-2</v>
      </c>
      <c r="I69" s="39">
        <v>4</v>
      </c>
      <c r="J69" s="61">
        <f>4/24</f>
        <v>0.16666666666666666</v>
      </c>
      <c r="K69" s="40" t="s">
        <v>88</v>
      </c>
      <c r="L69" s="72">
        <f>8/37</f>
        <v>0.21621621621621623</v>
      </c>
      <c r="M69" s="73">
        <v>22</v>
      </c>
      <c r="N69" s="74">
        <f>22/83</f>
        <v>0.26506024096385544</v>
      </c>
      <c r="O69" s="75" t="s">
        <v>88</v>
      </c>
      <c r="P69" s="75">
        <f>8/20</f>
        <v>0.4</v>
      </c>
      <c r="Q69" s="42">
        <v>4</v>
      </c>
      <c r="R69" s="78">
        <f>4/31</f>
        <v>0.12903225806451613</v>
      </c>
      <c r="S69" s="43">
        <v>4</v>
      </c>
      <c r="T69" s="80">
        <f>4/13</f>
        <v>0.30769230769230771</v>
      </c>
      <c r="U69" s="44">
        <v>6</v>
      </c>
      <c r="V69" s="82">
        <f>6/19</f>
        <v>0.31578947368421051</v>
      </c>
      <c r="W69" s="73">
        <v>2</v>
      </c>
      <c r="X69" s="93">
        <f>2/28</f>
        <v>7.1428571428571425E-2</v>
      </c>
      <c r="Y69" s="45">
        <v>0</v>
      </c>
      <c r="Z69" s="63">
        <f>0/8</f>
        <v>0</v>
      </c>
      <c r="AA69" s="46">
        <v>0</v>
      </c>
      <c r="AB69" s="64">
        <v>0</v>
      </c>
      <c r="AC69" s="47">
        <v>0</v>
      </c>
      <c r="AD69" s="65">
        <f t="shared" ref="AD69" si="31">0/7</f>
        <v>0</v>
      </c>
      <c r="AE69" s="48">
        <v>2</v>
      </c>
      <c r="AF69" s="66">
        <f>2/6</f>
        <v>0.33333333333333331</v>
      </c>
      <c r="AG69" s="73">
        <v>1</v>
      </c>
      <c r="AH69" s="93">
        <f>1/45</f>
        <v>2.2222222222222223E-2</v>
      </c>
      <c r="AI69" s="49">
        <v>0</v>
      </c>
      <c r="AJ69" s="67">
        <f t="shared" si="28"/>
        <v>0</v>
      </c>
      <c r="AK69" s="50">
        <v>1</v>
      </c>
      <c r="AL69" s="68">
        <f>1/12</f>
        <v>8.3333333333333329E-2</v>
      </c>
      <c r="AM69" s="51">
        <v>0</v>
      </c>
      <c r="AN69" s="69">
        <f t="shared" si="30"/>
        <v>0</v>
      </c>
      <c r="AO69" s="52">
        <v>0</v>
      </c>
      <c r="AP69" s="70">
        <f t="shared" si="29"/>
        <v>0</v>
      </c>
    </row>
    <row r="70" spans="1:42" x14ac:dyDescent="0.35">
      <c r="A70" t="s">
        <v>61</v>
      </c>
      <c r="C70" s="73">
        <v>12</v>
      </c>
      <c r="D70" s="93">
        <v>0.08</v>
      </c>
      <c r="E70" s="2">
        <v>0</v>
      </c>
      <c r="F70" s="83">
        <f>0/41</f>
        <v>0</v>
      </c>
      <c r="G70" s="3">
        <v>5</v>
      </c>
      <c r="H70" s="57">
        <f>5/54</f>
        <v>9.2592592592592587E-2</v>
      </c>
      <c r="I70" s="39">
        <v>2</v>
      </c>
      <c r="J70" s="61">
        <f>2/24</f>
        <v>8.3333333333333329E-2</v>
      </c>
      <c r="K70" s="40" t="s">
        <v>87</v>
      </c>
      <c r="L70" s="72">
        <f>5/37</f>
        <v>0.13513513513513514</v>
      </c>
      <c r="M70" s="73">
        <v>3</v>
      </c>
      <c r="N70" s="74">
        <f>3/83</f>
        <v>3.614457831325301E-2</v>
      </c>
      <c r="O70" s="75" t="s">
        <v>71</v>
      </c>
      <c r="P70" s="75">
        <f>0/20</f>
        <v>0</v>
      </c>
      <c r="Q70" s="42">
        <v>2</v>
      </c>
      <c r="R70" s="78">
        <f>2/31</f>
        <v>6.4516129032258063E-2</v>
      </c>
      <c r="S70" s="43">
        <v>1</v>
      </c>
      <c r="T70" s="80">
        <f>1/13</f>
        <v>7.6923076923076927E-2</v>
      </c>
      <c r="U70" s="44">
        <v>0</v>
      </c>
      <c r="V70" s="82">
        <f>0/19</f>
        <v>0</v>
      </c>
      <c r="W70" s="73">
        <v>4</v>
      </c>
      <c r="X70" s="93">
        <f>4/28</f>
        <v>0.14285714285714285</v>
      </c>
      <c r="Y70" s="45">
        <v>0</v>
      </c>
      <c r="Z70" s="63">
        <f>0/8</f>
        <v>0</v>
      </c>
      <c r="AA70" s="46">
        <v>2</v>
      </c>
      <c r="AB70" s="64">
        <f>2/11</f>
        <v>0.18181818181818182</v>
      </c>
      <c r="AC70" s="47">
        <v>1</v>
      </c>
      <c r="AD70" s="65">
        <f>1/3</f>
        <v>0.33333333333333331</v>
      </c>
      <c r="AE70" s="48">
        <v>1</v>
      </c>
      <c r="AF70" s="66">
        <f t="shared" ref="AF70:AF71" si="32">1/6</f>
        <v>0.16666666666666666</v>
      </c>
      <c r="AG70" s="73">
        <v>5</v>
      </c>
      <c r="AH70" s="93">
        <f>5/45</f>
        <v>0.1111111111111111</v>
      </c>
      <c r="AI70" s="49">
        <v>0</v>
      </c>
      <c r="AJ70" s="67">
        <f t="shared" si="28"/>
        <v>0</v>
      </c>
      <c r="AK70" s="50">
        <v>1</v>
      </c>
      <c r="AL70" s="68">
        <f>1/12</f>
        <v>8.3333333333333329E-2</v>
      </c>
      <c r="AM70" s="51">
        <v>0</v>
      </c>
      <c r="AN70" s="69">
        <f t="shared" si="30"/>
        <v>0</v>
      </c>
      <c r="AO70" s="52">
        <v>4</v>
      </c>
      <c r="AP70" s="70">
        <f>4/12</f>
        <v>0.33333333333333331</v>
      </c>
    </row>
    <row r="71" spans="1:42" x14ac:dyDescent="0.35">
      <c r="A71" t="s">
        <v>39</v>
      </c>
      <c r="C71" s="73">
        <v>36</v>
      </c>
      <c r="D71" s="93">
        <v>0.23</v>
      </c>
      <c r="E71" s="2">
        <v>14</v>
      </c>
      <c r="F71" s="83">
        <f>14/41</f>
        <v>0.34146341463414637</v>
      </c>
      <c r="G71" s="3">
        <v>9</v>
      </c>
      <c r="H71" s="57">
        <f>9/54</f>
        <v>0.16666666666666666</v>
      </c>
      <c r="I71" s="39">
        <v>3</v>
      </c>
      <c r="J71" s="61">
        <f>3/24</f>
        <v>0.125</v>
      </c>
      <c r="K71" s="40" t="s">
        <v>94</v>
      </c>
      <c r="L71" s="72">
        <f>10/37</f>
        <v>0.27027027027027029</v>
      </c>
      <c r="M71" s="73">
        <v>8</v>
      </c>
      <c r="N71" s="74">
        <f>8/83</f>
        <v>9.6385542168674704E-2</v>
      </c>
      <c r="O71" s="75" t="s">
        <v>86</v>
      </c>
      <c r="P71" s="75">
        <f>3/20</f>
        <v>0.15</v>
      </c>
      <c r="Q71" s="42">
        <v>1</v>
      </c>
      <c r="R71" s="78">
        <f>1/31</f>
        <v>3.2258064516129031E-2</v>
      </c>
      <c r="S71" s="43">
        <v>1</v>
      </c>
      <c r="T71" s="80">
        <f>1/13</f>
        <v>7.6923076923076927E-2</v>
      </c>
      <c r="U71" s="44">
        <v>3</v>
      </c>
      <c r="V71" s="82">
        <f>3/19</f>
        <v>0.15789473684210525</v>
      </c>
      <c r="W71" s="73">
        <v>11</v>
      </c>
      <c r="X71" s="93">
        <f>11/28</f>
        <v>0.39285714285714285</v>
      </c>
      <c r="Y71" s="45">
        <v>6</v>
      </c>
      <c r="Z71" s="63">
        <f>6/8</f>
        <v>0.75</v>
      </c>
      <c r="AA71" s="46">
        <v>4</v>
      </c>
      <c r="AB71" s="64">
        <f>4/11</f>
        <v>0.36363636363636365</v>
      </c>
      <c r="AC71" s="47">
        <v>0</v>
      </c>
      <c r="AD71" s="65">
        <f t="shared" ref="AD71" si="33">0/7</f>
        <v>0</v>
      </c>
      <c r="AE71" s="48">
        <v>1</v>
      </c>
      <c r="AF71" s="66">
        <f t="shared" si="32"/>
        <v>0.16666666666666666</v>
      </c>
      <c r="AG71" s="73">
        <v>17</v>
      </c>
      <c r="AH71" s="93">
        <f>17/45</f>
        <v>0.37777777777777777</v>
      </c>
      <c r="AI71" s="49">
        <v>5</v>
      </c>
      <c r="AJ71" s="67">
        <f>5/13</f>
        <v>0.38461538461538464</v>
      </c>
      <c r="AK71" s="50">
        <v>4</v>
      </c>
      <c r="AL71" s="68">
        <f>4/12</f>
        <v>0.33333333333333331</v>
      </c>
      <c r="AM71" s="51">
        <v>2</v>
      </c>
      <c r="AN71" s="69">
        <f>2/8</f>
        <v>0.25</v>
      </c>
      <c r="AO71" s="52">
        <v>6</v>
      </c>
      <c r="AP71" s="70">
        <f>6/12</f>
        <v>0.5</v>
      </c>
    </row>
    <row r="72" spans="1:42" x14ac:dyDescent="0.35"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</row>
    <row r="73" spans="1:42" x14ac:dyDescent="0.35">
      <c r="K73" s="54"/>
      <c r="L73" s="54"/>
      <c r="M73" s="54"/>
    </row>
    <row r="74" spans="1:42" x14ac:dyDescent="0.35">
      <c r="K74" s="54"/>
      <c r="L74" s="54"/>
      <c r="M74" s="54"/>
    </row>
    <row r="77" spans="1:42" x14ac:dyDescent="0.35">
      <c r="K77" s="54"/>
      <c r="L77" s="54"/>
      <c r="M77" s="54"/>
    </row>
    <row r="78" spans="1:42" x14ac:dyDescent="0.35">
      <c r="K78" s="54"/>
      <c r="L78" s="54"/>
      <c r="M78" s="54"/>
    </row>
    <row r="79" spans="1:42" x14ac:dyDescent="0.35">
      <c r="K79" s="54"/>
      <c r="L79" s="54"/>
      <c r="M79" s="54"/>
    </row>
    <row r="80" spans="1:42" x14ac:dyDescent="0.35">
      <c r="K80" s="54"/>
      <c r="L80" s="54"/>
      <c r="M80" s="54"/>
    </row>
  </sheetData>
  <mergeCells count="28">
    <mergeCell ref="M1:U1"/>
    <mergeCell ref="W1:AE1"/>
    <mergeCell ref="AG1:AO1"/>
    <mergeCell ref="A26:B26"/>
    <mergeCell ref="A3:B4"/>
    <mergeCell ref="A7:B8"/>
    <mergeCell ref="A13:B14"/>
    <mergeCell ref="A17:B18"/>
    <mergeCell ref="A12:B12"/>
    <mergeCell ref="A15:B15"/>
    <mergeCell ref="A16:B16"/>
    <mergeCell ref="A19:B19"/>
    <mergeCell ref="A20:B20"/>
    <mergeCell ref="A6:B6"/>
    <mergeCell ref="A11:B11"/>
    <mergeCell ref="A5:B5"/>
    <mergeCell ref="A65:B65"/>
    <mergeCell ref="A24:B25"/>
    <mergeCell ref="A54:B55"/>
    <mergeCell ref="A63:B64"/>
    <mergeCell ref="C1:K1"/>
    <mergeCell ref="A9:B9"/>
    <mergeCell ref="A10:B10"/>
    <mergeCell ref="A56:B56"/>
    <mergeCell ref="A21:B21"/>
    <mergeCell ref="A22:B22"/>
    <mergeCell ref="A23:B23"/>
    <mergeCell ref="A42:B42"/>
  </mergeCells>
  <pageMargins left="0.7" right="0.7" top="0.75" bottom="0.75" header="0.3" footer="0.3"/>
  <ignoredErrors>
    <ignoredError sqref="E15" twoDigitTextYear="1"/>
    <ignoredError sqref="G19 E34:E53 E58 E60 K58:K62 K66:K71 O34:O53 O57:O63 O65:O71 O28:O33 E27:E33" numberStoredAsText="1"/>
    <ignoredError sqref="F51 J30:J31 J51 L50 P50:P52 P60 T50:T51 T30:T31 V50 X51 AD51 AD69 AD59 AJ22 AJ31 AJ51:AJ52 AL10 H50 N68 D4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Chelsea Solorzano</dc:creator>
  <cp:lastModifiedBy>Rachel Palmquist</cp:lastModifiedBy>
  <dcterms:created xsi:type="dcterms:W3CDTF">2024-02-23T20:35:25Z</dcterms:created>
  <dcterms:modified xsi:type="dcterms:W3CDTF">2025-02-01T20:41:31Z</dcterms:modified>
</cp:coreProperties>
</file>