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leuven-my.sharepoint.com/personal/mathilde_geysens_kuleuven_be/Documents/Unsolved paper/Mancuscript/Nature communications/"/>
    </mc:Choice>
  </mc:AlternateContent>
  <xr:revisionPtr revIDLastSave="55" documentId="8_{135069FF-EE20-4027-A0CA-9CAC68CE5496}" xr6:coauthVersionLast="47" xr6:coauthVersionMax="47" xr10:uidLastSave="{D5174860-7E74-420C-AC1C-66EA537C3DF6}"/>
  <bookViews>
    <workbookView xWindow="-108" yWindow="-108" windowWidth="23256" windowHeight="12456" xr2:uid="{4E879789-30D3-46AC-BC5C-D07A0AF0ECF0}"/>
  </bookViews>
  <sheets>
    <sheet name="A. Cohort information" sheetId="4" r:id="rId1"/>
    <sheet name="B. Wet lab" sheetId="3" r:id="rId2"/>
    <sheet name="C. Results - confirmation" sheetId="6" r:id="rId3"/>
    <sheet name="D. XCI" sheetId="7" r:id="rId4"/>
    <sheet name="legend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7" l="1"/>
  <c r="J22" i="7"/>
  <c r="I22" i="7"/>
  <c r="H22" i="7"/>
  <c r="I28" i="7"/>
  <c r="G82" i="7"/>
  <c r="J83" i="7"/>
  <c r="I83" i="7"/>
  <c r="H83" i="7"/>
  <c r="G83" i="7"/>
  <c r="J82" i="7"/>
  <c r="I82" i="7"/>
  <c r="H82" i="7"/>
  <c r="J80" i="7"/>
  <c r="I80" i="7"/>
  <c r="H80" i="7"/>
  <c r="G80" i="7"/>
  <c r="J77" i="7"/>
  <c r="H77" i="7"/>
  <c r="G77" i="7"/>
  <c r="J74" i="7"/>
  <c r="I74" i="7"/>
  <c r="H74" i="7"/>
  <c r="G74" i="7"/>
  <c r="J73" i="7"/>
  <c r="I73" i="7"/>
  <c r="H73" i="7"/>
  <c r="G73" i="7"/>
  <c r="J71" i="7"/>
  <c r="I71" i="7"/>
  <c r="H71" i="7"/>
  <c r="G71" i="7"/>
  <c r="J68" i="7"/>
  <c r="I68" i="7"/>
  <c r="H68" i="7"/>
  <c r="G68" i="7"/>
  <c r="H67" i="7"/>
  <c r="G67" i="7"/>
  <c r="J65" i="7"/>
  <c r="I65" i="7"/>
  <c r="H65" i="7"/>
  <c r="G65" i="7"/>
  <c r="J64" i="7"/>
  <c r="I64" i="7"/>
  <c r="H64" i="7"/>
  <c r="G64" i="7"/>
  <c r="J62" i="7"/>
  <c r="I62" i="7"/>
  <c r="H62" i="7"/>
  <c r="G62" i="7"/>
  <c r="J61" i="7"/>
  <c r="I61" i="7"/>
  <c r="J59" i="7"/>
  <c r="I59" i="7"/>
  <c r="H59" i="7"/>
  <c r="G59" i="7"/>
  <c r="J55" i="7"/>
  <c r="I55" i="7"/>
  <c r="H55" i="7"/>
  <c r="G55" i="7"/>
  <c r="J52" i="7"/>
  <c r="I52" i="7"/>
  <c r="H52" i="7"/>
  <c r="G52" i="7"/>
  <c r="J51" i="7"/>
  <c r="I51" i="7"/>
  <c r="H51" i="7"/>
  <c r="G51" i="7"/>
  <c r="J49" i="7"/>
  <c r="I49" i="7"/>
  <c r="H49" i="7"/>
  <c r="G49" i="7"/>
  <c r="J46" i="7"/>
  <c r="I46" i="7"/>
  <c r="H46" i="7"/>
  <c r="G46" i="7"/>
  <c r="J43" i="7"/>
  <c r="I43" i="7"/>
  <c r="H43" i="7"/>
  <c r="G43" i="7"/>
  <c r="J40" i="7"/>
  <c r="I40" i="7"/>
  <c r="H40" i="7"/>
  <c r="G40" i="7"/>
  <c r="J39" i="7"/>
  <c r="I39" i="7"/>
  <c r="H39" i="7"/>
  <c r="G39" i="7"/>
  <c r="J37" i="7"/>
  <c r="I37" i="7"/>
  <c r="H37" i="7"/>
  <c r="G37" i="7"/>
  <c r="J36" i="7"/>
  <c r="I36" i="7"/>
  <c r="H36" i="7"/>
  <c r="G36" i="7"/>
  <c r="J34" i="7"/>
  <c r="I34" i="7"/>
  <c r="H34" i="7"/>
  <c r="G34" i="7"/>
  <c r="J31" i="7"/>
  <c r="I31" i="7"/>
  <c r="H31" i="7"/>
  <c r="G31" i="7"/>
  <c r="J28" i="7"/>
  <c r="J27" i="7"/>
  <c r="I27" i="7"/>
  <c r="H27" i="7"/>
  <c r="G27" i="7"/>
  <c r="J25" i="7"/>
  <c r="I25" i="7"/>
  <c r="H25" i="7"/>
  <c r="G25" i="7"/>
  <c r="J24" i="7"/>
  <c r="I24" i="7"/>
  <c r="H24" i="7"/>
  <c r="G24" i="7"/>
  <c r="G22" i="7"/>
  <c r="J21" i="7"/>
  <c r="I21" i="7"/>
  <c r="H21" i="7"/>
  <c r="G21" i="7"/>
  <c r="J19" i="7"/>
  <c r="I19" i="7"/>
  <c r="H19" i="7"/>
  <c r="G19" i="7"/>
  <c r="J18" i="7"/>
  <c r="I18" i="7"/>
  <c r="H18" i="7"/>
  <c r="G18" i="7"/>
  <c r="J16" i="7"/>
  <c r="I16" i="7"/>
  <c r="H16" i="7"/>
  <c r="G16" i="7"/>
  <c r="J13" i="7"/>
  <c r="I13" i="7"/>
  <c r="H13" i="7"/>
  <c r="G13" i="7"/>
  <c r="J12" i="7"/>
  <c r="I12" i="7"/>
  <c r="H12" i="7"/>
  <c r="G12" i="7"/>
  <c r="J10" i="7"/>
  <c r="I10" i="7"/>
  <c r="H10" i="7"/>
  <c r="G10" i="7"/>
  <c r="J6" i="7"/>
  <c r="I6" i="7"/>
  <c r="H6" i="7"/>
  <c r="G6" i="7"/>
  <c r="J3" i="7"/>
  <c r="I3" i="7"/>
  <c r="H3" i="7"/>
  <c r="G3" i="7"/>
  <c r="J2" i="7"/>
  <c r="I2" i="7"/>
  <c r="H2" i="7"/>
  <c r="G2" i="7"/>
</calcChain>
</file>

<file path=xl/sharedStrings.xml><?xml version="1.0" encoding="utf-8"?>
<sst xmlns="http://schemas.openxmlformats.org/spreadsheetml/2006/main" count="1272" uniqueCount="454">
  <si>
    <t>Tissue</t>
  </si>
  <si>
    <t>DNA extraction kit</t>
  </si>
  <si>
    <t>reads generated (M)</t>
  </si>
  <si>
    <t>Basecalled bases (Gb) - Guppy</t>
  </si>
  <si>
    <t>N50 (kb)</t>
  </si>
  <si>
    <t>Sample ID</t>
  </si>
  <si>
    <t xml:space="preserve">Bionano Prep SP DNA isolation </t>
  </si>
  <si>
    <t>ULK001</t>
  </si>
  <si>
    <t xml:space="preserve">blood </t>
  </si>
  <si>
    <t xml:space="preserve">DNA extraction facility </t>
  </si>
  <si>
    <t>LSK-110</t>
  </si>
  <si>
    <t>LSK-114</t>
  </si>
  <si>
    <t>3.59</t>
  </si>
  <si>
    <t>8.1</t>
  </si>
  <si>
    <t>9.44</t>
  </si>
  <si>
    <t>25.24</t>
  </si>
  <si>
    <t>3.48</t>
  </si>
  <si>
    <t>5.38</t>
  </si>
  <si>
    <t>4.76</t>
  </si>
  <si>
    <t>4.62</t>
  </si>
  <si>
    <t>19.44</t>
  </si>
  <si>
    <t>3.95</t>
  </si>
  <si>
    <t>4.56</t>
  </si>
  <si>
    <t>2.68</t>
  </si>
  <si>
    <t>3.19</t>
  </si>
  <si>
    <t>4.37</t>
  </si>
  <si>
    <t>6.58</t>
  </si>
  <si>
    <t>4.34</t>
  </si>
  <si>
    <t>2.62</t>
  </si>
  <si>
    <t>3.47</t>
  </si>
  <si>
    <t>3.73</t>
  </si>
  <si>
    <t>3.65</t>
  </si>
  <si>
    <t>6.6</t>
  </si>
  <si>
    <t>5.23</t>
  </si>
  <si>
    <t>8.42</t>
  </si>
  <si>
    <t>5.21</t>
  </si>
  <si>
    <t>4.36</t>
  </si>
  <si>
    <t>4.72</t>
  </si>
  <si>
    <t>LSK114</t>
  </si>
  <si>
    <t>4.15</t>
  </si>
  <si>
    <t>4.17</t>
  </si>
  <si>
    <t>blood</t>
  </si>
  <si>
    <t>LSK-114 + needle shearing</t>
  </si>
  <si>
    <t>5.41</t>
  </si>
  <si>
    <t>5.49</t>
  </si>
  <si>
    <t>4.63</t>
  </si>
  <si>
    <t>4.79</t>
  </si>
  <si>
    <t>5.74</t>
  </si>
  <si>
    <t>4.35</t>
  </si>
  <si>
    <t>P19</t>
  </si>
  <si>
    <t>P19V</t>
  </si>
  <si>
    <t>LSK110</t>
  </si>
  <si>
    <t>P0</t>
  </si>
  <si>
    <t>P0M</t>
  </si>
  <si>
    <t>P0V</t>
  </si>
  <si>
    <t>P1</t>
  </si>
  <si>
    <t>P1M</t>
  </si>
  <si>
    <t>P1V</t>
  </si>
  <si>
    <t>P2</t>
  </si>
  <si>
    <t>P2M</t>
  </si>
  <si>
    <t>P2V</t>
  </si>
  <si>
    <t>P3</t>
  </si>
  <si>
    <t>P3M</t>
  </si>
  <si>
    <t>P3V</t>
  </si>
  <si>
    <t>P4</t>
  </si>
  <si>
    <t>P4V</t>
  </si>
  <si>
    <t>P27</t>
  </si>
  <si>
    <t>P27M</t>
  </si>
  <si>
    <t>P27V</t>
  </si>
  <si>
    <t>P26V</t>
  </si>
  <si>
    <t>P26M</t>
  </si>
  <si>
    <t>P26</t>
  </si>
  <si>
    <t>P25V</t>
  </si>
  <si>
    <t>P25M</t>
  </si>
  <si>
    <t>P25</t>
  </si>
  <si>
    <t>P24V</t>
  </si>
  <si>
    <t>P24M</t>
  </si>
  <si>
    <t>P24</t>
  </si>
  <si>
    <t>P23V</t>
  </si>
  <si>
    <t>P23M</t>
  </si>
  <si>
    <t>P22V</t>
  </si>
  <si>
    <t>P22</t>
  </si>
  <si>
    <t>P22M</t>
  </si>
  <si>
    <t>P21V</t>
  </si>
  <si>
    <t>P21M</t>
  </si>
  <si>
    <t>P21</t>
  </si>
  <si>
    <t>P20V</t>
  </si>
  <si>
    <t>P20M</t>
  </si>
  <si>
    <t>P20</t>
  </si>
  <si>
    <t>P19M</t>
  </si>
  <si>
    <t>P19B</t>
  </si>
  <si>
    <t>P18V</t>
  </si>
  <si>
    <t>P18</t>
  </si>
  <si>
    <t>P17V</t>
  </si>
  <si>
    <t>P18M</t>
  </si>
  <si>
    <t>P17M</t>
  </si>
  <si>
    <t>P17</t>
  </si>
  <si>
    <t>P16V</t>
  </si>
  <si>
    <t>P16M</t>
  </si>
  <si>
    <t>P16</t>
  </si>
  <si>
    <t>P15V</t>
  </si>
  <si>
    <t>P15</t>
  </si>
  <si>
    <t>P15M</t>
  </si>
  <si>
    <t>P4M</t>
  </si>
  <si>
    <t>P5</t>
  </si>
  <si>
    <t>P5M</t>
  </si>
  <si>
    <t>P5V</t>
  </si>
  <si>
    <t>P6</t>
  </si>
  <si>
    <t>P6M</t>
  </si>
  <si>
    <t>P6V</t>
  </si>
  <si>
    <t>P7</t>
  </si>
  <si>
    <t>P7M</t>
  </si>
  <si>
    <t>P7V</t>
  </si>
  <si>
    <t>P8</t>
  </si>
  <si>
    <t>P8M</t>
  </si>
  <si>
    <t>P8V</t>
  </si>
  <si>
    <t>P9</t>
  </si>
  <si>
    <t>P9M</t>
  </si>
  <si>
    <t>P9V</t>
  </si>
  <si>
    <t>P10</t>
  </si>
  <si>
    <t>P10M</t>
  </si>
  <si>
    <t>P10V</t>
  </si>
  <si>
    <t>P11</t>
  </si>
  <si>
    <t>P11M</t>
  </si>
  <si>
    <t>P11V</t>
  </si>
  <si>
    <t>P12</t>
  </si>
  <si>
    <t>P12M</t>
  </si>
  <si>
    <t>P12V</t>
  </si>
  <si>
    <t>P14</t>
  </si>
  <si>
    <t>P14M</t>
  </si>
  <si>
    <t xml:space="preserve">P14V </t>
  </si>
  <si>
    <t>P23</t>
  </si>
  <si>
    <t>P28</t>
  </si>
  <si>
    <t>P28M</t>
  </si>
  <si>
    <t>P28V</t>
  </si>
  <si>
    <t>NEB Monarch + Promega wizard HMW DNA extraction</t>
  </si>
  <si>
    <t>NEB Monarch HMW DNA extraction</t>
  </si>
  <si>
    <t>P2B</t>
  </si>
  <si>
    <t>4.38</t>
  </si>
  <si>
    <t>10.72</t>
  </si>
  <si>
    <t>22.17</t>
  </si>
  <si>
    <t>15.19</t>
  </si>
  <si>
    <t>10.05</t>
  </si>
  <si>
    <t>16.16</t>
  </si>
  <si>
    <t>11.15</t>
  </si>
  <si>
    <t>5.31</t>
  </si>
  <si>
    <t>2.9</t>
  </si>
  <si>
    <t>18.29</t>
  </si>
  <si>
    <t>7.44</t>
  </si>
  <si>
    <t>7.09</t>
  </si>
  <si>
    <t>8.15</t>
  </si>
  <si>
    <t>8.6</t>
  </si>
  <si>
    <t>37.79</t>
  </si>
  <si>
    <t>9.12</t>
  </si>
  <si>
    <t>10.49</t>
  </si>
  <si>
    <t>44.16</t>
  </si>
  <si>
    <t>5.88</t>
  </si>
  <si>
    <t>8.5</t>
  </si>
  <si>
    <t>32.5</t>
  </si>
  <si>
    <t>8.99</t>
  </si>
  <si>
    <t>37.33</t>
  </si>
  <si>
    <t>7.78</t>
  </si>
  <si>
    <t>4.68</t>
  </si>
  <si>
    <t>69.52</t>
  </si>
  <si>
    <t>31.4</t>
  </si>
  <si>
    <t>8.86</t>
  </si>
  <si>
    <t>7.29</t>
  </si>
  <si>
    <t>5.5</t>
  </si>
  <si>
    <t>4.67</t>
  </si>
  <si>
    <t>5.76</t>
  </si>
  <si>
    <t>5.57</t>
  </si>
  <si>
    <t>4.29</t>
  </si>
  <si>
    <t>30.66</t>
  </si>
  <si>
    <t>6.46</t>
  </si>
  <si>
    <t>7.71</t>
  </si>
  <si>
    <t>10.45</t>
  </si>
  <si>
    <t>8.04</t>
  </si>
  <si>
    <t>8.38</t>
  </si>
  <si>
    <t>7.35</t>
  </si>
  <si>
    <t>7.61</t>
  </si>
  <si>
    <t>5.62</t>
  </si>
  <si>
    <t>10.93</t>
  </si>
  <si>
    <t>5.79</t>
  </si>
  <si>
    <t>9.62</t>
  </si>
  <si>
    <t>9.03</t>
  </si>
  <si>
    <t>4.51</t>
  </si>
  <si>
    <t>5.7</t>
  </si>
  <si>
    <t>6.94</t>
  </si>
  <si>
    <t>8.64</t>
  </si>
  <si>
    <t>6.5</t>
  </si>
  <si>
    <t>3.42</t>
  </si>
  <si>
    <t>2.65</t>
  </si>
  <si>
    <t>2.37</t>
  </si>
  <si>
    <t>7.97</t>
  </si>
  <si>
    <t>6.89</t>
  </si>
  <si>
    <t xml:space="preserve">Promega wizard (HMW) DNA extraction </t>
  </si>
  <si>
    <t>Promega wizard (HMW) DNA extraction</t>
  </si>
  <si>
    <t>muscle fibroblasts</t>
  </si>
  <si>
    <t>Library Prep</t>
  </si>
  <si>
    <t>F</t>
  </si>
  <si>
    <t>M</t>
  </si>
  <si>
    <t>V</t>
  </si>
  <si>
    <t>Age</t>
  </si>
  <si>
    <t>short stature, atrio-ventricular septal defect, developmental delay, aneurysmal bone cyst, velopharyngeal insufficiency</t>
  </si>
  <si>
    <t>severe intellectual disability, spastic paraplegia, vermis hypoplasia, periventricular leukomalacia</t>
  </si>
  <si>
    <t>developmental delay, language developmental delay, epicanthus, uplansting palpebral fissures, hypopigmenation, nevus flammeus</t>
  </si>
  <si>
    <t>craniofacial dysplasia, cleft lip and palate, blepharophimosis, hernia diaphragmatica, syndactyly, thumb hypoplasia, retrognatia</t>
  </si>
  <si>
    <t>severe intellectual disability, microcephaly, epicanthus, strabismus, prominent teeths, axial hypotonia, spasticity, head shaking, scoliosis</t>
  </si>
  <si>
    <t>moderate intellectual disability, hypermetropia, relative macrocrania, hypotonia</t>
  </si>
  <si>
    <t>corpus callosum agenesis, autism, dyspraxia, hypertrichosis</t>
  </si>
  <si>
    <t>neonatal hypertonia, microcephaly, laryngomalacia, chorioretinal coloboma, corpus callosum dysplasia, developmental delay</t>
  </si>
  <si>
    <t>severe intellectual disability, coloboma, microcephaly, epilepsy, ptosis</t>
  </si>
  <si>
    <t>hypotonia, developmental delay, neonatal cholestasis, ventricular septal defect, anisocoria, broad nasal bridge</t>
  </si>
  <si>
    <t>developmental delay, proteinuria, ventricular septal defect, lymphoedema</t>
  </si>
  <si>
    <t>intra uterine growth retardation, bilateral cleft lip and palate, polydactyly, thumb duplication, microcephaly, hypogammaglobulinemia</t>
  </si>
  <si>
    <t xml:space="preserve">hypoplasia of the radius, hypoplasia of the ulna, hand agenesis, aplasia of the 3rd toe </t>
  </si>
  <si>
    <t>developmental delay, hypotonia, preauricular tag, hearing loss, polydactyly, epilepsy, cryptorchidism, hirschsprung, immunoglobulin deficiency</t>
  </si>
  <si>
    <t>global developmental delay, autism, epilepsy, hyperventilation</t>
  </si>
  <si>
    <t>polyhydramnios, hypotonia, neonatal feeding difficulties, motor developmental delay, language developmental delay, atrial septal defect, macroglossia, hypospadias, broad first ray, moderate intellectual disability</t>
  </si>
  <si>
    <t>jejunal atresia, atrial septal defect, cryptorchidism, hydronephrosis, cholestasis, hydrocephaly</t>
  </si>
  <si>
    <t>intrauterine growth retardation, atrial septal defect, epilepsy, hypotonia</t>
  </si>
  <si>
    <t>severe developmental delay, epilepsy, retinal dysfunction, corpus callosum agenesis, microcephaly, scoliosis, polymicrogyria</t>
  </si>
  <si>
    <t>intrauterine growth retardation, developmental delay, epilepsy, microcephaly, coloboma</t>
  </si>
  <si>
    <t>developmental delay, corpus callosum agenesis, cryptorchidism, intellectual disability, broad thumbs, atopic dermatitis</t>
  </si>
  <si>
    <t>developmental delay, intellectual disability, short stature, polymicrogyria, epicanthus</t>
  </si>
  <si>
    <t>scoliosis, hydrocephaly, motor developmental delay, autism, dyslexia, developmental coordination disorder, ptosis, low-set ears, broad neck</t>
  </si>
  <si>
    <t>moderate intellectual disability, autism, high myopia, macrocephaly</t>
  </si>
  <si>
    <t>developmental delay, moderate intellectual disability, relative macrocephaly</t>
  </si>
  <si>
    <t>motor developmental delay, speech developmental delay, global developmental delay, short stature, epicanthus, long filtrum, tented upper lip</t>
  </si>
  <si>
    <t>Sex (chromosomal)</t>
  </si>
  <si>
    <t>conventional karyotype</t>
  </si>
  <si>
    <t>moleculair karyotype</t>
  </si>
  <si>
    <t>FMR1</t>
  </si>
  <si>
    <t>Exome sequencing</t>
  </si>
  <si>
    <t>yes</t>
  </si>
  <si>
    <t>intra uterine growth retardation, failure to thrive, hearing loss, short stature, asymetry, small mouth, upslanting eyes, skin anomaly, developmental delay</t>
  </si>
  <si>
    <t>severe developmental delay, severe hypotonia, cerebral bleeding, vermis dysplasia, ventriculomegaly</t>
  </si>
  <si>
    <t>jejunal atresia, hydrocephaly</t>
  </si>
  <si>
    <t>Study ID</t>
  </si>
  <si>
    <t>Variant type</t>
  </si>
  <si>
    <t>Gene</t>
  </si>
  <si>
    <t>Variant g.</t>
  </si>
  <si>
    <t>Transcript</t>
  </si>
  <si>
    <t>Variant c. p.</t>
  </si>
  <si>
    <t>Inheritance</t>
  </si>
  <si>
    <t>Variant class</t>
  </si>
  <si>
    <t>missense</t>
  </si>
  <si>
    <t>ASH1L</t>
  </si>
  <si>
    <t>1:155357722 A&gt;G</t>
  </si>
  <si>
    <t>NM_018489.3</t>
  </si>
  <si>
    <t>c.6823T&gt;C p.(Cys2275Arg)</t>
  </si>
  <si>
    <t>de novo</t>
  </si>
  <si>
    <t>VUS</t>
  </si>
  <si>
    <t>splice</t>
  </si>
  <si>
    <t>COL11A1</t>
  </si>
  <si>
    <t>1:102984138 C&gt;T</t>
  </si>
  <si>
    <t>NM_001854.4</t>
  </si>
  <si>
    <t>c.2556G&gt;A p.(Lys852=)</t>
  </si>
  <si>
    <t>paternally inherited</t>
  </si>
  <si>
    <t>P2 &amp; B2</t>
  </si>
  <si>
    <t>LONP1</t>
  </si>
  <si>
    <t>19:5692073 A&gt;C</t>
  </si>
  <si>
    <t>NM_004793.4</t>
  </si>
  <si>
    <t>c.2839T&gt;G p.(Phe947Val)</t>
  </si>
  <si>
    <t>frameshift</t>
  </si>
  <si>
    <t>TBCK</t>
  </si>
  <si>
    <t>4:106248282 GATCT&gt;G</t>
  </si>
  <si>
    <t>NM_001163435.3</t>
  </si>
  <si>
    <t>c.741_744del p.(Asp248fs)</t>
  </si>
  <si>
    <t>maternally inherited</t>
  </si>
  <si>
    <t>likely pathogenic</t>
  </si>
  <si>
    <t>4:106248199 T&gt;C</t>
  </si>
  <si>
    <t>c.782+46A&gt;G</t>
  </si>
  <si>
    <t>OSBP</t>
  </si>
  <si>
    <t>11:59615319 G&gt;A</t>
  </si>
  <si>
    <t>NM_002556.3</t>
  </si>
  <si>
    <t>c.346C&gt;T p.(Leu116Phe)</t>
  </si>
  <si>
    <t>11.13kb deletion</t>
  </si>
  <si>
    <t>FBXO11</t>
  </si>
  <si>
    <t>2:47919650-47929780</t>
  </si>
  <si>
    <t>SLC6A1</t>
  </si>
  <si>
    <t>3:11025842 G&gt;A</t>
  </si>
  <si>
    <t>NM_003042.4</t>
  </si>
  <si>
    <t>c.919G&gt;A p.(Gly307Arg)</t>
  </si>
  <si>
    <t>pathogenic</t>
  </si>
  <si>
    <t>nonsense</t>
  </si>
  <si>
    <t>SHANK3</t>
  </si>
  <si>
    <t>22:50731148 G&gt;T</t>
  </si>
  <si>
    <t>NM_001372044.2</t>
  </si>
  <si>
    <t>c.5257G&gt;T p.(Glu1753*)</t>
  </si>
  <si>
    <t>CRELD1</t>
  </si>
  <si>
    <t>3:9943425 CA&gt;C</t>
  </si>
  <si>
    <t>NM_001077415.3</t>
  </si>
  <si>
    <t>c.959del  p.(Gln320fs)</t>
  </si>
  <si>
    <t>3:9940964 G&gt;A</t>
  </si>
  <si>
    <t>c.575G&gt;A  p.(Cys192Tyr)</t>
  </si>
  <si>
    <t>NUSAP1</t>
  </si>
  <si>
    <t>15:41377281 C&gt;A</t>
  </si>
  <si>
    <t>NM_016359.5</t>
  </si>
  <si>
    <t>c.1209C&gt;A p.(Tyr403*)</t>
  </si>
  <si>
    <t>inversion</t>
  </si>
  <si>
    <t>DYRK1A,…</t>
  </si>
  <si>
    <t>21:37022957-37467808</t>
  </si>
  <si>
    <t>chromosomal rearrangement</t>
  </si>
  <si>
    <t>CLIC2,…</t>
  </si>
  <si>
    <t>risk factor</t>
  </si>
  <si>
    <t>non-coding RNA</t>
  </si>
  <si>
    <t>RNU4-2</t>
  </si>
  <si>
    <t>12:120291839 T&gt;TA</t>
  </si>
  <si>
    <t>NR_002750.2</t>
  </si>
  <si>
    <t>n.64_65insT</t>
  </si>
  <si>
    <t>SYNGAP1</t>
  </si>
  <si>
    <t>NM_006772.3</t>
  </si>
  <si>
    <t>SETD5</t>
  </si>
  <si>
    <t>3:9447103 GAA&gt;G</t>
  </si>
  <si>
    <t>NM_001080517.3</t>
  </si>
  <si>
    <t>c.1581_1582del p.(Arg528Lysfs*14)</t>
  </si>
  <si>
    <t>Confirmation</t>
  </si>
  <si>
    <t>mat. &amp; pat. Inherited</t>
  </si>
  <si>
    <t>PCR over breakpoints</t>
  </si>
  <si>
    <t>PCR over breakpoints, optical genome mapping</t>
  </si>
  <si>
    <t>exome data</t>
  </si>
  <si>
    <t>XCI</t>
  </si>
  <si>
    <t>not skewing</t>
  </si>
  <si>
    <t>insufficient coverage</t>
  </si>
  <si>
    <t>unknown</t>
  </si>
  <si>
    <t>exome data + Sanger sequencing</t>
  </si>
  <si>
    <t>Sanger sequencing</t>
  </si>
  <si>
    <t>Sanger sequencing on cDNA</t>
  </si>
  <si>
    <t>2/10</t>
  </si>
  <si>
    <t>10/11</t>
  </si>
  <si>
    <t>14/18</t>
  </si>
  <si>
    <t>7/19</t>
  </si>
  <si>
    <t>7/15</t>
  </si>
  <si>
    <t>5/9</t>
  </si>
  <si>
    <t>3/9</t>
  </si>
  <si>
    <t>8/9</t>
  </si>
  <si>
    <t>9/9</t>
  </si>
  <si>
    <t>7/9</t>
  </si>
  <si>
    <t>7/16</t>
  </si>
  <si>
    <t>1/15</t>
  </si>
  <si>
    <t>9/11</t>
  </si>
  <si>
    <t>6/11</t>
  </si>
  <si>
    <t>7/17</t>
  </si>
  <si>
    <t>10/17</t>
  </si>
  <si>
    <t>12/24</t>
  </si>
  <si>
    <t>4/4</t>
  </si>
  <si>
    <t>8/11</t>
  </si>
  <si>
    <t>3/11</t>
  </si>
  <si>
    <t>12/17</t>
  </si>
  <si>
    <t>4/7</t>
  </si>
  <si>
    <t>6/15</t>
  </si>
  <si>
    <t>3/10</t>
  </si>
  <si>
    <t>6/12</t>
  </si>
  <si>
    <t>5/16</t>
  </si>
  <si>
    <t>7/12</t>
  </si>
  <si>
    <t>4/10</t>
  </si>
  <si>
    <t>2/12</t>
  </si>
  <si>
    <t>15/20</t>
  </si>
  <si>
    <t>6/14</t>
  </si>
  <si>
    <t>9/17</t>
  </si>
  <si>
    <t>7/13</t>
  </si>
  <si>
    <t>5/10</t>
  </si>
  <si>
    <t>9/14</t>
  </si>
  <si>
    <t>2/6</t>
  </si>
  <si>
    <t>0/10</t>
  </si>
  <si>
    <t>5/7</t>
  </si>
  <si>
    <t>6/10</t>
  </si>
  <si>
    <t>1/2</t>
  </si>
  <si>
    <t>2/3</t>
  </si>
  <si>
    <t>4/12</t>
  </si>
  <si>
    <t>11/18</t>
  </si>
  <si>
    <t>8/13</t>
  </si>
  <si>
    <t>1/4</t>
  </si>
  <si>
    <t>9/16</t>
  </si>
  <si>
    <t>5/15</t>
  </si>
  <si>
    <t>6/9</t>
  </si>
  <si>
    <t>0/4</t>
  </si>
  <si>
    <t>4/5</t>
  </si>
  <si>
    <t>5/12</t>
  </si>
  <si>
    <t>9/12</t>
  </si>
  <si>
    <t>7/7</t>
  </si>
  <si>
    <t>7/14</t>
  </si>
  <si>
    <t>17/23</t>
  </si>
  <si>
    <t>4/21</t>
  </si>
  <si>
    <t>1/11</t>
  </si>
  <si>
    <t>14/15</t>
  </si>
  <si>
    <t>2/9</t>
  </si>
  <si>
    <t>8/14</t>
  </si>
  <si>
    <t>3/6</t>
  </si>
  <si>
    <t>0/5</t>
  </si>
  <si>
    <t>10/13</t>
  </si>
  <si>
    <t>3/8</t>
  </si>
  <si>
    <t>8/12</t>
  </si>
  <si>
    <t>4/13</t>
  </si>
  <si>
    <t>4/17</t>
  </si>
  <si>
    <t>3/17</t>
  </si>
  <si>
    <t>1/3</t>
  </si>
  <si>
    <t>5/8</t>
  </si>
  <si>
    <t>4/11</t>
  </si>
  <si>
    <t>4/6</t>
  </si>
  <si>
    <t>3/12</t>
  </si>
  <si>
    <t>1/20</t>
  </si>
  <si>
    <t>2/13</t>
  </si>
  <si>
    <t>9/13</t>
  </si>
  <si>
    <t>3/16</t>
  </si>
  <si>
    <t>3/4</t>
  </si>
  <si>
    <t>1/1</t>
  </si>
  <si>
    <t>11/20</t>
  </si>
  <si>
    <t>7/21</t>
  </si>
  <si>
    <t>2/5</t>
  </si>
  <si>
    <t>2/7</t>
  </si>
  <si>
    <t>4/9</t>
  </si>
  <si>
    <t>7/8</t>
  </si>
  <si>
    <t>17/25</t>
  </si>
  <si>
    <t>8/18</t>
  </si>
  <si>
    <t>1/8</t>
  </si>
  <si>
    <t>12/21</t>
  </si>
  <si>
    <t>9/23</t>
  </si>
  <si>
    <t>0/8</t>
  </si>
  <si>
    <t>10/16</t>
  </si>
  <si>
    <t>0/6</t>
  </si>
  <si>
    <t>12/14</t>
  </si>
  <si>
    <t>2/17</t>
  </si>
  <si>
    <t>2/8</t>
  </si>
  <si>
    <t>7/10</t>
  </si>
  <si>
    <t>5/13</t>
  </si>
  <si>
    <t>skewing</t>
  </si>
  <si>
    <t>not applicable</t>
  </si>
  <si>
    <t>4/15</t>
  </si>
  <si>
    <t>NA</t>
  </si>
  <si>
    <t>14/23</t>
  </si>
  <si>
    <t>5/14</t>
  </si>
  <si>
    <t>2/15</t>
  </si>
  <si>
    <t>13/19</t>
  </si>
  <si>
    <t>3/14</t>
  </si>
  <si>
    <t>10/14</t>
  </si>
  <si>
    <t>8/23</t>
  </si>
  <si>
    <t>86.14 ± 24.69</t>
  </si>
  <si>
    <t>41.59 ± 13.56</t>
  </si>
  <si>
    <t>Average ± Standard Deviation *</t>
  </si>
  <si>
    <t>*excluding  P16 trio runs which were interrupted (protocol refinement needed with LSK110&gt;LSK144 transition)</t>
  </si>
  <si>
    <t>close to skewing</t>
  </si>
  <si>
    <t>LSK114 adapted protocol</t>
  </si>
  <si>
    <t xml:space="preserve">LSK114 + needle shearing </t>
  </si>
  <si>
    <t>short read genome sequencing</t>
  </si>
  <si>
    <t>Phenotype</t>
  </si>
  <si>
    <t xml:space="preserve">c.388-1_388insT, c.394_402del </t>
  </si>
  <si>
    <t>6:33432684 G&gt;GT,  6:33432688 GGCTTCCTGA&gt;G</t>
  </si>
  <si>
    <r>
      <rPr>
        <i/>
        <sz val="11"/>
        <color theme="1"/>
        <rFont val="Aptos Narrow"/>
        <family val="2"/>
        <scheme val="minor"/>
      </rPr>
      <t>AR</t>
    </r>
    <r>
      <rPr>
        <sz val="11"/>
        <color theme="1"/>
        <rFont val="Aptos Narrow"/>
        <family val="2"/>
        <scheme val="minor"/>
      </rPr>
      <t xml:space="preserve">  - 1</t>
    </r>
  </si>
  <si>
    <r>
      <rPr>
        <i/>
        <sz val="11"/>
        <color theme="1"/>
        <rFont val="Aptos Narrow"/>
        <family val="2"/>
        <scheme val="minor"/>
      </rPr>
      <t>AR</t>
    </r>
    <r>
      <rPr>
        <sz val="11"/>
        <color theme="1"/>
        <rFont val="Aptos Narrow"/>
        <family val="2"/>
        <scheme val="minor"/>
      </rPr>
      <t xml:space="preserve"> - 2</t>
    </r>
  </si>
  <si>
    <r>
      <rPr>
        <i/>
        <sz val="11"/>
        <color theme="1"/>
        <rFont val="Aptos Narrow"/>
        <family val="2"/>
        <scheme val="minor"/>
      </rPr>
      <t>RP2</t>
    </r>
    <r>
      <rPr>
        <sz val="11"/>
        <color theme="1"/>
        <rFont val="Aptos Narrow"/>
        <family val="2"/>
        <scheme val="minor"/>
      </rPr>
      <t xml:space="preserve"> - 1</t>
    </r>
  </si>
  <si>
    <r>
      <rPr>
        <i/>
        <sz val="11"/>
        <color theme="1"/>
        <rFont val="Aptos Narrow"/>
        <family val="2"/>
        <scheme val="minor"/>
      </rPr>
      <t>RP2</t>
    </r>
    <r>
      <rPr>
        <sz val="11"/>
        <color theme="1"/>
        <rFont val="Aptos Narrow"/>
        <family val="2"/>
        <scheme val="minor"/>
      </rPr>
      <t xml:space="preserve"> - 2</t>
    </r>
  </si>
  <si>
    <r>
      <rPr>
        <b/>
        <sz val="11"/>
        <color theme="1"/>
        <rFont val="Aptos Narrow"/>
        <family val="2"/>
        <scheme val="minor"/>
      </rPr>
      <t>A.</t>
    </r>
    <r>
      <rPr>
        <sz val="11"/>
        <color theme="1"/>
        <rFont val="Aptos Narrow"/>
        <family val="2"/>
        <scheme val="minor"/>
      </rPr>
      <t xml:space="preserve"> Cohort information:  age, chromosomal sex, phenotype and previous genetic testing performed for included individuals. </t>
    </r>
    <r>
      <rPr>
        <b/>
        <sz val="11"/>
        <color theme="1"/>
        <rFont val="Aptos Narrow"/>
        <family val="2"/>
        <scheme val="minor"/>
      </rPr>
      <t>B.</t>
    </r>
    <r>
      <rPr>
        <sz val="11"/>
        <color theme="1"/>
        <rFont val="Aptos Narrow"/>
        <family val="2"/>
        <scheme val="minor"/>
      </rPr>
      <t xml:space="preserve"> Wet lab : DNA extraction and library prep kit used, as well as output (GB) and read length N50 (kb) of the LRS run. </t>
    </r>
    <r>
      <rPr>
        <b/>
        <sz val="11"/>
        <color theme="1"/>
        <rFont val="Aptos Narrow"/>
        <family val="2"/>
        <scheme val="minor"/>
      </rPr>
      <t>C.</t>
    </r>
    <r>
      <rPr>
        <sz val="11"/>
        <color theme="1"/>
        <rFont val="Aptos Narrow"/>
        <family val="2"/>
        <scheme val="minor"/>
      </rPr>
      <t xml:space="preserve"> Overview of variants of interest and with which independent technology the variants were validated. </t>
    </r>
    <r>
      <rPr>
        <b/>
        <sz val="11"/>
        <color theme="1"/>
        <rFont val="Aptos Narrow"/>
        <family val="2"/>
        <scheme val="minor"/>
      </rPr>
      <t xml:space="preserve">D. </t>
    </r>
    <r>
      <rPr>
        <sz val="11"/>
        <color theme="1"/>
        <rFont val="Aptos Narrow"/>
        <family val="2"/>
        <scheme val="minor"/>
      </rPr>
      <t xml:space="preserve">X-chromosome inactivation evaluation using Methylartist: fraction of methylated reads for each allele at the </t>
    </r>
    <r>
      <rPr>
        <i/>
        <sz val="11"/>
        <color theme="1"/>
        <rFont val="Aptos Narrow"/>
        <family val="2"/>
        <scheme val="minor"/>
      </rPr>
      <t>AR</t>
    </r>
    <r>
      <rPr>
        <sz val="11"/>
        <color theme="1"/>
        <rFont val="Aptos Narrow"/>
        <family val="2"/>
        <scheme val="minor"/>
      </rPr>
      <t xml:space="preserve"> and </t>
    </r>
    <r>
      <rPr>
        <i/>
        <sz val="11"/>
        <color theme="1"/>
        <rFont val="Aptos Narrow"/>
        <family val="2"/>
        <scheme val="minor"/>
      </rPr>
      <t>RP2</t>
    </r>
    <r>
      <rPr>
        <sz val="11"/>
        <color theme="1"/>
        <rFont val="Aptos Narrow"/>
        <family val="2"/>
        <scheme val="minor"/>
      </rPr>
      <t xml:space="preserve"> gene promotor loci, for all females (probands and mothers).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</si>
</sst>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8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</font>
    <font>
      <b/>
      <i/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0" fillId="0" borderId="0" xfId="0" applyFont="1"/>
    <xf numFmtId="2" fontId="0" fillId="0" borderId="0" xfId="0" applyNumberFormat="1" applyFont="1"/>
    <xf numFmtId="49" fontId="9" fillId="0" borderId="0" xfId="0" applyNumberFormat="1" applyFont="1"/>
    <xf numFmtId="49" fontId="0" fillId="0" borderId="0" xfId="0" applyNumberFormat="1" applyFont="1"/>
    <xf numFmtId="49" fontId="0" fillId="0" borderId="0" xfId="0" applyNumberFormat="1"/>
    <xf numFmtId="49" fontId="6" fillId="0" borderId="0" xfId="0" applyNumberFormat="1" applyFont="1"/>
    <xf numFmtId="0" fontId="9" fillId="0" borderId="0" xfId="0" applyNumberFormat="1" applyFont="1"/>
    <xf numFmtId="0" fontId="0" fillId="0" borderId="0" xfId="0" applyNumberFormat="1"/>
    <xf numFmtId="0" fontId="9" fillId="0" borderId="0" xfId="0" applyFont="1" applyFill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2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9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genome.ucsc.edu/cgi-bin/hgTracks?db=hg38&amp;lastVirtModeType=default&amp;lastVirtModeExtraState=&amp;virtModeType=default&amp;virtMode=0&amp;nonVirtPosition=&amp;insideX=115&amp;revCmplDisp=0&amp;hgtgroup_map_close=0&amp;hgtgroup_phenDis_close=1&amp;hgtgroup_genes_close=0&amp;hgtgroup_rna_close=1&amp;hg%20tgroup_regulation_close=1&amp;hgtgroup_compGeno_close=1&amp;hgtgroup_varRep_close=0&amp;hgtgroup_user_close=0&amp;hgtgroup_encodeGenes_close=1&amp;hgtgroup_expression_close=0&amp;hgtgroup_encodeTxLevels_close=1&amp;hgtgroup_encodeChip_close=1&amp;hgtgroup_encodeChrom_close=1&amp;hgtgroup_encodeCompAndVar_close=1&amp;location=1&amp;menubar=1&amp;position=chr3:9447103-9447103" TargetMode="External"/><Relationship Id="rId1" Type="http://schemas.openxmlformats.org/officeDocument/2006/relationships/hyperlink" Target="https://genome.ucsc.edu/cgi-bin/hgTracks?db=hg38&amp;lastVirtModeType=default&amp;lastVirtModeExtraState=&amp;virtModeType=default&amp;virtMode=0&amp;nonVirtPosition=&amp;insideX=115&amp;revCmplDisp=0&amp;hgtgroup_map_close=0&amp;hgtgroup_phenDis_close=1&amp;hgtgroup_genes_close=0&amp;hgtgroup_rna_close=1&amp;hg%20tgroup_regulation_close=1&amp;hgtgroup_compGeno_close=1&amp;hgtgroup_varRep_close=0&amp;hgtgroup_user_close=0&amp;hgtgroup_encodeGenes_close=1&amp;hgtgroup_expression_close=0&amp;hgtgroup_encodeTxLevels_close=1&amp;hgtgroup_encodeChip_close=1&amp;hgtgroup_encodeChrom_close=1&amp;hgtgroup_encodeCompAndVar_close=1&amp;location=1&amp;menubar=1&amp;position=chr11:59615319-59615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7FC9A-299B-4961-84FC-9A90FCB32847}">
  <dimension ref="A1:I88"/>
  <sheetViews>
    <sheetView tabSelected="1" zoomScale="50" workbookViewId="0"/>
  </sheetViews>
  <sheetFormatPr defaultRowHeight="14.4" x14ac:dyDescent="0.3"/>
  <cols>
    <col min="1" max="1" width="17" customWidth="1"/>
    <col min="2" max="2" width="8.88671875" style="3"/>
    <col min="3" max="3" width="16.88671875" style="3" customWidth="1"/>
    <col min="4" max="4" width="179.44140625" customWidth="1"/>
    <col min="5" max="5" width="33.77734375" customWidth="1"/>
    <col min="6" max="6" width="26.44140625" customWidth="1"/>
    <col min="7" max="7" width="29.5546875" customWidth="1"/>
    <col min="8" max="8" width="28.33203125" customWidth="1"/>
    <col min="9" max="9" width="29.5546875" customWidth="1"/>
  </cols>
  <sheetData>
    <row r="1" spans="1:9" s="15" customFormat="1" ht="29.4" thickBot="1" x14ac:dyDescent="0.35">
      <c r="A1" s="32" t="s">
        <v>5</v>
      </c>
      <c r="B1" s="32" t="s">
        <v>202</v>
      </c>
      <c r="C1" s="32" t="s">
        <v>229</v>
      </c>
      <c r="D1" s="32" t="s">
        <v>446</v>
      </c>
      <c r="E1" s="32" t="s">
        <v>230</v>
      </c>
      <c r="F1" s="32" t="s">
        <v>231</v>
      </c>
      <c r="G1" s="33" t="s">
        <v>232</v>
      </c>
      <c r="H1" s="32" t="s">
        <v>233</v>
      </c>
      <c r="I1" s="32" t="s">
        <v>445</v>
      </c>
    </row>
    <row r="2" spans="1:9" x14ac:dyDescent="0.3">
      <c r="A2" s="2" t="s">
        <v>52</v>
      </c>
      <c r="B2" s="7">
        <v>3</v>
      </c>
      <c r="C2" s="7" t="s">
        <v>199</v>
      </c>
      <c r="D2" t="s">
        <v>235</v>
      </c>
      <c r="F2" t="s">
        <v>234</v>
      </c>
      <c r="H2" t="s">
        <v>234</v>
      </c>
    </row>
    <row r="3" spans="1:9" x14ac:dyDescent="0.3">
      <c r="A3" s="1" t="s">
        <v>53</v>
      </c>
      <c r="B3" s="7">
        <v>31</v>
      </c>
      <c r="C3" s="7" t="s">
        <v>199</v>
      </c>
    </row>
    <row r="4" spans="1:9" x14ac:dyDescent="0.3">
      <c r="A4" s="1" t="s">
        <v>54</v>
      </c>
      <c r="B4" s="7">
        <v>30</v>
      </c>
      <c r="C4" s="7" t="s">
        <v>200</v>
      </c>
    </row>
    <row r="5" spans="1:9" x14ac:dyDescent="0.3">
      <c r="A5" s="2" t="s">
        <v>55</v>
      </c>
      <c r="B5" s="7">
        <v>9</v>
      </c>
      <c r="C5" s="7" t="s">
        <v>200</v>
      </c>
      <c r="D5" t="s">
        <v>203</v>
      </c>
      <c r="F5" t="s">
        <v>234</v>
      </c>
      <c r="H5" t="s">
        <v>234</v>
      </c>
      <c r="I5" t="s">
        <v>234</v>
      </c>
    </row>
    <row r="6" spans="1:9" x14ac:dyDescent="0.3">
      <c r="A6" s="1" t="s">
        <v>56</v>
      </c>
      <c r="B6" s="7">
        <v>43</v>
      </c>
      <c r="C6" s="7" t="s">
        <v>199</v>
      </c>
    </row>
    <row r="7" spans="1:9" x14ac:dyDescent="0.3">
      <c r="A7" s="1" t="s">
        <v>57</v>
      </c>
      <c r="B7" s="7">
        <v>41</v>
      </c>
      <c r="C7" s="7" t="s">
        <v>200</v>
      </c>
    </row>
    <row r="8" spans="1:9" x14ac:dyDescent="0.3">
      <c r="A8" s="4" t="s">
        <v>58</v>
      </c>
      <c r="B8" s="7">
        <v>7</v>
      </c>
      <c r="C8" s="7" t="s">
        <v>200</v>
      </c>
      <c r="D8" t="s">
        <v>204</v>
      </c>
      <c r="F8" t="s">
        <v>234</v>
      </c>
      <c r="H8" t="s">
        <v>234</v>
      </c>
    </row>
    <row r="9" spans="1:9" x14ac:dyDescent="0.3">
      <c r="A9" s="4" t="s">
        <v>137</v>
      </c>
      <c r="B9" s="7">
        <v>10</v>
      </c>
      <c r="C9" s="7" t="s">
        <v>200</v>
      </c>
      <c r="D9" t="s">
        <v>204</v>
      </c>
      <c r="F9" t="s">
        <v>234</v>
      </c>
      <c r="H9" t="s">
        <v>234</v>
      </c>
    </row>
    <row r="10" spans="1:9" x14ac:dyDescent="0.3">
      <c r="A10" s="5" t="s">
        <v>59</v>
      </c>
      <c r="B10" s="7">
        <v>31</v>
      </c>
      <c r="C10" s="7" t="s">
        <v>201</v>
      </c>
    </row>
    <row r="11" spans="1:9" x14ac:dyDescent="0.3">
      <c r="A11" s="5" t="s">
        <v>60</v>
      </c>
      <c r="B11" s="7">
        <v>33</v>
      </c>
      <c r="C11" s="7" t="s">
        <v>200</v>
      </c>
    </row>
    <row r="12" spans="1:9" x14ac:dyDescent="0.3">
      <c r="A12" s="4" t="s">
        <v>61</v>
      </c>
      <c r="B12" s="7">
        <v>6</v>
      </c>
      <c r="C12" s="7" t="s">
        <v>199</v>
      </c>
      <c r="D12" t="s">
        <v>205</v>
      </c>
      <c r="F12" t="s">
        <v>234</v>
      </c>
      <c r="G12" t="s">
        <v>234</v>
      </c>
      <c r="H12" t="s">
        <v>234</v>
      </c>
    </row>
    <row r="13" spans="1:9" x14ac:dyDescent="0.3">
      <c r="A13" s="5" t="s">
        <v>62</v>
      </c>
      <c r="B13" s="7">
        <v>41</v>
      </c>
      <c r="C13" s="7" t="s">
        <v>201</v>
      </c>
    </row>
    <row r="14" spans="1:9" x14ac:dyDescent="0.3">
      <c r="A14" s="5" t="s">
        <v>63</v>
      </c>
      <c r="B14" s="7">
        <v>38</v>
      </c>
      <c r="C14" s="7" t="s">
        <v>200</v>
      </c>
    </row>
    <row r="15" spans="1:9" x14ac:dyDescent="0.3">
      <c r="A15" s="4" t="s">
        <v>64</v>
      </c>
      <c r="B15" s="7">
        <v>25</v>
      </c>
      <c r="C15" s="7" t="s">
        <v>200</v>
      </c>
      <c r="D15" t="s">
        <v>206</v>
      </c>
      <c r="E15" t="s">
        <v>234</v>
      </c>
      <c r="F15" t="s">
        <v>234</v>
      </c>
      <c r="I15" t="s">
        <v>234</v>
      </c>
    </row>
    <row r="16" spans="1:9" x14ac:dyDescent="0.3">
      <c r="A16" s="1" t="s">
        <v>103</v>
      </c>
      <c r="B16" s="7">
        <v>62</v>
      </c>
      <c r="C16" s="7" t="s">
        <v>199</v>
      </c>
    </row>
    <row r="17" spans="1:9" x14ac:dyDescent="0.3">
      <c r="A17" s="5" t="s">
        <v>65</v>
      </c>
      <c r="B17" s="7">
        <v>50</v>
      </c>
      <c r="C17" s="7" t="s">
        <v>200</v>
      </c>
    </row>
    <row r="18" spans="1:9" x14ac:dyDescent="0.3">
      <c r="A18" s="4" t="s">
        <v>104</v>
      </c>
      <c r="B18" s="7">
        <v>21</v>
      </c>
      <c r="C18" s="7" t="s">
        <v>199</v>
      </c>
      <c r="D18" t="s">
        <v>207</v>
      </c>
      <c r="E18" t="s">
        <v>234</v>
      </c>
      <c r="F18" t="s">
        <v>234</v>
      </c>
      <c r="H18" t="s">
        <v>234</v>
      </c>
    </row>
    <row r="19" spans="1:9" x14ac:dyDescent="0.3">
      <c r="A19" s="5" t="s">
        <v>105</v>
      </c>
      <c r="B19" s="7">
        <v>48</v>
      </c>
      <c r="C19" s="3" t="s">
        <v>199</v>
      </c>
    </row>
    <row r="20" spans="1:9" x14ac:dyDescent="0.3">
      <c r="A20" s="5" t="s">
        <v>106</v>
      </c>
      <c r="B20" s="7">
        <v>51</v>
      </c>
      <c r="C20" s="3" t="s">
        <v>200</v>
      </c>
    </row>
    <row r="21" spans="1:9" x14ac:dyDescent="0.3">
      <c r="A21" s="4" t="s">
        <v>107</v>
      </c>
      <c r="B21" s="7">
        <v>6</v>
      </c>
      <c r="C21" s="3" t="s">
        <v>199</v>
      </c>
      <c r="D21" t="s">
        <v>236</v>
      </c>
      <c r="F21" t="s">
        <v>234</v>
      </c>
      <c r="I21" t="s">
        <v>234</v>
      </c>
    </row>
    <row r="22" spans="1:9" x14ac:dyDescent="0.3">
      <c r="A22" s="5" t="s">
        <v>108</v>
      </c>
      <c r="B22" s="7">
        <v>35</v>
      </c>
      <c r="C22" s="3" t="s">
        <v>199</v>
      </c>
    </row>
    <row r="23" spans="1:9" x14ac:dyDescent="0.3">
      <c r="A23" s="5" t="s">
        <v>109</v>
      </c>
      <c r="B23" s="7">
        <v>36</v>
      </c>
      <c r="C23" s="3" t="s">
        <v>200</v>
      </c>
    </row>
    <row r="24" spans="1:9" x14ac:dyDescent="0.3">
      <c r="A24" s="4" t="s">
        <v>110</v>
      </c>
      <c r="B24" s="7">
        <v>27</v>
      </c>
      <c r="C24" s="3" t="s">
        <v>199</v>
      </c>
      <c r="D24" t="s">
        <v>208</v>
      </c>
      <c r="E24" t="s">
        <v>234</v>
      </c>
      <c r="F24" t="s">
        <v>234</v>
      </c>
      <c r="G24" t="s">
        <v>234</v>
      </c>
      <c r="H24" t="s">
        <v>234</v>
      </c>
    </row>
    <row r="25" spans="1:9" x14ac:dyDescent="0.3">
      <c r="A25" s="5" t="s">
        <v>111</v>
      </c>
      <c r="B25" s="7">
        <v>65</v>
      </c>
      <c r="C25" s="3" t="s">
        <v>199</v>
      </c>
    </row>
    <row r="26" spans="1:9" x14ac:dyDescent="0.3">
      <c r="A26" s="5" t="s">
        <v>112</v>
      </c>
      <c r="B26" s="7">
        <v>60</v>
      </c>
      <c r="C26" s="3" t="s">
        <v>200</v>
      </c>
    </row>
    <row r="27" spans="1:9" x14ac:dyDescent="0.3">
      <c r="A27" s="4" t="s">
        <v>113</v>
      </c>
      <c r="B27" s="7">
        <v>9</v>
      </c>
      <c r="C27" s="3" t="s">
        <v>199</v>
      </c>
      <c r="D27" t="s">
        <v>209</v>
      </c>
      <c r="F27" t="s">
        <v>234</v>
      </c>
      <c r="H27" t="s">
        <v>234</v>
      </c>
    </row>
    <row r="28" spans="1:9" x14ac:dyDescent="0.3">
      <c r="A28" s="5" t="s">
        <v>114</v>
      </c>
      <c r="B28" s="7">
        <v>41</v>
      </c>
      <c r="C28" s="3" t="s">
        <v>199</v>
      </c>
    </row>
    <row r="29" spans="1:9" x14ac:dyDescent="0.3">
      <c r="A29" s="5" t="s">
        <v>115</v>
      </c>
      <c r="B29" s="7">
        <v>47</v>
      </c>
      <c r="C29" s="3" t="s">
        <v>200</v>
      </c>
    </row>
    <row r="30" spans="1:9" x14ac:dyDescent="0.3">
      <c r="A30" s="4" t="s">
        <v>116</v>
      </c>
      <c r="B30" s="7">
        <v>2</v>
      </c>
      <c r="C30" s="3" t="s">
        <v>200</v>
      </c>
      <c r="D30" t="s">
        <v>210</v>
      </c>
      <c r="F30" t="s">
        <v>234</v>
      </c>
      <c r="H30" t="s">
        <v>234</v>
      </c>
    </row>
    <row r="31" spans="1:9" x14ac:dyDescent="0.3">
      <c r="A31" s="5" t="s">
        <v>117</v>
      </c>
      <c r="B31" s="7">
        <v>28</v>
      </c>
      <c r="C31" s="3" t="s">
        <v>199</v>
      </c>
    </row>
    <row r="32" spans="1:9" x14ac:dyDescent="0.3">
      <c r="A32" s="5" t="s">
        <v>118</v>
      </c>
      <c r="B32" s="7">
        <v>34</v>
      </c>
      <c r="C32" s="7" t="s">
        <v>200</v>
      </c>
    </row>
    <row r="33" spans="1:9" x14ac:dyDescent="0.3">
      <c r="A33" s="4" t="s">
        <v>119</v>
      </c>
      <c r="B33" s="7">
        <v>12</v>
      </c>
      <c r="C33" s="7" t="s">
        <v>200</v>
      </c>
      <c r="D33" t="s">
        <v>211</v>
      </c>
      <c r="E33" t="s">
        <v>234</v>
      </c>
      <c r="F33" t="s">
        <v>234</v>
      </c>
      <c r="I33" t="s">
        <v>234</v>
      </c>
    </row>
    <row r="34" spans="1:9" x14ac:dyDescent="0.3">
      <c r="A34" s="1" t="s">
        <v>120</v>
      </c>
      <c r="B34" s="7">
        <v>41</v>
      </c>
      <c r="C34" s="7" t="s">
        <v>199</v>
      </c>
    </row>
    <row r="35" spans="1:9" x14ac:dyDescent="0.3">
      <c r="A35" s="1" t="s">
        <v>121</v>
      </c>
      <c r="B35" s="7">
        <v>42</v>
      </c>
      <c r="C35" s="7" t="s">
        <v>200</v>
      </c>
    </row>
    <row r="36" spans="1:9" x14ac:dyDescent="0.3">
      <c r="A36" s="4" t="s">
        <v>122</v>
      </c>
      <c r="B36" s="7">
        <v>2</v>
      </c>
      <c r="C36" s="7" t="s">
        <v>199</v>
      </c>
      <c r="D36" t="s">
        <v>212</v>
      </c>
      <c r="F36" t="s">
        <v>234</v>
      </c>
      <c r="H36" t="s">
        <v>234</v>
      </c>
    </row>
    <row r="37" spans="1:9" x14ac:dyDescent="0.3">
      <c r="A37" s="5" t="s">
        <v>123</v>
      </c>
      <c r="B37" s="7">
        <v>37</v>
      </c>
      <c r="C37" s="7" t="s">
        <v>199</v>
      </c>
    </row>
    <row r="38" spans="1:9" x14ac:dyDescent="0.3">
      <c r="A38" s="5" t="s">
        <v>124</v>
      </c>
      <c r="B38" s="7">
        <v>42</v>
      </c>
      <c r="C38" s="7" t="s">
        <v>200</v>
      </c>
    </row>
    <row r="39" spans="1:9" x14ac:dyDescent="0.3">
      <c r="A39" s="4" t="s">
        <v>125</v>
      </c>
      <c r="B39" s="7">
        <v>12</v>
      </c>
      <c r="C39" s="7" t="s">
        <v>199</v>
      </c>
      <c r="D39" t="s">
        <v>213</v>
      </c>
      <c r="F39" t="s">
        <v>234</v>
      </c>
      <c r="H39" t="s">
        <v>234</v>
      </c>
    </row>
    <row r="40" spans="1:9" x14ac:dyDescent="0.3">
      <c r="A40" s="5" t="s">
        <v>126</v>
      </c>
      <c r="B40" s="7">
        <v>51</v>
      </c>
      <c r="C40" s="7" t="s">
        <v>199</v>
      </c>
    </row>
    <row r="41" spans="1:9" x14ac:dyDescent="0.3">
      <c r="A41" s="5" t="s">
        <v>127</v>
      </c>
      <c r="B41" s="7">
        <v>54</v>
      </c>
      <c r="C41" s="7" t="s">
        <v>200</v>
      </c>
    </row>
    <row r="42" spans="1:9" x14ac:dyDescent="0.3">
      <c r="A42" s="4" t="s">
        <v>128</v>
      </c>
      <c r="B42" s="7">
        <v>8</v>
      </c>
      <c r="C42" s="7" t="s">
        <v>200</v>
      </c>
      <c r="D42" t="s">
        <v>214</v>
      </c>
      <c r="F42" t="s">
        <v>234</v>
      </c>
      <c r="I42" t="s">
        <v>234</v>
      </c>
    </row>
    <row r="43" spans="1:9" x14ac:dyDescent="0.3">
      <c r="A43" s="5" t="s">
        <v>129</v>
      </c>
      <c r="B43" s="7">
        <v>35</v>
      </c>
      <c r="C43" s="7" t="s">
        <v>199</v>
      </c>
    </row>
    <row r="44" spans="1:9" x14ac:dyDescent="0.3">
      <c r="A44" s="5" t="s">
        <v>130</v>
      </c>
      <c r="B44" s="7">
        <v>40</v>
      </c>
      <c r="C44" s="7" t="s">
        <v>200</v>
      </c>
    </row>
    <row r="45" spans="1:9" x14ac:dyDescent="0.3">
      <c r="A45" s="2" t="s">
        <v>101</v>
      </c>
      <c r="B45" s="7">
        <v>2</v>
      </c>
      <c r="C45" s="7" t="s">
        <v>200</v>
      </c>
      <c r="D45" t="s">
        <v>215</v>
      </c>
      <c r="F45" t="s">
        <v>234</v>
      </c>
      <c r="I45" t="s">
        <v>234</v>
      </c>
    </row>
    <row r="46" spans="1:9" x14ac:dyDescent="0.3">
      <c r="A46" s="1" t="s">
        <v>102</v>
      </c>
      <c r="B46" s="7">
        <v>30</v>
      </c>
      <c r="C46" s="7" t="s">
        <v>199</v>
      </c>
    </row>
    <row r="47" spans="1:9" x14ac:dyDescent="0.3">
      <c r="A47" s="1" t="s">
        <v>100</v>
      </c>
      <c r="B47" s="7">
        <v>33</v>
      </c>
      <c r="C47" s="7" t="s">
        <v>200</v>
      </c>
    </row>
    <row r="48" spans="1:9" x14ac:dyDescent="0.3">
      <c r="A48" s="2" t="s">
        <v>99</v>
      </c>
      <c r="B48" s="7">
        <v>5</v>
      </c>
      <c r="C48" s="7" t="s">
        <v>200</v>
      </c>
      <c r="D48" t="s">
        <v>216</v>
      </c>
      <c r="F48" t="s">
        <v>234</v>
      </c>
      <c r="H48" t="s">
        <v>234</v>
      </c>
    </row>
    <row r="49" spans="1:8" x14ac:dyDescent="0.3">
      <c r="A49" s="1" t="s">
        <v>98</v>
      </c>
      <c r="B49" s="7">
        <v>33</v>
      </c>
      <c r="C49" s="7" t="s">
        <v>199</v>
      </c>
    </row>
    <row r="50" spans="1:8" x14ac:dyDescent="0.3">
      <c r="A50" s="1" t="s">
        <v>97</v>
      </c>
      <c r="B50" s="7">
        <v>32</v>
      </c>
      <c r="C50" s="7" t="s">
        <v>200</v>
      </c>
    </row>
    <row r="51" spans="1:8" x14ac:dyDescent="0.3">
      <c r="A51" s="2" t="s">
        <v>96</v>
      </c>
      <c r="B51" s="7">
        <v>15</v>
      </c>
      <c r="C51" s="7" t="s">
        <v>199</v>
      </c>
      <c r="D51" t="s">
        <v>217</v>
      </c>
      <c r="F51" t="s">
        <v>234</v>
      </c>
      <c r="H51" t="s">
        <v>234</v>
      </c>
    </row>
    <row r="52" spans="1:8" x14ac:dyDescent="0.3">
      <c r="A52" s="1" t="s">
        <v>95</v>
      </c>
      <c r="B52" s="7">
        <v>53</v>
      </c>
      <c r="C52" s="7" t="s">
        <v>199</v>
      </c>
    </row>
    <row r="53" spans="1:8" x14ac:dyDescent="0.3">
      <c r="A53" s="1" t="s">
        <v>93</v>
      </c>
      <c r="B53" s="7">
        <v>48</v>
      </c>
      <c r="C53" s="7" t="s">
        <v>200</v>
      </c>
    </row>
    <row r="54" spans="1:8" x14ac:dyDescent="0.3">
      <c r="A54" s="2" t="s">
        <v>92</v>
      </c>
      <c r="B54" s="7">
        <v>17</v>
      </c>
      <c r="C54" s="7" t="s">
        <v>200</v>
      </c>
      <c r="D54" t="s">
        <v>218</v>
      </c>
      <c r="E54" t="s">
        <v>234</v>
      </c>
      <c r="F54" t="s">
        <v>234</v>
      </c>
      <c r="H54" t="s">
        <v>234</v>
      </c>
    </row>
    <row r="55" spans="1:8" x14ac:dyDescent="0.3">
      <c r="A55" s="1" t="s">
        <v>94</v>
      </c>
      <c r="B55" s="7">
        <v>50</v>
      </c>
      <c r="C55" s="7" t="s">
        <v>199</v>
      </c>
    </row>
    <row r="56" spans="1:8" x14ac:dyDescent="0.3">
      <c r="A56" s="1" t="s">
        <v>91</v>
      </c>
      <c r="B56" s="7">
        <v>47</v>
      </c>
      <c r="C56" s="7" t="s">
        <v>200</v>
      </c>
    </row>
    <row r="57" spans="1:8" x14ac:dyDescent="0.3">
      <c r="A57" s="2" t="s">
        <v>49</v>
      </c>
      <c r="B57" s="7">
        <v>12</v>
      </c>
      <c r="C57" s="7" t="s">
        <v>200</v>
      </c>
      <c r="D57" t="s">
        <v>219</v>
      </c>
      <c r="E57" t="s">
        <v>234</v>
      </c>
      <c r="F57" t="s">
        <v>234</v>
      </c>
      <c r="H57" t="s">
        <v>234</v>
      </c>
    </row>
    <row r="58" spans="1:8" x14ac:dyDescent="0.3">
      <c r="A58" s="2" t="s">
        <v>90</v>
      </c>
      <c r="B58" s="7">
        <v>9</v>
      </c>
      <c r="C58" s="7" t="s">
        <v>200</v>
      </c>
      <c r="D58" t="s">
        <v>237</v>
      </c>
      <c r="F58" t="s">
        <v>234</v>
      </c>
      <c r="H58" t="s">
        <v>234</v>
      </c>
    </row>
    <row r="59" spans="1:8" x14ac:dyDescent="0.3">
      <c r="A59" s="1" t="s">
        <v>89</v>
      </c>
      <c r="B59" s="7">
        <v>40</v>
      </c>
      <c r="C59" s="7" t="s">
        <v>199</v>
      </c>
    </row>
    <row r="60" spans="1:8" x14ac:dyDescent="0.3">
      <c r="A60" s="1" t="s">
        <v>50</v>
      </c>
      <c r="B60" s="7">
        <v>42</v>
      </c>
      <c r="C60" s="7" t="s">
        <v>200</v>
      </c>
    </row>
    <row r="61" spans="1:8" x14ac:dyDescent="0.3">
      <c r="A61" s="4" t="s">
        <v>88</v>
      </c>
      <c r="B61" s="7">
        <v>2</v>
      </c>
      <c r="C61" s="7" t="s">
        <v>199</v>
      </c>
      <c r="D61" t="s">
        <v>220</v>
      </c>
      <c r="F61" t="s">
        <v>234</v>
      </c>
      <c r="H61" t="s">
        <v>234</v>
      </c>
    </row>
    <row r="62" spans="1:8" x14ac:dyDescent="0.3">
      <c r="A62" s="1" t="s">
        <v>87</v>
      </c>
      <c r="B62" s="7">
        <v>39</v>
      </c>
      <c r="C62" s="7" t="s">
        <v>199</v>
      </c>
    </row>
    <row r="63" spans="1:8" x14ac:dyDescent="0.3">
      <c r="A63" s="1" t="s">
        <v>86</v>
      </c>
      <c r="B63" s="7">
        <v>37</v>
      </c>
      <c r="C63" s="7" t="s">
        <v>200</v>
      </c>
    </row>
    <row r="64" spans="1:8" x14ac:dyDescent="0.3">
      <c r="A64" s="4" t="s">
        <v>85</v>
      </c>
      <c r="B64" s="7">
        <v>16</v>
      </c>
      <c r="C64" s="7" t="s">
        <v>199</v>
      </c>
      <c r="D64" t="s">
        <v>221</v>
      </c>
      <c r="E64" t="s">
        <v>234</v>
      </c>
      <c r="F64" t="s">
        <v>234</v>
      </c>
      <c r="H64" t="s">
        <v>234</v>
      </c>
    </row>
    <row r="65" spans="1:8" x14ac:dyDescent="0.3">
      <c r="A65" s="1" t="s">
        <v>84</v>
      </c>
      <c r="B65" s="7">
        <v>48</v>
      </c>
      <c r="C65" s="7" t="s">
        <v>199</v>
      </c>
    </row>
    <row r="66" spans="1:8" x14ac:dyDescent="0.3">
      <c r="A66" s="1" t="s">
        <v>83</v>
      </c>
      <c r="B66" s="7">
        <v>51</v>
      </c>
      <c r="C66" s="7" t="s">
        <v>200</v>
      </c>
    </row>
    <row r="67" spans="1:8" x14ac:dyDescent="0.3">
      <c r="A67" s="2" t="s">
        <v>81</v>
      </c>
      <c r="B67" s="7">
        <v>13</v>
      </c>
      <c r="C67" s="7" t="s">
        <v>199</v>
      </c>
      <c r="D67" t="s">
        <v>222</v>
      </c>
      <c r="F67" t="s">
        <v>234</v>
      </c>
      <c r="H67" t="s">
        <v>234</v>
      </c>
    </row>
    <row r="68" spans="1:8" x14ac:dyDescent="0.3">
      <c r="A68" s="1" t="s">
        <v>82</v>
      </c>
      <c r="B68" s="7">
        <v>40</v>
      </c>
      <c r="C68" s="7" t="s">
        <v>199</v>
      </c>
    </row>
    <row r="69" spans="1:8" x14ac:dyDescent="0.3">
      <c r="A69" s="1" t="s">
        <v>80</v>
      </c>
      <c r="B69" s="7">
        <v>41</v>
      </c>
      <c r="C69" s="7" t="s">
        <v>200</v>
      </c>
    </row>
    <row r="70" spans="1:8" x14ac:dyDescent="0.3">
      <c r="A70" s="2" t="s">
        <v>131</v>
      </c>
      <c r="B70" s="7">
        <v>18</v>
      </c>
      <c r="C70" s="7" t="s">
        <v>200</v>
      </c>
      <c r="D70" t="s">
        <v>223</v>
      </c>
      <c r="E70" t="s">
        <v>234</v>
      </c>
      <c r="F70" t="s">
        <v>234</v>
      </c>
      <c r="H70" t="s">
        <v>234</v>
      </c>
    </row>
    <row r="71" spans="1:8" x14ac:dyDescent="0.3">
      <c r="A71" s="1" t="s">
        <v>79</v>
      </c>
      <c r="B71" s="7">
        <v>44</v>
      </c>
      <c r="C71" s="7" t="s">
        <v>199</v>
      </c>
    </row>
    <row r="72" spans="1:8" x14ac:dyDescent="0.3">
      <c r="A72" s="1" t="s">
        <v>78</v>
      </c>
      <c r="B72" s="7">
        <v>43</v>
      </c>
      <c r="C72" s="7" t="s">
        <v>200</v>
      </c>
    </row>
    <row r="73" spans="1:8" x14ac:dyDescent="0.3">
      <c r="A73" s="2" t="s">
        <v>77</v>
      </c>
      <c r="B73" s="7">
        <v>8</v>
      </c>
      <c r="C73" s="7" t="s">
        <v>199</v>
      </c>
      <c r="D73" t="s">
        <v>224</v>
      </c>
      <c r="F73" t="s">
        <v>234</v>
      </c>
      <c r="H73" t="s">
        <v>234</v>
      </c>
    </row>
    <row r="74" spans="1:8" x14ac:dyDescent="0.3">
      <c r="A74" s="1" t="s">
        <v>76</v>
      </c>
      <c r="B74" s="7">
        <v>45</v>
      </c>
      <c r="C74" s="7" t="s">
        <v>199</v>
      </c>
    </row>
    <row r="75" spans="1:8" x14ac:dyDescent="0.3">
      <c r="A75" s="1" t="s">
        <v>75</v>
      </c>
      <c r="B75" s="7">
        <v>53</v>
      </c>
      <c r="C75" s="7" t="s">
        <v>200</v>
      </c>
    </row>
    <row r="76" spans="1:8" x14ac:dyDescent="0.3">
      <c r="A76" s="2" t="s">
        <v>74</v>
      </c>
      <c r="B76" s="7">
        <v>12</v>
      </c>
      <c r="C76" s="7" t="s">
        <v>200</v>
      </c>
      <c r="D76" t="s">
        <v>225</v>
      </c>
      <c r="F76" t="s">
        <v>234</v>
      </c>
      <c r="H76" t="s">
        <v>234</v>
      </c>
    </row>
    <row r="77" spans="1:8" x14ac:dyDescent="0.3">
      <c r="A77" s="7" t="s">
        <v>73</v>
      </c>
      <c r="B77" s="7" t="s">
        <v>325</v>
      </c>
      <c r="C77" s="7" t="s">
        <v>199</v>
      </c>
    </row>
    <row r="78" spans="1:8" x14ac:dyDescent="0.3">
      <c r="A78" s="7" t="s">
        <v>72</v>
      </c>
      <c r="B78" s="7" t="s">
        <v>325</v>
      </c>
      <c r="C78" s="7" t="s">
        <v>200</v>
      </c>
    </row>
    <row r="79" spans="1:8" x14ac:dyDescent="0.3">
      <c r="A79" s="2" t="s">
        <v>71</v>
      </c>
      <c r="B79" s="7">
        <v>35</v>
      </c>
      <c r="C79" s="7" t="s">
        <v>200</v>
      </c>
      <c r="D79" t="s">
        <v>226</v>
      </c>
      <c r="E79" t="s">
        <v>234</v>
      </c>
      <c r="F79" t="s">
        <v>234</v>
      </c>
      <c r="G79" t="s">
        <v>234</v>
      </c>
      <c r="H79" t="s">
        <v>234</v>
      </c>
    </row>
    <row r="80" spans="1:8" x14ac:dyDescent="0.3">
      <c r="A80" s="1" t="s">
        <v>70</v>
      </c>
      <c r="B80" s="7">
        <v>59</v>
      </c>
      <c r="C80" s="7" t="s">
        <v>199</v>
      </c>
    </row>
    <row r="81" spans="1:8" x14ac:dyDescent="0.3">
      <c r="A81" s="1" t="s">
        <v>69</v>
      </c>
      <c r="B81" s="7">
        <v>62</v>
      </c>
      <c r="C81" s="7" t="s">
        <v>200</v>
      </c>
    </row>
    <row r="82" spans="1:8" x14ac:dyDescent="0.3">
      <c r="A82" s="2" t="s">
        <v>66</v>
      </c>
      <c r="B82" s="7">
        <v>18</v>
      </c>
      <c r="C82" s="7" t="s">
        <v>199</v>
      </c>
      <c r="D82" t="s">
        <v>227</v>
      </c>
      <c r="E82" t="s">
        <v>234</v>
      </c>
      <c r="F82" t="s">
        <v>234</v>
      </c>
      <c r="G82" t="s">
        <v>234</v>
      </c>
      <c r="H82" t="s">
        <v>234</v>
      </c>
    </row>
    <row r="83" spans="1:8" x14ac:dyDescent="0.3">
      <c r="A83" s="7" t="s">
        <v>67</v>
      </c>
      <c r="B83" s="7">
        <v>48</v>
      </c>
      <c r="C83" s="7" t="s">
        <v>199</v>
      </c>
    </row>
    <row r="84" spans="1:8" x14ac:dyDescent="0.3">
      <c r="A84" s="7" t="s">
        <v>68</v>
      </c>
      <c r="B84" s="7">
        <v>49</v>
      </c>
      <c r="C84" s="7" t="s">
        <v>200</v>
      </c>
    </row>
    <row r="85" spans="1:8" x14ac:dyDescent="0.3">
      <c r="A85" s="6" t="s">
        <v>132</v>
      </c>
      <c r="B85" s="7">
        <v>3</v>
      </c>
      <c r="C85" s="7" t="s">
        <v>199</v>
      </c>
      <c r="D85" t="s">
        <v>228</v>
      </c>
      <c r="E85" t="s">
        <v>234</v>
      </c>
      <c r="F85" t="s">
        <v>234</v>
      </c>
      <c r="G85" t="s">
        <v>234</v>
      </c>
      <c r="H85" t="s">
        <v>234</v>
      </c>
    </row>
    <row r="86" spans="1:8" x14ac:dyDescent="0.3">
      <c r="A86" s="7" t="s">
        <v>133</v>
      </c>
      <c r="B86" s="7">
        <v>33</v>
      </c>
      <c r="C86" s="7" t="s">
        <v>199</v>
      </c>
    </row>
    <row r="87" spans="1:8" x14ac:dyDescent="0.3">
      <c r="A87" s="3" t="s">
        <v>134</v>
      </c>
      <c r="B87" s="7">
        <v>35</v>
      </c>
      <c r="C87" s="7" t="s">
        <v>200</v>
      </c>
    </row>
    <row r="88" spans="1:8" x14ac:dyDescent="0.3">
      <c r="B88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8C5A-BF4E-410C-AAA3-CF85057BD0F0}">
  <dimension ref="A1:L99"/>
  <sheetViews>
    <sheetView zoomScale="52" workbookViewId="0"/>
  </sheetViews>
  <sheetFormatPr defaultRowHeight="14.4" x14ac:dyDescent="0.3"/>
  <cols>
    <col min="1" max="1" width="14.33203125" customWidth="1"/>
    <col min="2" max="2" width="25.5546875" customWidth="1"/>
    <col min="3" max="3" width="19.88671875" customWidth="1"/>
    <col min="4" max="4" width="13" customWidth="1"/>
    <col min="5" max="5" width="20.44140625" customWidth="1"/>
    <col min="6" max="6" width="24.21875" customWidth="1"/>
    <col min="7" max="7" width="25.33203125" customWidth="1"/>
  </cols>
  <sheetData>
    <row r="1" spans="1:9" ht="43.8" thickBot="1" x14ac:dyDescent="0.35">
      <c r="A1" s="31" t="s">
        <v>5</v>
      </c>
      <c r="B1" s="31" t="s">
        <v>0</v>
      </c>
      <c r="C1" s="31" t="s">
        <v>1</v>
      </c>
      <c r="D1" s="31" t="s">
        <v>198</v>
      </c>
      <c r="E1" s="31" t="s">
        <v>2</v>
      </c>
      <c r="F1" s="31" t="s">
        <v>3</v>
      </c>
      <c r="G1" s="31" t="s">
        <v>4</v>
      </c>
    </row>
    <row r="2" spans="1:9" x14ac:dyDescent="0.3">
      <c r="A2" s="24" t="s">
        <v>52</v>
      </c>
      <c r="B2" s="25" t="s">
        <v>197</v>
      </c>
      <c r="C2" s="25" t="s">
        <v>6</v>
      </c>
      <c r="D2" s="26" t="s">
        <v>7</v>
      </c>
      <c r="E2" s="25" t="s">
        <v>138</v>
      </c>
      <c r="F2" s="27">
        <v>82.5</v>
      </c>
      <c r="G2" s="25">
        <v>59.26</v>
      </c>
      <c r="I2" s="9"/>
    </row>
    <row r="3" spans="1:9" x14ac:dyDescent="0.3">
      <c r="A3" s="25" t="s">
        <v>53</v>
      </c>
      <c r="B3" s="25" t="s">
        <v>8</v>
      </c>
      <c r="C3" s="25" t="s">
        <v>9</v>
      </c>
      <c r="D3" s="26" t="s">
        <v>10</v>
      </c>
      <c r="E3" s="25" t="s">
        <v>139</v>
      </c>
      <c r="F3" s="27">
        <v>89.77</v>
      </c>
      <c r="G3" s="25">
        <v>22.73</v>
      </c>
      <c r="I3" s="9"/>
    </row>
    <row r="4" spans="1:9" x14ac:dyDescent="0.3">
      <c r="A4" s="25" t="s">
        <v>54</v>
      </c>
      <c r="B4" s="25" t="s">
        <v>8</v>
      </c>
      <c r="C4" s="25" t="s">
        <v>9</v>
      </c>
      <c r="D4" s="26" t="s">
        <v>10</v>
      </c>
      <c r="E4" s="25" t="s">
        <v>140</v>
      </c>
      <c r="F4" s="27">
        <v>106.26</v>
      </c>
      <c r="G4" s="25">
        <v>19.14</v>
      </c>
      <c r="I4" s="9"/>
    </row>
    <row r="5" spans="1:9" x14ac:dyDescent="0.3">
      <c r="A5" s="24" t="s">
        <v>55</v>
      </c>
      <c r="B5" s="25" t="s">
        <v>41</v>
      </c>
      <c r="C5" s="25" t="s">
        <v>196</v>
      </c>
      <c r="D5" s="26" t="s">
        <v>11</v>
      </c>
      <c r="E5" s="25" t="s">
        <v>141</v>
      </c>
      <c r="F5" s="27">
        <v>130.75</v>
      </c>
      <c r="G5" s="27">
        <v>18.489999999999998</v>
      </c>
      <c r="I5" s="9"/>
    </row>
    <row r="6" spans="1:9" x14ac:dyDescent="0.3">
      <c r="A6" s="25" t="s">
        <v>56</v>
      </c>
      <c r="B6" s="25" t="s">
        <v>8</v>
      </c>
      <c r="C6" s="25" t="s">
        <v>195</v>
      </c>
      <c r="D6" s="26" t="s">
        <v>11</v>
      </c>
      <c r="E6" s="25" t="s">
        <v>142</v>
      </c>
      <c r="F6" s="27">
        <v>73.19</v>
      </c>
      <c r="G6" s="27">
        <v>28.73</v>
      </c>
      <c r="I6" s="9"/>
    </row>
    <row r="7" spans="1:9" x14ac:dyDescent="0.3">
      <c r="A7" s="25" t="s">
        <v>57</v>
      </c>
      <c r="B7" s="25" t="s">
        <v>8</v>
      </c>
      <c r="C7" s="25" t="s">
        <v>195</v>
      </c>
      <c r="D7" s="26" t="s">
        <v>11</v>
      </c>
      <c r="E7" s="25" t="s">
        <v>143</v>
      </c>
      <c r="F7" s="27">
        <v>113.98</v>
      </c>
      <c r="G7" s="27">
        <v>15.34</v>
      </c>
      <c r="I7" s="9"/>
    </row>
    <row r="8" spans="1:9" x14ac:dyDescent="0.3">
      <c r="A8" s="28" t="s">
        <v>58</v>
      </c>
      <c r="B8" s="25" t="s">
        <v>8</v>
      </c>
      <c r="C8" s="25" t="s">
        <v>195</v>
      </c>
      <c r="D8" s="26" t="s">
        <v>10</v>
      </c>
      <c r="E8" s="25" t="s">
        <v>12</v>
      </c>
      <c r="F8" s="27">
        <v>75.69</v>
      </c>
      <c r="G8" s="27">
        <v>52.03</v>
      </c>
      <c r="I8" s="9"/>
    </row>
    <row r="9" spans="1:9" x14ac:dyDescent="0.3">
      <c r="A9" s="28" t="s">
        <v>137</v>
      </c>
      <c r="B9" s="25" t="s">
        <v>8</v>
      </c>
      <c r="C9" s="25" t="s">
        <v>195</v>
      </c>
      <c r="D9" s="26" t="s">
        <v>10</v>
      </c>
      <c r="E9" s="25" t="s">
        <v>13</v>
      </c>
      <c r="F9" s="27">
        <v>78.14</v>
      </c>
      <c r="G9" s="27">
        <v>26.14</v>
      </c>
      <c r="I9" s="9"/>
    </row>
    <row r="10" spans="1:9" x14ac:dyDescent="0.3">
      <c r="A10" s="10" t="s">
        <v>59</v>
      </c>
      <c r="B10" s="25" t="s">
        <v>8</v>
      </c>
      <c r="C10" s="25" t="s">
        <v>195</v>
      </c>
      <c r="D10" s="26" t="s">
        <v>10</v>
      </c>
      <c r="E10" s="25" t="s">
        <v>14</v>
      </c>
      <c r="F10" s="27">
        <v>104.78</v>
      </c>
      <c r="G10" s="27">
        <v>40.47</v>
      </c>
      <c r="I10" s="9"/>
    </row>
    <row r="11" spans="1:9" x14ac:dyDescent="0.3">
      <c r="A11" s="10" t="s">
        <v>60</v>
      </c>
      <c r="B11" s="25" t="s">
        <v>8</v>
      </c>
      <c r="C11" s="25" t="s">
        <v>195</v>
      </c>
      <c r="D11" s="26" t="s">
        <v>10</v>
      </c>
      <c r="E11" s="25" t="s">
        <v>15</v>
      </c>
      <c r="F11" s="27">
        <v>115.42</v>
      </c>
      <c r="G11" s="27">
        <v>9.67</v>
      </c>
      <c r="I11" s="9"/>
    </row>
    <row r="12" spans="1:9" x14ac:dyDescent="0.3">
      <c r="A12" s="28" t="s">
        <v>61</v>
      </c>
      <c r="B12" s="25" t="s">
        <v>8</v>
      </c>
      <c r="C12" s="25" t="s">
        <v>195</v>
      </c>
      <c r="D12" s="26" t="s">
        <v>10</v>
      </c>
      <c r="E12" s="25" t="s">
        <v>16</v>
      </c>
      <c r="F12" s="27">
        <v>64.989999999999995</v>
      </c>
      <c r="G12" s="27">
        <v>57.08</v>
      </c>
      <c r="I12" s="9"/>
    </row>
    <row r="13" spans="1:9" x14ac:dyDescent="0.3">
      <c r="A13" s="10" t="s">
        <v>62</v>
      </c>
      <c r="B13" s="25" t="s">
        <v>8</v>
      </c>
      <c r="C13" s="25" t="s">
        <v>195</v>
      </c>
      <c r="D13" s="26" t="s">
        <v>10</v>
      </c>
      <c r="E13" s="25" t="s">
        <v>17</v>
      </c>
      <c r="F13" s="27">
        <v>86.82</v>
      </c>
      <c r="G13" s="27">
        <v>51.71</v>
      </c>
      <c r="I13" s="9"/>
    </row>
    <row r="14" spans="1:9" x14ac:dyDescent="0.3">
      <c r="A14" s="10" t="s">
        <v>63</v>
      </c>
      <c r="B14" s="25" t="s">
        <v>8</v>
      </c>
      <c r="C14" s="25" t="s">
        <v>195</v>
      </c>
      <c r="D14" s="26" t="s">
        <v>10</v>
      </c>
      <c r="E14" s="25" t="s">
        <v>18</v>
      </c>
      <c r="F14" s="27">
        <v>78.7</v>
      </c>
      <c r="G14" s="27">
        <v>49.68</v>
      </c>
      <c r="I14" s="9"/>
    </row>
    <row r="15" spans="1:9" x14ac:dyDescent="0.3">
      <c r="A15" s="28" t="s">
        <v>64</v>
      </c>
      <c r="B15" s="25" t="s">
        <v>8</v>
      </c>
      <c r="C15" s="25" t="s">
        <v>195</v>
      </c>
      <c r="D15" s="26" t="s">
        <v>10</v>
      </c>
      <c r="E15" s="25" t="s">
        <v>19</v>
      </c>
      <c r="F15" s="27">
        <v>73.27</v>
      </c>
      <c r="G15" s="27">
        <v>47.37</v>
      </c>
      <c r="I15" s="9"/>
    </row>
    <row r="16" spans="1:9" x14ac:dyDescent="0.3">
      <c r="A16" s="25" t="s">
        <v>103</v>
      </c>
      <c r="B16" s="25" t="s">
        <v>8</v>
      </c>
      <c r="C16" s="25" t="s">
        <v>195</v>
      </c>
      <c r="D16" s="26" t="s">
        <v>10</v>
      </c>
      <c r="E16" s="25" t="s">
        <v>144</v>
      </c>
      <c r="F16" s="27">
        <v>118.2</v>
      </c>
      <c r="G16" s="27">
        <v>34.590000000000003</v>
      </c>
      <c r="I16" s="9"/>
    </row>
    <row r="17" spans="1:9" x14ac:dyDescent="0.3">
      <c r="A17" s="10" t="s">
        <v>65</v>
      </c>
      <c r="B17" s="25" t="s">
        <v>8</v>
      </c>
      <c r="C17" s="25" t="s">
        <v>195</v>
      </c>
      <c r="D17" s="26" t="s">
        <v>10</v>
      </c>
      <c r="E17" s="25" t="s">
        <v>20</v>
      </c>
      <c r="F17" s="27">
        <v>83.35</v>
      </c>
      <c r="G17" s="27">
        <v>13.95</v>
      </c>
      <c r="I17" s="9"/>
    </row>
    <row r="18" spans="1:9" x14ac:dyDescent="0.3">
      <c r="A18" s="28" t="s">
        <v>104</v>
      </c>
      <c r="B18" s="25" t="s">
        <v>8</v>
      </c>
      <c r="C18" s="25" t="s">
        <v>195</v>
      </c>
      <c r="D18" s="26" t="s">
        <v>10</v>
      </c>
      <c r="E18" s="25" t="s">
        <v>21</v>
      </c>
      <c r="F18" s="27">
        <v>64.599999999999994</v>
      </c>
      <c r="G18" s="27">
        <v>48.97</v>
      </c>
      <c r="I18" s="9"/>
    </row>
    <row r="19" spans="1:9" x14ac:dyDescent="0.3">
      <c r="A19" s="10" t="s">
        <v>105</v>
      </c>
      <c r="B19" s="25" t="s">
        <v>8</v>
      </c>
      <c r="C19" s="25" t="s">
        <v>195</v>
      </c>
      <c r="D19" s="26" t="s">
        <v>10</v>
      </c>
      <c r="E19" s="25" t="s">
        <v>22</v>
      </c>
      <c r="F19" s="27">
        <v>81.84</v>
      </c>
      <c r="G19" s="27">
        <v>55.51</v>
      </c>
      <c r="I19" s="9"/>
    </row>
    <row r="20" spans="1:9" x14ac:dyDescent="0.3">
      <c r="A20" s="10" t="s">
        <v>106</v>
      </c>
      <c r="B20" s="25" t="s">
        <v>8</v>
      </c>
      <c r="C20" s="25" t="s">
        <v>195</v>
      </c>
      <c r="D20" s="26" t="s">
        <v>10</v>
      </c>
      <c r="E20" s="25" t="s">
        <v>23</v>
      </c>
      <c r="F20" s="27">
        <v>40.75</v>
      </c>
      <c r="G20" s="27">
        <v>48.68</v>
      </c>
      <c r="I20" s="9"/>
    </row>
    <row r="21" spans="1:9" x14ac:dyDescent="0.3">
      <c r="A21" s="28" t="s">
        <v>107</v>
      </c>
      <c r="B21" s="25" t="s">
        <v>8</v>
      </c>
      <c r="C21" s="25" t="s">
        <v>195</v>
      </c>
      <c r="D21" s="26" t="s">
        <v>10</v>
      </c>
      <c r="E21" s="25" t="s">
        <v>145</v>
      </c>
      <c r="F21" s="27">
        <v>69.989999999999995</v>
      </c>
      <c r="G21" s="27">
        <v>34.42</v>
      </c>
      <c r="I21" s="9"/>
    </row>
    <row r="22" spans="1:9" x14ac:dyDescent="0.3">
      <c r="A22" s="10" t="s">
        <v>108</v>
      </c>
      <c r="B22" s="25" t="s">
        <v>8</v>
      </c>
      <c r="C22" s="10" t="s">
        <v>196</v>
      </c>
      <c r="D22" s="26" t="s">
        <v>10</v>
      </c>
      <c r="E22" s="25" t="s">
        <v>146</v>
      </c>
      <c r="F22" s="27">
        <v>48.69</v>
      </c>
      <c r="G22" s="27">
        <v>44.69</v>
      </c>
      <c r="I22" s="9"/>
    </row>
    <row r="23" spans="1:9" x14ac:dyDescent="0.3">
      <c r="A23" s="10" t="s">
        <v>109</v>
      </c>
      <c r="B23" s="25" t="s">
        <v>8</v>
      </c>
      <c r="C23" s="10" t="s">
        <v>196</v>
      </c>
      <c r="D23" s="26" t="s">
        <v>10</v>
      </c>
      <c r="E23" s="25" t="s">
        <v>147</v>
      </c>
      <c r="F23" s="27">
        <v>145.35</v>
      </c>
      <c r="G23" s="27">
        <v>25.19</v>
      </c>
      <c r="I23" s="9"/>
    </row>
    <row r="24" spans="1:9" x14ac:dyDescent="0.3">
      <c r="A24" s="28" t="s">
        <v>110</v>
      </c>
      <c r="B24" s="25" t="s">
        <v>8</v>
      </c>
      <c r="C24" s="25" t="s">
        <v>195</v>
      </c>
      <c r="D24" s="26" t="s">
        <v>10</v>
      </c>
      <c r="E24" s="25" t="s">
        <v>24</v>
      </c>
      <c r="F24" s="27">
        <v>63.87</v>
      </c>
      <c r="G24" s="27">
        <v>62.02</v>
      </c>
      <c r="I24" s="9"/>
    </row>
    <row r="25" spans="1:9" x14ac:dyDescent="0.3">
      <c r="A25" s="10" t="s">
        <v>111</v>
      </c>
      <c r="B25" s="25" t="s">
        <v>8</v>
      </c>
      <c r="C25" s="25" t="s">
        <v>195</v>
      </c>
      <c r="D25" s="26" t="s">
        <v>10</v>
      </c>
      <c r="E25" s="25">
        <v>3.84</v>
      </c>
      <c r="F25" s="27">
        <v>62.24</v>
      </c>
      <c r="G25" s="27">
        <v>55.14</v>
      </c>
      <c r="I25" s="9"/>
    </row>
    <row r="26" spans="1:9" x14ac:dyDescent="0.3">
      <c r="A26" s="10" t="s">
        <v>112</v>
      </c>
      <c r="B26" s="25" t="s">
        <v>8</v>
      </c>
      <c r="C26" s="25" t="s">
        <v>195</v>
      </c>
      <c r="D26" s="26" t="s">
        <v>10</v>
      </c>
      <c r="E26" s="25">
        <v>2947</v>
      </c>
      <c r="F26" s="27">
        <v>54.79</v>
      </c>
      <c r="G26" s="27">
        <v>61.8</v>
      </c>
      <c r="I26" s="9"/>
    </row>
    <row r="27" spans="1:9" x14ac:dyDescent="0.3">
      <c r="A27" s="28" t="s">
        <v>113</v>
      </c>
      <c r="B27" s="25" t="s">
        <v>8</v>
      </c>
      <c r="C27" s="25" t="s">
        <v>195</v>
      </c>
      <c r="D27" s="26" t="s">
        <v>10</v>
      </c>
      <c r="E27" s="25" t="s">
        <v>25</v>
      </c>
      <c r="F27" s="27">
        <v>76.62</v>
      </c>
      <c r="G27" s="27">
        <v>51</v>
      </c>
      <c r="I27" s="9"/>
    </row>
    <row r="28" spans="1:9" x14ac:dyDescent="0.3">
      <c r="A28" s="10" t="s">
        <v>114</v>
      </c>
      <c r="B28" s="25" t="s">
        <v>8</v>
      </c>
      <c r="C28" s="25" t="s">
        <v>195</v>
      </c>
      <c r="D28" s="26" t="s">
        <v>10</v>
      </c>
      <c r="E28" s="25" t="s">
        <v>26</v>
      </c>
      <c r="F28" s="27">
        <v>66.47</v>
      </c>
      <c r="G28" s="27">
        <v>36.950000000000003</v>
      </c>
      <c r="I28" s="9"/>
    </row>
    <row r="29" spans="1:9" x14ac:dyDescent="0.3">
      <c r="A29" s="10" t="s">
        <v>115</v>
      </c>
      <c r="B29" s="25" t="s">
        <v>8</v>
      </c>
      <c r="C29" s="25" t="s">
        <v>195</v>
      </c>
      <c r="D29" s="26" t="s">
        <v>10</v>
      </c>
      <c r="E29" s="25" t="s">
        <v>27</v>
      </c>
      <c r="F29" s="27">
        <v>62.38</v>
      </c>
      <c r="G29" s="27">
        <v>51.47</v>
      </c>
      <c r="I29" s="9"/>
    </row>
    <row r="30" spans="1:9" x14ac:dyDescent="0.3">
      <c r="A30" s="28" t="s">
        <v>116</v>
      </c>
      <c r="B30" s="25" t="s">
        <v>8</v>
      </c>
      <c r="C30" s="25" t="s">
        <v>195</v>
      </c>
      <c r="D30" s="26" t="s">
        <v>10</v>
      </c>
      <c r="E30" s="25" t="s">
        <v>28</v>
      </c>
      <c r="F30" s="27">
        <v>60.24</v>
      </c>
      <c r="G30" s="27">
        <v>64.37</v>
      </c>
      <c r="I30" s="9"/>
    </row>
    <row r="31" spans="1:9" x14ac:dyDescent="0.3">
      <c r="A31" s="10" t="s">
        <v>117</v>
      </c>
      <c r="B31" s="25" t="s">
        <v>8</v>
      </c>
      <c r="C31" s="25" t="s">
        <v>135</v>
      </c>
      <c r="D31" s="26" t="s">
        <v>10</v>
      </c>
      <c r="E31" s="25" t="s">
        <v>29</v>
      </c>
      <c r="F31" s="27">
        <v>79.5</v>
      </c>
      <c r="G31" s="27">
        <v>62.98</v>
      </c>
      <c r="I31" s="9"/>
    </row>
    <row r="32" spans="1:9" x14ac:dyDescent="0.3">
      <c r="A32" s="10" t="s">
        <v>118</v>
      </c>
      <c r="B32" s="25" t="s">
        <v>8</v>
      </c>
      <c r="C32" s="25" t="s">
        <v>195</v>
      </c>
      <c r="D32" s="26" t="s">
        <v>10</v>
      </c>
      <c r="E32" s="25">
        <v>1712</v>
      </c>
      <c r="F32" s="27">
        <v>38.47</v>
      </c>
      <c r="G32" s="27">
        <v>78.44</v>
      </c>
      <c r="I32" s="9"/>
    </row>
    <row r="33" spans="1:9" x14ac:dyDescent="0.3">
      <c r="A33" s="28" t="s">
        <v>119</v>
      </c>
      <c r="B33" s="25" t="s">
        <v>8</v>
      </c>
      <c r="C33" s="25" t="s">
        <v>136</v>
      </c>
      <c r="D33" s="26" t="s">
        <v>10</v>
      </c>
      <c r="E33" s="25">
        <v>2.95</v>
      </c>
      <c r="F33" s="27">
        <v>63.98</v>
      </c>
      <c r="G33" s="27">
        <v>66.58</v>
      </c>
      <c r="I33" s="9"/>
    </row>
    <row r="34" spans="1:9" x14ac:dyDescent="0.3">
      <c r="A34" s="25" t="s">
        <v>120</v>
      </c>
      <c r="B34" s="25" t="s">
        <v>8</v>
      </c>
      <c r="C34" s="25" t="s">
        <v>136</v>
      </c>
      <c r="D34" s="26" t="s">
        <v>10</v>
      </c>
      <c r="E34" s="25" t="s">
        <v>30</v>
      </c>
      <c r="F34" s="27">
        <v>64.209999999999994</v>
      </c>
      <c r="G34" s="27">
        <v>77.790000000000006</v>
      </c>
      <c r="I34" s="9"/>
    </row>
    <row r="35" spans="1:9" x14ac:dyDescent="0.3">
      <c r="A35" s="25" t="s">
        <v>121</v>
      </c>
      <c r="B35" s="25" t="s">
        <v>8</v>
      </c>
      <c r="C35" s="25" t="s">
        <v>136</v>
      </c>
      <c r="D35" s="26" t="s">
        <v>10</v>
      </c>
      <c r="E35" s="25" t="s">
        <v>31</v>
      </c>
      <c r="F35" s="27">
        <v>77.86</v>
      </c>
      <c r="G35" s="27">
        <v>64.989999999999995</v>
      </c>
      <c r="I35" s="9"/>
    </row>
    <row r="36" spans="1:9" x14ac:dyDescent="0.3">
      <c r="A36" s="28" t="s">
        <v>122</v>
      </c>
      <c r="B36" s="25" t="s">
        <v>8</v>
      </c>
      <c r="C36" s="25" t="s">
        <v>136</v>
      </c>
      <c r="D36" s="26" t="s">
        <v>10</v>
      </c>
      <c r="E36" s="25" t="s">
        <v>32</v>
      </c>
      <c r="F36" s="27">
        <v>100.61</v>
      </c>
      <c r="G36" s="27">
        <v>43.62</v>
      </c>
      <c r="I36" s="9"/>
    </row>
    <row r="37" spans="1:9" x14ac:dyDescent="0.3">
      <c r="A37" s="10" t="s">
        <v>123</v>
      </c>
      <c r="B37" s="25" t="s">
        <v>8</v>
      </c>
      <c r="C37" s="25" t="s">
        <v>136</v>
      </c>
      <c r="D37" s="26" t="s">
        <v>10</v>
      </c>
      <c r="E37" s="25" t="s">
        <v>33</v>
      </c>
      <c r="F37" s="27">
        <v>82.14</v>
      </c>
      <c r="G37" s="27">
        <v>41.95</v>
      </c>
      <c r="I37" s="9"/>
    </row>
    <row r="38" spans="1:9" x14ac:dyDescent="0.3">
      <c r="A38" s="10" t="s">
        <v>124</v>
      </c>
      <c r="B38" s="25" t="s">
        <v>8</v>
      </c>
      <c r="C38" s="25" t="s">
        <v>136</v>
      </c>
      <c r="D38" s="26" t="s">
        <v>10</v>
      </c>
      <c r="E38" s="25" t="s">
        <v>34</v>
      </c>
      <c r="F38" s="27">
        <v>107.59</v>
      </c>
      <c r="G38" s="27">
        <v>31.59</v>
      </c>
      <c r="I38" s="9"/>
    </row>
    <row r="39" spans="1:9" x14ac:dyDescent="0.3">
      <c r="A39" s="28" t="s">
        <v>125</v>
      </c>
      <c r="B39" s="25" t="s">
        <v>8</v>
      </c>
      <c r="C39" s="25" t="s">
        <v>136</v>
      </c>
      <c r="D39" s="26" t="s">
        <v>10</v>
      </c>
      <c r="E39" s="25" t="s">
        <v>35</v>
      </c>
      <c r="F39" s="27">
        <v>72.66</v>
      </c>
      <c r="G39" s="27">
        <v>41.79</v>
      </c>
      <c r="I39" s="9"/>
    </row>
    <row r="40" spans="1:9" x14ac:dyDescent="0.3">
      <c r="A40" s="10" t="s">
        <v>126</v>
      </c>
      <c r="B40" s="25" t="s">
        <v>8</v>
      </c>
      <c r="C40" s="25" t="s">
        <v>136</v>
      </c>
      <c r="D40" s="26" t="s">
        <v>10</v>
      </c>
      <c r="E40" s="25" t="s">
        <v>36</v>
      </c>
      <c r="F40" s="27">
        <v>73.849999999999994</v>
      </c>
      <c r="G40" s="27">
        <v>46.72</v>
      </c>
      <c r="I40" s="9"/>
    </row>
    <row r="41" spans="1:9" x14ac:dyDescent="0.3">
      <c r="A41" s="10" t="s">
        <v>127</v>
      </c>
      <c r="B41" s="25" t="s">
        <v>8</v>
      </c>
      <c r="C41" s="25" t="s">
        <v>136</v>
      </c>
      <c r="D41" s="26" t="s">
        <v>10</v>
      </c>
      <c r="E41" s="25" t="s">
        <v>37</v>
      </c>
      <c r="F41" s="27">
        <v>76.099999999999994</v>
      </c>
      <c r="G41" s="25">
        <v>42.95</v>
      </c>
      <c r="I41" s="9"/>
    </row>
    <row r="42" spans="1:9" x14ac:dyDescent="0.3">
      <c r="A42" s="28" t="s">
        <v>128</v>
      </c>
      <c r="B42" s="25" t="s">
        <v>8</v>
      </c>
      <c r="C42" s="25" t="s">
        <v>136</v>
      </c>
      <c r="D42" s="29" t="s">
        <v>10</v>
      </c>
      <c r="E42" s="27" t="s">
        <v>33</v>
      </c>
      <c r="F42" s="27">
        <v>92.06</v>
      </c>
      <c r="G42" s="27">
        <v>46.96</v>
      </c>
      <c r="I42" s="9"/>
    </row>
    <row r="43" spans="1:9" x14ac:dyDescent="0.3">
      <c r="A43" s="10" t="s">
        <v>129</v>
      </c>
      <c r="B43" s="25" t="s">
        <v>8</v>
      </c>
      <c r="C43" s="25" t="s">
        <v>136</v>
      </c>
      <c r="D43" s="29" t="s">
        <v>10</v>
      </c>
      <c r="E43" s="27" t="s">
        <v>39</v>
      </c>
      <c r="F43" s="27">
        <v>93.05</v>
      </c>
      <c r="G43" s="27">
        <v>56.83</v>
      </c>
      <c r="I43" s="9"/>
    </row>
    <row r="44" spans="1:9" x14ac:dyDescent="0.3">
      <c r="A44" s="10" t="s">
        <v>130</v>
      </c>
      <c r="B44" s="25" t="s">
        <v>8</v>
      </c>
      <c r="C44" s="25" t="s">
        <v>136</v>
      </c>
      <c r="D44" s="29" t="s">
        <v>10</v>
      </c>
      <c r="E44" s="27" t="s">
        <v>40</v>
      </c>
      <c r="F44" s="27">
        <v>70.03</v>
      </c>
      <c r="G44" s="27">
        <v>50.07</v>
      </c>
      <c r="I44" s="9"/>
    </row>
    <row r="45" spans="1:9" x14ac:dyDescent="0.3">
      <c r="A45" s="24" t="s">
        <v>101</v>
      </c>
      <c r="B45" s="25" t="s">
        <v>8</v>
      </c>
      <c r="C45" s="25" t="s">
        <v>136</v>
      </c>
      <c r="D45" s="29" t="s">
        <v>10</v>
      </c>
      <c r="E45" s="27" t="s">
        <v>148</v>
      </c>
      <c r="F45" s="27">
        <v>104.53</v>
      </c>
      <c r="G45" s="27">
        <v>38.83</v>
      </c>
      <c r="I45" s="9"/>
    </row>
    <row r="46" spans="1:9" x14ac:dyDescent="0.3">
      <c r="A46" s="25" t="s">
        <v>102</v>
      </c>
      <c r="B46" s="25" t="s">
        <v>8</v>
      </c>
      <c r="C46" s="25" t="s">
        <v>136</v>
      </c>
      <c r="D46" s="29" t="s">
        <v>10</v>
      </c>
      <c r="E46" s="27" t="s">
        <v>149</v>
      </c>
      <c r="F46" s="27">
        <v>115.67</v>
      </c>
      <c r="G46" s="27">
        <v>37.61</v>
      </c>
      <c r="I46" s="9"/>
    </row>
    <row r="47" spans="1:9" x14ac:dyDescent="0.3">
      <c r="A47" s="25" t="s">
        <v>100</v>
      </c>
      <c r="B47" s="25" t="s">
        <v>8</v>
      </c>
      <c r="C47" s="25" t="s">
        <v>136</v>
      </c>
      <c r="D47" s="29" t="s">
        <v>10</v>
      </c>
      <c r="E47" s="27" t="s">
        <v>150</v>
      </c>
      <c r="F47" s="27">
        <v>137.13</v>
      </c>
      <c r="G47" s="27">
        <v>38.409999999999997</v>
      </c>
      <c r="I47" s="9"/>
    </row>
    <row r="48" spans="1:9" x14ac:dyDescent="0.3">
      <c r="A48" s="24" t="s">
        <v>99</v>
      </c>
      <c r="B48" s="25" t="s">
        <v>8</v>
      </c>
      <c r="C48" s="25" t="s">
        <v>136</v>
      </c>
      <c r="D48" s="29" t="s">
        <v>11</v>
      </c>
      <c r="E48" s="27" t="s">
        <v>151</v>
      </c>
      <c r="F48" s="27" t="s">
        <v>152</v>
      </c>
      <c r="G48" s="27" t="s">
        <v>153</v>
      </c>
      <c r="I48" s="9"/>
    </row>
    <row r="49" spans="1:9" x14ac:dyDescent="0.3">
      <c r="A49" s="24" t="s">
        <v>99</v>
      </c>
      <c r="B49" s="25" t="s">
        <v>8</v>
      </c>
      <c r="C49" s="25" t="s">
        <v>136</v>
      </c>
      <c r="D49" s="29" t="s">
        <v>443</v>
      </c>
      <c r="E49" s="27">
        <v>1.1299999999999999</v>
      </c>
      <c r="F49" s="27">
        <v>20.07</v>
      </c>
      <c r="G49" s="27">
        <v>47.23</v>
      </c>
      <c r="I49" s="9"/>
    </row>
    <row r="50" spans="1:9" x14ac:dyDescent="0.3">
      <c r="A50" s="24" t="s">
        <v>99</v>
      </c>
      <c r="B50" s="25" t="s">
        <v>8</v>
      </c>
      <c r="C50" s="25" t="s">
        <v>136</v>
      </c>
      <c r="D50" s="29" t="s">
        <v>11</v>
      </c>
      <c r="E50" s="27" t="s">
        <v>154</v>
      </c>
      <c r="F50" s="27" t="s">
        <v>155</v>
      </c>
      <c r="G50" s="27" t="s">
        <v>156</v>
      </c>
      <c r="I50" s="9"/>
    </row>
    <row r="51" spans="1:9" x14ac:dyDescent="0.3">
      <c r="A51" s="25" t="s">
        <v>98</v>
      </c>
      <c r="B51" s="25" t="s">
        <v>8</v>
      </c>
      <c r="C51" s="25" t="s">
        <v>136</v>
      </c>
      <c r="D51" s="29" t="s">
        <v>42</v>
      </c>
      <c r="E51" s="27"/>
      <c r="F51" s="27">
        <v>31</v>
      </c>
      <c r="G51" s="27" t="s">
        <v>157</v>
      </c>
      <c r="I51" s="9"/>
    </row>
    <row r="52" spans="1:9" x14ac:dyDescent="0.3">
      <c r="A52" s="25" t="s">
        <v>98</v>
      </c>
      <c r="B52" s="25" t="s">
        <v>8</v>
      </c>
      <c r="C52" s="25" t="s">
        <v>136</v>
      </c>
      <c r="D52" s="29" t="s">
        <v>443</v>
      </c>
      <c r="E52" s="27"/>
      <c r="F52" s="27">
        <v>78</v>
      </c>
      <c r="G52" s="27" t="s">
        <v>158</v>
      </c>
      <c r="I52" s="9"/>
    </row>
    <row r="53" spans="1:9" x14ac:dyDescent="0.3">
      <c r="A53" s="25" t="s">
        <v>97</v>
      </c>
      <c r="B53" s="25" t="s">
        <v>8</v>
      </c>
      <c r="C53" s="25" t="s">
        <v>136</v>
      </c>
      <c r="D53" s="29" t="s">
        <v>38</v>
      </c>
      <c r="E53" s="27" t="s">
        <v>159</v>
      </c>
      <c r="F53" s="27" t="s">
        <v>160</v>
      </c>
      <c r="G53" s="27" t="s">
        <v>161</v>
      </c>
      <c r="I53" s="9"/>
    </row>
    <row r="54" spans="1:9" x14ac:dyDescent="0.3">
      <c r="A54" s="25" t="s">
        <v>97</v>
      </c>
      <c r="B54" s="25" t="s">
        <v>8</v>
      </c>
      <c r="C54" s="25" t="s">
        <v>136</v>
      </c>
      <c r="D54" s="29" t="s">
        <v>443</v>
      </c>
      <c r="E54" s="27" t="s">
        <v>162</v>
      </c>
      <c r="F54" s="27" t="s">
        <v>163</v>
      </c>
      <c r="G54" s="27" t="s">
        <v>164</v>
      </c>
      <c r="I54" s="9"/>
    </row>
    <row r="55" spans="1:9" x14ac:dyDescent="0.3">
      <c r="A55" s="24" t="s">
        <v>96</v>
      </c>
      <c r="B55" s="25" t="s">
        <v>8</v>
      </c>
      <c r="C55" s="25" t="s">
        <v>136</v>
      </c>
      <c r="D55" s="29" t="s">
        <v>10</v>
      </c>
      <c r="E55" s="27" t="s">
        <v>43</v>
      </c>
      <c r="F55" s="27">
        <v>106.27</v>
      </c>
      <c r="G55" s="27">
        <v>53.83</v>
      </c>
      <c r="I55" s="9"/>
    </row>
    <row r="56" spans="1:9" x14ac:dyDescent="0.3">
      <c r="A56" s="25" t="s">
        <v>95</v>
      </c>
      <c r="B56" s="25" t="s">
        <v>8</v>
      </c>
      <c r="C56" s="25" t="s">
        <v>136</v>
      </c>
      <c r="D56" s="29" t="s">
        <v>10</v>
      </c>
      <c r="E56" s="27" t="s">
        <v>44</v>
      </c>
      <c r="F56" s="27">
        <v>107.29</v>
      </c>
      <c r="G56" s="27">
        <v>53.18</v>
      </c>
      <c r="I56" s="9"/>
    </row>
    <row r="57" spans="1:9" x14ac:dyDescent="0.3">
      <c r="A57" s="25" t="s">
        <v>93</v>
      </c>
      <c r="B57" s="25" t="s">
        <v>8</v>
      </c>
      <c r="C57" s="25" t="s">
        <v>136</v>
      </c>
      <c r="D57" s="29" t="s">
        <v>10</v>
      </c>
      <c r="E57" s="27" t="s">
        <v>45</v>
      </c>
      <c r="F57" s="27">
        <v>96.51</v>
      </c>
      <c r="G57" s="27">
        <v>55.08</v>
      </c>
      <c r="I57" s="9"/>
    </row>
    <row r="58" spans="1:9" x14ac:dyDescent="0.3">
      <c r="A58" s="24" t="s">
        <v>92</v>
      </c>
      <c r="B58" s="25" t="s">
        <v>8</v>
      </c>
      <c r="C58" s="25" t="s">
        <v>136</v>
      </c>
      <c r="D58" s="29" t="s">
        <v>10</v>
      </c>
      <c r="E58" s="27" t="s">
        <v>46</v>
      </c>
      <c r="F58" s="27">
        <v>93.18</v>
      </c>
      <c r="G58" s="27">
        <v>48.12</v>
      </c>
      <c r="I58" s="9"/>
    </row>
    <row r="59" spans="1:9" x14ac:dyDescent="0.3">
      <c r="A59" s="25" t="s">
        <v>94</v>
      </c>
      <c r="B59" s="25" t="s">
        <v>8</v>
      </c>
      <c r="C59" s="25" t="s">
        <v>136</v>
      </c>
      <c r="D59" s="29" t="s">
        <v>10</v>
      </c>
      <c r="E59" s="27" t="s">
        <v>47</v>
      </c>
      <c r="F59" s="27">
        <v>92.62</v>
      </c>
      <c r="G59" s="27">
        <v>44.37</v>
      </c>
      <c r="I59" s="9"/>
    </row>
    <row r="60" spans="1:9" x14ac:dyDescent="0.3">
      <c r="A60" s="25" t="s">
        <v>91</v>
      </c>
      <c r="B60" s="25" t="s">
        <v>8</v>
      </c>
      <c r="C60" s="27" t="s">
        <v>136</v>
      </c>
      <c r="D60" s="29" t="s">
        <v>10</v>
      </c>
      <c r="E60" s="27" t="s">
        <v>48</v>
      </c>
      <c r="F60" s="27">
        <v>79.12</v>
      </c>
      <c r="G60" s="27">
        <v>50.67</v>
      </c>
      <c r="I60" s="9"/>
    </row>
    <row r="61" spans="1:9" x14ac:dyDescent="0.3">
      <c r="A61" s="24" t="s">
        <v>49</v>
      </c>
      <c r="B61" s="25" t="s">
        <v>8</v>
      </c>
      <c r="C61" s="27" t="s">
        <v>136</v>
      </c>
      <c r="D61" s="29" t="s">
        <v>11</v>
      </c>
      <c r="E61" s="27" t="s">
        <v>165</v>
      </c>
      <c r="F61" s="27">
        <v>102.8</v>
      </c>
      <c r="G61" s="27">
        <v>34.630000000000003</v>
      </c>
      <c r="I61" s="9"/>
    </row>
    <row r="62" spans="1:9" x14ac:dyDescent="0.3">
      <c r="A62" s="24" t="s">
        <v>90</v>
      </c>
      <c r="B62" s="25" t="s">
        <v>8</v>
      </c>
      <c r="C62" s="27" t="s">
        <v>136</v>
      </c>
      <c r="D62" s="29" t="s">
        <v>11</v>
      </c>
      <c r="E62" s="27" t="s">
        <v>166</v>
      </c>
      <c r="F62" s="27">
        <v>96.38</v>
      </c>
      <c r="G62" s="27">
        <v>39.42</v>
      </c>
      <c r="I62" s="9"/>
    </row>
    <row r="63" spans="1:9" x14ac:dyDescent="0.3">
      <c r="A63" s="25" t="s">
        <v>89</v>
      </c>
      <c r="B63" s="25" t="s">
        <v>8</v>
      </c>
      <c r="C63" s="27" t="s">
        <v>136</v>
      </c>
      <c r="D63" s="29" t="s">
        <v>11</v>
      </c>
      <c r="E63" s="27" t="s">
        <v>167</v>
      </c>
      <c r="F63" s="27">
        <v>60.4</v>
      </c>
      <c r="G63" s="27">
        <v>31.12</v>
      </c>
      <c r="I63" s="9"/>
    </row>
    <row r="64" spans="1:9" x14ac:dyDescent="0.3">
      <c r="A64" s="25" t="s">
        <v>50</v>
      </c>
      <c r="B64" s="25" t="s">
        <v>8</v>
      </c>
      <c r="C64" s="27" t="s">
        <v>136</v>
      </c>
      <c r="D64" s="29" t="s">
        <v>11</v>
      </c>
      <c r="E64" s="27" t="s">
        <v>168</v>
      </c>
      <c r="F64" s="27">
        <v>57.12</v>
      </c>
      <c r="G64" s="27">
        <v>32.270000000000003</v>
      </c>
      <c r="I64" s="9"/>
    </row>
    <row r="65" spans="1:12" x14ac:dyDescent="0.3">
      <c r="A65" s="28" t="s">
        <v>88</v>
      </c>
      <c r="B65" s="25" t="s">
        <v>8</v>
      </c>
      <c r="C65" s="27" t="s">
        <v>136</v>
      </c>
      <c r="D65" s="29" t="s">
        <v>11</v>
      </c>
      <c r="E65" s="27" t="s">
        <v>169</v>
      </c>
      <c r="F65" s="27">
        <v>64.760000000000005</v>
      </c>
      <c r="G65" s="27">
        <v>24.46</v>
      </c>
      <c r="I65" s="9"/>
    </row>
    <row r="66" spans="1:12" x14ac:dyDescent="0.3">
      <c r="A66" s="25" t="s">
        <v>87</v>
      </c>
      <c r="B66" s="25" t="s">
        <v>8</v>
      </c>
      <c r="C66" s="27" t="s">
        <v>136</v>
      </c>
      <c r="D66" s="29" t="s">
        <v>11</v>
      </c>
      <c r="E66" s="27" t="s">
        <v>170</v>
      </c>
      <c r="F66" s="27">
        <v>70.44</v>
      </c>
      <c r="G66" s="27">
        <v>30.98</v>
      </c>
      <c r="I66" s="9"/>
    </row>
    <row r="67" spans="1:12" x14ac:dyDescent="0.3">
      <c r="A67" s="25" t="s">
        <v>86</v>
      </c>
      <c r="B67" s="25" t="s">
        <v>8</v>
      </c>
      <c r="C67" s="27" t="s">
        <v>136</v>
      </c>
      <c r="D67" s="29" t="s">
        <v>11</v>
      </c>
      <c r="E67" s="27" t="s">
        <v>171</v>
      </c>
      <c r="F67" s="27">
        <v>49.73</v>
      </c>
      <c r="G67" s="27">
        <v>28.42</v>
      </c>
      <c r="I67" s="9"/>
    </row>
    <row r="68" spans="1:12" x14ac:dyDescent="0.3">
      <c r="A68" s="28" t="s">
        <v>85</v>
      </c>
      <c r="B68" s="25" t="s">
        <v>41</v>
      </c>
      <c r="C68" s="27" t="s">
        <v>136</v>
      </c>
      <c r="D68" s="29" t="s">
        <v>10</v>
      </c>
      <c r="E68" s="27" t="s">
        <v>172</v>
      </c>
      <c r="F68" s="27">
        <v>147.72999999999999</v>
      </c>
      <c r="G68" s="27">
        <v>30.66</v>
      </c>
      <c r="I68" s="9"/>
    </row>
    <row r="69" spans="1:12" x14ac:dyDescent="0.3">
      <c r="A69" s="25" t="s">
        <v>84</v>
      </c>
      <c r="B69" s="25" t="s">
        <v>8</v>
      </c>
      <c r="C69" s="27" t="s">
        <v>136</v>
      </c>
      <c r="D69" s="29" t="s">
        <v>10</v>
      </c>
      <c r="E69" s="27" t="s">
        <v>173</v>
      </c>
      <c r="F69" s="27">
        <v>84.04</v>
      </c>
      <c r="G69" s="27">
        <v>37.65</v>
      </c>
      <c r="I69" s="9"/>
    </row>
    <row r="70" spans="1:12" x14ac:dyDescent="0.3">
      <c r="A70" s="25" t="s">
        <v>83</v>
      </c>
      <c r="B70" s="25" t="s">
        <v>8</v>
      </c>
      <c r="C70" s="27" t="s">
        <v>136</v>
      </c>
      <c r="D70" s="29" t="s">
        <v>10</v>
      </c>
      <c r="E70" s="27" t="s">
        <v>174</v>
      </c>
      <c r="F70" s="27">
        <v>100.38</v>
      </c>
      <c r="G70" s="27">
        <v>36.85</v>
      </c>
      <c r="I70" s="9"/>
    </row>
    <row r="71" spans="1:12" x14ac:dyDescent="0.3">
      <c r="A71" s="24" t="s">
        <v>81</v>
      </c>
      <c r="B71" s="25" t="s">
        <v>8</v>
      </c>
      <c r="C71" s="27" t="s">
        <v>136</v>
      </c>
      <c r="D71" s="29" t="s">
        <v>10</v>
      </c>
      <c r="E71" s="27" t="s">
        <v>175</v>
      </c>
      <c r="F71" s="27">
        <v>141.93</v>
      </c>
      <c r="G71" s="27">
        <v>29.91</v>
      </c>
      <c r="I71" s="9"/>
      <c r="L71" s="8"/>
    </row>
    <row r="72" spans="1:12" x14ac:dyDescent="0.3">
      <c r="A72" s="25" t="s">
        <v>82</v>
      </c>
      <c r="B72" s="25" t="s">
        <v>8</v>
      </c>
      <c r="C72" s="27" t="s">
        <v>136</v>
      </c>
      <c r="D72" s="29" t="s">
        <v>10</v>
      </c>
      <c r="E72" s="27" t="s">
        <v>176</v>
      </c>
      <c r="F72" s="27">
        <v>124.82</v>
      </c>
      <c r="G72" s="27">
        <v>35.57</v>
      </c>
      <c r="I72" s="9"/>
    </row>
    <row r="73" spans="1:12" x14ac:dyDescent="0.3">
      <c r="A73" s="25" t="s">
        <v>80</v>
      </c>
      <c r="B73" s="25" t="s">
        <v>8</v>
      </c>
      <c r="C73" s="27" t="s">
        <v>136</v>
      </c>
      <c r="D73" s="29" t="s">
        <v>10</v>
      </c>
      <c r="E73" s="27" t="s">
        <v>177</v>
      </c>
      <c r="F73" s="27">
        <v>133.09</v>
      </c>
      <c r="G73" s="27">
        <v>36.729999999999997</v>
      </c>
      <c r="I73" s="9"/>
    </row>
    <row r="74" spans="1:12" x14ac:dyDescent="0.3">
      <c r="A74" s="24" t="s">
        <v>131</v>
      </c>
      <c r="B74" s="25" t="s">
        <v>8</v>
      </c>
      <c r="C74" s="25" t="s">
        <v>136</v>
      </c>
      <c r="D74" s="26" t="s">
        <v>10</v>
      </c>
      <c r="E74" s="25" t="s">
        <v>178</v>
      </c>
      <c r="F74" s="27">
        <v>114.25</v>
      </c>
      <c r="G74" s="25">
        <v>37.659999999999997</v>
      </c>
      <c r="I74" s="9"/>
    </row>
    <row r="75" spans="1:12" x14ac:dyDescent="0.3">
      <c r="A75" s="25" t="s">
        <v>79</v>
      </c>
      <c r="B75" s="25" t="s">
        <v>8</v>
      </c>
      <c r="C75" s="25" t="s">
        <v>136</v>
      </c>
      <c r="D75" s="26" t="s">
        <v>10</v>
      </c>
      <c r="E75" s="25" t="s">
        <v>179</v>
      </c>
      <c r="F75" s="27">
        <v>111.6</v>
      </c>
      <c r="G75" s="25">
        <v>31.76</v>
      </c>
      <c r="I75" s="9"/>
    </row>
    <row r="76" spans="1:12" x14ac:dyDescent="0.3">
      <c r="A76" s="25" t="s">
        <v>78</v>
      </c>
      <c r="B76" s="25" t="s">
        <v>8</v>
      </c>
      <c r="C76" s="25" t="s">
        <v>136</v>
      </c>
      <c r="D76" s="26" t="s">
        <v>10</v>
      </c>
      <c r="E76" s="25" t="s">
        <v>180</v>
      </c>
      <c r="F76" s="27">
        <v>94.42</v>
      </c>
      <c r="G76" s="25">
        <v>39.340000000000003</v>
      </c>
      <c r="I76" s="9"/>
    </row>
    <row r="77" spans="1:12" x14ac:dyDescent="0.3">
      <c r="A77" s="24" t="s">
        <v>77</v>
      </c>
      <c r="B77" s="25" t="s">
        <v>8</v>
      </c>
      <c r="C77" s="25" t="s">
        <v>136</v>
      </c>
      <c r="D77" s="26" t="s">
        <v>11</v>
      </c>
      <c r="E77" s="25" t="s">
        <v>181</v>
      </c>
      <c r="F77" s="27">
        <v>77.510000000000005</v>
      </c>
      <c r="G77" s="25">
        <v>25.79</v>
      </c>
      <c r="I77" s="9"/>
    </row>
    <row r="78" spans="1:12" x14ac:dyDescent="0.3">
      <c r="A78" s="25" t="s">
        <v>76</v>
      </c>
      <c r="B78" s="25" t="s">
        <v>8</v>
      </c>
      <c r="C78" s="25" t="s">
        <v>136</v>
      </c>
      <c r="D78" s="26" t="s">
        <v>11</v>
      </c>
      <c r="E78" s="25" t="s">
        <v>182</v>
      </c>
      <c r="F78" s="27">
        <v>67.900000000000006</v>
      </c>
      <c r="G78" s="25">
        <v>34.770000000000003</v>
      </c>
      <c r="I78" s="9"/>
    </row>
    <row r="79" spans="1:12" x14ac:dyDescent="0.3">
      <c r="A79" s="25" t="s">
        <v>75</v>
      </c>
      <c r="B79" s="25" t="s">
        <v>8</v>
      </c>
      <c r="C79" s="25" t="s">
        <v>136</v>
      </c>
      <c r="D79" s="26" t="s">
        <v>11</v>
      </c>
      <c r="E79" s="25" t="s">
        <v>183</v>
      </c>
      <c r="F79" s="27">
        <v>95.21</v>
      </c>
      <c r="G79" s="25">
        <v>28.39</v>
      </c>
      <c r="I79" s="9"/>
    </row>
    <row r="80" spans="1:12" x14ac:dyDescent="0.3">
      <c r="A80" s="24" t="s">
        <v>74</v>
      </c>
      <c r="B80" s="25" t="s">
        <v>8</v>
      </c>
      <c r="C80" s="25" t="s">
        <v>136</v>
      </c>
      <c r="D80" s="26" t="s">
        <v>51</v>
      </c>
      <c r="E80" s="25" t="s">
        <v>184</v>
      </c>
      <c r="F80" s="27">
        <v>112.98</v>
      </c>
      <c r="G80" s="25">
        <v>30.85</v>
      </c>
      <c r="I80" s="9"/>
    </row>
    <row r="81" spans="1:9" x14ac:dyDescent="0.3">
      <c r="A81" s="25" t="s">
        <v>73</v>
      </c>
      <c r="B81" s="25" t="s">
        <v>8</v>
      </c>
      <c r="C81" s="25" t="s">
        <v>136</v>
      </c>
      <c r="D81" s="26" t="s">
        <v>51</v>
      </c>
      <c r="E81" s="25" t="s">
        <v>185</v>
      </c>
      <c r="F81" s="30">
        <v>84.78</v>
      </c>
      <c r="G81" s="25">
        <v>52.13</v>
      </c>
      <c r="I81" s="9"/>
    </row>
    <row r="82" spans="1:9" x14ac:dyDescent="0.3">
      <c r="A82" s="25" t="s">
        <v>72</v>
      </c>
      <c r="B82" s="25" t="s">
        <v>8</v>
      </c>
      <c r="C82" s="25" t="s">
        <v>136</v>
      </c>
      <c r="D82" s="26" t="s">
        <v>51</v>
      </c>
      <c r="E82" s="25" t="s">
        <v>186</v>
      </c>
      <c r="F82" s="30">
        <v>96.83</v>
      </c>
      <c r="G82" s="25">
        <v>40.340000000000003</v>
      </c>
      <c r="I82" s="9"/>
    </row>
    <row r="83" spans="1:9" x14ac:dyDescent="0.3">
      <c r="A83" s="24" t="s">
        <v>71</v>
      </c>
      <c r="B83" s="25" t="s">
        <v>8</v>
      </c>
      <c r="C83" s="25" t="s">
        <v>136</v>
      </c>
      <c r="D83" s="26" t="s">
        <v>38</v>
      </c>
      <c r="E83" s="25" t="s">
        <v>187</v>
      </c>
      <c r="F83" s="30">
        <v>78.989999999999995</v>
      </c>
      <c r="G83" s="25">
        <v>38.590000000000003</v>
      </c>
    </row>
    <row r="84" spans="1:9" x14ac:dyDescent="0.3">
      <c r="A84" s="25" t="s">
        <v>70</v>
      </c>
      <c r="B84" s="25" t="s">
        <v>8</v>
      </c>
      <c r="C84" s="25" t="s">
        <v>136</v>
      </c>
      <c r="D84" s="26" t="s">
        <v>38</v>
      </c>
      <c r="E84" s="25" t="s">
        <v>188</v>
      </c>
      <c r="F84" s="30">
        <v>79.14</v>
      </c>
      <c r="G84" s="10">
        <v>34.28</v>
      </c>
    </row>
    <row r="85" spans="1:9" x14ac:dyDescent="0.3">
      <c r="A85" s="25" t="s">
        <v>69</v>
      </c>
      <c r="B85" s="25" t="s">
        <v>8</v>
      </c>
      <c r="C85" s="25" t="s">
        <v>136</v>
      </c>
      <c r="D85" s="26" t="s">
        <v>38</v>
      </c>
      <c r="E85" s="25" t="s">
        <v>189</v>
      </c>
      <c r="F85" s="30">
        <v>64.45</v>
      </c>
      <c r="G85" s="10">
        <v>36.97</v>
      </c>
    </row>
    <row r="86" spans="1:9" x14ac:dyDescent="0.3">
      <c r="A86" s="24" t="s">
        <v>66</v>
      </c>
      <c r="B86" s="25" t="s">
        <v>8</v>
      </c>
      <c r="C86" s="25" t="s">
        <v>136</v>
      </c>
      <c r="D86" s="26" t="s">
        <v>443</v>
      </c>
      <c r="E86" s="25" t="s">
        <v>190</v>
      </c>
      <c r="F86" s="30">
        <v>67.52</v>
      </c>
      <c r="G86" s="10">
        <v>38.64</v>
      </c>
    </row>
    <row r="87" spans="1:9" x14ac:dyDescent="0.3">
      <c r="A87" s="25" t="s">
        <v>67</v>
      </c>
      <c r="B87" s="25" t="s">
        <v>8</v>
      </c>
      <c r="C87" s="25" t="s">
        <v>136</v>
      </c>
      <c r="D87" s="26" t="s">
        <v>443</v>
      </c>
      <c r="E87" s="25" t="s">
        <v>191</v>
      </c>
      <c r="F87" s="30">
        <v>48.95</v>
      </c>
      <c r="G87" s="10">
        <v>37.47</v>
      </c>
    </row>
    <row r="88" spans="1:9" x14ac:dyDescent="0.3">
      <c r="A88" s="25" t="s">
        <v>68</v>
      </c>
      <c r="B88" s="25" t="s">
        <v>8</v>
      </c>
      <c r="C88" s="25" t="s">
        <v>136</v>
      </c>
      <c r="D88" s="26" t="s">
        <v>443</v>
      </c>
      <c r="E88" s="25" t="s">
        <v>192</v>
      </c>
      <c r="F88" s="30">
        <v>44.75</v>
      </c>
      <c r="G88" s="10">
        <v>38.58</v>
      </c>
    </row>
    <row r="89" spans="1:9" x14ac:dyDescent="0.3">
      <c r="A89" s="6" t="s">
        <v>132</v>
      </c>
      <c r="B89" s="7" t="s">
        <v>41</v>
      </c>
      <c r="C89" s="25" t="s">
        <v>136</v>
      </c>
      <c r="D89" s="26" t="s">
        <v>444</v>
      </c>
      <c r="E89" s="25" t="s">
        <v>47</v>
      </c>
      <c r="F89" s="30">
        <v>79.209999999999994</v>
      </c>
      <c r="G89" s="25">
        <v>36.340000000000003</v>
      </c>
    </row>
    <row r="90" spans="1:9" x14ac:dyDescent="0.3">
      <c r="A90" s="7" t="s">
        <v>133</v>
      </c>
      <c r="B90" s="7" t="s">
        <v>41</v>
      </c>
      <c r="C90" s="25" t="s">
        <v>136</v>
      </c>
      <c r="D90" s="26" t="s">
        <v>444</v>
      </c>
      <c r="E90" s="25" t="s">
        <v>193</v>
      </c>
      <c r="F90" s="30">
        <v>112.54</v>
      </c>
      <c r="G90" s="10">
        <v>41.44</v>
      </c>
    </row>
    <row r="91" spans="1:9" x14ac:dyDescent="0.3">
      <c r="A91" s="7" t="s">
        <v>134</v>
      </c>
      <c r="B91" s="7" t="s">
        <v>41</v>
      </c>
      <c r="C91" s="25" t="s">
        <v>136</v>
      </c>
      <c r="D91" s="26" t="s">
        <v>444</v>
      </c>
      <c r="E91" s="25" t="s">
        <v>194</v>
      </c>
      <c r="F91" s="30">
        <v>87.08</v>
      </c>
      <c r="G91" s="25">
        <v>40.21</v>
      </c>
    </row>
    <row r="92" spans="1:9" x14ac:dyDescent="0.3">
      <c r="A92" s="15"/>
      <c r="B92" s="15"/>
      <c r="C92" s="15"/>
      <c r="D92" s="15"/>
      <c r="E92" s="15"/>
      <c r="F92" s="7"/>
      <c r="G92" s="7"/>
      <c r="H92" s="3"/>
      <c r="I92" s="3"/>
    </row>
    <row r="93" spans="1:9" x14ac:dyDescent="0.3">
      <c r="F93" s="3"/>
      <c r="G93" s="3"/>
      <c r="H93" s="3"/>
    </row>
    <row r="94" spans="1:9" x14ac:dyDescent="0.3">
      <c r="A94" s="35" t="s">
        <v>440</v>
      </c>
      <c r="B94" s="35"/>
      <c r="C94" s="35"/>
      <c r="D94" s="35"/>
      <c r="E94" s="35"/>
      <c r="F94" s="3" t="s">
        <v>438</v>
      </c>
      <c r="G94" s="3" t="s">
        <v>439</v>
      </c>
      <c r="H94" s="3"/>
    </row>
    <row r="95" spans="1:9" x14ac:dyDescent="0.3">
      <c r="F95" s="3"/>
      <c r="G95" s="3"/>
      <c r="H95" s="3"/>
    </row>
    <row r="96" spans="1:9" x14ac:dyDescent="0.3">
      <c r="C96" s="15" t="s">
        <v>441</v>
      </c>
      <c r="F96" s="3"/>
      <c r="G96" s="3"/>
      <c r="H96" s="3"/>
    </row>
    <row r="97" spans="6:8" x14ac:dyDescent="0.3">
      <c r="F97" s="3"/>
      <c r="G97" s="3"/>
      <c r="H97" s="3"/>
    </row>
    <row r="98" spans="6:8" x14ac:dyDescent="0.3">
      <c r="F98" s="3"/>
      <c r="G98" s="3"/>
      <c r="H98" s="3"/>
    </row>
    <row r="99" spans="6:8" x14ac:dyDescent="0.3">
      <c r="F99" s="3"/>
      <c r="G99" s="3"/>
      <c r="H99" s="3"/>
    </row>
  </sheetData>
  <mergeCells count="1">
    <mergeCell ref="A94:E94"/>
  </mergeCells>
  <pageMargins left="0.7" right="0.7" top="0.75" bottom="0.75" header="0.3" footer="0.3"/>
  <ignoredErrors>
    <ignoredError sqref="E60 E61:E91 E2:E24 E27:E31 E34:E48 E58:E59 F48:G48 E50:G50 G51:G52 E53:G54 E55:E5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EBA29-53C1-499B-BB98-7765E320D1D9}">
  <dimension ref="A1:I18"/>
  <sheetViews>
    <sheetView zoomScale="71" workbookViewId="0"/>
  </sheetViews>
  <sheetFormatPr defaultRowHeight="14.4" x14ac:dyDescent="0.3"/>
  <cols>
    <col min="2" max="2" width="26.33203125" customWidth="1"/>
    <col min="4" max="4" width="25" customWidth="1"/>
    <col min="5" max="5" width="17.88671875" customWidth="1"/>
    <col min="6" max="6" width="30.21875" customWidth="1"/>
    <col min="7" max="7" width="19" customWidth="1"/>
    <col min="8" max="8" width="22.33203125" customWidth="1"/>
    <col min="9" max="9" width="46" customWidth="1"/>
  </cols>
  <sheetData>
    <row r="1" spans="1:9" ht="15" thickBot="1" x14ac:dyDescent="0.35">
      <c r="A1" s="12" t="s">
        <v>238</v>
      </c>
      <c r="B1" s="13" t="s">
        <v>239</v>
      </c>
      <c r="C1" s="13" t="s">
        <v>240</v>
      </c>
      <c r="D1" s="13" t="s">
        <v>241</v>
      </c>
      <c r="E1" s="13" t="s">
        <v>242</v>
      </c>
      <c r="F1" s="13" t="s">
        <v>243</v>
      </c>
      <c r="G1" s="13" t="s">
        <v>244</v>
      </c>
      <c r="H1" s="13" t="s">
        <v>245</v>
      </c>
      <c r="I1" s="13" t="s">
        <v>317</v>
      </c>
    </row>
    <row r="2" spans="1:9" x14ac:dyDescent="0.3">
      <c r="A2" s="3" t="s">
        <v>52</v>
      </c>
      <c r="B2" t="s">
        <v>246</v>
      </c>
      <c r="C2" s="11" t="s">
        <v>247</v>
      </c>
      <c r="D2" t="s">
        <v>248</v>
      </c>
      <c r="E2" t="s">
        <v>249</v>
      </c>
      <c r="F2" t="s">
        <v>250</v>
      </c>
      <c r="G2" t="s">
        <v>251</v>
      </c>
      <c r="H2" s="3" t="s">
        <v>252</v>
      </c>
      <c r="I2" s="3" t="s">
        <v>326</v>
      </c>
    </row>
    <row r="3" spans="1:9" x14ac:dyDescent="0.3">
      <c r="A3" s="3" t="s">
        <v>55</v>
      </c>
      <c r="B3" t="s">
        <v>253</v>
      </c>
      <c r="C3" s="11" t="s">
        <v>254</v>
      </c>
      <c r="D3" t="s">
        <v>255</v>
      </c>
      <c r="E3" t="s">
        <v>256</v>
      </c>
      <c r="F3" t="s">
        <v>257</v>
      </c>
      <c r="G3" t="s">
        <v>258</v>
      </c>
      <c r="H3" s="3" t="s">
        <v>252</v>
      </c>
      <c r="I3" s="3" t="s">
        <v>326</v>
      </c>
    </row>
    <row r="4" spans="1:9" x14ac:dyDescent="0.3">
      <c r="A4" s="3" t="s">
        <v>259</v>
      </c>
      <c r="B4" t="s">
        <v>246</v>
      </c>
      <c r="C4" s="11" t="s">
        <v>260</v>
      </c>
      <c r="D4" t="s">
        <v>261</v>
      </c>
      <c r="E4" t="s">
        <v>262</v>
      </c>
      <c r="F4" t="s">
        <v>263</v>
      </c>
      <c r="G4" t="s">
        <v>318</v>
      </c>
      <c r="H4" s="3" t="s">
        <v>252</v>
      </c>
      <c r="I4" s="3" t="s">
        <v>326</v>
      </c>
    </row>
    <row r="5" spans="1:9" x14ac:dyDescent="0.3">
      <c r="A5" s="36" t="s">
        <v>107</v>
      </c>
      <c r="B5" t="s">
        <v>264</v>
      </c>
      <c r="C5" s="11" t="s">
        <v>265</v>
      </c>
      <c r="D5" t="s">
        <v>266</v>
      </c>
      <c r="E5" t="s">
        <v>267</v>
      </c>
      <c r="F5" t="s">
        <v>268</v>
      </c>
      <c r="G5" t="s">
        <v>269</v>
      </c>
      <c r="H5" s="3" t="s">
        <v>270</v>
      </c>
      <c r="I5" s="3" t="s">
        <v>326</v>
      </c>
    </row>
    <row r="6" spans="1:9" x14ac:dyDescent="0.3">
      <c r="A6" s="36"/>
      <c r="B6" t="s">
        <v>253</v>
      </c>
      <c r="C6" s="11" t="s">
        <v>265</v>
      </c>
      <c r="D6" t="s">
        <v>271</v>
      </c>
      <c r="E6" t="s">
        <v>267</v>
      </c>
      <c r="F6" t="s">
        <v>272</v>
      </c>
      <c r="G6" t="s">
        <v>258</v>
      </c>
      <c r="H6" s="3" t="s">
        <v>270</v>
      </c>
      <c r="I6" s="3" t="s">
        <v>328</v>
      </c>
    </row>
    <row r="7" spans="1:9" x14ac:dyDescent="0.3">
      <c r="A7" s="3" t="s">
        <v>110</v>
      </c>
      <c r="B7" t="s">
        <v>246</v>
      </c>
      <c r="C7" s="11" t="s">
        <v>273</v>
      </c>
      <c r="D7" t="s">
        <v>274</v>
      </c>
      <c r="E7" t="s">
        <v>275</v>
      </c>
      <c r="F7" t="s">
        <v>276</v>
      </c>
      <c r="G7" t="s">
        <v>251</v>
      </c>
      <c r="H7" s="3" t="s">
        <v>252</v>
      </c>
      <c r="I7" s="3" t="s">
        <v>321</v>
      </c>
    </row>
    <row r="8" spans="1:9" x14ac:dyDescent="0.3">
      <c r="A8" s="3" t="s">
        <v>113</v>
      </c>
      <c r="B8" t="s">
        <v>277</v>
      </c>
      <c r="C8" s="11" t="s">
        <v>278</v>
      </c>
      <c r="D8" t="s">
        <v>279</v>
      </c>
      <c r="E8" t="s">
        <v>430</v>
      </c>
      <c r="F8" t="s">
        <v>430</v>
      </c>
      <c r="G8" t="s">
        <v>251</v>
      </c>
      <c r="H8" s="3" t="s">
        <v>252</v>
      </c>
      <c r="I8" s="10" t="s">
        <v>319</v>
      </c>
    </row>
    <row r="9" spans="1:9" x14ac:dyDescent="0.3">
      <c r="A9" s="3" t="s">
        <v>99</v>
      </c>
      <c r="B9" t="s">
        <v>246</v>
      </c>
      <c r="C9" s="11" t="s">
        <v>280</v>
      </c>
      <c r="D9" t="s">
        <v>281</v>
      </c>
      <c r="E9" t="s">
        <v>282</v>
      </c>
      <c r="F9" t="s">
        <v>283</v>
      </c>
      <c r="G9" t="s">
        <v>258</v>
      </c>
      <c r="H9" s="3" t="s">
        <v>284</v>
      </c>
      <c r="I9" s="3" t="s">
        <v>326</v>
      </c>
    </row>
    <row r="10" spans="1:9" x14ac:dyDescent="0.3">
      <c r="A10" s="3" t="s">
        <v>96</v>
      </c>
      <c r="B10" t="s">
        <v>285</v>
      </c>
      <c r="C10" s="11" t="s">
        <v>286</v>
      </c>
      <c r="D10" t="s">
        <v>287</v>
      </c>
      <c r="E10" t="s">
        <v>288</v>
      </c>
      <c r="F10" t="s">
        <v>289</v>
      </c>
      <c r="G10" t="s">
        <v>251</v>
      </c>
      <c r="H10" s="3" t="s">
        <v>270</v>
      </c>
      <c r="I10" s="3" t="s">
        <v>327</v>
      </c>
    </row>
    <row r="11" spans="1:9" x14ac:dyDescent="0.3">
      <c r="A11" s="36" t="s">
        <v>88</v>
      </c>
      <c r="B11" t="s">
        <v>264</v>
      </c>
      <c r="C11" s="11" t="s">
        <v>290</v>
      </c>
      <c r="D11" t="s">
        <v>291</v>
      </c>
      <c r="E11" t="s">
        <v>292</v>
      </c>
      <c r="F11" t="s">
        <v>293</v>
      </c>
      <c r="G11" t="s">
        <v>258</v>
      </c>
      <c r="H11" s="3" t="s">
        <v>284</v>
      </c>
      <c r="I11" s="3" t="s">
        <v>321</v>
      </c>
    </row>
    <row r="12" spans="1:9" x14ac:dyDescent="0.3">
      <c r="A12" s="36"/>
      <c r="B12" t="s">
        <v>246</v>
      </c>
      <c r="C12" s="11" t="s">
        <v>290</v>
      </c>
      <c r="D12" t="s">
        <v>294</v>
      </c>
      <c r="E12" t="s">
        <v>292</v>
      </c>
      <c r="F12" t="s">
        <v>295</v>
      </c>
      <c r="G12" t="s">
        <v>269</v>
      </c>
      <c r="H12" s="3" t="s">
        <v>284</v>
      </c>
      <c r="I12" s="3" t="s">
        <v>321</v>
      </c>
    </row>
    <row r="13" spans="1:9" x14ac:dyDescent="0.3">
      <c r="A13" s="3" t="s">
        <v>85</v>
      </c>
      <c r="B13" t="s">
        <v>285</v>
      </c>
      <c r="C13" s="11" t="s">
        <v>296</v>
      </c>
      <c r="D13" t="s">
        <v>297</v>
      </c>
      <c r="E13" t="s">
        <v>298</v>
      </c>
      <c r="F13" t="s">
        <v>299</v>
      </c>
      <c r="G13" t="s">
        <v>251</v>
      </c>
      <c r="H13" s="3" t="s">
        <v>284</v>
      </c>
      <c r="I13" s="3" t="s">
        <v>321</v>
      </c>
    </row>
    <row r="14" spans="1:9" x14ac:dyDescent="0.3">
      <c r="A14" s="3" t="s">
        <v>81</v>
      </c>
      <c r="B14" t="s">
        <v>300</v>
      </c>
      <c r="C14" s="11" t="s">
        <v>301</v>
      </c>
      <c r="D14" t="s">
        <v>302</v>
      </c>
      <c r="E14" t="s">
        <v>430</v>
      </c>
      <c r="F14" t="s">
        <v>430</v>
      </c>
      <c r="G14" t="s">
        <v>251</v>
      </c>
      <c r="H14" s="3" t="s">
        <v>284</v>
      </c>
      <c r="I14" s="10" t="s">
        <v>319</v>
      </c>
    </row>
    <row r="15" spans="1:9" x14ac:dyDescent="0.3">
      <c r="A15" s="3" t="s">
        <v>131</v>
      </c>
      <c r="B15" t="s">
        <v>303</v>
      </c>
      <c r="C15" s="11" t="s">
        <v>304</v>
      </c>
      <c r="E15" t="s">
        <v>430</v>
      </c>
      <c r="F15" t="s">
        <v>430</v>
      </c>
      <c r="G15" t="s">
        <v>269</v>
      </c>
      <c r="H15" s="3" t="s">
        <v>305</v>
      </c>
      <c r="I15" s="10" t="s">
        <v>320</v>
      </c>
    </row>
    <row r="16" spans="1:9" x14ac:dyDescent="0.3">
      <c r="A16" s="3" t="s">
        <v>77</v>
      </c>
      <c r="B16" t="s">
        <v>306</v>
      </c>
      <c r="C16" s="11" t="s">
        <v>307</v>
      </c>
      <c r="D16" t="s">
        <v>308</v>
      </c>
      <c r="E16" t="s">
        <v>309</v>
      </c>
      <c r="F16" t="s">
        <v>310</v>
      </c>
      <c r="G16" t="s">
        <v>251</v>
      </c>
      <c r="H16" s="3" t="s">
        <v>284</v>
      </c>
      <c r="I16" s="3" t="s">
        <v>327</v>
      </c>
    </row>
    <row r="17" spans="1:9" x14ac:dyDescent="0.3">
      <c r="A17" s="3" t="s">
        <v>66</v>
      </c>
      <c r="B17" t="s">
        <v>264</v>
      </c>
      <c r="C17" s="11" t="s">
        <v>311</v>
      </c>
      <c r="D17" t="s">
        <v>448</v>
      </c>
      <c r="E17" t="s">
        <v>312</v>
      </c>
      <c r="F17" t="s">
        <v>447</v>
      </c>
      <c r="G17" t="s">
        <v>251</v>
      </c>
      <c r="H17" s="3" t="s">
        <v>270</v>
      </c>
      <c r="I17" s="3" t="s">
        <v>327</v>
      </c>
    </row>
    <row r="18" spans="1:9" x14ac:dyDescent="0.3">
      <c r="A18" s="3" t="s">
        <v>132</v>
      </c>
      <c r="B18" t="s">
        <v>264</v>
      </c>
      <c r="C18" s="11" t="s">
        <v>313</v>
      </c>
      <c r="D18" t="s">
        <v>314</v>
      </c>
      <c r="E18" t="s">
        <v>315</v>
      </c>
      <c r="F18" t="s">
        <v>316</v>
      </c>
      <c r="G18" t="s">
        <v>251</v>
      </c>
      <c r="H18" s="3" t="s">
        <v>270</v>
      </c>
      <c r="I18" s="3" t="s">
        <v>321</v>
      </c>
    </row>
  </sheetData>
  <mergeCells count="2">
    <mergeCell ref="A5:A6"/>
    <mergeCell ref="A11:A12"/>
  </mergeCells>
  <hyperlinks>
    <hyperlink ref="E7" r:id="rId1" display="https://genome.ucsc.edu/cgi-bin/hgTracks?db=hg38&amp;lastVirtModeType=default&amp;lastVirtModeExtraState=&amp;virtModeType=default&amp;virtMode=0&amp;nonVirtPosition=&amp;insideX=115&amp;revCmplDisp=0&amp;hgtgroup_map_close=0&amp;hgtgroup_phenDis_close=1&amp;hgtgroup_genes_close=0&amp;hgtgroup_rna_close=1&amp;hg%20tgroup_regulation_close=1&amp;hgtgroup_compGeno_close=1&amp;hgtgroup_varRep_close=0&amp;hgtgroup_user_close=0&amp;hgtgroup_encodeGenes_close=1&amp;hgtgroup_expression_close=0&amp;hgtgroup_encodeTxLevels_close=1&amp;hgtgroup_encodeChip_close=1&amp;hgtgroup_encodeChrom_close=1&amp;hgtgroup_encodeCompAndVar_close=1&amp;location=1&amp;menubar=1&amp;position=chr11:59615319-59615319" xr:uid="{00D7C69E-EC54-4204-ABF3-3BDD2A45AB6C}"/>
    <hyperlink ref="E18" r:id="rId2" display="https://genome.ucsc.edu/cgi-bin/hgTracks?db=hg38&amp;lastVirtModeType=default&amp;lastVirtModeExtraState=&amp;virtModeType=default&amp;virtMode=0&amp;nonVirtPosition=&amp;insideX=115&amp;revCmplDisp=0&amp;hgtgroup_map_close=0&amp;hgtgroup_phenDis_close=1&amp;hgtgroup_genes_close=0&amp;hgtgroup_rna_close=1&amp;hg%20tgroup_regulation_close=1&amp;hgtgroup_compGeno_close=1&amp;hgtgroup_varRep_close=0&amp;hgtgroup_user_close=0&amp;hgtgroup_encodeGenes_close=1&amp;hgtgroup_expression_close=0&amp;hgtgroup_encodeTxLevels_close=1&amp;hgtgroup_encodeChip_close=1&amp;hgtgroup_encodeChrom_close=1&amp;hgtgroup_encodeCompAndVar_close=1&amp;location=1&amp;menubar=1&amp;position=chr3:9447103-9447103" xr:uid="{5B24D3BE-BA12-4284-BCE6-FCA4476592B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21D11-4538-4C2A-B977-16410F5A8EB6}">
  <dimension ref="A1:R90"/>
  <sheetViews>
    <sheetView zoomScale="67" workbookViewId="0"/>
  </sheetViews>
  <sheetFormatPr defaultRowHeight="14.4" x14ac:dyDescent="0.3"/>
  <cols>
    <col min="1" max="1" width="16" customWidth="1"/>
    <col min="2" max="2" width="22.21875" customWidth="1"/>
    <col min="3" max="3" width="9.5546875" customWidth="1"/>
    <col min="4" max="5" width="8.44140625" customWidth="1"/>
    <col min="6" max="6" width="9.5546875" customWidth="1"/>
    <col min="7" max="7" width="8.77734375" customWidth="1"/>
  </cols>
  <sheetData>
    <row r="1" spans="1:17" s="15" customFormat="1" ht="15" thickBot="1" x14ac:dyDescent="0.35">
      <c r="A1" s="32" t="s">
        <v>238</v>
      </c>
      <c r="B1" s="32" t="s">
        <v>322</v>
      </c>
      <c r="C1" s="32" t="s">
        <v>449</v>
      </c>
      <c r="D1" s="32" t="s">
        <v>450</v>
      </c>
      <c r="E1" s="32" t="s">
        <v>451</v>
      </c>
      <c r="F1" s="32" t="s">
        <v>452</v>
      </c>
      <c r="G1" s="32" t="s">
        <v>449</v>
      </c>
      <c r="H1" s="32" t="s">
        <v>450</v>
      </c>
      <c r="I1" s="32" t="s">
        <v>451</v>
      </c>
      <c r="J1" s="32" t="s">
        <v>452</v>
      </c>
      <c r="K1"/>
    </row>
    <row r="2" spans="1:17" x14ac:dyDescent="0.3">
      <c r="A2" s="5" t="s">
        <v>52</v>
      </c>
      <c r="B2" s="23" t="s">
        <v>427</v>
      </c>
      <c r="C2" s="16" t="s">
        <v>329</v>
      </c>
      <c r="D2" s="16" t="s">
        <v>330</v>
      </c>
      <c r="E2" s="16" t="s">
        <v>364</v>
      </c>
      <c r="F2" s="16" t="s">
        <v>391</v>
      </c>
      <c r="G2" s="16">
        <f>2/10</f>
        <v>0.2</v>
      </c>
      <c r="H2" s="16">
        <f>10/11</f>
        <v>0.90909090909090906</v>
      </c>
      <c r="I2" s="16">
        <f>2/6</f>
        <v>0.33333333333333331</v>
      </c>
      <c r="J2" s="16">
        <f>10/13</f>
        <v>0.76923076923076927</v>
      </c>
    </row>
    <row r="3" spans="1:17" x14ac:dyDescent="0.3">
      <c r="A3" s="5" t="s">
        <v>53</v>
      </c>
      <c r="B3" s="14" t="s">
        <v>323</v>
      </c>
      <c r="C3" s="17" t="s">
        <v>331</v>
      </c>
      <c r="D3" s="18" t="s">
        <v>332</v>
      </c>
      <c r="E3" s="18" t="s">
        <v>370</v>
      </c>
      <c r="F3" s="18" t="s">
        <v>342</v>
      </c>
      <c r="G3" s="16">
        <f>14/18</f>
        <v>0.77777777777777779</v>
      </c>
      <c r="H3" s="16">
        <f>7/19</f>
        <v>0.36842105263157893</v>
      </c>
      <c r="I3" s="16">
        <f>4/12</f>
        <v>0.33333333333333331</v>
      </c>
      <c r="J3" s="16">
        <f>6/11</f>
        <v>0.54545454545454541</v>
      </c>
      <c r="K3" s="19"/>
      <c r="Q3" s="22"/>
    </row>
    <row r="4" spans="1:17" x14ac:dyDescent="0.3">
      <c r="A4" s="5" t="s">
        <v>54</v>
      </c>
      <c r="B4" s="14" t="s">
        <v>428</v>
      </c>
      <c r="C4" s="17"/>
      <c r="D4" s="18"/>
      <c r="E4" s="18"/>
      <c r="F4" s="18"/>
      <c r="G4" s="16"/>
      <c r="H4" s="16"/>
      <c r="I4" s="16"/>
      <c r="J4" s="16"/>
      <c r="K4" s="19"/>
    </row>
    <row r="5" spans="1:17" x14ac:dyDescent="0.3">
      <c r="A5" s="1" t="s">
        <v>55</v>
      </c>
      <c r="B5" s="14" t="s">
        <v>428</v>
      </c>
      <c r="C5" s="17"/>
      <c r="D5" s="18"/>
      <c r="E5" s="18"/>
      <c r="F5" s="18"/>
      <c r="G5" s="16"/>
      <c r="H5" s="16"/>
      <c r="I5" s="16"/>
      <c r="J5" s="16"/>
      <c r="K5" s="19"/>
    </row>
    <row r="6" spans="1:17" x14ac:dyDescent="0.3">
      <c r="A6" s="1" t="s">
        <v>56</v>
      </c>
      <c r="B6" s="14" t="s">
        <v>323</v>
      </c>
      <c r="C6" s="17" t="s">
        <v>333</v>
      </c>
      <c r="D6" s="18" t="s">
        <v>334</v>
      </c>
      <c r="E6" s="18" t="s">
        <v>392</v>
      </c>
      <c r="F6" s="18" t="s">
        <v>373</v>
      </c>
      <c r="G6" s="16">
        <f>7/15</f>
        <v>0.46666666666666667</v>
      </c>
      <c r="H6" s="16">
        <f>5/9</f>
        <v>0.55555555555555558</v>
      </c>
      <c r="I6" s="16">
        <f>3/8</f>
        <v>0.375</v>
      </c>
      <c r="J6" s="16">
        <f>1/4</f>
        <v>0.25</v>
      </c>
      <c r="K6" s="19"/>
    </row>
    <row r="7" spans="1:17" x14ac:dyDescent="0.3">
      <c r="A7" s="1" t="s">
        <v>57</v>
      </c>
      <c r="B7" s="14" t="s">
        <v>428</v>
      </c>
      <c r="C7" s="17"/>
      <c r="D7" s="18"/>
      <c r="E7" s="18"/>
      <c r="F7" s="18"/>
      <c r="G7" s="16"/>
      <c r="H7" s="16"/>
      <c r="I7" s="16"/>
      <c r="J7" s="16"/>
      <c r="K7" s="19"/>
    </row>
    <row r="8" spans="1:17" x14ac:dyDescent="0.3">
      <c r="A8" s="5" t="s">
        <v>58</v>
      </c>
      <c r="B8" s="14" t="s">
        <v>428</v>
      </c>
      <c r="C8" s="17"/>
      <c r="D8" s="18"/>
      <c r="E8" s="18"/>
      <c r="F8" s="18"/>
      <c r="G8" s="16"/>
      <c r="H8" s="16"/>
      <c r="I8" s="16"/>
      <c r="J8" s="16"/>
      <c r="K8" s="19"/>
    </row>
    <row r="9" spans="1:17" x14ac:dyDescent="0.3">
      <c r="A9" s="5" t="s">
        <v>137</v>
      </c>
      <c r="B9" s="14" t="s">
        <v>428</v>
      </c>
      <c r="C9" s="17"/>
      <c r="D9" s="18"/>
      <c r="E9" s="18"/>
      <c r="F9" s="18"/>
      <c r="G9" s="16"/>
      <c r="H9" s="16"/>
      <c r="I9" s="16"/>
      <c r="J9" s="16"/>
      <c r="K9" s="19"/>
    </row>
    <row r="10" spans="1:17" x14ac:dyDescent="0.3">
      <c r="A10" s="5" t="s">
        <v>59</v>
      </c>
      <c r="B10" s="14" t="s">
        <v>323</v>
      </c>
      <c r="C10" s="17" t="s">
        <v>334</v>
      </c>
      <c r="D10" s="18" t="s">
        <v>339</v>
      </c>
      <c r="E10" s="18" t="s">
        <v>342</v>
      </c>
      <c r="F10" s="18" t="s">
        <v>393</v>
      </c>
      <c r="G10" s="16">
        <f>5/9</f>
        <v>0.55555555555555558</v>
      </c>
      <c r="H10" s="16">
        <f>7/16</f>
        <v>0.4375</v>
      </c>
      <c r="I10" s="16">
        <f>6/11</f>
        <v>0.54545454545454541</v>
      </c>
      <c r="J10" s="16">
        <f>8/12</f>
        <v>0.66666666666666663</v>
      </c>
      <c r="K10" s="19"/>
    </row>
    <row r="11" spans="1:17" x14ac:dyDescent="0.3">
      <c r="A11" s="5" t="s">
        <v>60</v>
      </c>
      <c r="B11" s="14" t="s">
        <v>428</v>
      </c>
      <c r="C11" s="17"/>
      <c r="D11" s="18"/>
      <c r="E11" s="18"/>
      <c r="F11" s="18"/>
      <c r="G11" s="16"/>
      <c r="H11" s="16"/>
      <c r="I11" s="16"/>
      <c r="J11" s="16"/>
      <c r="K11" s="19"/>
    </row>
    <row r="12" spans="1:17" x14ac:dyDescent="0.3">
      <c r="A12" s="5" t="s">
        <v>61</v>
      </c>
      <c r="B12" s="23" t="s">
        <v>427</v>
      </c>
      <c r="C12" s="16" t="s">
        <v>340</v>
      </c>
      <c r="D12" s="16" t="s">
        <v>341</v>
      </c>
      <c r="E12" s="16" t="s">
        <v>394</v>
      </c>
      <c r="F12" s="16" t="s">
        <v>347</v>
      </c>
      <c r="G12" s="16">
        <f>1/15</f>
        <v>6.6666666666666666E-2</v>
      </c>
      <c r="H12" s="16">
        <f>9/11</f>
        <v>0.81818181818181823</v>
      </c>
      <c r="I12" s="16">
        <f>4/13</f>
        <v>0.30769230769230771</v>
      </c>
      <c r="J12" s="16">
        <f>8/11</f>
        <v>0.72727272727272729</v>
      </c>
      <c r="K12" s="19"/>
    </row>
    <row r="13" spans="1:17" x14ac:dyDescent="0.3">
      <c r="A13" s="5" t="s">
        <v>62</v>
      </c>
      <c r="B13" s="14" t="s">
        <v>323</v>
      </c>
      <c r="C13" s="16" t="s">
        <v>342</v>
      </c>
      <c r="D13" s="16" t="s">
        <v>343</v>
      </c>
      <c r="E13" s="16" t="s">
        <v>349</v>
      </c>
      <c r="F13" s="16" t="s">
        <v>395</v>
      </c>
      <c r="G13" s="16">
        <f>6/11</f>
        <v>0.54545454545454541</v>
      </c>
      <c r="H13" s="16">
        <f>7/17</f>
        <v>0.41176470588235292</v>
      </c>
      <c r="I13" s="16">
        <f>12/17</f>
        <v>0.70588235294117652</v>
      </c>
      <c r="J13" s="16">
        <f>4/17</f>
        <v>0.23529411764705882</v>
      </c>
      <c r="K13" s="19"/>
    </row>
    <row r="14" spans="1:17" x14ac:dyDescent="0.3">
      <c r="A14" s="5" t="s">
        <v>63</v>
      </c>
      <c r="B14" s="14" t="s">
        <v>428</v>
      </c>
      <c r="C14" s="17"/>
      <c r="D14" s="18"/>
      <c r="E14" s="18"/>
      <c r="F14" s="18"/>
      <c r="G14" s="16"/>
      <c r="H14" s="16"/>
      <c r="I14" s="16"/>
      <c r="J14" s="16"/>
      <c r="K14" s="19"/>
    </row>
    <row r="15" spans="1:17" x14ac:dyDescent="0.3">
      <c r="A15" s="5" t="s">
        <v>64</v>
      </c>
      <c r="B15" s="14" t="s">
        <v>428</v>
      </c>
      <c r="C15" s="17"/>
      <c r="D15" s="18"/>
      <c r="E15" s="18"/>
      <c r="F15" s="18"/>
      <c r="G15" s="16"/>
      <c r="H15" s="16"/>
      <c r="I15" s="16"/>
      <c r="J15" s="16"/>
      <c r="K15" s="19"/>
    </row>
    <row r="16" spans="1:17" x14ac:dyDescent="0.3">
      <c r="A16" s="1" t="s">
        <v>103</v>
      </c>
      <c r="B16" s="14" t="s">
        <v>323</v>
      </c>
      <c r="C16" s="17" t="s">
        <v>344</v>
      </c>
      <c r="D16" s="18" t="s">
        <v>345</v>
      </c>
      <c r="E16" s="18" t="s">
        <v>396</v>
      </c>
      <c r="F16" s="18" t="s">
        <v>362</v>
      </c>
      <c r="G16" s="16">
        <f>10/17</f>
        <v>0.58823529411764708</v>
      </c>
      <c r="H16" s="16">
        <f>12/24</f>
        <v>0.5</v>
      </c>
      <c r="I16" s="16">
        <f>3/17</f>
        <v>0.17647058823529413</v>
      </c>
      <c r="J16" s="16">
        <f>5/10</f>
        <v>0.5</v>
      </c>
      <c r="K16" s="19"/>
    </row>
    <row r="17" spans="1:11" x14ac:dyDescent="0.3">
      <c r="A17" s="5" t="s">
        <v>65</v>
      </c>
      <c r="B17" s="14" t="s">
        <v>428</v>
      </c>
      <c r="C17" s="17"/>
      <c r="D17" s="18"/>
      <c r="E17" s="18"/>
      <c r="F17" s="18"/>
      <c r="G17" s="16"/>
      <c r="H17" s="16"/>
      <c r="I17" s="16"/>
      <c r="J17" s="16"/>
      <c r="K17" s="19"/>
    </row>
    <row r="18" spans="1:11" x14ac:dyDescent="0.3">
      <c r="A18" s="5" t="s">
        <v>104</v>
      </c>
      <c r="B18" s="14" t="s">
        <v>323</v>
      </c>
      <c r="C18" s="17" t="s">
        <v>346</v>
      </c>
      <c r="D18" s="18" t="s">
        <v>347</v>
      </c>
      <c r="E18" s="18" t="s">
        <v>397</v>
      </c>
      <c r="F18" s="18" t="s">
        <v>362</v>
      </c>
      <c r="G18" s="16">
        <f>4/4</f>
        <v>1</v>
      </c>
      <c r="H18" s="16">
        <f>8/11</f>
        <v>0.72727272727272729</v>
      </c>
      <c r="I18" s="16">
        <f>1/3</f>
        <v>0.33333333333333331</v>
      </c>
      <c r="J18" s="16">
        <f>5/10</f>
        <v>0.5</v>
      </c>
      <c r="K18" s="19"/>
    </row>
    <row r="19" spans="1:11" x14ac:dyDescent="0.3">
      <c r="A19" s="5" t="s">
        <v>105</v>
      </c>
      <c r="B19" s="14" t="s">
        <v>323</v>
      </c>
      <c r="C19" s="17" t="s">
        <v>348</v>
      </c>
      <c r="D19" s="18" t="s">
        <v>349</v>
      </c>
      <c r="E19" s="18" t="s">
        <v>367</v>
      </c>
      <c r="F19" s="18" t="s">
        <v>375</v>
      </c>
      <c r="G19" s="16">
        <f>3/11</f>
        <v>0.27272727272727271</v>
      </c>
      <c r="H19" s="16">
        <f>12/17</f>
        <v>0.70588235294117652</v>
      </c>
      <c r="I19" s="16">
        <f>6/10</f>
        <v>0.6</v>
      </c>
      <c r="J19" s="16">
        <f>5/15</f>
        <v>0.33333333333333331</v>
      </c>
      <c r="K19" s="19"/>
    </row>
    <row r="20" spans="1:11" x14ac:dyDescent="0.3">
      <c r="A20" s="5" t="s">
        <v>106</v>
      </c>
      <c r="B20" s="14" t="s">
        <v>428</v>
      </c>
      <c r="C20" s="17"/>
      <c r="D20" s="18"/>
      <c r="E20" s="18"/>
      <c r="F20" s="18"/>
      <c r="G20" s="16"/>
      <c r="H20" s="16"/>
      <c r="I20" s="16"/>
      <c r="J20" s="16"/>
      <c r="K20" s="19"/>
    </row>
    <row r="21" spans="1:11" x14ac:dyDescent="0.3">
      <c r="A21" s="5" t="s">
        <v>107</v>
      </c>
      <c r="B21" s="14" t="s">
        <v>323</v>
      </c>
      <c r="C21" s="17" t="s">
        <v>350</v>
      </c>
      <c r="D21" s="18" t="s">
        <v>335</v>
      </c>
      <c r="E21" s="18" t="s">
        <v>398</v>
      </c>
      <c r="F21" s="18" t="s">
        <v>399</v>
      </c>
      <c r="G21" s="16">
        <f>4/7</f>
        <v>0.5714285714285714</v>
      </c>
      <c r="H21" s="16">
        <f>3/9</f>
        <v>0.33333333333333331</v>
      </c>
      <c r="I21" s="16">
        <f>5/8</f>
        <v>0.625</v>
      </c>
      <c r="J21" s="16">
        <f>4/11</f>
        <v>0.36363636363636365</v>
      </c>
      <c r="K21" s="19"/>
    </row>
    <row r="22" spans="1:11" x14ac:dyDescent="0.3">
      <c r="A22" s="5" t="s">
        <v>108</v>
      </c>
      <c r="B22" s="14" t="s">
        <v>323</v>
      </c>
      <c r="C22" s="17" t="s">
        <v>351</v>
      </c>
      <c r="D22" s="18" t="s">
        <v>352</v>
      </c>
      <c r="E22" s="18" t="s">
        <v>397</v>
      </c>
      <c r="F22" s="18" t="s">
        <v>350</v>
      </c>
      <c r="G22" s="16">
        <f>6/15</f>
        <v>0.4</v>
      </c>
      <c r="H22" s="16">
        <f>3/10</f>
        <v>0.3</v>
      </c>
      <c r="I22" s="16">
        <f>1/3</f>
        <v>0.33333333333333331</v>
      </c>
      <c r="J22" s="16">
        <f>4/7</f>
        <v>0.5714285714285714</v>
      </c>
      <c r="K22" s="19"/>
    </row>
    <row r="23" spans="1:11" x14ac:dyDescent="0.3">
      <c r="A23" s="5" t="s">
        <v>109</v>
      </c>
      <c r="B23" s="14" t="s">
        <v>428</v>
      </c>
      <c r="C23" s="17"/>
      <c r="D23" s="18"/>
      <c r="E23" s="18"/>
      <c r="F23" s="18"/>
      <c r="G23" s="16"/>
      <c r="H23" s="16"/>
      <c r="I23" s="16"/>
      <c r="J23" s="16"/>
      <c r="K23" s="19"/>
    </row>
    <row r="24" spans="1:11" x14ac:dyDescent="0.3">
      <c r="A24" s="5" t="s">
        <v>110</v>
      </c>
      <c r="B24" s="14" t="s">
        <v>323</v>
      </c>
      <c r="C24" s="17" t="s">
        <v>353</v>
      </c>
      <c r="D24" s="18" t="s">
        <v>354</v>
      </c>
      <c r="E24" s="18" t="s">
        <v>389</v>
      </c>
      <c r="F24" s="18" t="s">
        <v>376</v>
      </c>
      <c r="G24" s="16">
        <f>6/12</f>
        <v>0.5</v>
      </c>
      <c r="H24" s="16">
        <f>5/16</f>
        <v>0.3125</v>
      </c>
      <c r="I24" s="16">
        <f>3/6</f>
        <v>0.5</v>
      </c>
      <c r="J24" s="16">
        <f>6/9</f>
        <v>0.66666666666666663</v>
      </c>
      <c r="K24" s="19"/>
    </row>
    <row r="25" spans="1:11" x14ac:dyDescent="0.3">
      <c r="A25" s="5" t="s">
        <v>111</v>
      </c>
      <c r="B25" s="14" t="s">
        <v>323</v>
      </c>
      <c r="C25" s="17" t="s">
        <v>329</v>
      </c>
      <c r="D25" s="18" t="s">
        <v>334</v>
      </c>
      <c r="E25" s="18" t="s">
        <v>334</v>
      </c>
      <c r="F25" s="18" t="s">
        <v>399</v>
      </c>
      <c r="G25" s="16">
        <f>2/10</f>
        <v>0.2</v>
      </c>
      <c r="H25" s="16">
        <f>5/9</f>
        <v>0.55555555555555558</v>
      </c>
      <c r="I25" s="16">
        <f>5/9</f>
        <v>0.55555555555555558</v>
      </c>
      <c r="J25" s="16">
        <f>4/11</f>
        <v>0.36363636363636365</v>
      </c>
      <c r="K25" s="19"/>
    </row>
    <row r="26" spans="1:11" x14ac:dyDescent="0.3">
      <c r="A26" s="5" t="s">
        <v>112</v>
      </c>
      <c r="B26" s="14" t="s">
        <v>428</v>
      </c>
      <c r="C26" s="17"/>
      <c r="D26" s="18"/>
      <c r="E26" s="18"/>
      <c r="F26" s="18"/>
      <c r="G26" s="16"/>
      <c r="H26" s="16"/>
      <c r="I26" s="16"/>
      <c r="J26" s="16"/>
      <c r="K26" s="19"/>
    </row>
    <row r="27" spans="1:11" x14ac:dyDescent="0.3">
      <c r="A27" s="5" t="s">
        <v>113</v>
      </c>
      <c r="B27" s="14" t="s">
        <v>323</v>
      </c>
      <c r="C27" s="17" t="s">
        <v>355</v>
      </c>
      <c r="D27" s="18" t="s">
        <v>356</v>
      </c>
      <c r="E27" s="18" t="s">
        <v>400</v>
      </c>
      <c r="F27" s="18" t="s">
        <v>359</v>
      </c>
      <c r="G27" s="16">
        <f>7/12</f>
        <v>0.58333333333333337</v>
      </c>
      <c r="H27" s="16">
        <f>4/10</f>
        <v>0.4</v>
      </c>
      <c r="I27" s="16">
        <f>4/6</f>
        <v>0.66666666666666663</v>
      </c>
      <c r="J27" s="16">
        <f>6/14</f>
        <v>0.42857142857142855</v>
      </c>
      <c r="K27" s="19"/>
    </row>
    <row r="28" spans="1:11" x14ac:dyDescent="0.3">
      <c r="A28" s="5" t="s">
        <v>114</v>
      </c>
      <c r="B28" s="14" t="s">
        <v>323</v>
      </c>
      <c r="C28" s="17" t="s">
        <v>324</v>
      </c>
      <c r="D28" s="18" t="s">
        <v>324</v>
      </c>
      <c r="E28" s="18" t="s">
        <v>342</v>
      </c>
      <c r="F28" s="18" t="s">
        <v>401</v>
      </c>
      <c r="G28" s="16" t="s">
        <v>324</v>
      </c>
      <c r="H28" s="16" t="s">
        <v>324</v>
      </c>
      <c r="I28" s="16">
        <f>6/11</f>
        <v>0.54545454545454541</v>
      </c>
      <c r="J28" s="16">
        <f>3/12</f>
        <v>0.25</v>
      </c>
      <c r="K28" s="19"/>
    </row>
    <row r="29" spans="1:11" x14ac:dyDescent="0.3">
      <c r="A29" s="5" t="s">
        <v>115</v>
      </c>
      <c r="B29" s="14" t="s">
        <v>428</v>
      </c>
      <c r="C29" s="17"/>
      <c r="D29" s="18"/>
      <c r="E29" s="18"/>
      <c r="F29" s="18"/>
      <c r="G29" s="16"/>
      <c r="H29" s="16"/>
      <c r="I29" s="16"/>
      <c r="J29" s="16"/>
      <c r="K29" s="19"/>
    </row>
    <row r="30" spans="1:11" x14ac:dyDescent="0.3">
      <c r="A30" s="5" t="s">
        <v>116</v>
      </c>
      <c r="B30" s="14" t="s">
        <v>428</v>
      </c>
      <c r="C30" s="16"/>
      <c r="D30" s="16"/>
      <c r="E30" s="16"/>
      <c r="F30" s="16"/>
      <c r="G30" s="16"/>
      <c r="H30" s="16"/>
      <c r="I30" s="16"/>
      <c r="J30" s="16"/>
      <c r="K30" s="19"/>
    </row>
    <row r="31" spans="1:11" x14ac:dyDescent="0.3">
      <c r="A31" s="5" t="s">
        <v>117</v>
      </c>
      <c r="B31" s="23" t="s">
        <v>427</v>
      </c>
      <c r="C31" s="16" t="s">
        <v>357</v>
      </c>
      <c r="D31" s="16" t="s">
        <v>358</v>
      </c>
      <c r="E31" s="16" t="s">
        <v>386</v>
      </c>
      <c r="F31" s="16" t="s">
        <v>402</v>
      </c>
      <c r="G31" s="16">
        <f>2/12</f>
        <v>0.16666666666666666</v>
      </c>
      <c r="H31" s="16">
        <f>15/20</f>
        <v>0.75</v>
      </c>
      <c r="I31" s="16">
        <f>14/15</f>
        <v>0.93333333333333335</v>
      </c>
      <c r="J31" s="16">
        <f>1/20</f>
        <v>0.05</v>
      </c>
      <c r="K31" s="19"/>
    </row>
    <row r="32" spans="1:11" x14ac:dyDescent="0.3">
      <c r="A32" s="5" t="s">
        <v>118</v>
      </c>
      <c r="B32" s="14" t="s">
        <v>428</v>
      </c>
      <c r="C32" s="16"/>
      <c r="D32" s="16"/>
      <c r="E32" s="16"/>
      <c r="F32" s="16"/>
      <c r="G32" s="16"/>
      <c r="H32" s="16"/>
      <c r="I32" s="16"/>
      <c r="J32" s="16"/>
      <c r="K32" s="19"/>
    </row>
    <row r="33" spans="1:11" x14ac:dyDescent="0.3">
      <c r="A33" s="5" t="s">
        <v>119</v>
      </c>
      <c r="B33" s="14" t="s">
        <v>428</v>
      </c>
      <c r="C33" s="16"/>
      <c r="D33" s="16"/>
      <c r="E33" s="16"/>
      <c r="F33" s="16"/>
      <c r="G33" s="16"/>
      <c r="H33" s="16"/>
      <c r="I33" s="16"/>
      <c r="J33" s="16"/>
      <c r="K33" s="19"/>
    </row>
    <row r="34" spans="1:11" x14ac:dyDescent="0.3">
      <c r="A34" s="1" t="s">
        <v>120</v>
      </c>
      <c r="B34" s="14" t="s">
        <v>323</v>
      </c>
      <c r="C34" s="16" t="s">
        <v>359</v>
      </c>
      <c r="D34" s="16" t="s">
        <v>360</v>
      </c>
      <c r="E34" s="16" t="s">
        <v>424</v>
      </c>
      <c r="F34" s="16" t="s">
        <v>425</v>
      </c>
      <c r="G34" s="16">
        <f>6/14</f>
        <v>0.42857142857142855</v>
      </c>
      <c r="H34" s="16">
        <f>9/17</f>
        <v>0.52941176470588236</v>
      </c>
      <c r="I34" s="16">
        <f>2/8</f>
        <v>0.25</v>
      </c>
      <c r="J34" s="16">
        <f>7/10</f>
        <v>0.7</v>
      </c>
      <c r="K34" s="19"/>
    </row>
    <row r="35" spans="1:11" x14ac:dyDescent="0.3">
      <c r="A35" s="1" t="s">
        <v>121</v>
      </c>
      <c r="B35" s="14" t="s">
        <v>428</v>
      </c>
      <c r="C35" s="17"/>
      <c r="D35" s="18"/>
      <c r="E35" s="18"/>
      <c r="F35" s="18"/>
      <c r="G35" s="16"/>
      <c r="H35" s="16"/>
      <c r="I35" s="16"/>
      <c r="J35" s="16"/>
      <c r="K35" s="19"/>
    </row>
    <row r="36" spans="1:11" x14ac:dyDescent="0.3">
      <c r="A36" s="5" t="s">
        <v>122</v>
      </c>
      <c r="B36" s="14" t="s">
        <v>323</v>
      </c>
      <c r="C36" s="17" t="s">
        <v>361</v>
      </c>
      <c r="D36" s="18" t="s">
        <v>362</v>
      </c>
      <c r="E36" s="18" t="s">
        <v>367</v>
      </c>
      <c r="F36" s="18" t="s">
        <v>426</v>
      </c>
      <c r="G36" s="16">
        <f>7/13</f>
        <v>0.53846153846153844</v>
      </c>
      <c r="H36" s="16">
        <f>5/10</f>
        <v>0.5</v>
      </c>
      <c r="I36" s="16">
        <f>6/10</f>
        <v>0.6</v>
      </c>
      <c r="J36" s="16">
        <f>5/13</f>
        <v>0.38461538461538464</v>
      </c>
      <c r="K36" s="19"/>
    </row>
    <row r="37" spans="1:11" x14ac:dyDescent="0.3">
      <c r="A37" s="5" t="s">
        <v>123</v>
      </c>
      <c r="B37" s="23" t="s">
        <v>442</v>
      </c>
      <c r="C37" s="17" t="s">
        <v>363</v>
      </c>
      <c r="D37" s="18" t="s">
        <v>364</v>
      </c>
      <c r="E37" s="18" t="s">
        <v>422</v>
      </c>
      <c r="F37" s="18" t="s">
        <v>423</v>
      </c>
      <c r="G37" s="16">
        <f>9/14</f>
        <v>0.6428571428571429</v>
      </c>
      <c r="H37" s="16">
        <f>2/6</f>
        <v>0.33333333333333331</v>
      </c>
      <c r="I37" s="16">
        <f>12/14</f>
        <v>0.8571428571428571</v>
      </c>
      <c r="J37" s="16">
        <f>2/17</f>
        <v>0.11764705882352941</v>
      </c>
      <c r="K37" s="19"/>
    </row>
    <row r="38" spans="1:11" x14ac:dyDescent="0.3">
      <c r="A38" s="5" t="s">
        <v>124</v>
      </c>
      <c r="B38" s="14" t="s">
        <v>428</v>
      </c>
      <c r="C38" s="18"/>
      <c r="D38" s="18"/>
      <c r="E38" s="18"/>
      <c r="F38" s="18"/>
      <c r="G38" s="16"/>
      <c r="H38" s="16"/>
      <c r="I38" s="16"/>
      <c r="J38" s="16"/>
      <c r="K38" s="19"/>
    </row>
    <row r="39" spans="1:11" x14ac:dyDescent="0.3">
      <c r="A39" s="5" t="s">
        <v>125</v>
      </c>
      <c r="B39" s="23" t="s">
        <v>427</v>
      </c>
      <c r="C39" s="18" t="s">
        <v>337</v>
      </c>
      <c r="D39" s="18" t="s">
        <v>365</v>
      </c>
      <c r="E39" s="18" t="s">
        <v>403</v>
      </c>
      <c r="F39" s="18" t="s">
        <v>404</v>
      </c>
      <c r="G39" s="16">
        <f>9/9</f>
        <v>1</v>
      </c>
      <c r="H39" s="16">
        <f>0/10</f>
        <v>0</v>
      </c>
      <c r="I39" s="16">
        <f>2/13</f>
        <v>0.15384615384615385</v>
      </c>
      <c r="J39" s="16">
        <f>9/13</f>
        <v>0.69230769230769229</v>
      </c>
      <c r="K39" s="19"/>
    </row>
    <row r="40" spans="1:11" x14ac:dyDescent="0.3">
      <c r="A40" s="5" t="s">
        <v>126</v>
      </c>
      <c r="B40" s="14" t="s">
        <v>323</v>
      </c>
      <c r="C40" s="18" t="s">
        <v>341</v>
      </c>
      <c r="D40" s="18" t="s">
        <v>366</v>
      </c>
      <c r="E40" s="18" t="s">
        <v>367</v>
      </c>
      <c r="F40" s="18" t="s">
        <v>343</v>
      </c>
      <c r="G40" s="16">
        <f>9/11</f>
        <v>0.81818181818181823</v>
      </c>
      <c r="H40" s="16">
        <f>5/7</f>
        <v>0.7142857142857143</v>
      </c>
      <c r="I40" s="16">
        <f>6/10</f>
        <v>0.6</v>
      </c>
      <c r="J40" s="16">
        <f>7/17</f>
        <v>0.41176470588235292</v>
      </c>
      <c r="K40" s="19"/>
    </row>
    <row r="41" spans="1:11" x14ac:dyDescent="0.3">
      <c r="A41" s="5" t="s">
        <v>127</v>
      </c>
      <c r="B41" s="14" t="s">
        <v>428</v>
      </c>
      <c r="C41" s="18"/>
      <c r="D41" s="18"/>
      <c r="E41" s="18"/>
      <c r="F41" s="18"/>
      <c r="G41" s="16"/>
      <c r="H41" s="16"/>
      <c r="I41" s="16"/>
      <c r="J41" s="16"/>
      <c r="K41" s="19"/>
    </row>
    <row r="42" spans="1:11" x14ac:dyDescent="0.3">
      <c r="A42" s="5" t="s">
        <v>128</v>
      </c>
      <c r="B42" s="14" t="s">
        <v>428</v>
      </c>
      <c r="C42" s="17"/>
      <c r="D42" s="18"/>
      <c r="E42" s="18"/>
      <c r="F42" s="18"/>
      <c r="G42" s="16"/>
      <c r="H42" s="16"/>
      <c r="I42" s="16"/>
      <c r="J42" s="16"/>
      <c r="K42" s="19"/>
    </row>
    <row r="43" spans="1:11" x14ac:dyDescent="0.3">
      <c r="A43" s="5" t="s">
        <v>129</v>
      </c>
      <c r="B43" s="14" t="s">
        <v>323</v>
      </c>
      <c r="C43" s="17" t="s">
        <v>367</v>
      </c>
      <c r="D43" s="18" t="s">
        <v>334</v>
      </c>
      <c r="E43" s="18" t="s">
        <v>400</v>
      </c>
      <c r="F43" s="18" t="s">
        <v>405</v>
      </c>
      <c r="G43" s="16">
        <f>6/10</f>
        <v>0.6</v>
      </c>
      <c r="H43" s="16">
        <f>5/9</f>
        <v>0.55555555555555558</v>
      </c>
      <c r="I43" s="16">
        <f>4/6</f>
        <v>0.66666666666666663</v>
      </c>
      <c r="J43" s="16">
        <f>3/16</f>
        <v>0.1875</v>
      </c>
      <c r="K43" s="19"/>
    </row>
    <row r="44" spans="1:11" x14ac:dyDescent="0.3">
      <c r="A44" s="5" t="s">
        <v>130</v>
      </c>
      <c r="B44" s="14" t="s">
        <v>428</v>
      </c>
      <c r="C44" s="17"/>
      <c r="D44" s="18"/>
      <c r="E44" s="18"/>
      <c r="F44" s="18"/>
      <c r="G44" s="16"/>
      <c r="H44" s="16"/>
      <c r="I44" s="16"/>
      <c r="J44" s="16"/>
      <c r="K44" s="19"/>
    </row>
    <row r="45" spans="1:11" x14ac:dyDescent="0.3">
      <c r="A45" s="1" t="s">
        <v>101</v>
      </c>
      <c r="B45" s="14" t="s">
        <v>428</v>
      </c>
      <c r="C45" s="17"/>
      <c r="D45" s="18"/>
      <c r="E45" s="18"/>
      <c r="F45" s="18"/>
      <c r="G45" s="16"/>
      <c r="H45" s="16"/>
      <c r="I45" s="16"/>
      <c r="J45" s="16"/>
      <c r="K45" s="19"/>
    </row>
    <row r="46" spans="1:11" x14ac:dyDescent="0.3">
      <c r="A46" s="1" t="s">
        <v>102</v>
      </c>
      <c r="B46" s="14" t="s">
        <v>323</v>
      </c>
      <c r="C46" s="17" t="s">
        <v>350</v>
      </c>
      <c r="D46" s="20" t="s">
        <v>368</v>
      </c>
      <c r="E46" s="20" t="s">
        <v>388</v>
      </c>
      <c r="F46" s="20" t="s">
        <v>406</v>
      </c>
      <c r="G46" s="16">
        <f>4/7</f>
        <v>0.5714285714285714</v>
      </c>
      <c r="H46" s="16">
        <f>1/2</f>
        <v>0.5</v>
      </c>
      <c r="I46" s="16">
        <f>8/14</f>
        <v>0.5714285714285714</v>
      </c>
      <c r="J46" s="16">
        <f>3/4</f>
        <v>0.75</v>
      </c>
      <c r="K46" s="19"/>
    </row>
    <row r="47" spans="1:11" x14ac:dyDescent="0.3">
      <c r="A47" s="1" t="s">
        <v>100</v>
      </c>
      <c r="B47" s="14" t="s">
        <v>428</v>
      </c>
      <c r="C47" s="17"/>
      <c r="D47" s="18"/>
      <c r="E47" s="18"/>
      <c r="F47" s="18"/>
      <c r="G47" s="16"/>
      <c r="H47" s="16"/>
      <c r="I47" s="16"/>
      <c r="J47" s="16"/>
      <c r="K47" s="19"/>
    </row>
    <row r="48" spans="1:11" x14ac:dyDescent="0.3">
      <c r="A48" s="1" t="s">
        <v>99</v>
      </c>
      <c r="B48" s="14" t="s">
        <v>428</v>
      </c>
      <c r="C48" s="17"/>
      <c r="D48" s="18"/>
      <c r="E48" s="18"/>
      <c r="F48" s="18"/>
      <c r="G48" s="16"/>
      <c r="H48" s="16"/>
      <c r="I48" s="16"/>
      <c r="J48" s="16"/>
      <c r="K48" s="19"/>
    </row>
    <row r="49" spans="1:11" x14ac:dyDescent="0.3">
      <c r="A49" s="1" t="s">
        <v>98</v>
      </c>
      <c r="B49" s="14" t="s">
        <v>323</v>
      </c>
      <c r="C49" s="17" t="s">
        <v>370</v>
      </c>
      <c r="D49" s="20" t="s">
        <v>371</v>
      </c>
      <c r="E49" s="20" t="s">
        <v>407</v>
      </c>
      <c r="F49" s="20" t="s">
        <v>369</v>
      </c>
      <c r="G49" s="16">
        <f>4/12</f>
        <v>0.33333333333333331</v>
      </c>
      <c r="H49" s="16">
        <f>11/18</f>
        <v>0.61111111111111116</v>
      </c>
      <c r="I49" s="16">
        <f>1/1</f>
        <v>1</v>
      </c>
      <c r="J49" s="16">
        <f>2/3</f>
        <v>0.66666666666666663</v>
      </c>
      <c r="K49" s="19"/>
    </row>
    <row r="50" spans="1:11" x14ac:dyDescent="0.3">
      <c r="A50" s="1" t="s">
        <v>97</v>
      </c>
      <c r="B50" s="14" t="s">
        <v>428</v>
      </c>
      <c r="C50" s="17"/>
      <c r="D50" s="18"/>
      <c r="E50" s="18"/>
      <c r="F50" s="18"/>
      <c r="G50" s="16"/>
      <c r="H50" s="16"/>
      <c r="I50" s="16"/>
      <c r="J50" s="16"/>
      <c r="K50" s="19"/>
    </row>
    <row r="51" spans="1:11" x14ac:dyDescent="0.3">
      <c r="A51" s="1" t="s">
        <v>96</v>
      </c>
      <c r="B51" s="14" t="s">
        <v>323</v>
      </c>
      <c r="C51" s="17" t="s">
        <v>372</v>
      </c>
      <c r="D51" s="18" t="s">
        <v>373</v>
      </c>
      <c r="E51" s="18" t="s">
        <v>408</v>
      </c>
      <c r="F51" s="18" t="s">
        <v>409</v>
      </c>
      <c r="G51" s="16">
        <f>8/13</f>
        <v>0.61538461538461542</v>
      </c>
      <c r="H51" s="16">
        <f>1/4</f>
        <v>0.25</v>
      </c>
      <c r="I51" s="16">
        <f>11/20</f>
        <v>0.55000000000000004</v>
      </c>
      <c r="J51" s="16">
        <f>7/21</f>
        <v>0.33333333333333331</v>
      </c>
      <c r="K51" s="19"/>
    </row>
    <row r="52" spans="1:11" x14ac:dyDescent="0.3">
      <c r="A52" s="1" t="s">
        <v>95</v>
      </c>
      <c r="B52" s="14" t="s">
        <v>323</v>
      </c>
      <c r="C52" s="17" t="s">
        <v>374</v>
      </c>
      <c r="D52" s="18" t="s">
        <v>375</v>
      </c>
      <c r="E52" s="18" t="s">
        <v>410</v>
      </c>
      <c r="F52" s="18" t="s">
        <v>341</v>
      </c>
      <c r="G52" s="16">
        <f>9/16</f>
        <v>0.5625</v>
      </c>
      <c r="H52" s="16">
        <f>5/15</f>
        <v>0.33333333333333331</v>
      </c>
      <c r="I52" s="16">
        <f>2/5</f>
        <v>0.4</v>
      </c>
      <c r="J52" s="16">
        <f>9/11</f>
        <v>0.81818181818181823</v>
      </c>
      <c r="K52" s="19"/>
    </row>
    <row r="53" spans="1:11" x14ac:dyDescent="0.3">
      <c r="A53" s="1" t="s">
        <v>93</v>
      </c>
      <c r="B53" s="14" t="s">
        <v>428</v>
      </c>
      <c r="C53" s="17"/>
      <c r="D53" s="18"/>
      <c r="E53" s="18"/>
      <c r="F53" s="18"/>
      <c r="G53" s="16"/>
      <c r="H53" s="16"/>
      <c r="I53" s="16"/>
      <c r="J53" s="16"/>
      <c r="K53" s="19"/>
    </row>
    <row r="54" spans="1:11" x14ac:dyDescent="0.3">
      <c r="A54" s="1" t="s">
        <v>92</v>
      </c>
      <c r="B54" s="14" t="s">
        <v>428</v>
      </c>
      <c r="C54" s="17"/>
      <c r="D54" s="18"/>
      <c r="E54" s="18"/>
      <c r="F54" s="18"/>
      <c r="G54" s="16"/>
      <c r="H54" s="16"/>
      <c r="I54" s="16"/>
      <c r="J54" s="16"/>
      <c r="K54" s="19"/>
    </row>
    <row r="55" spans="1:11" x14ac:dyDescent="0.3">
      <c r="A55" s="1" t="s">
        <v>94</v>
      </c>
      <c r="B55" s="14" t="s">
        <v>323</v>
      </c>
      <c r="C55" s="17" t="s">
        <v>376</v>
      </c>
      <c r="D55" s="18" t="s">
        <v>370</v>
      </c>
      <c r="E55" s="18" t="s">
        <v>388</v>
      </c>
      <c r="F55" s="18" t="s">
        <v>411</v>
      </c>
      <c r="G55" s="16">
        <f>6/9</f>
        <v>0.66666666666666663</v>
      </c>
      <c r="H55" s="16">
        <f>4/12</f>
        <v>0.33333333333333331</v>
      </c>
      <c r="I55" s="16">
        <f>8/14</f>
        <v>0.5714285714285714</v>
      </c>
      <c r="J55" s="16">
        <f>2/7</f>
        <v>0.2857142857142857</v>
      </c>
      <c r="K55" s="19"/>
    </row>
    <row r="56" spans="1:11" x14ac:dyDescent="0.3">
      <c r="A56" s="1" t="s">
        <v>91</v>
      </c>
      <c r="B56" s="14" t="s">
        <v>428</v>
      </c>
      <c r="C56" s="17"/>
      <c r="D56" s="18"/>
      <c r="E56" s="18"/>
      <c r="F56" s="18"/>
      <c r="G56" s="16"/>
      <c r="H56" s="16"/>
      <c r="I56" s="16"/>
      <c r="J56" s="16"/>
      <c r="K56" s="19"/>
    </row>
    <row r="57" spans="1:11" x14ac:dyDescent="0.3">
      <c r="A57" s="1" t="s">
        <v>49</v>
      </c>
      <c r="B57" s="14" t="s">
        <v>428</v>
      </c>
      <c r="C57" s="17"/>
      <c r="D57" s="18"/>
      <c r="E57" s="18"/>
      <c r="F57" s="18"/>
      <c r="G57" s="16"/>
      <c r="H57" s="16"/>
      <c r="I57" s="16"/>
      <c r="J57" s="16"/>
      <c r="K57" s="19"/>
    </row>
    <row r="58" spans="1:11" x14ac:dyDescent="0.3">
      <c r="A58" s="1" t="s">
        <v>90</v>
      </c>
      <c r="B58" s="14" t="s">
        <v>428</v>
      </c>
      <c r="C58" s="18"/>
      <c r="D58" s="18"/>
      <c r="E58" s="18"/>
      <c r="F58" s="18"/>
      <c r="G58" s="16"/>
      <c r="H58" s="16"/>
      <c r="I58" s="16"/>
      <c r="J58" s="16"/>
      <c r="K58" s="19"/>
    </row>
    <row r="59" spans="1:11" x14ac:dyDescent="0.3">
      <c r="A59" s="1" t="s">
        <v>89</v>
      </c>
      <c r="B59" s="23" t="s">
        <v>427</v>
      </c>
      <c r="C59" s="18" t="s">
        <v>377</v>
      </c>
      <c r="D59" s="18" t="s">
        <v>369</v>
      </c>
      <c r="E59" s="18" t="s">
        <v>390</v>
      </c>
      <c r="F59" s="18" t="s">
        <v>341</v>
      </c>
      <c r="G59" s="16">
        <f>0/4</f>
        <v>0</v>
      </c>
      <c r="H59" s="16">
        <f>2/3</f>
        <v>0.66666666666666663</v>
      </c>
      <c r="I59" s="16">
        <f>0/5</f>
        <v>0</v>
      </c>
      <c r="J59" s="16">
        <f>9/11</f>
        <v>0.81818181818181823</v>
      </c>
      <c r="K59" s="19"/>
    </row>
    <row r="60" spans="1:11" x14ac:dyDescent="0.3">
      <c r="A60" s="1" t="s">
        <v>50</v>
      </c>
      <c r="B60" s="14" t="s">
        <v>428</v>
      </c>
      <c r="C60" s="18"/>
      <c r="D60" s="18"/>
      <c r="E60" s="18"/>
      <c r="F60" s="18"/>
      <c r="G60" s="16"/>
      <c r="H60" s="16"/>
      <c r="I60" s="16"/>
      <c r="J60" s="16"/>
      <c r="K60" s="19"/>
    </row>
    <row r="61" spans="1:11" x14ac:dyDescent="0.3">
      <c r="A61" s="5" t="s">
        <v>88</v>
      </c>
      <c r="B61" s="14" t="s">
        <v>323</v>
      </c>
      <c r="C61" s="18" t="s">
        <v>324</v>
      </c>
      <c r="D61" s="18" t="s">
        <v>324</v>
      </c>
      <c r="E61" s="18" t="s">
        <v>411</v>
      </c>
      <c r="F61" s="18" t="s">
        <v>412</v>
      </c>
      <c r="G61" s="16" t="s">
        <v>324</v>
      </c>
      <c r="H61" s="16" t="s">
        <v>324</v>
      </c>
      <c r="I61" s="16">
        <f>2/7</f>
        <v>0.2857142857142857</v>
      </c>
      <c r="J61" s="16">
        <f>4/9</f>
        <v>0.44444444444444442</v>
      </c>
      <c r="K61" s="19"/>
    </row>
    <row r="62" spans="1:11" x14ac:dyDescent="0.3">
      <c r="A62" s="1" t="s">
        <v>87</v>
      </c>
      <c r="B62" s="14" t="s">
        <v>323</v>
      </c>
      <c r="C62" s="18" t="s">
        <v>378</v>
      </c>
      <c r="D62" s="18" t="s">
        <v>379</v>
      </c>
      <c r="E62" s="18" t="s">
        <v>413</v>
      </c>
      <c r="F62" s="18" t="s">
        <v>412</v>
      </c>
      <c r="G62" s="16">
        <f>4/5</f>
        <v>0.8</v>
      </c>
      <c r="H62" s="16">
        <f>5/12</f>
        <v>0.41666666666666669</v>
      </c>
      <c r="I62" s="16">
        <f>7/8</f>
        <v>0.875</v>
      </c>
      <c r="J62" s="16">
        <f>4/9</f>
        <v>0.44444444444444442</v>
      </c>
      <c r="K62" s="19"/>
    </row>
    <row r="63" spans="1:11" x14ac:dyDescent="0.3">
      <c r="A63" s="1" t="s">
        <v>86</v>
      </c>
      <c r="B63" s="14" t="s">
        <v>428</v>
      </c>
      <c r="C63" s="18"/>
      <c r="D63" s="18"/>
      <c r="E63" s="18"/>
      <c r="F63" s="18"/>
      <c r="G63" s="16"/>
      <c r="H63" s="16"/>
      <c r="I63" s="16"/>
      <c r="J63" s="16"/>
      <c r="K63" s="19"/>
    </row>
    <row r="64" spans="1:11" x14ac:dyDescent="0.3">
      <c r="A64" s="5" t="s">
        <v>85</v>
      </c>
      <c r="B64" s="14" t="s">
        <v>323</v>
      </c>
      <c r="C64" s="18" t="s">
        <v>380</v>
      </c>
      <c r="D64" s="18" t="s">
        <v>361</v>
      </c>
      <c r="E64" s="18" t="s">
        <v>414</v>
      </c>
      <c r="F64" s="18" t="s">
        <v>415</v>
      </c>
      <c r="G64" s="16">
        <f>9/12</f>
        <v>0.75</v>
      </c>
      <c r="H64" s="16">
        <f>7/13</f>
        <v>0.53846153846153844</v>
      </c>
      <c r="I64" s="16">
        <f>17/25</f>
        <v>0.68</v>
      </c>
      <c r="J64" s="16">
        <f>8/18</f>
        <v>0.44444444444444442</v>
      </c>
      <c r="K64" s="19"/>
    </row>
    <row r="65" spans="1:18" x14ac:dyDescent="0.3">
      <c r="A65" s="1" t="s">
        <v>84</v>
      </c>
      <c r="B65" s="23" t="s">
        <v>427</v>
      </c>
      <c r="C65" s="18" t="s">
        <v>381</v>
      </c>
      <c r="D65" s="18" t="s">
        <v>373</v>
      </c>
      <c r="E65" s="18" t="s">
        <v>416</v>
      </c>
      <c r="F65" s="18" t="s">
        <v>338</v>
      </c>
      <c r="G65" s="16">
        <f>7/7</f>
        <v>1</v>
      </c>
      <c r="H65" s="16">
        <f>1/4</f>
        <v>0.25</v>
      </c>
      <c r="I65" s="16">
        <f>1/8</f>
        <v>0.125</v>
      </c>
      <c r="J65" s="16">
        <f>7/9</f>
        <v>0.77777777777777779</v>
      </c>
      <c r="K65" s="19"/>
    </row>
    <row r="66" spans="1:18" x14ac:dyDescent="0.3">
      <c r="A66" s="1" t="s">
        <v>83</v>
      </c>
      <c r="B66" s="14" t="s">
        <v>428</v>
      </c>
      <c r="C66" s="18"/>
      <c r="D66" s="18"/>
      <c r="E66" s="18"/>
      <c r="F66" s="18"/>
      <c r="G66" s="16"/>
      <c r="H66" s="16"/>
      <c r="I66" s="16"/>
      <c r="J66" s="16"/>
      <c r="K66" s="19"/>
    </row>
    <row r="67" spans="1:18" x14ac:dyDescent="0.3">
      <c r="A67" s="1" t="s">
        <v>81</v>
      </c>
      <c r="B67" s="14" t="s">
        <v>323</v>
      </c>
      <c r="C67" s="18" t="s">
        <v>382</v>
      </c>
      <c r="D67" s="18" t="s">
        <v>353</v>
      </c>
      <c r="E67" s="18" t="s">
        <v>420</v>
      </c>
      <c r="F67" s="18" t="s">
        <v>437</v>
      </c>
      <c r="G67" s="16">
        <f>7/14</f>
        <v>0.5</v>
      </c>
      <c r="H67" s="16">
        <f>6/12</f>
        <v>0.5</v>
      </c>
      <c r="I67" s="16">
        <v>0.625</v>
      </c>
      <c r="J67" s="16">
        <v>0.34782608695652173</v>
      </c>
      <c r="K67" s="19"/>
    </row>
    <row r="68" spans="1:18" x14ac:dyDescent="0.3">
      <c r="A68" s="1" t="s">
        <v>82</v>
      </c>
      <c r="B68" s="14" t="s">
        <v>323</v>
      </c>
      <c r="C68" s="18" t="s">
        <v>347</v>
      </c>
      <c r="D68" s="18" t="s">
        <v>429</v>
      </c>
      <c r="E68" s="18" t="s">
        <v>417</v>
      </c>
      <c r="F68" s="18" t="s">
        <v>418</v>
      </c>
      <c r="G68" s="16">
        <f>8/11</f>
        <v>0.72727272727272729</v>
      </c>
      <c r="H68" s="16">
        <f>4/15</f>
        <v>0.26666666666666666</v>
      </c>
      <c r="I68" s="16">
        <f>12/21</f>
        <v>0.5714285714285714</v>
      </c>
      <c r="J68" s="16">
        <f>9/23</f>
        <v>0.39130434782608697</v>
      </c>
      <c r="K68" s="19"/>
      <c r="Q68" s="22"/>
      <c r="R68" s="19"/>
    </row>
    <row r="69" spans="1:18" x14ac:dyDescent="0.3">
      <c r="A69" s="1" t="s">
        <v>80</v>
      </c>
      <c r="B69" s="14" t="s">
        <v>428</v>
      </c>
      <c r="C69" s="18"/>
      <c r="D69" s="18"/>
      <c r="E69" s="18"/>
      <c r="F69" s="18"/>
      <c r="G69" s="16"/>
      <c r="H69" s="16"/>
      <c r="I69" s="16"/>
      <c r="J69" s="16"/>
      <c r="K69" s="19"/>
    </row>
    <row r="70" spans="1:18" x14ac:dyDescent="0.3">
      <c r="A70" s="1" t="s">
        <v>131</v>
      </c>
      <c r="B70" s="14" t="s">
        <v>428</v>
      </c>
      <c r="C70" s="18"/>
      <c r="D70" s="18"/>
      <c r="E70" s="18"/>
      <c r="F70" s="18"/>
      <c r="G70" s="16"/>
      <c r="H70" s="16"/>
      <c r="I70" s="16"/>
      <c r="J70" s="16"/>
      <c r="K70" s="19"/>
    </row>
    <row r="71" spans="1:18" x14ac:dyDescent="0.3">
      <c r="A71" s="1" t="s">
        <v>79</v>
      </c>
      <c r="B71" s="14" t="s">
        <v>323</v>
      </c>
      <c r="C71" s="18" t="s">
        <v>383</v>
      </c>
      <c r="D71" s="18" t="s">
        <v>384</v>
      </c>
      <c r="E71" s="18" t="s">
        <v>375</v>
      </c>
      <c r="F71" s="18" t="s">
        <v>353</v>
      </c>
      <c r="G71" s="16">
        <f>17/23</f>
        <v>0.73913043478260865</v>
      </c>
      <c r="H71" s="16">
        <f>4/21</f>
        <v>0.19047619047619047</v>
      </c>
      <c r="I71" s="16">
        <f>5/15</f>
        <v>0.33333333333333331</v>
      </c>
      <c r="J71" s="16">
        <f>6/12</f>
        <v>0.5</v>
      </c>
      <c r="K71" s="19"/>
    </row>
    <row r="72" spans="1:18" x14ac:dyDescent="0.3">
      <c r="A72" s="1" t="s">
        <v>78</v>
      </c>
      <c r="B72" s="14" t="s">
        <v>428</v>
      </c>
      <c r="C72" s="18"/>
      <c r="D72" s="18"/>
      <c r="E72" s="18"/>
      <c r="F72" s="18"/>
      <c r="G72" s="16"/>
      <c r="H72" s="16"/>
      <c r="I72" s="16"/>
      <c r="J72" s="16"/>
      <c r="K72" s="19"/>
    </row>
    <row r="73" spans="1:18" x14ac:dyDescent="0.3">
      <c r="A73" s="1" t="s">
        <v>77</v>
      </c>
      <c r="B73" s="23" t="s">
        <v>427</v>
      </c>
      <c r="C73" s="18" t="s">
        <v>385</v>
      </c>
      <c r="D73" s="18" t="s">
        <v>386</v>
      </c>
      <c r="E73" s="18" t="s">
        <v>336</v>
      </c>
      <c r="F73" s="18" t="s">
        <v>419</v>
      </c>
      <c r="G73" s="16">
        <f>1/11</f>
        <v>9.0909090909090912E-2</v>
      </c>
      <c r="H73" s="16">
        <f>14/15</f>
        <v>0.93333333333333335</v>
      </c>
      <c r="I73" s="16">
        <f>8/9</f>
        <v>0.88888888888888884</v>
      </c>
      <c r="J73" s="16">
        <f>0/8</f>
        <v>0</v>
      </c>
      <c r="K73" s="19"/>
    </row>
    <row r="74" spans="1:18" x14ac:dyDescent="0.3">
      <c r="A74" s="1" t="s">
        <v>76</v>
      </c>
      <c r="B74" s="14" t="s">
        <v>428</v>
      </c>
      <c r="C74" s="18" t="s">
        <v>387</v>
      </c>
      <c r="D74" s="18" t="s">
        <v>356</v>
      </c>
      <c r="E74" s="18" t="s">
        <v>397</v>
      </c>
      <c r="F74" s="18" t="s">
        <v>350</v>
      </c>
      <c r="G74" s="16">
        <f>2/9</f>
        <v>0.22222222222222221</v>
      </c>
      <c r="H74" s="16">
        <f>4/10</f>
        <v>0.4</v>
      </c>
      <c r="I74" s="16">
        <f>1/3</f>
        <v>0.33333333333333331</v>
      </c>
      <c r="J74" s="16">
        <f>4/7</f>
        <v>0.5714285714285714</v>
      </c>
      <c r="K74" s="19"/>
    </row>
    <row r="75" spans="1:18" x14ac:dyDescent="0.3">
      <c r="A75" s="1" t="s">
        <v>75</v>
      </c>
      <c r="B75" s="14" t="s">
        <v>428</v>
      </c>
      <c r="C75" s="18"/>
      <c r="D75" s="18"/>
      <c r="E75" s="18"/>
      <c r="F75" s="18"/>
      <c r="G75" s="16"/>
      <c r="H75" s="16"/>
      <c r="I75" s="16"/>
      <c r="J75" s="16"/>
      <c r="K75" s="19"/>
    </row>
    <row r="76" spans="1:18" x14ac:dyDescent="0.3">
      <c r="A76" s="1" t="s">
        <v>74</v>
      </c>
      <c r="B76" s="14" t="s">
        <v>428</v>
      </c>
      <c r="C76" s="18"/>
      <c r="D76" s="18"/>
      <c r="E76" s="18"/>
      <c r="F76" s="18"/>
      <c r="G76" s="16"/>
      <c r="H76" s="16"/>
      <c r="I76" s="16"/>
      <c r="J76" s="16"/>
      <c r="K76" s="19"/>
    </row>
    <row r="77" spans="1:18" x14ac:dyDescent="0.3">
      <c r="A77" s="7" t="s">
        <v>73</v>
      </c>
      <c r="B77" s="14" t="s">
        <v>323</v>
      </c>
      <c r="C77" s="18" t="s">
        <v>368</v>
      </c>
      <c r="D77" s="18" t="s">
        <v>356</v>
      </c>
      <c r="E77" s="18" t="s">
        <v>420</v>
      </c>
      <c r="F77" s="18" t="s">
        <v>421</v>
      </c>
      <c r="G77" s="16">
        <f>1/2</f>
        <v>0.5</v>
      </c>
      <c r="H77" s="16">
        <f>4/10</f>
        <v>0.4</v>
      </c>
      <c r="I77" s="16">
        <f>10/16</f>
        <v>0.625</v>
      </c>
      <c r="J77" s="16">
        <f>0/6</f>
        <v>0</v>
      </c>
      <c r="K77" s="19"/>
    </row>
    <row r="78" spans="1:18" x14ac:dyDescent="0.3">
      <c r="A78" s="7" t="s">
        <v>72</v>
      </c>
      <c r="B78" s="14" t="s">
        <v>428</v>
      </c>
      <c r="C78" s="18"/>
      <c r="D78" s="18"/>
      <c r="E78" s="18"/>
      <c r="F78" s="18"/>
      <c r="G78" s="16"/>
      <c r="H78" s="16"/>
      <c r="I78" s="16"/>
      <c r="J78" s="16"/>
      <c r="K78" s="19"/>
    </row>
    <row r="79" spans="1:18" x14ac:dyDescent="0.3">
      <c r="A79" s="1" t="s">
        <v>71</v>
      </c>
      <c r="B79" s="14" t="s">
        <v>428</v>
      </c>
      <c r="C79" s="18"/>
      <c r="D79" s="18"/>
      <c r="E79" s="18"/>
      <c r="F79" s="18"/>
      <c r="G79" s="16"/>
      <c r="H79" s="16"/>
      <c r="I79" s="16"/>
      <c r="J79" s="16"/>
      <c r="K79" s="19"/>
    </row>
    <row r="80" spans="1:18" x14ac:dyDescent="0.3">
      <c r="A80" s="1" t="s">
        <v>70</v>
      </c>
      <c r="B80" s="14" t="s">
        <v>323</v>
      </c>
      <c r="C80" s="18" t="s">
        <v>372</v>
      </c>
      <c r="D80" s="18" t="s">
        <v>379</v>
      </c>
      <c r="E80" s="18" t="s">
        <v>378</v>
      </c>
      <c r="F80" s="18" t="s">
        <v>388</v>
      </c>
      <c r="G80" s="16">
        <f>8/13</f>
        <v>0.61538461538461542</v>
      </c>
      <c r="H80" s="16">
        <f>5/12</f>
        <v>0.41666666666666669</v>
      </c>
      <c r="I80" s="16">
        <f>4/5</f>
        <v>0.8</v>
      </c>
      <c r="J80" s="16">
        <f>8/14</f>
        <v>0.5714285714285714</v>
      </c>
      <c r="K80" s="19"/>
    </row>
    <row r="81" spans="1:11" x14ac:dyDescent="0.3">
      <c r="A81" s="1" t="s">
        <v>69</v>
      </c>
      <c r="B81" s="14" t="s">
        <v>428</v>
      </c>
      <c r="C81" s="18"/>
      <c r="D81" s="18"/>
      <c r="E81" s="18"/>
      <c r="F81" s="18"/>
      <c r="G81" s="16"/>
      <c r="H81" s="16"/>
      <c r="I81" s="16"/>
      <c r="J81" s="16"/>
      <c r="K81" s="19"/>
    </row>
    <row r="82" spans="1:11" x14ac:dyDescent="0.3">
      <c r="A82" s="1" t="s">
        <v>66</v>
      </c>
      <c r="B82" s="14" t="s">
        <v>323</v>
      </c>
      <c r="C82" s="18" t="s">
        <v>364</v>
      </c>
      <c r="D82" s="18" t="s">
        <v>356</v>
      </c>
      <c r="E82" s="18" t="s">
        <v>392</v>
      </c>
      <c r="F82" s="18" t="s">
        <v>348</v>
      </c>
      <c r="G82" s="16">
        <f>4/12</f>
        <v>0.33333333333333331</v>
      </c>
      <c r="H82" s="16">
        <f>4/10</f>
        <v>0.4</v>
      </c>
      <c r="I82" s="16">
        <f>3/8</f>
        <v>0.375</v>
      </c>
      <c r="J82" s="16">
        <f>3/11</f>
        <v>0.27272727272727271</v>
      </c>
      <c r="K82" s="19"/>
    </row>
    <row r="83" spans="1:11" x14ac:dyDescent="0.3">
      <c r="A83" s="7" t="s">
        <v>67</v>
      </c>
      <c r="B83" s="14" t="s">
        <v>323</v>
      </c>
      <c r="C83" s="18" t="s">
        <v>388</v>
      </c>
      <c r="D83" s="18" t="s">
        <v>389</v>
      </c>
      <c r="E83" s="18" t="s">
        <v>352</v>
      </c>
      <c r="F83" s="18" t="s">
        <v>398</v>
      </c>
      <c r="G83" s="16">
        <f>8/14</f>
        <v>0.5714285714285714</v>
      </c>
      <c r="H83" s="16">
        <f>3/6</f>
        <v>0.5</v>
      </c>
      <c r="I83" s="16">
        <f>3/10</f>
        <v>0.3</v>
      </c>
      <c r="J83" s="16">
        <f>5/8</f>
        <v>0.625</v>
      </c>
      <c r="K83" s="19"/>
    </row>
    <row r="84" spans="1:11" x14ac:dyDescent="0.3">
      <c r="A84" s="7" t="s">
        <v>68</v>
      </c>
      <c r="B84" s="14" t="s">
        <v>428</v>
      </c>
      <c r="C84" s="17"/>
      <c r="D84" s="18"/>
      <c r="E84" s="15"/>
      <c r="F84" s="15"/>
      <c r="G84" s="18"/>
      <c r="H84" s="18"/>
      <c r="I84" s="18"/>
      <c r="J84" s="18"/>
      <c r="K84" s="19"/>
    </row>
    <row r="85" spans="1:11" x14ac:dyDescent="0.3">
      <c r="A85" s="7" t="s">
        <v>132</v>
      </c>
      <c r="B85" s="14" t="s">
        <v>323</v>
      </c>
      <c r="C85" s="14" t="s">
        <v>431</v>
      </c>
      <c r="D85" s="14" t="s">
        <v>362</v>
      </c>
      <c r="E85" s="14" t="s">
        <v>432</v>
      </c>
      <c r="F85" s="14" t="s">
        <v>433</v>
      </c>
      <c r="G85" s="16">
        <v>0.60869565217391308</v>
      </c>
      <c r="H85" s="16">
        <v>0.5</v>
      </c>
      <c r="I85" s="16">
        <v>0.35714285714285715</v>
      </c>
      <c r="J85" s="16">
        <v>0.13333333333333333</v>
      </c>
      <c r="K85" s="19"/>
    </row>
    <row r="86" spans="1:11" x14ac:dyDescent="0.3">
      <c r="A86" s="7" t="s">
        <v>133</v>
      </c>
      <c r="B86" s="14" t="s">
        <v>323</v>
      </c>
      <c r="C86" s="14" t="s">
        <v>332</v>
      </c>
      <c r="D86" s="14" t="s">
        <v>434</v>
      </c>
      <c r="E86" s="14" t="s">
        <v>435</v>
      </c>
      <c r="F86" s="14" t="s">
        <v>436</v>
      </c>
      <c r="G86" s="16">
        <v>0.36842105263157893</v>
      </c>
      <c r="H86" s="16">
        <v>0.68421052631578949</v>
      </c>
      <c r="I86" s="16">
        <v>0.21428571428571427</v>
      </c>
      <c r="J86" s="16">
        <v>0.7142857142857143</v>
      </c>
    </row>
    <row r="87" spans="1:11" x14ac:dyDescent="0.3">
      <c r="A87" s="7" t="s">
        <v>134</v>
      </c>
      <c r="B87" s="14" t="s">
        <v>428</v>
      </c>
      <c r="C87" s="14"/>
      <c r="D87" s="14"/>
      <c r="E87" s="14"/>
      <c r="F87" s="14"/>
      <c r="G87" s="16"/>
      <c r="H87" s="16"/>
      <c r="I87" s="16"/>
      <c r="J87" s="16"/>
    </row>
    <row r="88" spans="1:11" x14ac:dyDescent="0.3">
      <c r="A88" s="14"/>
      <c r="B88" s="14"/>
      <c r="G88" s="21"/>
      <c r="H88" s="22"/>
      <c r="I88" s="22"/>
      <c r="J88" s="22"/>
    </row>
    <row r="89" spans="1:11" x14ac:dyDescent="0.3">
      <c r="A89" s="14"/>
      <c r="B89" s="14"/>
      <c r="G89" s="22"/>
      <c r="H89" s="22"/>
      <c r="I89" s="22"/>
      <c r="J89" s="22"/>
    </row>
    <row r="90" spans="1:11" x14ac:dyDescent="0.3">
      <c r="A90" s="14"/>
      <c r="B90" s="14"/>
      <c r="G90" s="22"/>
      <c r="H90" s="22"/>
      <c r="I90" s="22"/>
      <c r="J90" s="22"/>
    </row>
  </sheetData>
  <pageMargins left="0.7" right="0.7" top="0.75" bottom="0.75" header="0.3" footer="0.3"/>
  <ignoredErrors>
    <ignoredError sqref="C22 C86 D71:E71 E55 D64 F64 C67 E67:F67 D68:F68 D3 C6 D10 C12 E12 D13:F13 C16:E16 D19 F19 D24 F27 F31 C34:D34 C36:C37 F36 E37:F37 E39:F39 F40 F43 E46 D49 C51:C52 E51:F51 D52 E77 C80 F80 C83 E85:F86 F2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87CE-3816-473A-B980-9A3071FE6275}">
  <dimension ref="A1:J13"/>
  <sheetViews>
    <sheetView workbookViewId="0">
      <selection sqref="A1:J6"/>
    </sheetView>
  </sheetViews>
  <sheetFormatPr defaultRowHeight="14.4" x14ac:dyDescent="0.3"/>
  <sheetData>
    <row r="1" spans="1:10" ht="14.4" customHeight="1" x14ac:dyDescent="0.3">
      <c r="A1" s="37" t="s">
        <v>453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3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3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 x14ac:dyDescent="0.3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x14ac:dyDescent="0.3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x14ac:dyDescent="0.3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x14ac:dyDescent="0.3">
      <c r="A9" s="34"/>
      <c r="B9" s="34"/>
      <c r="C9" s="34"/>
      <c r="D9" s="34"/>
      <c r="E9" s="34"/>
      <c r="F9" s="34"/>
      <c r="G9" s="34"/>
      <c r="H9" s="34"/>
      <c r="I9" s="34"/>
      <c r="J9" s="34"/>
    </row>
    <row r="10" spans="1:10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</row>
    <row r="11" spans="1:10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</row>
    <row r="12" spans="1:10" x14ac:dyDescent="0.3">
      <c r="A12" s="34"/>
      <c r="B12" s="34"/>
      <c r="C12" s="34"/>
      <c r="D12" s="34"/>
      <c r="E12" s="34"/>
      <c r="F12" s="34"/>
      <c r="G12" s="34"/>
      <c r="H12" s="34"/>
      <c r="I12" s="34"/>
      <c r="J12" s="34"/>
    </row>
    <row r="13" spans="1:10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</row>
  </sheetData>
  <mergeCells count="1">
    <mergeCell ref="A1:J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60F6BF67D0804E9AD7EA0A961736F8" ma:contentTypeVersion="13" ma:contentTypeDescription="Create a new document." ma:contentTypeScope="" ma:versionID="2b809c62f9ef12bf4de3c168af0f1d16">
  <xsd:schema xmlns:xsd="http://www.w3.org/2001/XMLSchema" xmlns:xs="http://www.w3.org/2001/XMLSchema" xmlns:p="http://schemas.microsoft.com/office/2006/metadata/properties" xmlns:ns3="a053c604-ce4f-4e87-b248-77caba0a14b8" xmlns:ns4="10dc92f7-1aa0-402a-8471-5bdab9ae55ed" targetNamespace="http://schemas.microsoft.com/office/2006/metadata/properties" ma:root="true" ma:fieldsID="a3bdbadb07529c736259c4f9d8970a97" ns3:_="" ns4:_="">
    <xsd:import namespace="a053c604-ce4f-4e87-b248-77caba0a14b8"/>
    <xsd:import namespace="10dc92f7-1aa0-402a-8471-5bdab9ae55e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_activity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3c604-ce4f-4e87-b248-77caba0a14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c92f7-1aa0-402a-8471-5bdab9ae55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dc92f7-1aa0-402a-8471-5bdab9ae55ed" xsi:nil="true"/>
  </documentManagement>
</p:properties>
</file>

<file path=customXml/itemProps1.xml><?xml version="1.0" encoding="utf-8"?>
<ds:datastoreItem xmlns:ds="http://schemas.openxmlformats.org/officeDocument/2006/customXml" ds:itemID="{4E4595C7-1E8A-40FB-A229-564AD54EE6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19A1A0-6ACF-44C5-BA39-68EC97B25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53c604-ce4f-4e87-b248-77caba0a14b8"/>
    <ds:schemaRef ds:uri="10dc92f7-1aa0-402a-8471-5bdab9ae5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67DB15-C61E-4D11-BFC3-E7F9BC2CDF71}">
  <ds:schemaRefs>
    <ds:schemaRef ds:uri="10dc92f7-1aa0-402a-8471-5bdab9ae55ed"/>
    <ds:schemaRef ds:uri="http://purl.org/dc/terms/"/>
    <ds:schemaRef ds:uri="http://schemas.openxmlformats.org/package/2006/metadata/core-properties"/>
    <ds:schemaRef ds:uri="a053c604-ce4f-4e87-b248-77caba0a14b8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A. Cohort information</vt:lpstr>
      <vt:lpstr>B. Wet lab</vt:lpstr>
      <vt:lpstr>C. Results - confirmation</vt:lpstr>
      <vt:lpstr>D. XCI</vt:lpstr>
      <vt:lpstr>legend</vt:lpstr>
    </vt:vector>
  </TitlesOfParts>
  <Company>UZ Leuven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 Geysens</dc:creator>
  <cp:lastModifiedBy>Mathilde Geysens</cp:lastModifiedBy>
  <dcterms:created xsi:type="dcterms:W3CDTF">2025-12-17T09:43:35Z</dcterms:created>
  <dcterms:modified xsi:type="dcterms:W3CDTF">2026-03-12T23:50:25Z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0x0101007D60F6BF67D0804E9AD7EA0A961736F8</vt:lpwstr>
  </property>
</Properties>
</file>