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uoshaomin/Downloads/"/>
    </mc:Choice>
  </mc:AlternateContent>
  <xr:revisionPtr revIDLastSave="0" documentId="13_ncr:1_{BFE44A26-0EE5-4C4F-BC5B-69CEAD173AB1}" xr6:coauthVersionLast="47" xr6:coauthVersionMax="47" xr10:uidLastSave="{00000000-0000-0000-0000-000000000000}"/>
  <bookViews>
    <workbookView xWindow="-6520" yWindow="-21100" windowWidth="38400" windowHeight="21100" xr2:uid="{C4E85A3A-55B1-8545-AF58-F059EE55553C}"/>
  </bookViews>
  <sheets>
    <sheet name="SEC summary for EAS" sheetId="9" r:id="rId1"/>
    <sheet name="SEC summary for NS" sheetId="12" r:id="rId2"/>
    <sheet name="SEC summary for TAS" sheetId="11" r:id="rId3"/>
    <sheet name="SEC summary for VAS" sheetId="4" r:id="rId4"/>
    <sheet name="SEC for MAS" sheetId="10" r:id="rId5"/>
    <sheet name="Economic summary for TAS" sheetId="8" r:id="rId6"/>
    <sheet name="Economic summary for VAS" sheetId="7" r:id="rId7"/>
    <sheet name="Economic summary for MAS" sheetId="5" r:id="rId8"/>
    <sheet name="Economic summary for EAS" sheetId="6" r:id="rId9"/>
    <sheet name="Economic summary for NS" sheetId="13" r:id="rId10"/>
  </sheets>
  <definedNames>
    <definedName name="_xlnm._FilterDatabase" localSheetId="5" hidden="1">'Economic summary for TAS'!$H$1:$H$166</definedName>
    <definedName name="_xlnm._FilterDatabase" localSheetId="0" hidden="1">'SEC summary for EAS'!$E$1:$E$467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9" l="1"/>
  <c r="K8" i="9"/>
  <c r="P8" i="9"/>
  <c r="H9" i="9"/>
  <c r="K9" i="9"/>
  <c r="P9" i="9"/>
  <c r="H10" i="9"/>
  <c r="K10" i="9"/>
  <c r="P10" i="9"/>
  <c r="K11" i="9"/>
  <c r="P11" i="9"/>
  <c r="K12" i="9"/>
  <c r="P12" i="9"/>
  <c r="P13" i="9"/>
  <c r="I18" i="9"/>
  <c r="I19" i="9"/>
  <c r="I20" i="9"/>
  <c r="I21" i="9"/>
  <c r="I22" i="9"/>
  <c r="I23" i="9"/>
  <c r="I24" i="9"/>
  <c r="I25" i="9"/>
  <c r="I26" i="9"/>
  <c r="I27" i="9"/>
  <c r="I28" i="9"/>
  <c r="N38" i="9"/>
  <c r="P38" i="9"/>
  <c r="N39" i="9"/>
  <c r="N40" i="9"/>
  <c r="I41" i="9"/>
  <c r="K41" i="9"/>
  <c r="I42" i="9"/>
  <c r="K42" i="9"/>
  <c r="I45" i="9"/>
  <c r="P47" i="9"/>
  <c r="H48" i="9"/>
  <c r="H49" i="9"/>
  <c r="H50" i="9"/>
  <c r="H51" i="9"/>
  <c r="H52" i="9"/>
  <c r="H53" i="9"/>
  <c r="H54" i="9"/>
  <c r="K5" i="12"/>
  <c r="M3" i="12"/>
  <c r="P38" i="10" l="1"/>
  <c r="P37" i="10"/>
  <c r="P36" i="10"/>
  <c r="P35" i="10"/>
  <c r="K35" i="10"/>
  <c r="K36" i="10" s="1"/>
  <c r="K37" i="10" s="1"/>
  <c r="K38" i="10" s="1"/>
  <c r="P34" i="10"/>
  <c r="U33" i="10"/>
  <c r="T33" i="10"/>
  <c r="F33" i="10"/>
  <c r="U32" i="10"/>
  <c r="T32" i="10"/>
  <c r="F32" i="10"/>
  <c r="U31" i="10"/>
  <c r="T31" i="10"/>
  <c r="F31" i="10"/>
  <c r="U30" i="10"/>
  <c r="T30" i="10"/>
  <c r="F30" i="10"/>
  <c r="U29" i="10"/>
  <c r="T29" i="10"/>
  <c r="F29" i="10"/>
  <c r="U28" i="10"/>
  <c r="T28" i="10"/>
  <c r="F28" i="10"/>
  <c r="U27" i="10"/>
  <c r="T27" i="10"/>
  <c r="F27" i="10"/>
  <c r="U26" i="10"/>
  <c r="T26" i="10"/>
  <c r="F26" i="10"/>
  <c r="U25" i="10"/>
  <c r="T25" i="10"/>
  <c r="F25" i="10"/>
  <c r="U24" i="10"/>
  <c r="S24" i="10"/>
  <c r="U23" i="10"/>
  <c r="S23" i="10"/>
  <c r="U22" i="10"/>
  <c r="S22" i="10"/>
  <c r="U21" i="10"/>
  <c r="S21" i="10"/>
  <c r="U20" i="10"/>
  <c r="S20" i="10"/>
  <c r="U19" i="10"/>
  <c r="S19" i="10"/>
  <c r="U18" i="10"/>
  <c r="S18" i="10"/>
  <c r="U17" i="10"/>
  <c r="S17" i="10"/>
  <c r="U16" i="10"/>
  <c r="S16" i="10"/>
  <c r="U15" i="10"/>
  <c r="S15" i="10"/>
  <c r="U14" i="10"/>
  <c r="S14" i="10"/>
  <c r="U13" i="10"/>
  <c r="S13" i="10"/>
  <c r="U12" i="10"/>
  <c r="S12" i="10"/>
  <c r="U11" i="10"/>
  <c r="S11" i="10"/>
  <c r="U10" i="10"/>
  <c r="S10" i="10"/>
  <c r="U9" i="10"/>
  <c r="S9" i="10"/>
  <c r="U8" i="10"/>
  <c r="S8" i="10"/>
  <c r="U7" i="10"/>
  <c r="S7" i="10"/>
  <c r="U6" i="10"/>
  <c r="S6" i="10"/>
  <c r="U5" i="10"/>
  <c r="S5" i="10"/>
  <c r="U4" i="10"/>
  <c r="S4" i="10"/>
  <c r="N464" i="9" l="1"/>
  <c r="L464" i="9"/>
  <c r="G464" i="9"/>
  <c r="N463" i="9"/>
  <c r="L463" i="9"/>
  <c r="G463" i="9"/>
  <c r="N462" i="9"/>
  <c r="L462" i="9"/>
  <c r="G462" i="9"/>
  <c r="N461" i="9"/>
  <c r="L461" i="9"/>
  <c r="G461" i="9"/>
  <c r="N460" i="9"/>
  <c r="N459" i="9"/>
  <c r="G458" i="9"/>
  <c r="G457" i="9"/>
  <c r="P7" i="9"/>
  <c r="P6" i="9"/>
  <c r="P5" i="9"/>
  <c r="P4" i="9"/>
  <c r="P3" i="9"/>
  <c r="G215" i="9"/>
  <c r="G206" i="9"/>
  <c r="G205" i="9"/>
  <c r="G204" i="9"/>
  <c r="G176" i="9"/>
  <c r="G175" i="9"/>
  <c r="G174" i="9"/>
  <c r="G173" i="9"/>
  <c r="G172" i="9"/>
  <c r="G171" i="9"/>
  <c r="G166" i="9"/>
  <c r="G165" i="9"/>
  <c r="G164" i="9"/>
  <c r="G163" i="9"/>
  <c r="G162" i="9"/>
  <c r="G80" i="9"/>
  <c r="G79" i="9"/>
  <c r="G78" i="9"/>
  <c r="M17" i="6"/>
  <c r="U45" i="4" l="1"/>
  <c r="P45" i="4"/>
  <c r="U44" i="4"/>
  <c r="P44" i="4"/>
  <c r="U43" i="4"/>
  <c r="P43" i="4"/>
  <c r="U42" i="4"/>
  <c r="P42" i="4"/>
  <c r="U41" i="4"/>
  <c r="P41" i="4"/>
  <c r="U39" i="4"/>
  <c r="P39" i="4"/>
  <c r="U38" i="4"/>
  <c r="P38" i="4"/>
  <c r="E38" i="4"/>
  <c r="U37" i="4"/>
  <c r="T37" i="4"/>
  <c r="U36" i="4"/>
  <c r="T36" i="4"/>
  <c r="R36" i="4"/>
  <c r="P36" i="4"/>
  <c r="O36" i="4"/>
  <c r="U35" i="4"/>
  <c r="P35" i="4"/>
  <c r="N35" i="4"/>
  <c r="F35" i="4"/>
  <c r="R34" i="4"/>
  <c r="T34" i="4" s="1"/>
  <c r="T33" i="4"/>
  <c r="E33" i="4"/>
  <c r="T32" i="4"/>
  <c r="E32" i="4"/>
  <c r="T31" i="4"/>
  <c r="E31" i="4"/>
  <c r="T30" i="4"/>
  <c r="E30" i="4"/>
  <c r="T29" i="4"/>
  <c r="E29" i="4"/>
  <c r="T28" i="4"/>
  <c r="E28" i="4"/>
  <c r="T27" i="4"/>
  <c r="E27" i="4"/>
  <c r="T26" i="4"/>
  <c r="E26" i="4"/>
  <c r="T25" i="4"/>
  <c r="E25" i="4"/>
  <c r="T24" i="4"/>
  <c r="E24" i="4"/>
  <c r="T23" i="4"/>
  <c r="E23" i="4"/>
  <c r="T22" i="4"/>
  <c r="E22" i="4"/>
  <c r="T21" i="4"/>
  <c r="E21" i="4"/>
  <c r="T20" i="4"/>
  <c r="E20" i="4"/>
  <c r="T19" i="4"/>
  <c r="E19" i="4"/>
  <c r="T18" i="4"/>
  <c r="E18" i="4"/>
  <c r="T17" i="4"/>
  <c r="E17" i="4"/>
  <c r="T16" i="4"/>
  <c r="E16" i="4"/>
  <c r="T15" i="4"/>
  <c r="E15" i="4"/>
  <c r="T14" i="4"/>
  <c r="E14" i="4"/>
  <c r="T13" i="4"/>
  <c r="E13" i="4"/>
  <c r="T12" i="4"/>
  <c r="E12" i="4"/>
  <c r="T11" i="4"/>
  <c r="E11" i="4"/>
  <c r="T10" i="4"/>
  <c r="T9" i="4"/>
  <c r="T8" i="4"/>
  <c r="T7" i="4"/>
  <c r="T6" i="4"/>
  <c r="T5" i="4"/>
  <c r="T4" i="4"/>
  <c r="T3" i="4"/>
  <c r="T2" i="4"/>
  <c r="K2" i="4"/>
  <c r="M23" i="7"/>
  <c r="E23" i="7"/>
  <c r="D23" i="7"/>
  <c r="M22" i="7"/>
  <c r="E22" i="7"/>
  <c r="D22" i="7"/>
  <c r="M21" i="7"/>
  <c r="E21" i="7"/>
  <c r="D21" i="7"/>
  <c r="M20" i="7"/>
  <c r="E20" i="7"/>
  <c r="D20" i="7"/>
  <c r="M19" i="7"/>
  <c r="E19" i="7"/>
  <c r="D19" i="7"/>
  <c r="M17" i="7"/>
  <c r="G17" i="7"/>
  <c r="E17" i="7"/>
  <c r="D17" i="7"/>
  <c r="M15" i="7"/>
  <c r="D15" i="7"/>
  <c r="M12" i="7"/>
  <c r="D12" i="7"/>
  <c r="E10" i="7"/>
  <c r="D10" i="7"/>
  <c r="L9" i="7"/>
  <c r="M8" i="7"/>
  <c r="L8" i="7"/>
  <c r="E8" i="7"/>
  <c r="D8" i="7"/>
  <c r="L6" i="7"/>
  <c r="G6" i="7"/>
  <c r="E6" i="7"/>
  <c r="D6" i="7"/>
  <c r="I35" i="5" l="1"/>
  <c r="H35" i="5" s="1"/>
  <c r="D34" i="5"/>
  <c r="F33" i="5"/>
  <c r="E33" i="5"/>
  <c r="D33" i="5"/>
  <c r="H32" i="5"/>
  <c r="F32" i="5"/>
  <c r="E32" i="5"/>
  <c r="D32" i="5"/>
  <c r="L31" i="5"/>
  <c r="D31" i="5"/>
  <c r="L30" i="5"/>
  <c r="D30" i="5"/>
  <c r="L29" i="5"/>
  <c r="D29" i="5"/>
  <c r="H27" i="5"/>
  <c r="G27" i="5"/>
  <c r="F27" i="5"/>
  <c r="E27" i="5"/>
  <c r="D27" i="5"/>
  <c r="G26" i="5"/>
  <c r="F26" i="5"/>
  <c r="E26" i="5"/>
  <c r="D26" i="5"/>
  <c r="H25" i="5"/>
  <c r="G25" i="5"/>
  <c r="F25" i="5"/>
  <c r="E25" i="5"/>
  <c r="D25" i="5"/>
  <c r="M23" i="5"/>
  <c r="F23" i="5"/>
  <c r="E23" i="5"/>
  <c r="D23" i="5"/>
  <c r="M22" i="5"/>
  <c r="L22" i="5"/>
  <c r="E22" i="5"/>
  <c r="D22" i="5"/>
  <c r="E21" i="5"/>
  <c r="D20" i="5"/>
  <c r="D19" i="5"/>
  <c r="D18" i="5"/>
  <c r="E17" i="5"/>
  <c r="D17" i="5"/>
  <c r="E16" i="5"/>
  <c r="D16" i="5"/>
  <c r="E15" i="5"/>
  <c r="D15" i="5"/>
  <c r="M14" i="5"/>
  <c r="L14" i="5"/>
  <c r="J14" i="5"/>
  <c r="I14" i="5"/>
  <c r="H14" i="5"/>
  <c r="E14" i="5"/>
  <c r="D14" i="5"/>
  <c r="M13" i="5"/>
  <c r="L13" i="5"/>
  <c r="J13" i="5"/>
  <c r="H13" i="5"/>
  <c r="E13" i="5"/>
  <c r="D13" i="5"/>
  <c r="M12" i="5"/>
  <c r="L12" i="5"/>
  <c r="J12" i="5"/>
  <c r="H12" i="5"/>
  <c r="E12" i="5"/>
  <c r="D12" i="5"/>
  <c r="I11" i="5"/>
  <c r="H11" i="5"/>
  <c r="E11" i="5"/>
  <c r="D11" i="5"/>
  <c r="L10" i="5"/>
  <c r="E10" i="5"/>
  <c r="L9" i="5"/>
  <c r="E9" i="5"/>
  <c r="L8" i="5"/>
  <c r="E8" i="5"/>
  <c r="L7" i="5"/>
  <c r="E7" i="5"/>
  <c r="F6" i="5"/>
  <c r="E6" i="5"/>
  <c r="E4" i="5"/>
  <c r="E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Francesco</author>
  </authors>
  <commentList>
    <comment ref="J97" authorId="0" shapeId="0" xr:uid="{D2118782-742C-2C46-94C9-5FD0C1BFC47C}">
      <text>
        <r>
          <rPr>
            <b/>
            <sz val="9"/>
            <color indexed="81"/>
            <rFont val="Tahoma"/>
            <family val="2"/>
          </rPr>
          <t>Francesco:</t>
        </r>
        <r>
          <rPr>
            <sz val="9"/>
            <color indexed="81"/>
            <rFont val="Tahoma"/>
            <family val="2"/>
          </rPr>
          <t xml:space="preserve">
with 617640 CAD of equipment </t>
        </r>
      </text>
    </comment>
    <comment ref="N99" authorId="0" shapeId="0" xr:uid="{A114BA57-E101-ED4C-96ED-DEB7FF166B5D}">
      <text>
        <r>
          <rPr>
            <b/>
            <sz val="9"/>
            <color indexed="81"/>
            <rFont val="Tahoma"/>
            <family val="2"/>
          </rPr>
          <t>Francesco:</t>
        </r>
        <r>
          <rPr>
            <sz val="9"/>
            <color indexed="81"/>
            <rFont val="Tahoma"/>
            <family val="2"/>
          </rPr>
          <t xml:space="preserve">
6.07 years payback period</t>
        </r>
      </text>
    </comment>
    <comment ref="F100" authorId="0" shapeId="0" xr:uid="{65574A60-CBE4-F044-953F-4BC3BC1EAF8A}">
      <text>
        <r>
          <rPr>
            <b/>
            <sz val="9"/>
            <color rgb="FF000000"/>
            <rFont val="Tahoma"/>
            <family val="2"/>
          </rPr>
          <t>Francesco: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Assuming 1 kg/L density and 1.276 $/t manure</t>
        </r>
      </text>
    </comment>
    <comment ref="F101" authorId="0" shapeId="0" xr:uid="{5777E6A2-3B57-094B-841F-5C0C0DE48566}">
      <text>
        <r>
          <rPr>
            <b/>
            <sz val="9"/>
            <color rgb="FF000000"/>
            <rFont val="Tahoma"/>
            <family val="2"/>
          </rPr>
          <t>Francesco: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HNO3
</t>
        </r>
      </text>
    </comment>
    <comment ref="F102" authorId="0" shapeId="0" xr:uid="{8EEC48B2-C101-5649-BCB4-D452B632AD16}">
      <text>
        <r>
          <rPr>
            <b/>
            <sz val="9"/>
            <color indexed="81"/>
            <rFont val="Tahoma"/>
            <family val="2"/>
          </rPr>
          <t>Francesco:</t>
        </r>
        <r>
          <rPr>
            <sz val="9"/>
            <color indexed="81"/>
            <rFont val="Tahoma"/>
            <family val="2"/>
          </rPr>
          <t xml:space="preserve">
HNO3</t>
        </r>
      </text>
    </comment>
    <comment ref="F105" authorId="0" shapeId="0" xr:uid="{0A8C8F6D-D414-6B4D-AD73-54A5F6B15E6A}">
      <text>
        <r>
          <rPr>
            <b/>
            <sz val="9"/>
            <color indexed="81"/>
            <rFont val="Tahoma"/>
            <family val="2"/>
          </rPr>
          <t>Francesco:</t>
        </r>
        <r>
          <rPr>
            <sz val="9"/>
            <color indexed="81"/>
            <rFont val="Tahoma"/>
            <family val="2"/>
          </rPr>
          <t xml:space="preserve">
MgO</t>
        </r>
      </text>
    </comment>
    <comment ref="I107" authorId="0" shapeId="0" xr:uid="{D5246CB4-2620-514A-BFD8-1CEA3834E7B1}">
      <text>
        <r>
          <rPr>
            <b/>
            <sz val="9"/>
            <color rgb="FF000000"/>
            <rFont val="Tahoma"/>
            <family val="2"/>
          </rPr>
          <t>Francesco: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MgO used</t>
        </r>
      </text>
    </comment>
    <comment ref="F108" authorId="0" shapeId="0" xr:uid="{27D5DD32-E2DC-4047-8A40-300079ADF2FD}">
      <text>
        <r>
          <rPr>
            <b/>
            <sz val="9"/>
            <color indexed="81"/>
            <rFont val="Tahoma"/>
            <family val="2"/>
          </rPr>
          <t>Francesco:</t>
        </r>
        <r>
          <rPr>
            <sz val="9"/>
            <color indexed="81"/>
            <rFont val="Tahoma"/>
            <family val="2"/>
          </rPr>
          <t xml:space="preserve">
used H2SO4, NaCl, NaOH</t>
        </r>
      </text>
    </comment>
    <comment ref="A119" authorId="0" shapeId="0" xr:uid="{F155FE99-8776-B14A-A377-F1C75C5BD9A4}">
      <text>
        <r>
          <rPr>
            <b/>
            <sz val="9"/>
            <color rgb="FF000000"/>
            <rFont val="Tahoma"/>
            <family val="2"/>
          </rPr>
          <t>Francesco:</t>
        </r>
      </text>
    </comment>
    <comment ref="F159" authorId="0" shapeId="0" xr:uid="{8B35A36C-7628-9045-A604-18041C3CBA44}">
      <text>
        <r>
          <rPr>
            <b/>
            <sz val="9"/>
            <color indexed="81"/>
            <rFont val="Tahoma"/>
            <family val="2"/>
          </rPr>
          <t>Francesco:</t>
        </r>
        <r>
          <rPr>
            <sz val="9"/>
            <color indexed="81"/>
            <rFont val="Tahoma"/>
            <family val="2"/>
          </rPr>
          <t xml:space="preserve">
for 20.9 kg HSO4 nad 22 kg NaOH</t>
        </r>
      </text>
    </comment>
    <comment ref="N159" authorId="0" shapeId="0" xr:uid="{5840EF55-60E9-6D4B-B89E-4FCAC55CD8C6}">
      <text>
        <r>
          <rPr>
            <b/>
            <sz val="9"/>
            <color indexed="81"/>
            <rFont val="Tahoma"/>
            <family val="2"/>
          </rPr>
          <t>Francesco:</t>
        </r>
        <r>
          <rPr>
            <sz val="9"/>
            <color indexed="81"/>
            <rFont val="Tahoma"/>
            <family val="2"/>
          </rPr>
          <t xml:space="preserve">
13.63$ profit-11.02$ costs</t>
        </r>
      </text>
    </comment>
    <comment ref="F163" authorId="0" shapeId="0" xr:uid="{62C5DF9B-A7BD-7643-8C9D-FB30D4345DEA}">
      <text>
        <r>
          <rPr>
            <b/>
            <sz val="9"/>
            <color rgb="FF000000"/>
            <rFont val="Tahoma"/>
            <family val="2"/>
          </rPr>
          <t>Francesco: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Include H2SO4, NaOH, Ca(OH)2, steam, </t>
        </r>
      </text>
    </comment>
    <comment ref="H163" authorId="0" shapeId="0" xr:uid="{2796EC35-C85D-0541-AAEC-DE213377B146}">
      <text>
        <r>
          <rPr>
            <b/>
            <sz val="9"/>
            <color indexed="81"/>
            <rFont val="Tahoma"/>
            <family val="2"/>
          </rPr>
          <t>Francesco:</t>
        </r>
        <r>
          <rPr>
            <sz val="9"/>
            <color indexed="81"/>
            <rFont val="Tahoma"/>
            <family val="2"/>
          </rPr>
          <t xml:space="preserve">
Steam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M18" authorId="0" shapeId="0" xr:uid="{53C88613-1503-C045-99AF-9D47FF395C3A}">
      <text>
        <r>
          <rPr>
            <b/>
            <sz val="10"/>
            <color rgb="FF000000"/>
            <rFont val="Microsoft YaHei UI"/>
            <family val="2"/>
            <charset val="134"/>
          </rPr>
          <t>Microsoft Office User:</t>
        </r>
        <r>
          <rPr>
            <sz val="10"/>
            <color rgb="FF000000"/>
            <rFont val="Microsoft YaHei UI"/>
            <family val="2"/>
            <charset val="134"/>
          </rPr>
          <t xml:space="preserve">
</t>
        </r>
        <r>
          <rPr>
            <sz val="10"/>
            <color rgb="FF000000"/>
            <rFont val="Microsoft YaHei UI"/>
            <family val="2"/>
            <charset val="134"/>
          </rPr>
          <t>Treatment train of microfiltration, membrane assisted stripping and reverse osmosis.</t>
        </r>
      </text>
    </comment>
    <comment ref="M19" authorId="0" shapeId="0" xr:uid="{16382645-92B3-594B-BA5E-08E63D249763}">
      <text>
        <r>
          <rPr>
            <b/>
            <sz val="10"/>
            <color rgb="FF000000"/>
            <rFont val="Microsoft YaHei UI"/>
            <family val="2"/>
            <charset val="134"/>
          </rPr>
          <t>Microsoft Office User:</t>
        </r>
        <r>
          <rPr>
            <sz val="10"/>
            <color rgb="FF000000"/>
            <rFont val="Microsoft YaHei UI"/>
            <family val="2"/>
            <charset val="134"/>
          </rPr>
          <t xml:space="preserve">
</t>
        </r>
        <r>
          <rPr>
            <sz val="10"/>
            <color rgb="FF000000"/>
            <rFont val="等线"/>
            <family val="4"/>
            <charset val="134"/>
          </rPr>
          <t xml:space="preserve">Treatment train of microfiltration, membrane assisted stripping and reverse osmosis.
</t>
        </r>
      </text>
    </comment>
    <comment ref="M20" authorId="0" shapeId="0" xr:uid="{B2854093-63AE-184A-B8AC-BA31D7975638}">
      <text>
        <r>
          <rPr>
            <b/>
            <sz val="10"/>
            <color rgb="FF000000"/>
            <rFont val="Microsoft YaHei UI"/>
            <family val="2"/>
            <charset val="134"/>
          </rPr>
          <t>Microsoft Office User:</t>
        </r>
        <r>
          <rPr>
            <sz val="10"/>
            <color rgb="FF000000"/>
            <rFont val="Microsoft YaHei UI"/>
            <family val="2"/>
            <charset val="134"/>
          </rPr>
          <t xml:space="preserve">
</t>
        </r>
        <r>
          <rPr>
            <sz val="10"/>
            <color rgb="FF000000"/>
            <rFont val="等线"/>
            <family val="4"/>
            <charset val="134"/>
          </rPr>
          <t xml:space="preserve">Treatment train of microfiltration, membrane assisted stripping and reverse osmosis.
</t>
        </r>
      </text>
    </comment>
  </commentList>
</comments>
</file>

<file path=xl/sharedStrings.xml><?xml version="1.0" encoding="utf-8"?>
<sst xmlns="http://schemas.openxmlformats.org/spreadsheetml/2006/main" count="7130" uniqueCount="1258">
  <si>
    <t>Lab</t>
  </si>
  <si>
    <t>Synthetic</t>
    <phoneticPr fontId="1" type="noConversion"/>
  </si>
  <si>
    <t>Synthetic</t>
  </si>
  <si>
    <t>Urban wastewater</t>
  </si>
  <si>
    <t>Type</t>
    <phoneticPr fontId="1" type="noConversion"/>
  </si>
  <si>
    <t>Other</t>
  </si>
  <si>
    <t>Pilot</t>
  </si>
  <si>
    <t>Other</t>
    <phoneticPr fontId="1" type="noConversion"/>
  </si>
  <si>
    <t>Title</t>
    <phoneticPr fontId="1" type="noConversion"/>
  </si>
  <si>
    <t>N/A</t>
    <phoneticPr fontId="1" type="noConversion"/>
  </si>
  <si>
    <t>Direct nitrogen stripping and upcycling from anaerobic digestate during conversion of cheese whey into single cell protein</t>
  </si>
  <si>
    <t>Nitrogen and Phosphorus Harvesting from Human Urine Using a Stripping, Absorption, and Precipitation Process</t>
  </si>
  <si>
    <t xml:space="preserve">Ammonia capture from human urine to harvest liquid N-P compound fertilizer by a submerged hollow fiber membrane contactor: Performance and fertilizer analysis </t>
    <phoneticPr fontId="1" type="noConversion"/>
  </si>
  <si>
    <t>Ammonia harvesting via membrane gas extraction at moderately alkaline pH: A step toward net-profitable nitrogen recovery from domestic wastewater</t>
    <phoneticPr fontId="1" type="noConversion"/>
  </si>
  <si>
    <t>Anaerobic digestion of chicken manure coupled with ammonia recovery by vacuum-assisted gas-permeable membrane process</t>
    <phoneticPr fontId="1" type="noConversion"/>
  </si>
  <si>
    <t>Application of non-acid stripping solution in hydrophobic membrane process for high-purity ammonia recovery from high-strength ammonium wastewater</t>
    <phoneticPr fontId="1" type="noConversion"/>
  </si>
  <si>
    <t>Economic analysis of the scale-up and implantation of a hollow fibre membrane contactor plant for nitrogen recovery in a full-scale wastewater treatment plant</t>
    <phoneticPr fontId="1" type="noConversion"/>
  </si>
  <si>
    <t>Economic optimization of hollow fiber membrane contactors for ammonia nitrogen recovery from anaerobic digestion effluents</t>
    <phoneticPr fontId="1" type="noConversion"/>
  </si>
  <si>
    <t>Pilot scale on-site demonstration and seasonality assessment of nitrogen recovery and water reclamation from pig's slurry liquid fraction</t>
    <phoneticPr fontId="1" type="noConversion"/>
  </si>
  <si>
    <t>Pilot scale study: First demonstration of hydrophobic membranes for the removal of ammonia molecules from rendering condensate wastewater</t>
    <phoneticPr fontId="1" type="noConversion"/>
  </si>
  <si>
    <t>Recovery of nitrogen and phosphorus from human urine using membrane and precipitation process</t>
    <phoneticPr fontId="1" type="noConversion"/>
  </si>
  <si>
    <t>Simultaneous recovery of fresh water and ammonia from produced water by membrane contactor coupled with membrane distillation</t>
    <phoneticPr fontId="1" type="noConversion"/>
  </si>
  <si>
    <t>Transmembrane Chemical Absorption Process for Recovering Ammonia as an Organic Fertilizer Using Citric Acid as the Trapping Solution</t>
    <phoneticPr fontId="1" type="noConversion"/>
  </si>
  <si>
    <t>Ultrahigh-purity ammonia recovery from synthetic coke wastewater via membrane contactor: Overcoming phenolic interference and assessing cost efficiency</t>
    <phoneticPr fontId="1" type="noConversion"/>
  </si>
  <si>
    <t>Techno-economic evaluation of ammonia recovery from biogas slurry by vacuum membrane distillation without pH adjustment</t>
    <phoneticPr fontId="1" type="noConversion"/>
  </si>
  <si>
    <t>Environmental and Economic Impacts of Managing Nutrients in Digestate Derived from Sewage Sludge and High-Strength Organic Waste</t>
  </si>
  <si>
    <t>Recovery of Clean Water and Ammonia from Domestic Wastewater: Impacts on Embodied Energy and Greenhouse Gas Emissions</t>
  </si>
  <si>
    <t>Techno-economic feasibility study of ammonia recovery from sewage sludge digestate in wastewater treatment plants</t>
    <phoneticPr fontId="1" type="noConversion"/>
  </si>
  <si>
    <t>VS</t>
    <phoneticPr fontId="4" type="noConversion"/>
  </si>
  <si>
    <t>Three-stage treatment for nitrogen and phosphorus recovery from human urine: Hydrolysis, precipitation and vacuum stripping</t>
    <phoneticPr fontId="4" type="noConversion"/>
  </si>
  <si>
    <t>Others</t>
    <phoneticPr fontId="1" type="noConversion"/>
  </si>
  <si>
    <t>Study ID</t>
    <phoneticPr fontId="1" type="noConversion"/>
  </si>
  <si>
    <t>Index</t>
    <phoneticPr fontId="4" type="noConversion"/>
  </si>
  <si>
    <t>Liquid volume</t>
    <phoneticPr fontId="1" type="noConversion"/>
  </si>
  <si>
    <t>Liquid flow rate</t>
    <phoneticPr fontId="1" type="noConversion"/>
  </si>
  <si>
    <t>Gas type</t>
    <phoneticPr fontId="1" type="noConversion"/>
  </si>
  <si>
    <t>Vacuum pump pressure</t>
    <phoneticPr fontId="1" type="noConversion"/>
  </si>
  <si>
    <t>vacuum pressure (bar)</t>
    <phoneticPr fontId="1" type="noConversion"/>
  </si>
  <si>
    <t>Time (h)</t>
    <phoneticPr fontId="1" type="noConversion"/>
  </si>
  <si>
    <t xml:space="preserve">pH </t>
    <phoneticPr fontId="1" type="noConversion"/>
  </si>
  <si>
    <r>
      <t>Temperature(</t>
    </r>
    <r>
      <rPr>
        <b/>
        <sz val="12"/>
        <color theme="1"/>
        <rFont val="Times New Roman"/>
        <family val="3"/>
      </rPr>
      <t>℃</t>
    </r>
    <r>
      <rPr>
        <b/>
        <sz val="12"/>
        <color theme="1"/>
        <rFont val="Times New Roman"/>
        <family val="1"/>
      </rPr>
      <t>)</t>
    </r>
    <phoneticPr fontId="1" type="noConversion"/>
  </si>
  <si>
    <t>Residence TAN</t>
    <phoneticPr fontId="1" type="noConversion"/>
  </si>
  <si>
    <t>Ammonia removel efficiency</t>
    <phoneticPr fontId="1" type="noConversion"/>
  </si>
  <si>
    <t>Ammonia recovery efficiency</t>
  </si>
  <si>
    <t xml:space="preserve">Vacuum pump </t>
    <phoneticPr fontId="1" type="noConversion"/>
  </si>
  <si>
    <t>Heating</t>
    <phoneticPr fontId="1" type="noConversion"/>
  </si>
  <si>
    <t>Stirring</t>
    <phoneticPr fontId="1" type="noConversion"/>
  </si>
  <si>
    <t>Energy consumption(removal)</t>
    <phoneticPr fontId="1" type="noConversion"/>
  </si>
  <si>
    <t>Energy consumption(recovery)</t>
    <phoneticPr fontId="4" type="noConversion"/>
  </si>
  <si>
    <t>3L</t>
  </si>
  <si>
    <t>Static</t>
    <phoneticPr fontId="1" type="noConversion"/>
  </si>
  <si>
    <t>No gas input</t>
    <phoneticPr fontId="1" type="noConversion"/>
  </si>
  <si>
    <t>11.3 kPa</t>
  </si>
  <si>
    <t>Prediction and optimization of the efficiency and energy consumption of an ammonia vacuum thermal stripping process using experiments and machine learning models</t>
    <phoneticPr fontId="1" type="noConversion"/>
  </si>
  <si>
    <t>0.5L</t>
    <phoneticPr fontId="1" type="noConversion"/>
  </si>
  <si>
    <t>Air</t>
    <phoneticPr fontId="1" type="noConversion"/>
  </si>
  <si>
    <t>0.25 bar</t>
    <phoneticPr fontId="1" type="noConversion"/>
  </si>
  <si>
    <t>Transitioning through the vapour-liquid equilibrium for low energy thermal stripping of ammonia from wastewater: Enabling transformation of NH3 into a zero-carbon fuel</t>
    <phoneticPr fontId="1" type="noConversion"/>
  </si>
  <si>
    <t>0.5L</t>
  </si>
  <si>
    <t>0.25 bar</t>
  </si>
  <si>
    <t>1000 kg/h</t>
  </si>
  <si>
    <t>250 ± 5 mbar</t>
  </si>
  <si>
    <t>0.3 Kg/m3</t>
    <phoneticPr fontId="1" type="noConversion"/>
  </si>
  <si>
    <t>Transforming wastewater ammonia to carbon free energy: Integrating fuel cell technology with ammonia stripping for direct power production</t>
    <phoneticPr fontId="4" type="noConversion"/>
  </si>
  <si>
    <t>222 t d⁻¹</t>
    <phoneticPr fontId="1" type="noConversion"/>
  </si>
  <si>
    <t>0.4-0.8 bar</t>
    <phoneticPr fontId="1" type="noConversion"/>
  </si>
  <si>
    <t>8.5 ± 0.12</t>
    <phoneticPr fontId="1" type="noConversion"/>
  </si>
  <si>
    <t>3.8 kWhel/kg N</t>
    <phoneticPr fontId="1" type="noConversion"/>
  </si>
  <si>
    <t>59 kWhth/kg N</t>
    <phoneticPr fontId="1" type="noConversion"/>
  </si>
  <si>
    <t>Techno-economic assessment at full scale of a biogas refinery plant receiving nitrogen rich feedstock and producing renewable energy and biobased fertilisers</t>
    <phoneticPr fontId="1" type="noConversion"/>
  </si>
  <si>
    <t>Stable, high-rate anaerobic digestion through vacuum stripping of digestate</t>
    <phoneticPr fontId="4" type="noConversion"/>
  </si>
  <si>
    <t>1.2g/L</t>
    <phoneticPr fontId="4" type="noConversion"/>
  </si>
  <si>
    <t>0.0012 kwh/L</t>
    <phoneticPr fontId="4" type="noConversion"/>
  </si>
  <si>
    <t>Low-Temperature Vacuum Evaporation of Ammonia from Pig Slurry at Laboratory and Pilot-Plant Scale</t>
    <phoneticPr fontId="4" type="noConversion"/>
  </si>
  <si>
    <t>0.5L</t>
    <phoneticPr fontId="4" type="noConversion"/>
  </si>
  <si>
    <t>21.3 kPa</t>
  </si>
  <si>
    <t>2.43 kWh/m3 urine</t>
    <phoneticPr fontId="1" type="noConversion"/>
  </si>
  <si>
    <t>28.57 kWh/m3 urine</t>
    <phoneticPr fontId="1" type="noConversion"/>
  </si>
  <si>
    <t>Efficient nutrient recovery/removal from real source-separated urine by coupling vacuum thermal stripping with activated sludge processes</t>
    <phoneticPr fontId="4" type="noConversion"/>
  </si>
  <si>
    <t>3.7 kwh/m3</t>
    <phoneticPr fontId="4" type="noConversion"/>
  </si>
  <si>
    <t>329kwh/m3</t>
    <phoneticPr fontId="4" type="noConversion"/>
  </si>
  <si>
    <t>lab</t>
  </si>
  <si>
    <t>Impact of Sidestream Pre-Treatment on Ammonia Recovery by Membrane Contactors: Experimental and Economic Evaluation</t>
    <phoneticPr fontId="1" type="noConversion"/>
  </si>
  <si>
    <t>A Feasibility Study of Ammonia Recovery from Coking Wastewater by Coupled Operation of a Membrane Contactor and Membrane Distillation</t>
    <phoneticPr fontId="1" type="noConversion"/>
  </si>
  <si>
    <t>Sustainable ammonia resource recovery from landfill leachate by solar-driven modified direct contact membrane distillation</t>
    <phoneticPr fontId="1" type="noConversion"/>
  </si>
  <si>
    <t>Effects of anaerobic digestion centrate pre-treatment on further nutrient recovery by membrane contactors</t>
    <phoneticPr fontId="1" type="noConversion"/>
  </si>
  <si>
    <t>Enhancing recovery of ammonia from swine manure anaerobic digester effluent using gas-permeable membrane technology</t>
    <phoneticPr fontId="1" type="noConversion"/>
  </si>
  <si>
    <t>OPEX</t>
    <phoneticPr fontId="1" type="noConversion"/>
  </si>
  <si>
    <t xml:space="preserve">CAPEX </t>
    <phoneticPr fontId="1" type="noConversion"/>
  </si>
  <si>
    <t>Product</t>
    <phoneticPr fontId="1" type="noConversion"/>
  </si>
  <si>
    <t xml:space="preserve">Profit </t>
    <phoneticPr fontId="1" type="noConversion"/>
  </si>
  <si>
    <t>Electric cost</t>
    <phoneticPr fontId="1" type="noConversion"/>
  </si>
  <si>
    <t>Chemical cost
 (Alkaline and acid )</t>
    <phoneticPr fontId="1" type="noConversion"/>
  </si>
  <si>
    <t>Maintenance costs</t>
    <phoneticPr fontId="1" type="noConversion"/>
  </si>
  <si>
    <t>Equipment costs</t>
    <phoneticPr fontId="1" type="noConversion"/>
  </si>
  <si>
    <t xml:space="preserve">Membrane costs </t>
    <phoneticPr fontId="1" type="noConversion"/>
  </si>
  <si>
    <t>Amount</t>
    <phoneticPr fontId="1" type="noConversion"/>
  </si>
  <si>
    <t>Monetary value</t>
    <phoneticPr fontId="1" type="noConversion"/>
  </si>
  <si>
    <t>/</t>
    <phoneticPr fontId="1" type="noConversion"/>
  </si>
  <si>
    <t>1L</t>
    <phoneticPr fontId="1" type="noConversion"/>
  </si>
  <si>
    <t>Liquid fertilizer  product</t>
    <phoneticPr fontId="1" type="noConversion"/>
  </si>
  <si>
    <t>$8.192/L</t>
    <phoneticPr fontId="1" type="noConversion"/>
  </si>
  <si>
    <t>Initial TAN = 35 mg/L
Removal efficiency = 100%
pH = 9.2</t>
    <phoneticPr fontId="1" type="noConversion"/>
  </si>
  <si>
    <t>(NH4)2SO4</t>
    <phoneticPr fontId="1" type="noConversion"/>
  </si>
  <si>
    <t>cBCR = 1.2</t>
    <phoneticPr fontId="1" type="noConversion"/>
  </si>
  <si>
    <t>Initial TAN = 35 mg/L
Removal efficiency = 100%
pH = 11</t>
    <phoneticPr fontId="1" type="noConversion"/>
  </si>
  <si>
    <t>cBCR (5-year average) = 0.34</t>
    <phoneticPr fontId="1" type="noConversion"/>
  </si>
  <si>
    <t>Liquid digestate amount = 430 m3/d
Lifespan = 20 years
Operational time = 330 days/year
Initial TAN = 4000 mg/L
Membrane area = 1433 m2
Ammonia recovery efficiency = 80%
Only chemical costs  of alkaine isincluded</t>
    <phoneticPr fontId="1" type="noConversion"/>
  </si>
  <si>
    <t>$ 200/ton</t>
    <phoneticPr fontId="1" type="noConversion"/>
  </si>
  <si>
    <t>Stripping acid : H3PO4</t>
    <phoneticPr fontId="1" type="noConversion"/>
  </si>
  <si>
    <t>1.69 g/L</t>
    <phoneticPr fontId="1" type="noConversion"/>
  </si>
  <si>
    <t>(NH4)3PO4</t>
    <phoneticPr fontId="1" type="noConversion"/>
  </si>
  <si>
    <t>cBCR = 0.6</t>
    <phoneticPr fontId="1" type="noConversion"/>
  </si>
  <si>
    <t>Stripping acid : H2NO3</t>
    <phoneticPr fontId="1" type="noConversion"/>
  </si>
  <si>
    <t>1.64 g/L</t>
    <phoneticPr fontId="1" type="noConversion"/>
  </si>
  <si>
    <t>(NH4)2NO3</t>
    <phoneticPr fontId="1" type="noConversion"/>
  </si>
  <si>
    <t>cBCR = 0.54</t>
    <phoneticPr fontId="1" type="noConversion"/>
  </si>
  <si>
    <t>Stripping acid : H2SO4</t>
    <phoneticPr fontId="1" type="noConversion"/>
  </si>
  <si>
    <t>1.68 g/L</t>
    <phoneticPr fontId="1" type="noConversion"/>
  </si>
  <si>
    <t>cBCR = 0.68</t>
    <phoneticPr fontId="1" type="noConversion"/>
  </si>
  <si>
    <t>Stripping acid : DI water</t>
    <phoneticPr fontId="1" type="noConversion"/>
  </si>
  <si>
    <t>0.8 g/L</t>
    <phoneticPr fontId="1" type="noConversion"/>
  </si>
  <si>
    <t>NH3(aq)</t>
    <phoneticPr fontId="1" type="noConversion"/>
  </si>
  <si>
    <t>cBCR = 1.42</t>
    <phoneticPr fontId="1" type="noConversion"/>
  </si>
  <si>
    <t>Fed wastewater flow (WWinf) = 40000m3/d
Feed flow = 0.02 m3/s
pH=9
Acid solution flow rate = 0.02 m3/s
Efficiency of the pump and the motor =  75% 
Removal efficiency = 90%
Membrane and pump lifespan = 10 year 
Settler lifespan = 20 year
MCs working time = 20 hours per day
 Price of electricity = 0.1 $/kWh</t>
    <phoneticPr fontId="1" type="noConversion"/>
  </si>
  <si>
    <t>400  kg/day</t>
    <phoneticPr fontId="1" type="noConversion"/>
  </si>
  <si>
    <t>(NH4)2SO4  solution with a  nitrogen content of 4%</t>
    <phoneticPr fontId="1" type="noConversion"/>
  </si>
  <si>
    <t>Initial TAN = 100 mg/L
CaCO3 = 400mg/L
Removal efficiency = 90%
pH = 10.4
Lm = 2.06 m3/day
Only costs for the operation of liquid pumps isincluded</t>
    <phoneticPr fontId="1" type="noConversion"/>
  </si>
  <si>
    <t>(NH4)2SO4</t>
  </si>
  <si>
    <t>Initial TAN = 300 mg/L
CaCO3 = 1200mg/L
Removal efficiency = 90%
pH = 10.3
Lm = 2 m3/day
Only costs for the operation of liquid pumps isincluded</t>
    <phoneticPr fontId="1" type="noConversion"/>
  </si>
  <si>
    <t>Initial TAN = 700 mg/L
CaCO3 = 2800mg/L
Removal efficiency = 90%
pH = 10.25
Lm = 1.84 m3/day
Only costs for the operation of liquid pumps isincluded</t>
    <phoneticPr fontId="1" type="noConversion"/>
  </si>
  <si>
    <t>Annual wastewater amount (after microfiltration) = 2135.76 m3/year
Membrane area = 50 m2
Membrane elements =1
Annual working days = 350
Lifetime of service = 20 years</t>
    <phoneticPr fontId="1" type="noConversion"/>
  </si>
  <si>
    <t>48.38 ton/year</t>
    <phoneticPr fontId="1" type="noConversion"/>
  </si>
  <si>
    <t>NPV &gt; 0 (20th year)
NPV &lt; 0 (1st - 19th year)</t>
    <phoneticPr fontId="1" type="noConversion"/>
  </si>
  <si>
    <t>Annual wastewater amount (after microfiltration) = 1584 m3/year
Membrane area = 50 m2
Annual working days = 350
Lifetime of service = 20 years</t>
    <phoneticPr fontId="1" type="noConversion"/>
  </si>
  <si>
    <t>35.83 ton/year</t>
    <phoneticPr fontId="1" type="noConversion"/>
  </si>
  <si>
    <t>NPV &lt; 0 (1st - 20th year)</t>
    <phoneticPr fontId="1" type="noConversion"/>
  </si>
  <si>
    <t>Annual wastewater amount (after microfiltration) = 2640 m3/year
Membrane area = 50 m2
Annual working days = 350
Lifetime of service = 20 years</t>
    <phoneticPr fontId="1" type="noConversion"/>
  </si>
  <si>
    <t>NPV &gt; 0  (10th - 20th year)
NPV &lt; 0 (1st - 9th year)</t>
    <phoneticPr fontId="1" type="noConversion"/>
  </si>
  <si>
    <t>Removal efficiency = 70%</t>
    <phoneticPr fontId="1" type="noConversion"/>
  </si>
  <si>
    <t>Investment and labor costs are not included in the calculation
Initial TAN(pure urine) = 3900 mg/L
Temperature = 20 °C 
pH=11.9
Time = 16h
Recovery efficiency = 100%</t>
    <phoneticPr fontId="1" type="noConversion"/>
  </si>
  <si>
    <t>(NH4)2(SO4)=23.3kg
PO4-P =24 kg
CaCO3 =0.35 kg</t>
    <phoneticPr fontId="1" type="noConversion"/>
  </si>
  <si>
    <t>(NH4)2(SO4) (19% N)
PO4-P
CaCO3</t>
    <phoneticPr fontId="1" type="noConversion"/>
  </si>
  <si>
    <t>Electricity cost = 0.07 $/kwh (China)
Initial TAN = 186.7 mg/L
Ammonia phosphate recovery efficiency =16%</t>
    <phoneticPr fontId="1" type="noConversion"/>
  </si>
  <si>
    <t>Ammonium phosphate</t>
    <phoneticPr fontId="1" type="noConversion"/>
  </si>
  <si>
    <t>Reject water inflow = 600 m3/d
pH = 10 
Temperature = 40 ◦C.</t>
    <phoneticPr fontId="1" type="noConversion"/>
  </si>
  <si>
    <t>21.93 ~  28.66 $/d/kg N</t>
    <phoneticPr fontId="1" type="noConversion"/>
  </si>
  <si>
    <t>70.5   ~  195.7 kg/d</t>
    <phoneticPr fontId="1" type="noConversion"/>
  </si>
  <si>
    <t>(NH4)2SO4
C6H17N3O7</t>
    <phoneticPr fontId="1" type="noConversion"/>
  </si>
  <si>
    <t>0.5 ~ 1.23  €/d/kg N</t>
    <phoneticPr fontId="1" type="noConversion"/>
  </si>
  <si>
    <t xml:space="preserve"> -20.19  ~  -17.29 €/d/kg N</t>
    <phoneticPr fontId="1" type="noConversion"/>
  </si>
  <si>
    <t xml:space="preserve">Recoverd NH3-N = 1 kg/ day
Initial TAN = 500 mg/L
Flow rate = 600 m3/day
Annual volume = 219000 m3
Membrane area = 200 m2
Lifetime of service = 20 years
Removal efficiency = 90%
T = 42°C
pH 11
Energy requirements for ammonia recovery processes (including wastewater heating, aeration, and solution circulation) </t>
    <phoneticPr fontId="1" type="noConversion"/>
  </si>
  <si>
    <t xml:space="preserve">Initial TAN = 500 mg/L
Flow rate = 600 m3/day
Annual volume = 219000 m3
Membrane area = 200 m2
Lifetime of service = 20 years
Removal efficiency = 90%
pH 12
Energy requirements for ammonia recovery processes (including wastewater heating, aeration, and solution circulation) </t>
    <phoneticPr fontId="1" type="noConversion"/>
  </si>
  <si>
    <t>Initial TAN = 710 mg/L
Flow rate = 150 m3/day
Stripping solution = HNO3
Recovery efficiency = 64%
Capital costs = membrane contactor, tanks, stirrers, blowers and pumps
pH=10.2</t>
    <phoneticPr fontId="1" type="noConversion"/>
  </si>
  <si>
    <t>NH4NO3</t>
    <phoneticPr fontId="1" type="noConversion"/>
  </si>
  <si>
    <t>Air stripping associated with an absorption tank
Initial TAN =  2547 mg/L
Flow rate = 20 m3/h
Ammonia recovery efficiency = 52.7%
pH=12
Lifespan = 15 years</t>
    <phoneticPr fontId="1" type="noConversion"/>
  </si>
  <si>
    <t>(NH4)2SO4  +  Environmental Valuation</t>
  </si>
  <si>
    <t>Ultrafiltration associated with Membrane Distillation sourced by electrical energy
Initial TAN =  2547 mg/L
Flow rate = 20 m3/h
Ammonia recovery efficiency = 52.7%
pH=12
Lifespan = 15 years</t>
    <phoneticPr fontId="1" type="noConversion"/>
  </si>
  <si>
    <t>(NH4)2SO4  +  Environmental Valuation</t>
    <phoneticPr fontId="1" type="noConversion"/>
  </si>
  <si>
    <t>Ultrafiltration associated with Membrane Distillation sourced by solar energy
Initial TAN =  2547 mg/L
Flow rate = 20 m3/h
Ammonia recovery efficiency = 52.7%
pH=12
Lifespan = 15 years</t>
    <phoneticPr fontId="1" type="noConversion"/>
  </si>
  <si>
    <t>Cost for full-scale  plant includs chemical reagents, equipment, and energy pumping requirements.
WWTP influent flowrate (WWinf)  = 20664 m3/day
Feed flow in MC = 135 m3/day
Discount rate = 4 %
Lifespan = 10 year
Recovery efficiency = 87% (75 kgN/day = 0.56 kgN/m3)</t>
    <phoneticPr fontId="1" type="noConversion"/>
  </si>
  <si>
    <t>75 kgN/day=0.56 kgN/m3</t>
    <phoneticPr fontId="1" type="noConversion"/>
  </si>
  <si>
    <t>With aeration
Flow rate = 21.8m3/d  = 35.1 kg N/d
TKN =  2007 mg/L
Lifespan = 10 year
Recovery efficiency = 98% 
Requirement of H2SO4 = 3.5 kg/kg N recovered</t>
    <phoneticPr fontId="1" type="noConversion"/>
  </si>
  <si>
    <t>21059 $/year ($141,310 initial investment)</t>
    <phoneticPr fontId="1" type="noConversion"/>
  </si>
  <si>
    <t>12547 kg/year</t>
    <phoneticPr fontId="1" type="noConversion"/>
  </si>
  <si>
    <t>Without aeration
Flow rate = 21.8m3/d  = 35.1 kg N/d
TKN =  2007 mg/L
Lifespan = 10 year
Recovery efficiency = 98% 
Requirement of H2SO4 = 3.5 kg/kg N recovered</t>
    <phoneticPr fontId="1" type="noConversion"/>
  </si>
  <si>
    <t>Using pH adjustment with NaOH
hydraulic retention time (HRT) = 20 days
Plant capacity = 320 m3/d 
Membrane area = 280 m2
TAN removal efficiency = 90%
Lifespan = 20 years 
Operational time = 330 days/year
Energy source: nature gas</t>
    <phoneticPr fontId="1" type="noConversion"/>
  </si>
  <si>
    <t>NH4HCO3</t>
    <phoneticPr fontId="1" type="noConversion"/>
  </si>
  <si>
    <t>142 $/t-dry matter</t>
    <phoneticPr fontId="1" type="noConversion"/>
  </si>
  <si>
    <t>Using pH adjustment with NaOH
hydraulic retention time (HRT) = 20 days
Plant capacity = 320 m3/d 
Membrane area = 280 m2
TAN removal efficiency = 90%
Lifespan = 20 years 
Operational time = 330 days/year
Energy source: waste heat</t>
    <phoneticPr fontId="1" type="noConversion"/>
  </si>
  <si>
    <t>Using pH adjustment with CaO
hydraulic retention time (HRT) = 20 days
Plant capacity = 320 m3/d 
Membrane area = 280 m2
TAN removal efficiency = 90%
Lifespan = 20 years 
Operational time = 330 days/year
Energy source: nature gas</t>
    <phoneticPr fontId="1" type="noConversion"/>
  </si>
  <si>
    <t>Using pH adjustment with CaO
hydraulic retention time (HRT) = 20 days
Plant capacity = 320 m3/d 
Membrane area = 280 m2
TAN removal efficiency = 90%
Lifespan = 20 years 
Operational time = 330 days/year
Energy source: waste heat</t>
    <phoneticPr fontId="1" type="noConversion"/>
  </si>
  <si>
    <t>Using pH adjustment waste alkali
hydraulic retention time (HRT) = 20 days
Plant capacity = 320 m3/d 
Membrane area = 280 m2
TAN removal efficiency = 90%
Lifespan = 20 years 
Operational time = 330 days/year
Energy source: nature gas</t>
    <phoneticPr fontId="1" type="noConversion"/>
  </si>
  <si>
    <t>Using pH adjustment waste alkali
hydraulic retention time (HRT) = 20 days
Plant capacity = 320 m3/d 
Membrane area = 280 m2
TAN removal efficiency = 90%
Lifespan = 20 years 
Operational time = 330 days/year
Energy source: waste heat</t>
    <phoneticPr fontId="1" type="noConversion"/>
  </si>
  <si>
    <t>Without pH adjustment
hydraulic retention time (HRT) = 20 days
Plant capacity = 320 m3/d 
Membrane area = 280 m2
TAN removal efficiency = 90%
Lifespan = 20 years 
Operational time = 330 days/year
Energy source: nature gas</t>
    <phoneticPr fontId="1" type="noConversion"/>
  </si>
  <si>
    <t>Without pH adjustment
hydraulic retention time (HRT) = 20 days
Plant capacity = 320 m3/d 
Membrane area = 280 m2
TAN removal efficiency = 90%
Lifespan = 20 years 
Operational time = 330 days/year
Energy source: waste heat</t>
    <phoneticPr fontId="1" type="noConversion"/>
  </si>
  <si>
    <t>Assumption</t>
    <phoneticPr fontId="1" type="noConversion"/>
  </si>
  <si>
    <t>Electrolyte-free electrochemical ammonia stripping integrated with flocculation for efficient nitrogen recovery from swine manure biogas slurry</t>
    <phoneticPr fontId="1" type="noConversion"/>
  </si>
  <si>
    <t>Hybrid Donnan dialysis–electrodialysis for efficient ammonia recovery from anaerobic digester effluent</t>
    <phoneticPr fontId="1" type="noConversion"/>
  </si>
  <si>
    <t>Ammonia recovery in bipolar membrane electrodialysis via pH control through electric current pulse modulation</t>
    <phoneticPr fontId="1" type="noConversion"/>
  </si>
  <si>
    <t>Concurrent recovery of ammonia and phosphate by an electrochemical nutrients recovery system with authigenic acid and base</t>
    <phoneticPr fontId="1" type="noConversion"/>
  </si>
  <si>
    <t>Concentrating Nitrogen Waste with Electrodialysis for Fertilizer Production</t>
    <phoneticPr fontId="1" type="noConversion"/>
  </si>
  <si>
    <t>The impact of absorbents on ammonia recovery in a capacitive membrane stripping system</t>
    <phoneticPr fontId="1" type="noConversion"/>
  </si>
  <si>
    <t>Simple and Low-Cost Electroactive Membranes for Ammonia Recovery</t>
    <phoneticPr fontId="1" type="noConversion"/>
  </si>
  <si>
    <t>A novel sustainable N recycling process: Upcycling ammonia to ammonium fertilizer from dilute wastewater and simultaneously realizing phenol degradation via a visible solar-driven PECMA system with efficient Ag2S-BiVO4 photoanodes</t>
    <phoneticPr fontId="1" type="noConversion"/>
  </si>
  <si>
    <t>A stacked transmembrane electro-chemisorption system connected by hydrophobic gas permeable membranes for on-site utilization of authigenic acid and base to enhance ammonia recovery from wastewater</t>
  </si>
  <si>
    <t>A tartrate-EDTA-Fe complex mediates electron transfer and enhances ammonia recovery in a bioelectrochemical-stripping system</t>
    <phoneticPr fontId="1" type="noConversion"/>
  </si>
  <si>
    <t>Ammonium recovery and energy production from urine by a microbial fuel cell</t>
    <phoneticPr fontId="1" type="noConversion"/>
  </si>
  <si>
    <t>Ammonia recovery from wastewater using a bioelectrochemical membrane-absorbed ammonia system with authigenic acid and base</t>
    <phoneticPr fontId="1" type="noConversion"/>
  </si>
  <si>
    <t>Ammonia recovery from anaerobic digester centrate using onsite pilot scale bipolar membrane electrodialysis coupled to membrane stripping</t>
  </si>
  <si>
    <t>Ammonia recovery from urine in a scaled-up Microbial Electrolysis Cell</t>
    <phoneticPr fontId="1" type="noConversion"/>
  </si>
  <si>
    <t>Ammonia recovery from waste streams: Energy efficiency and performance of microbial electrochemical system and electrochemical system</t>
    <phoneticPr fontId="1" type="noConversion"/>
  </si>
  <si>
    <t>Ammonia-Rich Solution Production from Wastewaters Using Chemical-Free Flow-Electrode Capacitive Deionization</t>
    <phoneticPr fontId="1" type="noConversion"/>
  </si>
  <si>
    <t>Ammonia-selective recovery from anaerobic digestate using electrochemical ammonia stripping combined with electrodialysis</t>
    <phoneticPr fontId="1" type="noConversion"/>
  </si>
  <si>
    <t>Ammonium recovery from reject water combined with hydrogen production in a bioelectrochemical reactor</t>
    <phoneticPr fontId="1" type="noConversion"/>
  </si>
  <si>
    <t>Behavior of solutes and membrane fouling in an electrodialysis to treat a side-stream: Migration of ions, dissolved organics and micropollutants</t>
    <phoneticPr fontId="1" type="noConversion"/>
  </si>
  <si>
    <t>Bipolar Membrane Electrodialysis for Ammonia Recovery from Synthetic Urine: Experiments, Modeling, and Performance Analysis</t>
    <phoneticPr fontId="1" type="noConversion"/>
  </si>
  <si>
    <t>Bipolar membrane electrodialysis for nutrient recovery from anaerobic digestion dewatering sidestream</t>
  </si>
  <si>
    <t>Building an operational framework for selective nitrogen recovery via electrochemical stripping</t>
    <phoneticPr fontId="1" type="noConversion"/>
  </si>
  <si>
    <t>Chemical-free electrochemical system with membrane cathode assembly enables efficient ammonia recovery from urine</t>
    <phoneticPr fontId="1" type="noConversion"/>
  </si>
  <si>
    <t>Continuous Ammonia Recovery from Wastewaters Using an Integrated Capacitive Flow Electrode Membrane Stripping System</t>
    <phoneticPr fontId="1" type="noConversion"/>
  </si>
  <si>
    <t>Donnan Dialysis for scaling mitigation during electrochemical ammonium recovery from complex wastewater</t>
    <phoneticPr fontId="1" type="noConversion"/>
  </si>
  <si>
    <t>Donnan Dialysis-Osmotic Distillation (DD-OD) Hybrid Process for Selective Ammonium Recovery Driven by Waste Alkali</t>
    <phoneticPr fontId="1" type="noConversion"/>
  </si>
  <si>
    <t>Efficient ammonia recovery from wastewater using electrically conducting gas stripping membranes</t>
    <phoneticPr fontId="1" type="noConversion"/>
  </si>
  <si>
    <t>Effluent pH correlates with electrochemical nitrogen recovery efficiency at pilot scale operation</t>
    <phoneticPr fontId="1" type="noConversion"/>
  </si>
  <si>
    <t>Electrochemical ammonia accumulation and recovery from ammonia-rich livestock wastewater</t>
    <phoneticPr fontId="1" type="noConversion"/>
  </si>
  <si>
    <t>Electrochemical Ammonia Recovery from Source-Separated Urine for Microbial Protein Production</t>
    <phoneticPr fontId="1" type="noConversion"/>
  </si>
  <si>
    <t>Electrochemical and bioelectrochemical ammonium recovery from  N-loaded streams using a hydrophobic membrane</t>
    <phoneticPr fontId="1" type="noConversion"/>
  </si>
  <si>
    <t>Electrochemical Nutrient Recovery Enables Ammonia Toxicity Control and Biogas Desulfurization in Anaerobic Digestion</t>
    <phoneticPr fontId="1" type="noConversion"/>
  </si>
  <si>
    <t>Electrochemical recovery of nutrients from human urine coupled with biogas upgrading</t>
    <phoneticPr fontId="1" type="noConversion"/>
  </si>
  <si>
    <t>Electrochemical resource recovery from digestate to prevent ammonia toxicity during anaerobic digestion</t>
    <phoneticPr fontId="1" type="noConversion"/>
  </si>
  <si>
    <t>Electrochemically driven extraction and recovery of ammonia from human urine</t>
    <phoneticPr fontId="1" type="noConversion"/>
  </si>
  <si>
    <t>Enhanced electrodialysis by electric double-layer capacitors to minimize membrane use in digestate ammonia recovery: mechanisms and effects</t>
    <phoneticPr fontId="1" type="noConversion"/>
  </si>
  <si>
    <t>Enhancing ammonia recovery through pH polarization in bipolar membrane electrodialysis</t>
    <phoneticPr fontId="1" type="noConversion"/>
  </si>
  <si>
    <t>Exploiting Donnan Dialysis to enhance ammonia recovery in an electrochemical system</t>
    <phoneticPr fontId="1" type="noConversion"/>
  </si>
  <si>
    <t>Gas-diffusion-electrode based direct electro-stripping system for gaseous ammonia recovery from livestock wastewater</t>
    <phoneticPr fontId="1" type="noConversion"/>
  </si>
  <si>
    <t>Hydrogen Gas Recycling for Energy Efficient Ammonia Recovery in Electrochemical Systems</t>
    <phoneticPr fontId="1" type="noConversion"/>
  </si>
  <si>
    <t>Integrating solvent extraction with electrochemical separation for nutrient recovery from anaerobically digested sludge</t>
    <phoneticPr fontId="1" type="noConversion"/>
  </si>
  <si>
    <t>Load ratio determines the ammonia recovery and energy input of an electrochemical system</t>
    <phoneticPr fontId="1" type="noConversion"/>
  </si>
  <si>
    <t>Long-Term Robustness and Failure Mechanisms of Electrochemical Stripping for Wastewater Ammonia Recovery</t>
  </si>
  <si>
    <t>Low-energy ammonium recovery by a combined bio-electrochemical and electrochemical system</t>
    <phoneticPr fontId="1" type="noConversion"/>
  </si>
  <si>
    <t>Membrane stripping enables effective electrochemical ammonia recovery from urine while retaining microorganisms and micropollutants</t>
    <phoneticPr fontId="1" type="noConversion"/>
  </si>
  <si>
    <t>Nutrient-energy-water recovery from synthetic sidestream centrate using a microbial electrolysis cell - forward osmosis hybrid system</t>
    <phoneticPr fontId="1" type="noConversion"/>
  </si>
  <si>
    <t>Nitrogen potential recovery and concentration of ammonia from swine manure using electrodialysis coupled with air stripping</t>
    <phoneticPr fontId="1" type="noConversion"/>
  </si>
  <si>
    <t>Nutrient recovery from wastewater through pilot scale electrodialysis</t>
    <phoneticPr fontId="1" type="noConversion"/>
  </si>
  <si>
    <t>Prototyping and modelling a photovoltaic-thermal electrochemical stripping system for distributed urine nitrogen recovery</t>
  </si>
  <si>
    <t>Simultaneous nitrogen and phosphorus recovery from municipal wastewater by electrochemical pH modulation</t>
    <phoneticPr fontId="1" type="noConversion"/>
  </si>
  <si>
    <t>Sustainable ammonia recovery in electrochemical membranes: The critical role of electromigration</t>
    <phoneticPr fontId="1" type="noConversion"/>
  </si>
  <si>
    <t>A novel electrocoagulation-membrane stripping hybrid system for simultaneous ammonia recovery and contaminant removal</t>
    <phoneticPr fontId="1" type="noConversion"/>
  </si>
  <si>
    <t>Synergistic ammonia recovery from high-ammonia anaerobic digestate via  coupled bipolar electrodialysis and membrane contactor system</t>
    <phoneticPr fontId="1" type="noConversion"/>
  </si>
  <si>
    <t>Sustainable ammonia recovery from low strength wastewater by the integrated ion exchange and bipolar membrane electrodialysis with membrane contactor system</t>
    <phoneticPr fontId="1" type="noConversion"/>
  </si>
  <si>
    <t>Efficient nitrogen removal and recovery from real digested sewage sludge reject water through electroconcentration</t>
    <phoneticPr fontId="1" type="noConversion"/>
  </si>
  <si>
    <t>Chemical cost
 (Alkaline and acid)</t>
    <phoneticPr fontId="1" type="noConversion"/>
  </si>
  <si>
    <t>Maintenance</t>
    <phoneticPr fontId="4" type="noConversion"/>
  </si>
  <si>
    <t>Equipment and installation costs</t>
    <phoneticPr fontId="1" type="noConversion"/>
  </si>
  <si>
    <t>Indirect cost</t>
    <phoneticPr fontId="1" type="noConversion"/>
  </si>
  <si>
    <t>Vacuum evaporation coupled with anaerobic digestion for process intensification and ammonia recovery: Model development, validation and scenario analysis</t>
    <phoneticPr fontId="4" type="noConversion"/>
  </si>
  <si>
    <t>Cost include = energy consumption+energy recovery from biogas+sludge drying cost +chemical cost +nitrogen recovery revenue +avoided costs of nitrogen removal</t>
    <phoneticPr fontId="4" type="noConversion"/>
  </si>
  <si>
    <t>Simultaneous ammonia recovery and treatment of sludge digestate using the vacuum stripping and absorption process: Scale-up design and pilot study</t>
    <phoneticPr fontId="4" type="noConversion"/>
  </si>
  <si>
    <t>Full-scale
Treatment capacity = 600 m3/d
Hydraulic retention time = 5h
Ammonia removal efficiency = 91%</t>
    <phoneticPr fontId="4" type="noConversion"/>
  </si>
  <si>
    <t>/</t>
    <phoneticPr fontId="4" type="noConversion"/>
  </si>
  <si>
    <t>(NH4)2SO4
Biosolids</t>
    <phoneticPr fontId="4" type="noConversion"/>
  </si>
  <si>
    <t xml:space="preserve">521$/ton as fertilizer
</t>
    <phoneticPr fontId="4" type="noConversion"/>
  </si>
  <si>
    <t xml:space="preserve">$2.46/kg-N from (NH4)2SO4 </t>
    <phoneticPr fontId="4" type="noConversion"/>
  </si>
  <si>
    <t>T = 65 ◦C
Vacuum pressure =0.25 bar</t>
    <phoneticPr fontId="4" type="noConversion"/>
  </si>
  <si>
    <t>The cost to transfer urine with a water pump = 0</t>
    <phoneticPr fontId="4" type="noConversion"/>
  </si>
  <si>
    <t>(NH4)2SO4</t>
    <phoneticPr fontId="4" type="noConversion"/>
  </si>
  <si>
    <t>Techno-economic assessment at full scale of a biogas refinery plant receiving nitrogen rich feedstock and producing renewable energy and biobased fertilisers</t>
    <phoneticPr fontId="4" type="noConversion"/>
  </si>
  <si>
    <t>Captical cost include = NH3 stripping unit+  scrubbing unit+ filter press unit
Operational costs = electricity use, FGD-gypsum consumption, insurance, maintenance and labour
Treatment capacity = 68561 t digestate
Depreciation 10  years at 3% interest rate</t>
    <phoneticPr fontId="4" type="noConversion"/>
  </si>
  <si>
    <t>6.86  $/t digestate</t>
    <phoneticPr fontId="4" type="noConversion"/>
  </si>
  <si>
    <t>3545 t (NH4)2SO4
Liming substrate
Heat valorisation</t>
    <phoneticPr fontId="4" type="noConversion"/>
  </si>
  <si>
    <t>(NH4)2SO4 solution
Liming substrate
Heat valorisation</t>
    <phoneticPr fontId="4" type="noConversion"/>
  </si>
  <si>
    <t>8.28 $/t digestate</t>
    <phoneticPr fontId="4" type="noConversion"/>
  </si>
  <si>
    <t>Treatment capacity = 50.4 m3/d
HRT = 21 d
Initial TAN = 3000 mg/L
Ammonia recovery efficiency = 97%</t>
    <phoneticPr fontId="4" type="noConversion"/>
  </si>
  <si>
    <t>689 kg</t>
    <phoneticPr fontId="4" type="noConversion"/>
  </si>
  <si>
    <t xml:space="preserve">(NH4)2SO4 crystals
</t>
    <phoneticPr fontId="4" type="noConversion"/>
  </si>
  <si>
    <t>5692 kWh</t>
    <phoneticPr fontId="4" type="noConversion"/>
  </si>
  <si>
    <t xml:space="preserve">Increased biogas energy production </t>
    <phoneticPr fontId="4" type="noConversion"/>
  </si>
  <si>
    <t>Preliminary design of optimized heat integrated two-stage vacuum evaporation for processing digestate from biogas plant</t>
    <phoneticPr fontId="4" type="noConversion"/>
  </si>
  <si>
    <t xml:space="preserve">Two-stge vacuum evaporation 
Lifespan = 10 year
Tax rate = 20%
Discount rate = 10% </t>
    <phoneticPr fontId="4" type="noConversion"/>
  </si>
  <si>
    <t>Depreciation =1.25 $/kg N/y</t>
    <phoneticPr fontId="4" type="noConversion"/>
  </si>
  <si>
    <t>481201.23$</t>
    <phoneticPr fontId="4" type="noConversion"/>
  </si>
  <si>
    <t>144360.37$</t>
    <phoneticPr fontId="4" type="noConversion"/>
  </si>
  <si>
    <t>5293 t/y</t>
    <phoneticPr fontId="4" type="noConversion"/>
  </si>
  <si>
    <t>Fertilizer</t>
    <phoneticPr fontId="4" type="noConversion"/>
  </si>
  <si>
    <t>377181.37 $/year</t>
    <phoneticPr fontId="4" type="noConversion"/>
  </si>
  <si>
    <t>IRR = 39.5
NPV = 947533.70$
Payback time = 2.4 year</t>
    <phoneticPr fontId="4" type="noConversion"/>
  </si>
  <si>
    <t>14907 m3/y</t>
    <phoneticPr fontId="4" type="noConversion"/>
  </si>
  <si>
    <t>Water saving</t>
    <phoneticPr fontId="4" type="noConversion"/>
  </si>
  <si>
    <t>17624.73 $/year</t>
    <phoneticPr fontId="4" type="noConversion"/>
  </si>
  <si>
    <t>Empowering anaerobic digestion of dairy cow manure with pretreatment and post-treatment using vacuum stripping</t>
    <phoneticPr fontId="4" type="noConversion"/>
  </si>
  <si>
    <t>VAS as pretreatment for liquid manure
Dairy farm size = 1000 milking cows
Liquid manure = 110 m3/d
TAN concentration of liquid manure= 800 mg/L
Ammonia removel efficiency = 34%</t>
    <phoneticPr fontId="4" type="noConversion"/>
  </si>
  <si>
    <t>142 kg</t>
    <phoneticPr fontId="4" type="noConversion"/>
  </si>
  <si>
    <t>686.4 m3</t>
    <phoneticPr fontId="4" type="noConversion"/>
  </si>
  <si>
    <t>2453 kwh</t>
    <phoneticPr fontId="4" type="noConversion"/>
  </si>
  <si>
    <t>Reduced heating for digestion</t>
    <phoneticPr fontId="4" type="noConversion"/>
  </si>
  <si>
    <t>VAS as post-treatment for liquid manure
Dairy farm size = 1000 milking cows
Liquid manure = 110 m3/d
TAN concentration of digestate = 1600 mg/L
Ammonia removel efficiency = 82.5%</t>
    <phoneticPr fontId="4" type="noConversion"/>
  </si>
  <si>
    <t>270 kg</t>
    <phoneticPr fontId="4" type="noConversion"/>
  </si>
  <si>
    <t>Hualing cost  saving</t>
    <phoneticPr fontId="4" type="noConversion"/>
  </si>
  <si>
    <t>Cost include = energy consumption for heating + vacuum + MCR</t>
    <phoneticPr fontId="4" type="noConversion"/>
  </si>
  <si>
    <t>40.43 kg/m3</t>
    <phoneticPr fontId="4" type="noConversion"/>
  </si>
  <si>
    <t>(NH4)2SO4 solids</t>
    <phoneticPr fontId="4" type="noConversion"/>
  </si>
  <si>
    <t>4.66 $/ m3</t>
    <phoneticPr fontId="4" type="noConversion"/>
  </si>
  <si>
    <t>2.11 kg/m3</t>
    <phoneticPr fontId="4" type="noConversion"/>
  </si>
  <si>
    <t>Struvite precipitates</t>
    <phoneticPr fontId="4" type="noConversion"/>
  </si>
  <si>
    <t>0.25 $/ m3</t>
    <phoneticPr fontId="4" type="noConversion"/>
  </si>
  <si>
    <t>16027kWh/d
2 $/d
2.33 kgN/d</t>
    <phoneticPr fontId="4" type="noConversion"/>
  </si>
  <si>
    <t>Energy  recovery
Ammonia recovery revenue
Nitrogen removal benefits</t>
    <phoneticPr fontId="4" type="noConversion"/>
  </si>
  <si>
    <t>2138.00 $/d
2 $/d
12 $/d</t>
    <phoneticPr fontId="4" type="noConversion"/>
  </si>
  <si>
    <t>24881kWh/d
186 $/d
423.64 kgN/d</t>
    <phoneticPr fontId="4" type="noConversion"/>
  </si>
  <si>
    <t>3319.13 $/d
186 $/d
2186 $/d</t>
    <phoneticPr fontId="4" type="noConversion"/>
  </si>
  <si>
    <t>24881kWh/d
106 $/d
240.698 kgN/d</t>
    <phoneticPr fontId="4" type="noConversion"/>
  </si>
  <si>
    <t>3319.13 $/d
106 $/d
1242 $/d</t>
    <phoneticPr fontId="4" type="noConversion"/>
  </si>
  <si>
    <t>23615kWh/d
150 $/d
169.96 kgN/d</t>
    <phoneticPr fontId="4" type="noConversion"/>
  </si>
  <si>
    <t>3150.24 $/d
150 $/d
877 $/d</t>
    <phoneticPr fontId="4" type="noConversion"/>
  </si>
  <si>
    <t>23615kWh/d
277 $/d
428.10 kgN/d</t>
    <phoneticPr fontId="4" type="noConversion"/>
  </si>
  <si>
    <t>3150.24 $/d
277 $/d
2209 $/d</t>
    <phoneticPr fontId="4" type="noConversion"/>
  </si>
  <si>
    <t>VAS as pretreatment for anaerobic digesters
Initial TAN = 2726 mg/L
Ammonia recovery efficiency = 0.04%</t>
    <phoneticPr fontId="4" type="noConversion"/>
  </si>
  <si>
    <t>VAS as post-treatment for anaerobic digesters at pH 9
Initial TAN = 1342 mg/L
Ammonia recovery efficiency = 18.46%</t>
    <phoneticPr fontId="4" type="noConversion"/>
  </si>
  <si>
    <t>VAS as post-treatment for anaerobic digesters at 100 ℃
Initial TAN = 1342 mg/L
Ammonia recovery efficiency = 10.49%</t>
    <phoneticPr fontId="4" type="noConversion"/>
  </si>
  <si>
    <t>VAS as intensification for anaerobic digesters at neutral pH
Initial TAN = 1915 mg/L
Ammonia recovery efficiency = 2.73%</t>
    <phoneticPr fontId="4" type="noConversion"/>
  </si>
  <si>
    <t>VAS as intensification for anaerobic digesters at pH 9
Initial TAN = 1005 mg/L
Ammonia recovery efficiency = 13.12%</t>
    <phoneticPr fontId="4" type="noConversion"/>
  </si>
  <si>
    <t>Index</t>
    <phoneticPr fontId="1" type="noConversion"/>
  </si>
  <si>
    <t>Initial TAN(mg/L)</t>
    <phoneticPr fontId="1" type="noConversion"/>
  </si>
  <si>
    <t xml:space="preserve">Vacuum evaporation coupled with anaerobic digestion for process intensification and ammonia recovery: Model development, validation and scenario analysis
</t>
    <phoneticPr fontId="4" type="noConversion"/>
  </si>
  <si>
    <t>2203 m3/d</t>
    <phoneticPr fontId="4" type="noConversion"/>
  </si>
  <si>
    <t>1710 m3/d</t>
    <phoneticPr fontId="4" type="noConversion"/>
  </si>
  <si>
    <t>3246 m3/d</t>
    <phoneticPr fontId="4" type="noConversion"/>
  </si>
  <si>
    <t>Enhancing swine manure treatment: A full-scale techno-economic assessment of nitrogen recovery, pure oxygen aeration and effluent polishing</t>
    <phoneticPr fontId="1" type="noConversion"/>
  </si>
  <si>
    <t>Evaluation of a new approach for swine wastewater valorisation and treatment: A combined system of ammonium recovery and aerated constructed wetland</t>
    <phoneticPr fontId="1" type="noConversion"/>
  </si>
  <si>
    <t>High temperature ammonia stripping and recovery from process liquid wastes</t>
    <phoneticPr fontId="1" type="noConversion"/>
  </si>
  <si>
    <t>Multi-barrier treatment of mature landfill leachate: effect of Fenton oxidation and air stripping on activated sludge process and cost analysis</t>
    <phoneticPr fontId="1" type="noConversion"/>
  </si>
  <si>
    <t>Nitrogen and Phosphorus Recovery from Human Urine by Struvite Precipitation and Air Stripping in Vietnam</t>
  </si>
  <si>
    <t>Nutrients recovery from anaerobic digestate of agro-waste: Techno-economic assessment of full scale applications</t>
    <phoneticPr fontId="1" type="noConversion"/>
  </si>
  <si>
    <t>Assumption</t>
  </si>
  <si>
    <t>OPEX</t>
  </si>
  <si>
    <t xml:space="preserve"> CAPEX</t>
    <phoneticPr fontId="1" type="noConversion"/>
  </si>
  <si>
    <t>Profit</t>
  </si>
  <si>
    <t>Heating cost</t>
  </si>
  <si>
    <t>Total for chemicals</t>
  </si>
  <si>
    <t>Others</t>
  </si>
  <si>
    <t>total OPEX</t>
  </si>
  <si>
    <t>Nitrogen recovery from intensive  livestock farms using a simplified  ammonia stripping process</t>
  </si>
  <si>
    <t>Initial TAN = 2970.0 mg/L
Liquid volume = 15010 L
Time = 360 h
pH = 7.8
Temperature = 36.8 °C
Efficiency = 50.0%</t>
  </si>
  <si>
    <t>0.1392 $/kg removed</t>
  </si>
  <si>
    <t>N/A</t>
  </si>
  <si>
    <t>0.8584  $/kg removed</t>
  </si>
  <si>
    <r>
      <t>1.9256 $ kgN</t>
    </r>
    <r>
      <rPr>
        <vertAlign val="superscript"/>
        <sz val="12"/>
        <color theme="1"/>
        <rFont val="Times New Roman"/>
        <family val="1"/>
      </rPr>
      <t>-1</t>
    </r>
    <r>
      <rPr>
        <sz val="12"/>
        <color theme="1"/>
        <rFont val="Times New Roman"/>
        <family val="1"/>
      </rPr>
      <t xml:space="preserve"> removed</t>
    </r>
  </si>
  <si>
    <t>Initial TAN = 1110.0 mg/L
Liquid volume = 7670 L
Time = 672 h
pH = 7.2
Temperature = 37.1 °C
Efficiency = 35.0%</t>
  </si>
  <si>
    <t>Initial TAN = 2220.0 mg/L
Liquid volume = 7670 L
Time = 672 h
pH = 7.8
Temperature = 37.9 °C
Efficiency = 67.0%</t>
  </si>
  <si>
    <t>Initial TAN = 2330.0 mg/L
Liquid volume = 15120 L
Time = 768 h
pH = 7.9
Temperature = 40.8 °C
Efficiency = 79.0%</t>
  </si>
  <si>
    <t>Initial TAN = 1690.0 mg/L
Liquid volume = 7750 L
Time = 408 h
pH = 8.1
Temperature = 36.2 °C
Efficiency = 67.0%</t>
  </si>
  <si>
    <t>Initial TAN = 660.0 mg/L
Liquid volume = 7640 L
Time = 576 h
pH = 7.4
Temperature = 39.1 °C
Efficiency = 57.0%</t>
  </si>
  <si>
    <t>Initial TAN = 930.0 mg/L
Liquid volume = 6380 L
Time = 744 h
pH = 7.7
Temperature = 36.1 °C
Efficiency = 63.0%</t>
  </si>
  <si>
    <t>Initial TAN = 3770.0 mg/L
Liquid volume = 7640 L
Time = 360 h
pH = 7.9
Temperature = 29.3 °C
Efficiency = 25.0%</t>
  </si>
  <si>
    <t>1.0788 $ kgN-1 removed</t>
  </si>
  <si>
    <t>Initial TAN = 1830.0 mg/L
Liquid volume = 7640 L
Time = 504 h
pH = 7.4
Temperature = 29.8 °C
Efficiency = -5.0%</t>
  </si>
  <si>
    <t>Initial TAN = 3750.0 mg/L
Liquid volume = 7900 L
Time = 360 h
pH = 10.7
Temperature = 29.9 °C
Efficiency = 82.0%</t>
  </si>
  <si>
    <t>5.1388-9.1988 $kgN-1 removed</t>
  </si>
  <si>
    <t>Initial TAN = 1440.0 mg/L
Liquid volume = 7900 L
Time = 504 h
pH = 10.7
Temperature = 20.3 °C
Efficiency = 76.0%</t>
  </si>
  <si>
    <t>Nitrogen and Phosphorus Recovery from Human Urine by Struvite Precipitation and Air Stripping in Vietnam</t>
    <phoneticPr fontId="1" type="noConversion"/>
  </si>
  <si>
    <t>Air stripping process for ammonia recovery from source-separated urine: modeling and optimization</t>
    <phoneticPr fontId="1" type="noConversion"/>
  </si>
  <si>
    <t>Initial TAN = 3810 mg/L
Liquid volume = 250 L
Time = 2.2 h
pH = 9.30
Temperature = 22.85 °C</t>
  </si>
  <si>
    <t xml:space="preserve">22,78 $/kg N treated  </t>
  </si>
  <si>
    <t>Initial TAN = 3810 mg/L
Liquid volume = 250 L
Time = 2.2 h
pH = 9.30
Temperature = 29.85 °C</t>
  </si>
  <si>
    <t xml:space="preserve">21,42 $/kg N treated  </t>
  </si>
  <si>
    <t>Initial TAN = 3810 mg/L
Liquid volume = 250 L
Time = 2.2 h
pH = 9.30
Temperature = 39.85 °C</t>
  </si>
  <si>
    <t xml:space="preserve">22,08 $/kg N treated  </t>
  </si>
  <si>
    <t>Initial TAN = 3810 mg/L
Liquid volume = 250 L
Time = 2.2 h
pH = 9.30
Temperature = 49.85 °C</t>
  </si>
  <si>
    <t xml:space="preserve">20,72 $/kg N treated  </t>
  </si>
  <si>
    <t>Initial TAN = 3810 mg/L
Liquid volume = 250 L
Time = 2.2 h
pH = 9.30
Temperature = 59.85 °C</t>
  </si>
  <si>
    <t xml:space="preserve">21,59 $/kg N treated  </t>
  </si>
  <si>
    <t xml:space="preserve">15,58 $/kg N treated  </t>
  </si>
  <si>
    <t xml:space="preserve">13,63 $/kg N treated  </t>
  </si>
  <si>
    <t xml:space="preserve">13,28 $/kg N treated  </t>
  </si>
  <si>
    <t xml:space="preserve">12,54 $/kg N treated  </t>
  </si>
  <si>
    <t xml:space="preserve">13,23 $/kg N treated  </t>
  </si>
  <si>
    <t xml:space="preserve">10,99 $/kg N treated  </t>
  </si>
  <si>
    <t xml:space="preserve">9,10 $/kg N treated  </t>
  </si>
  <si>
    <t xml:space="preserve">8,54 $/kg N treated  </t>
  </si>
  <si>
    <t xml:space="preserve">8,20 $/kg N treated  </t>
  </si>
  <si>
    <t xml:space="preserve">8,82 $/kg N treated  </t>
  </si>
  <si>
    <t xml:space="preserve">10,11 $/kg N treated  </t>
  </si>
  <si>
    <t xml:space="preserve">7,90 $/kg N treated  </t>
  </si>
  <si>
    <t xml:space="preserve">7,17 $/kg N treated  </t>
  </si>
  <si>
    <t xml:space="preserve">6,86 $/kg N treated  </t>
  </si>
  <si>
    <t xml:space="preserve">7,46 $/kg N treated  </t>
  </si>
  <si>
    <t xml:space="preserve">10,89 $/kg N treated  </t>
  </si>
  <si>
    <t xml:space="preserve">8,23 $/kg N treated  </t>
  </si>
  <si>
    <t xml:space="preserve">6,94 $/kg N treated  </t>
  </si>
  <si>
    <t xml:space="preserve">6,45 $/kg N treated  </t>
  </si>
  <si>
    <t xml:space="preserve">6,89 $/kg N treated  </t>
  </si>
  <si>
    <t xml:space="preserve">12,25 $/kg N treated  </t>
  </si>
  <si>
    <t xml:space="preserve">8,80 $/kg N treated  </t>
  </si>
  <si>
    <t xml:space="preserve">6,37 $/kg N treated  </t>
  </si>
  <si>
    <t xml:space="preserve">6,68 $/kg N treated  </t>
  </si>
  <si>
    <t xml:space="preserve">10,96 $/kg N treated  </t>
  </si>
  <si>
    <t xml:space="preserve">7,72 $/kg N treated  </t>
  </si>
  <si>
    <t xml:space="preserve">6,12 $/kg N treated  </t>
  </si>
  <si>
    <t xml:space="preserve">5,73 $/kg N treated  </t>
  </si>
  <si>
    <t>Initial TAN = 3810 mg/L
Liquid volume = 250 L
Time = 2.2 h
pH = 10.00
Temperature = 22.85 °C</t>
  </si>
  <si>
    <t xml:space="preserve">16,39 $/kg N treated  </t>
  </si>
  <si>
    <t>Initial TAN = 3810 mg/L
Liquid volume = 250 L
Time = 2.2 h
pH = 10.00
Temperature = 29.85 °C</t>
  </si>
  <si>
    <t xml:space="preserve">15,73 $/kg N treated  </t>
  </si>
  <si>
    <t>Initial TAN = 3810 mg/L
Liquid volume = 250 L
Time = 2.2 h
pH = 10.00
Temperature = 39.85 °C</t>
  </si>
  <si>
    <t xml:space="preserve">16,81 $/kg N treated  </t>
  </si>
  <si>
    <t>Initial TAN = 3810 mg/L
Liquid volume = 250 L
Time = 2.2 h
pH = 10.00
Temperature = 49.85 °C</t>
  </si>
  <si>
    <t xml:space="preserve">16,09 $/kg N treated  </t>
  </si>
  <si>
    <t>Initial TAN = 3810 mg/L
Liquid volume = 250 L
Time = 2.2 h
pH = 10.00
Temperature = 59.85 °C</t>
  </si>
  <si>
    <t xml:space="preserve">16,33 $/kg N treated  </t>
  </si>
  <si>
    <t xml:space="preserve">11,79 $/kg N treated  </t>
  </si>
  <si>
    <t xml:space="preserve">10,80 $/kg N treated  </t>
  </si>
  <si>
    <t xml:space="preserve">11,06 $/kg N treated  </t>
  </si>
  <si>
    <t xml:space="preserve">10,77 $/kg N treated  </t>
  </si>
  <si>
    <t xml:space="preserve">11,22 $/kg N treated  </t>
  </si>
  <si>
    <t xml:space="preserve">8,90 $/kg N treated  </t>
  </si>
  <si>
    <t xml:space="preserve">7,89 $/kg N treated  </t>
  </si>
  <si>
    <t xml:space="preserve">8,00 $/kg N treated  </t>
  </si>
  <si>
    <t xml:space="preserve">8,02 $/kg N treated  </t>
  </si>
  <si>
    <t xml:space="preserve">8,56 $/kg N treated  </t>
  </si>
  <si>
    <t xml:space="preserve">8,35 $/kg N treated  </t>
  </si>
  <si>
    <t xml:space="preserve">7,15 $/kg N treated  </t>
  </si>
  <si>
    <t xml:space="preserve">7,02 $/kg N treated  </t>
  </si>
  <si>
    <t xml:space="preserve">7,13 $/kg N treated  </t>
  </si>
  <si>
    <t xml:space="preserve">7,73 $/kg N treated  </t>
  </si>
  <si>
    <t xml:space="preserve">8,93 $/kg N treated  </t>
  </si>
  <si>
    <t xml:space="preserve">6,91 $/kg N treated  </t>
  </si>
  <si>
    <t xml:space="preserve">6,90 $/kg N treated  </t>
  </si>
  <si>
    <t xml:space="preserve">7,40 $/kg N treated  </t>
  </si>
  <si>
    <t xml:space="preserve">9,82 $/kg N treated  </t>
  </si>
  <si>
    <t xml:space="preserve">7,68 $/kg N treated  </t>
  </si>
  <si>
    <t xml:space="preserve">7,04 $/kg N treated  </t>
  </si>
  <si>
    <t xml:space="preserve">6,80 $/kg N treated  </t>
  </si>
  <si>
    <t xml:space="preserve">7,27 $/kg N treated  </t>
  </si>
  <si>
    <t xml:space="preserve">9,00 $/kg N treated  </t>
  </si>
  <si>
    <t xml:space="preserve">7,10 $/kg N treated  </t>
  </si>
  <si>
    <t xml:space="preserve">6,38 $/kg N treated </t>
  </si>
  <si>
    <t>Life cycle assessment and techno-economic analysis of nitrogen recovery by ammonia air-stripping from wastewater treatment</t>
    <phoneticPr fontId="1" type="noConversion"/>
  </si>
  <si>
    <t>Initial TAN=625 mg/L, temperature=65-70, Efficiency= 91%  In 2020</t>
  </si>
  <si>
    <t>$31.3 million</t>
  </si>
  <si>
    <t xml:space="preserve">$26.4 million </t>
  </si>
  <si>
    <t>(NH4)2SO4 (100 % w/w)</t>
  </si>
  <si>
    <t>$0.046 break even selling price</t>
  </si>
  <si>
    <t>Direct nitrogen stripping and upcycling from anaerobic digestate during conversion of cheese whey into single cell protein</t>
    <phoneticPr fontId="1" type="noConversion"/>
  </si>
  <si>
    <t>Liquid volume= 0,5 L, Gas flow rate= 0,7-1,3 vvm 2 A:D ratio (vvm)</t>
  </si>
  <si>
    <t>4.93–7.25 $ kg/N</t>
  </si>
  <si>
    <t>Initial TAN=50mg/L
 Liquid volume=0,1 L
 Liquid flow= 30 L/h
 Gas flow= 550L/h
 Temperature=20</t>
  </si>
  <si>
    <t>0.174 $/kWh</t>
  </si>
  <si>
    <t>0.696 $/L</t>
  </si>
  <si>
    <t xml:space="preserve">11.09 $/m³ LL  </t>
  </si>
  <si>
    <t>0.232 $/L</t>
  </si>
  <si>
    <t xml:space="preserve">15.86 $/m³ LL  </t>
  </si>
  <si>
    <t xml:space="preserve">19.60 $/m³ LL  </t>
  </si>
  <si>
    <t xml:space="preserve">22.69 $/m³ LL  </t>
  </si>
  <si>
    <t xml:space="preserve">24.49 $/m³ LL  </t>
  </si>
  <si>
    <t xml:space="preserve">26.55 $/m³ LL  </t>
  </si>
  <si>
    <t xml:space="preserve">28.09 $/m³ LL  </t>
  </si>
  <si>
    <t xml:space="preserve">29.65 $/m³ LL  </t>
  </si>
  <si>
    <t xml:space="preserve">31.47 $/m³ LL  </t>
  </si>
  <si>
    <t xml:space="preserve">33.00 $/m³ LL  </t>
  </si>
  <si>
    <t>34.93 $/m³ LL</t>
  </si>
  <si>
    <t>Combined ammonia recovery and solid oxide fuel cell use at wastewater treatment plants for energy and greenhouse gas emission improvements</t>
    <phoneticPr fontId="1" type="noConversion"/>
  </si>
  <si>
    <t>$0.1344/ kW electricity</t>
  </si>
  <si>
    <t>Techno-economic analysis of nutrient recovery from urine: Centralized treatment of hydrolyzed urine vs. decentralized treatment of fresh urine</t>
    <phoneticPr fontId="1" type="noConversion"/>
  </si>
  <si>
    <t>Hydrolyzed  urine
 pH=8.9
TAN=3527.5 mg/L
Liquid flow rate=15.3 m3/day
time=24h
Temperature=60</t>
  </si>
  <si>
    <t>$0.0533/kWh</t>
  </si>
  <si>
    <t xml:space="preserve">1.707 $/kg </t>
  </si>
  <si>
    <t>4 % of CAPEX</t>
  </si>
  <si>
    <t>3.56% of CAPEX of Land, rent, insurance, labour ( and $0.5/kg of biochar)</t>
  </si>
  <si>
    <t>303290 CAD/year</t>
  </si>
  <si>
    <t>2927600 CAD</t>
  </si>
  <si>
    <t>(NH4)2SO4
K-enriched chabazite
Urea-enriched biochar</t>
  </si>
  <si>
    <t>$0.374/kg
$1.69/kg
$0.60/kg</t>
  </si>
  <si>
    <t>62,690 CAD/year
71,520 CAD/year with energy savings</t>
  </si>
  <si>
    <t>Fresh urine
pH=6.6
TAN=180.6 mg/L
Static
time=24h 
Temperature=60</t>
  </si>
  <si>
    <t xml:space="preserve">2.207 $/kg </t>
  </si>
  <si>
    <t>440000 CAD/year</t>
  </si>
  <si>
    <t>2278200 CAD</t>
  </si>
  <si>
    <t>158,630 CAD/year
170,560 CAD/year with energy savings</t>
  </si>
  <si>
    <t>feed flow rate of 20,000 kg/hr
 an air flow rate of 40,000 kg/hr
NaOH=150 kg/hr
temperature=60
 pressure= 1.5 bar
pH = 10
NPV over a 15-year project lifespan</t>
  </si>
  <si>
    <t xml:space="preserve">564430 $/year </t>
  </si>
  <si>
    <t>9000 $</t>
  </si>
  <si>
    <t>342630 $/year</t>
  </si>
  <si>
    <t>300000 $</t>
  </si>
  <si>
    <t xml:space="preserve">392,040 USD/year
NPV=122,924 USD </t>
  </si>
  <si>
    <t>Initial TAN=3655.4 g/kg
Liquid flow rate = 7.18 L/h 
Temperature = 6 °C 
pH = 8.5 
Gas flow rate = 1440 m³/h 
Efficiency = 67%</t>
  </si>
  <si>
    <t>0.3898 $/kg N</t>
  </si>
  <si>
    <t>Initial TAN=3273,2 mg/L
Liquid flow rate=7.18L/h
Temperature=50
pH=8.5
Gas flow rate=1440 m3/h
Efficiency=56%</t>
  </si>
  <si>
    <t>0.46284 $/ton</t>
  </si>
  <si>
    <t>0.232 $/t</t>
  </si>
  <si>
    <t>0.27144 $/ton  (for non-heating)</t>
  </si>
  <si>
    <t xml:space="preserve">2.088 $ t -1 LF  manure or 0.812 $ t -1 raw manure </t>
  </si>
  <si>
    <t>261000$</t>
  </si>
  <si>
    <t xml:space="preserve">NH₄NO₃ </t>
  </si>
  <si>
    <t xml:space="preserve">Initial TAN=3,3 ± 0,49 g/kg
Liquid volume=1020,41L
Time=1h
Temperature=25
pH=8.5
</t>
  </si>
  <si>
    <t>0.10 € kWh-1</t>
  </si>
  <si>
    <t>232 $/t</t>
  </si>
  <si>
    <t>1.4% CAPEX</t>
  </si>
  <si>
    <t>2.5% CAPEX</t>
  </si>
  <si>
    <t>290000 $</t>
  </si>
  <si>
    <t xml:space="preserve"> 27 kg of 21% AN solution/t swine wastewater</t>
  </si>
  <si>
    <t>NH₄NO₃</t>
  </si>
  <si>
    <t>754–870 $ t-1 N</t>
  </si>
  <si>
    <t>Environmental and Economic Impacts of Managing Nutrients in Digestate Derived from Sewage Sludge and High-Strength Organic Waste</t>
    <phoneticPr fontId="1" type="noConversion"/>
  </si>
  <si>
    <t>Air Stripping  
Initial TAN= 4500 kg/day
Liquid flow rate= 189000–208000 m³/d
Temperature=25
pH=11
(2020 dollars for all calculations)</t>
  </si>
  <si>
    <t>$5,45M</t>
  </si>
  <si>
    <t>Negligible</t>
  </si>
  <si>
    <t xml:space="preserve">0.24 $/kg </t>
  </si>
  <si>
    <t>NPV=$95M</t>
  </si>
  <si>
    <t>Thermal  Stripping
Initial TAN= 4500 kg/day
Liquid flow rate= 189000–208000 m³/d
Temperature=70-90
pH=11
(2020 dollars for all calculations)</t>
  </si>
  <si>
    <t>$5M</t>
  </si>
  <si>
    <t>$44,1M</t>
  </si>
  <si>
    <t>NPV=$150M</t>
  </si>
  <si>
    <t>Recovery of Clean Water and Ammonia from Domestic Wastewater: Impacts on Embodied Energy and Greenhouse Gas Emissions</t>
    <phoneticPr fontId="1" type="noConversion"/>
  </si>
  <si>
    <t>Transformation of Liquid Digestate from the Solid-Separated Biogas Digestion Reactor Effluent into a Solid NH4HCO3 Fertilizer: Sustainable Process Engineering and Life Cycle Assessment</t>
    <phoneticPr fontId="1" type="noConversion"/>
  </si>
  <si>
    <t xml:space="preserve">Liquid flow rate= 30000 L/h
Time=9 h
pH=7.86 without NaOh
pH=9 with NaOH
</t>
  </si>
  <si>
    <t xml:space="preserve"> 8,188 $M/y with 0.06 $/kWh</t>
  </si>
  <si>
    <t>30 $/tonne</t>
  </si>
  <si>
    <t>low pressure steam 7.78 $/GJ
cooling water 0.354 $/GJ
defoaming agent 3000 $/tonne</t>
  </si>
  <si>
    <t>8,199 $M</t>
  </si>
  <si>
    <t>250 $/tonne</t>
  </si>
  <si>
    <t>Simultaneous regeneration of exhausted zeolite and nitrogen recovery using an air stripping method at alkaline pH</t>
    <phoneticPr fontId="1" type="noConversion"/>
  </si>
  <si>
    <t xml:space="preserve">Initial TAN=297.60 ± 2.39 mg/L
Liquid volume=1L
Gas flow rate=0.48 m3 h−1 L−1
Time=3h
Temperature=40
pH=changing
</t>
  </si>
  <si>
    <t>7.92 $ kg−1 NH4  +-Nremoved with 0.1 $ kw−1 h−1 market price</t>
  </si>
  <si>
    <t>9.44 $ kg−1 NH4  +Nremoved</t>
  </si>
  <si>
    <t>N7A</t>
  </si>
  <si>
    <t>Struvite</t>
  </si>
  <si>
    <t>4.5 $ kg−1 NH4  +-Nremoved</t>
  </si>
  <si>
    <t>4.94 $ kg−1 NH4 +-Nremoved (final cost after profit )</t>
  </si>
  <si>
    <t>feed flow rate=10,000 m3/d
Initial TAN= 30 mg/L
RE of exhausted zeolite= 85%</t>
  </si>
  <si>
    <t>2125 $/year with $0.13–0.18/kWhr</t>
  </si>
  <si>
    <t>167400 $/year</t>
  </si>
  <si>
    <t>42 ton</t>
  </si>
  <si>
    <t>Treatment of High Ammonium–Nitrogen Wastewater from Composting Facilities by Air Stripping and Catalytic Oxidation</t>
    <phoneticPr fontId="1" type="noConversion"/>
  </si>
  <si>
    <t>Heating with oil (per kg  NH4-N loading) with 0.06EUR/kWh</t>
  </si>
  <si>
    <t>2.784 $/kg NH4–N loading  with 0.0986 $/kWh (same for every row)</t>
  </si>
  <si>
    <t xml:space="preserve">1.972 $/kg NH4–N loading </t>
  </si>
  <si>
    <t>1.508 $/kg NH4–N or 104.4 $/batch</t>
  </si>
  <si>
    <t xml:space="preserve"> $ 1.856–3.48/kg N removed</t>
  </si>
  <si>
    <t xml:space="preserve">$ 145000 or $ 0.464/kg N  </t>
  </si>
  <si>
    <t>Heating  oil (batch)</t>
  </si>
  <si>
    <t>194.88 $/batch</t>
  </si>
  <si>
    <t xml:space="preserve"> 138.04 $/batch</t>
  </si>
  <si>
    <t>Heating with biogas (per kg NH4-N loading) with 0.012 EUR/kWh</t>
  </si>
  <si>
    <t>2.784 $/kg NH4–N loading</t>
  </si>
  <si>
    <t xml:space="preserve">0.348 $/kg NH4–N loading </t>
  </si>
  <si>
    <t>Heating with biogas( batch)</t>
  </si>
  <si>
    <t xml:space="preserve">  194.88 $/batch</t>
  </si>
  <si>
    <t>23.2 $/batch</t>
  </si>
  <si>
    <t>Total (per kg NH4-N loading) Heating with oil</t>
  </si>
  <si>
    <t>4.292 $/kg NH4–N loading</t>
  </si>
  <si>
    <t xml:space="preserve">3.48 $/kg NH4–N loading </t>
  </si>
  <si>
    <t>Total (batch)  Heating with oil</t>
  </si>
  <si>
    <t>242.44 $/batch</t>
  </si>
  <si>
    <t>Total (per kg NH4-N loading) Heating biogas</t>
  </si>
  <si>
    <t>299.28 $/batch</t>
  </si>
  <si>
    <t xml:space="preserve">1.856 $/kg NH4–N loading </t>
  </si>
  <si>
    <t>Total (batch)  Heating biogas</t>
  </si>
  <si>
    <t>127.6 $/batch</t>
  </si>
  <si>
    <t>Operational costs (heating oil)</t>
  </si>
  <si>
    <t>7.4 EUR/m3 wastewater</t>
  </si>
  <si>
    <t>6.0  EUR/m3 wastewater</t>
  </si>
  <si>
    <t>Operational costs (heating with biogas)</t>
  </si>
  <si>
    <t>3.1 EUR/m3 wastewater</t>
  </si>
  <si>
    <t>Ammonia stripping from MSW landfill leachate in  bubble reactors: process modeling and optimization</t>
    <phoneticPr fontId="1" type="noConversion"/>
  </si>
  <si>
    <t>0.0888–0.217 $/m³ leachate with 0.106 $/kWh for electricity</t>
  </si>
  <si>
    <t>0.253–0.765 $/m³ leachate</t>
  </si>
  <si>
    <t>For blowers: 0.038–2.29 $/m³ leachate</t>
  </si>
  <si>
    <t>4.23 $/m³ leachate</t>
  </si>
  <si>
    <t>0.88 $/m³ leachate</t>
  </si>
  <si>
    <t>0.82 $/m³ leachate</t>
  </si>
  <si>
    <t>4.35 $/m³ leachate</t>
  </si>
  <si>
    <t>0.41 $/m³ leachate</t>
  </si>
  <si>
    <t>4.29 $/m³ leachate</t>
  </si>
  <si>
    <t>0.35 $/m³ leachate</t>
  </si>
  <si>
    <t>2.47 $/m³ leachate</t>
  </si>
  <si>
    <t>0.24 $/m³ leachate</t>
  </si>
  <si>
    <t>2.53 $/m³ leachate</t>
  </si>
  <si>
    <t>0.29 $/m³ leachate</t>
  </si>
  <si>
    <t>5.00 $/m³ leachate</t>
  </si>
  <si>
    <t>4.88 $/m³ leachate</t>
  </si>
  <si>
    <t>2.59 $/m³ leachate</t>
  </si>
  <si>
    <t>2.35 $/m³ leachate</t>
  </si>
  <si>
    <t>5.94 $/m³ leachate</t>
  </si>
  <si>
    <t>5.59 $/m³ leachate</t>
  </si>
  <si>
    <t>7.23 $/m³ leachate</t>
  </si>
  <si>
    <t>1.47 $/m³ leachate</t>
  </si>
  <si>
    <t>7.12 $/m³ leachate</t>
  </si>
  <si>
    <t>1.24 $/m³ leachate</t>
  </si>
  <si>
    <t>5.41 $/m³ leachate</t>
  </si>
  <si>
    <t>0.59 $/m³ leachate</t>
  </si>
  <si>
    <t>0.53 $/m³ leachate</t>
  </si>
  <si>
    <t>3.88 $/m³ leachate</t>
  </si>
  <si>
    <t>0.47 $/m³ leachate</t>
  </si>
  <si>
    <t>3.94 $/m³ leachate</t>
  </si>
  <si>
    <t>5.88 $/m³ leachate</t>
  </si>
  <si>
    <t>5.70 $/m³ leachate</t>
  </si>
  <si>
    <t>3.53 $/m³ leachate</t>
  </si>
  <si>
    <t>3.29 $/m³ leachate</t>
  </si>
  <si>
    <t>6.59 $/m³ leachate</t>
  </si>
  <si>
    <t>6.47 $/m³ leachate</t>
  </si>
  <si>
    <t>6.94 $/m³ leachate</t>
  </si>
  <si>
    <t>6.88 $/m³ leachate</t>
  </si>
  <si>
    <t>0.71 $/m³ leachate</t>
  </si>
  <si>
    <t>0.65 $/m³ leachate</t>
  </si>
  <si>
    <t>7.00 $/m³ leachate</t>
  </si>
  <si>
    <t>6.82 $/m³ leachate</t>
  </si>
  <si>
    <t>9.17 $/m³ leachate</t>
  </si>
  <si>
    <t>9.12 $/m³ leachate</t>
  </si>
  <si>
    <t>1.18 $/m³ leachate</t>
  </si>
  <si>
    <t>10.29 $/m³ leachate</t>
  </si>
  <si>
    <t>10.24 $/m³ leachate</t>
  </si>
  <si>
    <t>0.76 $/m³ leachate</t>
  </si>
  <si>
    <t>9.65 $/m³ leachate</t>
  </si>
  <si>
    <t>9.53 $/m³ leachate</t>
  </si>
  <si>
    <t>7.65 $/m³ leachate</t>
  </si>
  <si>
    <t>7.82 $/m³ leachate</t>
  </si>
  <si>
    <t>10.41 $/m³ leachate</t>
  </si>
  <si>
    <t>9.82 $/m³ leachate</t>
  </si>
  <si>
    <t>Nitrogen and Phosphorus Harvesting from Human Urine Using a Stripping, Absorption, and Precipitation Process</t>
    <phoneticPr fontId="1" type="noConversion"/>
  </si>
  <si>
    <t xml:space="preserve">Liquid volume =1 m3 
Initial TAN=4.5 kg of NH4-N </t>
  </si>
  <si>
    <t>1.276$</t>
  </si>
  <si>
    <t>11.02$</t>
  </si>
  <si>
    <t xml:space="preserve">25.2 kg </t>
  </si>
  <si>
    <t>NH4)2(SO4) + H(NH4)3(SO4)2 mixture  (13% N)</t>
  </si>
  <si>
    <t>8.468 $ ($534.76/ton of (NH4)2SO4 of 21% N)</t>
  </si>
  <si>
    <t>2.61 $(Profit)</t>
  </si>
  <si>
    <t>/</t>
  </si>
  <si>
    <t>CaCO3 + P</t>
  </si>
  <si>
    <t>5.162$($1581.08/ton of phosphate, USDA 2013), ($156.6/ton of 36% Ca, Nordkalk)</t>
  </si>
  <si>
    <t>Initial TAN=2600mg/L
Liquid flow rate= 4250 L/h
pH&gt;9.5
Residence TAN=1800 mg/L</t>
  </si>
  <si>
    <t xml:space="preserve"> 40 kW working 24 h per day (specific cost is  1.2296 $/m3</t>
  </si>
  <si>
    <t>1.74 $/m3</t>
  </si>
  <si>
    <t>0.348 $/m3</t>
  </si>
  <si>
    <t>870000$ ( treating 100 m3/d gives a 1.8328 $/m3 ammortisation for 10 years)</t>
  </si>
  <si>
    <t>Nitrogen removal from digester supernatant - comparison of chemical and biological methods</t>
    <phoneticPr fontId="1" type="noConversion"/>
  </si>
  <si>
    <t>1 CFH = 1.10 USD
Liquid flow rate= 150-300 L/h
Removal efficiency=90%
Removed TAN=60 tN/year
(interest rate 6% for repayment period)</t>
  </si>
  <si>
    <t>7.26 $/kg N</t>
  </si>
  <si>
    <t>7.92 $/kg N</t>
  </si>
  <si>
    <t xml:space="preserve">Repayment for investment is 15 y for mechanical equipment and 30y for concrete </t>
  </si>
  <si>
    <t>Rashing rings
Initial TAN=150 mg/L
Liquid flow=50000L/h
Gas flow rate=80 % G/Gl
Temperature=varying
pH=11
Working time= 8760 h/y</t>
  </si>
  <si>
    <t>0,05 $/kWh</t>
  </si>
  <si>
    <t>0.52 $/kg</t>
  </si>
  <si>
    <t>0,015 $/kg</t>
  </si>
  <si>
    <t xml:space="preserve"> 1073 $/m3</t>
  </si>
  <si>
    <t>Berl saddles
Initial TAN=150 mg/L
Liquid flow=50000L/h
Gas flow rate=80 % G/Gl
Temperature=varying
pH=11
Working time= 8760 h/y</t>
  </si>
  <si>
    <t>444$/m3</t>
  </si>
  <si>
    <t>Berl saddles
Initial TAN=150 mg/L
Liquid flow=50000L/h
Gas flow rate=80 % G/Gl
Temperature=40
pH=11
Working time= 8760 h/y</t>
  </si>
  <si>
    <t xml:space="preserve"> overall treatment 142361 $/y</t>
  </si>
  <si>
    <t>320698 $</t>
  </si>
  <si>
    <t>Berl saddles
Initial TAN=150 mg/L
Liquid flow=50000L/h
Gas flow rate=80 % G/Gl
Temperature=80
pH=11
Working time= 8760 h/y</t>
  </si>
  <si>
    <t>overall treatment 89930 $/y</t>
  </si>
  <si>
    <t>137558 $</t>
  </si>
  <si>
    <t>Efficient treatment of aged landfill leachate containing high ammonia nitrogen concentration using dynamic wave stripping: Insights into influencing factors and kinetic mechanism</t>
    <phoneticPr fontId="1" type="noConversion"/>
  </si>
  <si>
    <t>Investigation of ammonia stripping with a hydrodynamic cavitation reactor</t>
    <phoneticPr fontId="1" type="noConversion"/>
  </si>
  <si>
    <t>Removal of ammonia nitrogen in wastewater by microwave radiation: A pilot-scale study</t>
    <phoneticPr fontId="1" type="noConversion"/>
  </si>
  <si>
    <t>Repeatedly using the decomposition product of struvite by ultrasound stripping to remove ammonia nitrogen from landfill leachate</t>
    <phoneticPr fontId="1" type="noConversion"/>
  </si>
  <si>
    <t>OPEX and Maintenance</t>
    <phoneticPr fontId="1" type="noConversion"/>
  </si>
  <si>
    <t>Other equipment costs</t>
    <phoneticPr fontId="1" type="noConversion"/>
  </si>
  <si>
    <t>Membrane costs 
(include membrane replacement)</t>
    <phoneticPr fontId="1" type="noConversion"/>
  </si>
  <si>
    <t>IEMs</t>
    <phoneticPr fontId="1" type="noConversion"/>
  </si>
  <si>
    <t>Only energy consumption cost</t>
    <phoneticPr fontId="1" type="noConversion"/>
  </si>
  <si>
    <t>0.1- 0.06 $/kg N</t>
    <phoneticPr fontId="1" type="noConversion"/>
  </si>
  <si>
    <t>DD-EC process
Treatment of kitchen waste with 1224 mg L 1 NH4þ (68 mM) and  5 m3 d 1 wastewater, excluding the labor cost and potential environmental and ecological benefits.
Liquid digestate amount = 5 m3/d
Lifespan = 20 years
Interest rate = 5%
Membrane replacement = 10%/year
Feed NH4+ concentration = 840 mg/L
NH4+ flux = 98 gN/m2/d
Ammonium recovery efficiency = 80%</t>
    <phoneticPr fontId="1" type="noConversion"/>
  </si>
  <si>
    <t>1,226.4 kg N/year</t>
    <phoneticPr fontId="1" type="noConversion"/>
  </si>
  <si>
    <t>Ammonium sulfate</t>
    <phoneticPr fontId="1" type="noConversion"/>
  </si>
  <si>
    <t>$3323.5/year</t>
    <phoneticPr fontId="1" type="noConversion"/>
  </si>
  <si>
    <t>$1358/year</t>
    <phoneticPr fontId="1" type="noConversion"/>
  </si>
  <si>
    <t>Long-Term Robustness and Failure Mechanisms of Electrochemical Stripping for Wastewater Ammonia Recovery</t>
    <phoneticPr fontId="1" type="noConversion"/>
  </si>
  <si>
    <t>Lab scale
Lifespan = 20 years</t>
    <phoneticPr fontId="1" type="noConversion"/>
  </si>
  <si>
    <t>Ammonium sulfate(21g/L N)</t>
    <phoneticPr fontId="1" type="noConversion"/>
  </si>
  <si>
    <t>Prototyping and modelling a photovoltaic-thermal electrochemical stripping system for distributed urine nitrogen recovery</t>
    <phoneticPr fontId="1" type="noConversion"/>
  </si>
  <si>
    <t>Lab scale, controlled PV electricity, Palo Alto, summer</t>
    <phoneticPr fontId="1" type="noConversion"/>
  </si>
  <si>
    <t>Fertilizer and electrity sales</t>
    <phoneticPr fontId="1" type="noConversion"/>
  </si>
  <si>
    <t>2.16 $/kg N</t>
    <phoneticPr fontId="1" type="noConversion"/>
  </si>
  <si>
    <t>Lab scale, controlled PV electricity, Palo Alto, winter</t>
    <phoneticPr fontId="1" type="noConversion"/>
  </si>
  <si>
    <t>1.14 $/kg N</t>
    <phoneticPr fontId="1" type="noConversion"/>
  </si>
  <si>
    <t>Lab scale, controlled PV electricity, Oklahoma City, summer</t>
    <phoneticPr fontId="1" type="noConversion"/>
  </si>
  <si>
    <t>2.18 $/kg N</t>
    <phoneticPr fontId="1" type="noConversion"/>
  </si>
  <si>
    <t>Lab scale, controlled PV electricity, Oklahoma City, winter</t>
    <phoneticPr fontId="1" type="noConversion"/>
  </si>
  <si>
    <t>1.54 $/kg N</t>
    <phoneticPr fontId="1" type="noConversion"/>
  </si>
  <si>
    <t>Lab scale, controlled PV electricity, Kampala, summer</t>
    <phoneticPr fontId="1" type="noConversion"/>
  </si>
  <si>
    <t>4.1 $/kg N</t>
    <phoneticPr fontId="1" type="noConversion"/>
  </si>
  <si>
    <t>Lab scale, controlled PV electricity, Kampala, winter</t>
    <phoneticPr fontId="1" type="noConversion"/>
  </si>
  <si>
    <t>4.13 $/kg N</t>
    <phoneticPr fontId="1" type="noConversion"/>
  </si>
  <si>
    <t>Simultaneous nitrogen and phosphorus recovery from municipal wastewater  by electrochemical pH modulation</t>
    <phoneticPr fontId="1" type="noConversion"/>
  </si>
  <si>
    <t>Excluding CEM costs</t>
    <phoneticPr fontId="1" type="noConversion"/>
  </si>
  <si>
    <t>4.56 $/kg N</t>
    <phoneticPr fontId="1" type="noConversion"/>
  </si>
  <si>
    <t>3.4 $/kg N</t>
    <phoneticPr fontId="1" type="noConversion"/>
  </si>
  <si>
    <t>ED</t>
    <phoneticPr fontId="1" type="noConversion"/>
  </si>
  <si>
    <t>constant current model</t>
    <phoneticPr fontId="1" type="noConversion"/>
  </si>
  <si>
    <t>2.23 $/kg N</t>
    <phoneticPr fontId="1" type="noConversion"/>
  </si>
  <si>
    <t>0.14 $/kg N</t>
    <phoneticPr fontId="1" type="noConversion"/>
  </si>
  <si>
    <t>0.09 $/kg N</t>
    <phoneticPr fontId="1" type="noConversion"/>
  </si>
  <si>
    <t>pH control model</t>
    <phoneticPr fontId="1" type="noConversion"/>
  </si>
  <si>
    <t>0.71 $/kg N</t>
    <phoneticPr fontId="1" type="noConversion"/>
  </si>
  <si>
    <t>0 $/kg N</t>
    <phoneticPr fontId="1" type="noConversion"/>
  </si>
  <si>
    <t>0.05 $/kg N</t>
    <phoneticPr fontId="1" type="noConversion"/>
  </si>
  <si>
    <t>Pulsed electric field drives chemical-free membrane stripping for high ammonia recovery from urine</t>
    <phoneticPr fontId="1" type="noConversion"/>
  </si>
  <si>
    <t>Chemical dose, the energy consumption for ammonia recovery and equipment construction were evaluated.</t>
    <phoneticPr fontId="1" type="noConversion"/>
  </si>
  <si>
    <t>4.8 $/kg N</t>
    <phoneticPr fontId="1" type="noConversion"/>
  </si>
  <si>
    <t>11.1 $/kg N</t>
    <phoneticPr fontId="1" type="noConversion"/>
  </si>
  <si>
    <t>1.46 $/kg N</t>
    <phoneticPr fontId="1" type="noConversion"/>
  </si>
  <si>
    <t>0.37 $/kg N</t>
    <phoneticPr fontId="1" type="noConversion"/>
  </si>
  <si>
    <t>0.000151 kg N</t>
    <phoneticPr fontId="1" type="noConversion"/>
  </si>
  <si>
    <t>Lab scale</t>
    <phoneticPr fontId="1" type="noConversion"/>
  </si>
  <si>
    <t xml:space="preserve">0.9 $/kg N </t>
    <phoneticPr fontId="1" type="noConversion"/>
  </si>
  <si>
    <t xml:space="preserve">0.88 $/kg N </t>
    <phoneticPr fontId="1" type="noConversion"/>
  </si>
  <si>
    <t>Absorption acid = H2SO4</t>
    <phoneticPr fontId="1" type="noConversion"/>
  </si>
  <si>
    <t xml:space="preserve">0.926 $/kg N </t>
    <phoneticPr fontId="1" type="noConversion"/>
  </si>
  <si>
    <t xml:space="preserve">1.184 $/kg N </t>
    <phoneticPr fontId="1" type="noConversion"/>
  </si>
  <si>
    <t xml:space="preserve">0.61 $/kg N </t>
    <phoneticPr fontId="1" type="noConversion"/>
  </si>
  <si>
    <t xml:space="preserve">1.4 $/kg N </t>
    <phoneticPr fontId="1" type="noConversion"/>
  </si>
  <si>
    <t>Absorption acid = H3PO4</t>
    <phoneticPr fontId="1" type="noConversion"/>
  </si>
  <si>
    <t xml:space="preserve">6.49 $/kg N </t>
    <phoneticPr fontId="1" type="noConversion"/>
  </si>
  <si>
    <t xml:space="preserve">1.27 $/kg N </t>
    <phoneticPr fontId="1" type="noConversion"/>
  </si>
  <si>
    <t xml:space="preserve">5.22 $/kg N </t>
    <phoneticPr fontId="1" type="noConversion"/>
  </si>
  <si>
    <t>2.4 $/kg N</t>
    <phoneticPr fontId="1" type="noConversion"/>
  </si>
  <si>
    <t>Absorption acid = HNO3</t>
    <phoneticPr fontId="1" type="noConversion"/>
  </si>
  <si>
    <t xml:space="preserve">2.42 $/kg N </t>
    <phoneticPr fontId="1" type="noConversion"/>
  </si>
  <si>
    <t xml:space="preserve">1.44 $/kg N </t>
    <phoneticPr fontId="1" type="noConversion"/>
  </si>
  <si>
    <t xml:space="preserve">1.01 $/kg N </t>
    <phoneticPr fontId="1" type="noConversion"/>
  </si>
  <si>
    <t>2.5 $/kg N</t>
    <phoneticPr fontId="1" type="noConversion"/>
  </si>
  <si>
    <t>Absorption acid = HCl</t>
    <phoneticPr fontId="1" type="noConversion"/>
  </si>
  <si>
    <t xml:space="preserve">0.67 $/kg N </t>
    <phoneticPr fontId="1" type="noConversion"/>
  </si>
  <si>
    <t xml:space="preserve">1.57  $/kg N </t>
    <phoneticPr fontId="1" type="noConversion"/>
  </si>
  <si>
    <t xml:space="preserve">0.44 $/kg N </t>
    <phoneticPr fontId="1" type="noConversion"/>
  </si>
  <si>
    <t>1.6 $/kg N</t>
    <phoneticPr fontId="1" type="noConversion"/>
  </si>
  <si>
    <t>Absorption acid = H2CO3</t>
    <phoneticPr fontId="1" type="noConversion"/>
  </si>
  <si>
    <t xml:space="preserve">-0.26 $/kg N  </t>
    <phoneticPr fontId="1" type="noConversion"/>
  </si>
  <si>
    <t xml:space="preserve">1.84 $/kg N  </t>
    <phoneticPr fontId="1" type="noConversion"/>
  </si>
  <si>
    <t xml:space="preserve">1.1 $/kg N </t>
    <phoneticPr fontId="1" type="noConversion"/>
  </si>
  <si>
    <t>0.3 $/kg N</t>
    <phoneticPr fontId="1" type="noConversion"/>
  </si>
  <si>
    <t>Absorption acid = H2O</t>
    <phoneticPr fontId="1" type="noConversion"/>
  </si>
  <si>
    <t xml:space="preserve">2.63 $/kg N </t>
    <phoneticPr fontId="1" type="noConversion"/>
  </si>
  <si>
    <t xml:space="preserve">4.96 $/kg N </t>
    <phoneticPr fontId="1" type="noConversion"/>
  </si>
  <si>
    <t xml:space="preserve"> -2.5 $/kg N</t>
    <phoneticPr fontId="1" type="noConversion"/>
  </si>
  <si>
    <t>Lifespan = 30 years
Interest rate = 6.33%
Labor &amp; maintenance included</t>
    <phoneticPr fontId="1" type="noConversion"/>
  </si>
  <si>
    <t xml:space="preserve">15.29 $/kg N  </t>
    <phoneticPr fontId="1" type="noConversion"/>
  </si>
  <si>
    <t xml:space="preserve">1.21 $/kg N  </t>
    <phoneticPr fontId="1" type="noConversion"/>
  </si>
  <si>
    <t xml:space="preserve">1.13 $/kg N  </t>
    <phoneticPr fontId="1" type="noConversion"/>
  </si>
  <si>
    <t xml:space="preserve">1.15 $/kg N  </t>
    <phoneticPr fontId="1" type="noConversion"/>
  </si>
  <si>
    <t xml:space="preserve">14.72 $/kg N  </t>
    <phoneticPr fontId="1" type="noConversion"/>
  </si>
  <si>
    <t>TAN(mg/L)</t>
    <phoneticPr fontId="1" type="noConversion"/>
  </si>
  <si>
    <t>Current Dsity(A/m2) (constant or peak)</t>
    <phoneticPr fontId="1" type="noConversion"/>
  </si>
  <si>
    <t>Constant voltage(V)</t>
    <phoneticPr fontId="1" type="noConversion"/>
  </si>
  <si>
    <t>Time(h)</t>
    <phoneticPr fontId="1" type="noConversion"/>
  </si>
  <si>
    <t>Temperature(℃)</t>
    <phoneticPr fontId="1" type="noConversion"/>
  </si>
  <si>
    <t>Ammonia removal efficiency</t>
    <phoneticPr fontId="1" type="noConversion"/>
  </si>
  <si>
    <t>Ammonia removal SEC(kwh/kg N)</t>
    <phoneticPr fontId="1" type="noConversion"/>
  </si>
  <si>
    <t>Ammonia recovery efficiency</t>
    <phoneticPr fontId="1" type="noConversion"/>
  </si>
  <si>
    <t>Ammonia recovery SEC(kwh/kg N)</t>
    <phoneticPr fontId="1" type="noConversion"/>
  </si>
  <si>
    <t>Ammonia recovery rate (g N/m2/d)</t>
    <phoneticPr fontId="1" type="noConversion"/>
  </si>
  <si>
    <t>Wastewater Type</t>
    <phoneticPr fontId="1" type="noConversion"/>
  </si>
  <si>
    <t>Electrochemical cell configuration</t>
    <phoneticPr fontId="1" type="noConversion"/>
  </si>
  <si>
    <t>Stripping unit type</t>
    <phoneticPr fontId="1" type="noConversion"/>
  </si>
  <si>
    <t>MEC</t>
    <phoneticPr fontId="1" type="noConversion"/>
  </si>
  <si>
    <t>Tartrate-EDTA-Fe-amended catholyte</t>
    <phoneticPr fontId="1" type="noConversion"/>
  </si>
  <si>
    <t>Electron mediator (EM) into the catholyte, only considered the energy consumption caused by catholyte recirculation</t>
    <phoneticPr fontId="1" type="noConversion"/>
  </si>
  <si>
    <t>NaCl catholyte-1A</t>
    <phoneticPr fontId="1" type="noConversion"/>
  </si>
  <si>
    <t>No Electron mediator (EM) into the catholyte</t>
    <phoneticPr fontId="1" type="noConversion"/>
  </si>
  <si>
    <t>without taking into account the energy required for pumping</t>
    <phoneticPr fontId="1" type="noConversion"/>
  </si>
  <si>
    <t>Real urine</t>
    <phoneticPr fontId="1" type="noConversion"/>
  </si>
  <si>
    <t>Urine</t>
    <phoneticPr fontId="1" type="noConversion"/>
  </si>
  <si>
    <t>Membrane contractor</t>
    <phoneticPr fontId="1" type="noConversion"/>
  </si>
  <si>
    <t>EC</t>
    <phoneticPr fontId="1" type="noConversion"/>
  </si>
  <si>
    <t>considering only the electrical energy input to the bioelectrochemical reactor</t>
    <phoneticPr fontId="1" type="noConversion"/>
  </si>
  <si>
    <t>synthetic</t>
    <phoneticPr fontId="1" type="noConversion"/>
  </si>
  <si>
    <t>Synthetic+Real</t>
    <phoneticPr fontId="1" type="noConversion"/>
  </si>
  <si>
    <t>Real reject water</t>
    <phoneticPr fontId="1" type="noConversion"/>
  </si>
  <si>
    <t>Bioelectrochemical extraction of ammonium from low-strength wastewater with concomitant generation of high-purity hydrogen</t>
    <phoneticPr fontId="1" type="noConversion"/>
  </si>
  <si>
    <t>2M NaOH added to anolyte</t>
    <phoneticPr fontId="1" type="noConversion"/>
  </si>
  <si>
    <t>Only recover ammonia</t>
    <phoneticPr fontId="1" type="noConversion"/>
  </si>
  <si>
    <t>Acid trap tank</t>
    <phoneticPr fontId="1" type="noConversion"/>
  </si>
  <si>
    <t>Development and optimization of a bioelectrochemical system for ammonium recovery from wastewater as fertilizer</t>
    <phoneticPr fontId="1" type="noConversion"/>
  </si>
  <si>
    <t xml:space="preserve"> cathode surface aeration was not  considered</t>
    <phoneticPr fontId="1" type="noConversion"/>
  </si>
  <si>
    <t xml:space="preserve"> cathode surface aeration was considered</t>
    <phoneticPr fontId="1" type="noConversion"/>
  </si>
  <si>
    <t>Biotic systems</t>
    <phoneticPr fontId="1" type="noConversion"/>
  </si>
  <si>
    <t>&lt; 4</t>
    <phoneticPr fontId="1" type="noConversion"/>
  </si>
  <si>
    <t>Abiotic setups</t>
    <phoneticPr fontId="1" type="noConversion"/>
  </si>
  <si>
    <t>Nickel-Based Membrane Electrodes Enable High-Rate Electrochemical Ammonia Recovery</t>
    <phoneticPr fontId="1" type="noConversion"/>
  </si>
  <si>
    <t>energy demand without considering H2 production</t>
    <phoneticPr fontId="1" type="noConversion"/>
  </si>
  <si>
    <t>Ni decorated membrane electrode in cathode chamber</t>
    <phoneticPr fontId="1" type="noConversion"/>
  </si>
  <si>
    <t>separated Ni foam and PP membrane</t>
    <phoneticPr fontId="1" type="noConversion"/>
  </si>
  <si>
    <t>Passive separation of recovered ammonia from catholyte for reduced energy consumption in microbial electrolysis cells</t>
    <phoneticPr fontId="1" type="noConversion"/>
  </si>
  <si>
    <t>cathode chamber in sute active aeration</t>
    <phoneticPr fontId="1" type="noConversion"/>
  </si>
  <si>
    <t>12.8mA</t>
    <phoneticPr fontId="1" type="noConversion"/>
  </si>
  <si>
    <t>passive separation with H2 roduction</t>
    <phoneticPr fontId="1" type="noConversion"/>
  </si>
  <si>
    <t>12.5mA</t>
    <phoneticPr fontId="1" type="noConversion"/>
  </si>
  <si>
    <t>Net energy consumption, with recovered hydrogen energy deducted</t>
    <phoneticPr fontId="1" type="noConversion"/>
  </si>
  <si>
    <t>24/cycle</t>
    <phoneticPr fontId="1" type="noConversion"/>
  </si>
  <si>
    <t>Recovering Nitrogen as a Solid without Chemical Dosing: Bio-Electroconcentration for Recovery of Nutrients from Urine</t>
  </si>
  <si>
    <t>MFC</t>
    <phoneticPr fontId="1" type="noConversion"/>
  </si>
  <si>
    <t>Salt concentration in the desalination chamber = 150 mM</t>
    <phoneticPr fontId="1" type="noConversion"/>
  </si>
  <si>
    <t>Salt concentration in the desalination chamber = 300 mM</t>
    <phoneticPr fontId="1" type="noConversion"/>
  </si>
  <si>
    <t>Salt concentration in the desalination chamber = 600 mM</t>
    <phoneticPr fontId="1" type="noConversion"/>
  </si>
  <si>
    <t>Classification</t>
  </si>
  <si>
    <t>Current Density(A/m2) (constant or peak)</t>
    <phoneticPr fontId="1" type="noConversion"/>
  </si>
  <si>
    <t>Constant voltage(V) (constant or peak)</t>
    <phoneticPr fontId="1" type="noConversion"/>
  </si>
  <si>
    <r>
      <t>Ammonia recovery efficiency</t>
    </r>
    <r>
      <rPr>
        <b/>
        <sz val="12"/>
        <color theme="1"/>
        <rFont val="SimSun"/>
        <family val="3"/>
        <charset val="134"/>
      </rPr>
      <t>（</t>
    </r>
    <r>
      <rPr>
        <b/>
        <sz val="12"/>
        <color theme="1"/>
        <rFont val="Times New Roman"/>
        <family val="1"/>
      </rPr>
      <t>stripper</t>
    </r>
    <r>
      <rPr>
        <b/>
        <sz val="12"/>
        <color theme="1"/>
        <rFont val="SimSun"/>
        <family val="3"/>
        <charset val="134"/>
      </rPr>
      <t>）</t>
    </r>
    <phoneticPr fontId="1" type="noConversion"/>
  </si>
  <si>
    <t>Ammonia recovery rate/nitrogen flux (g N/m2/d) EC</t>
    <phoneticPr fontId="1" type="noConversion"/>
  </si>
  <si>
    <t>Classification</t>
    <phoneticPr fontId="1" type="noConversion"/>
  </si>
  <si>
    <t>Ammonia concentration and recovery in an up-scaled electrochemical cell through screening of cation exchange membrane</t>
    <phoneticPr fontId="1" type="noConversion"/>
  </si>
  <si>
    <t>CSE- 2L acolyte volume - up scale 100L</t>
    <phoneticPr fontId="1" type="noConversion"/>
  </si>
  <si>
    <t>CSE- 0.5L acolyte volume</t>
    <phoneticPr fontId="1" type="noConversion"/>
  </si>
  <si>
    <t>CSE- 1L acolyte volume</t>
    <phoneticPr fontId="1" type="noConversion"/>
  </si>
  <si>
    <t>CSE- 2L acolyte volume</t>
  </si>
  <si>
    <t>Aquivion E98-15S - 0.12L acolyte volume</t>
    <phoneticPr fontId="1" type="noConversion"/>
  </si>
  <si>
    <t>Nafion 117 - 0.12L acolyte volume</t>
    <phoneticPr fontId="1" type="noConversion"/>
  </si>
  <si>
    <t>Nafion212 - 0.12L acolyte volume</t>
    <phoneticPr fontId="1" type="noConversion"/>
  </si>
  <si>
    <t>&lt;2.9</t>
  </si>
  <si>
    <t>InnoSep-C - 0.12L acolyte volume</t>
    <phoneticPr fontId="1" type="noConversion"/>
  </si>
  <si>
    <t>InnoSep-C102PF - 0.12L acolyte volume</t>
    <phoneticPr fontId="1" type="noConversion"/>
  </si>
  <si>
    <t>CSE - 0.12L acolyte volume</t>
    <phoneticPr fontId="1" type="noConversion"/>
  </si>
  <si>
    <t>CXP-S - 0.12L acolyte volume</t>
    <phoneticPr fontId="1" type="noConversion"/>
  </si>
  <si>
    <t>Ammonia Recovery from Domestic Wastewater Using a Proton-Mediated Redox Couple</t>
    <phoneticPr fontId="1" type="noConversion"/>
  </si>
  <si>
    <t>Not account pump energy, batch operation</t>
    <phoneticPr fontId="1" type="noConversion"/>
  </si>
  <si>
    <t xml:space="preserve">batch </t>
    <phoneticPr fontId="1" type="noConversion"/>
  </si>
  <si>
    <t>Membrane contractor</t>
  </si>
  <si>
    <t>5 h</t>
  </si>
  <si>
    <t>Continuous operation</t>
    <phoneticPr fontId="1" type="noConversion"/>
  </si>
  <si>
    <t>Real hydrolyzed urine</t>
    <phoneticPr fontId="1" type="noConversion"/>
  </si>
  <si>
    <t>Accumulation in fed-batch operation</t>
    <phoneticPr fontId="1" type="noConversion"/>
  </si>
  <si>
    <t>Real livestock wastewater</t>
    <phoneticPr fontId="1" type="noConversion"/>
  </si>
  <si>
    <t>Acid as absorbent-H2 and O2 energy deduction accounted</t>
    <phoneticPr fontId="1" type="noConversion"/>
  </si>
  <si>
    <t>HOB as absorbent</t>
    <phoneticPr fontId="1" type="noConversion"/>
  </si>
  <si>
    <t>HOB absorbent-H2 and O2 energy deduction accounted</t>
    <phoneticPr fontId="1" type="noConversion"/>
  </si>
  <si>
    <t>Real AD</t>
    <phoneticPr fontId="1" type="noConversion"/>
  </si>
  <si>
    <t>Anode flow rate = 0.5 L/d</t>
    <phoneticPr fontId="1" type="noConversion"/>
  </si>
  <si>
    <t>Real digestate</t>
    <phoneticPr fontId="1" type="noConversion"/>
  </si>
  <si>
    <t>Anode flow rate = 0.5 L/d</t>
  </si>
  <si>
    <t>32%-67%</t>
  </si>
  <si>
    <t>Anode flow rate =  8 L/d</t>
    <phoneticPr fontId="1" type="noConversion"/>
  </si>
  <si>
    <t>Anode flow rate = 16 L/d</t>
    <phoneticPr fontId="1" type="noConversion"/>
  </si>
  <si>
    <t>Electrochemical Stripping to Recover Nitrogen from Source-Separated Urine</t>
    <phoneticPr fontId="1" type="noConversion"/>
  </si>
  <si>
    <t>AS</t>
    <phoneticPr fontId="1" type="noConversion"/>
  </si>
  <si>
    <t>HRT=2.77</t>
  </si>
  <si>
    <t>HRT=2.82</t>
  </si>
  <si>
    <t>HRT=3.71</t>
  </si>
  <si>
    <t>HRT=4.06</t>
  </si>
  <si>
    <t>HRT=5.45</t>
  </si>
  <si>
    <t>HRT=6.25</t>
  </si>
  <si>
    <t>HRT=8.29</t>
  </si>
  <si>
    <t>HRT=12.37</t>
  </si>
  <si>
    <t>Real urine+normal stripper</t>
    <phoneticPr fontId="1" type="noConversion"/>
  </si>
  <si>
    <t>Real urine+ stripper with authigentic acid from anode</t>
    <phoneticPr fontId="1" type="noConversion"/>
  </si>
  <si>
    <t>EAS-WOE, biop</t>
    <phoneticPr fontId="1" type="noConversion"/>
  </si>
  <si>
    <t>Real swine manure biogas slurry</t>
    <phoneticPr fontId="1" type="noConversion"/>
  </si>
  <si>
    <r>
      <t>EAS-WE</t>
    </r>
    <r>
      <rPr>
        <sz val="12"/>
        <color theme="1"/>
        <rFont val="SimSun"/>
        <family val="3"/>
        <charset val="134"/>
      </rPr>
      <t>，</t>
    </r>
    <r>
      <rPr>
        <sz val="12"/>
        <color theme="1"/>
        <rFont val="Times New Roman"/>
        <family val="1"/>
      </rPr>
      <t>cathode fed</t>
    </r>
    <phoneticPr fontId="1" type="noConversion"/>
  </si>
  <si>
    <t>Flexible Electrochemical Stripping for Wastewater Ammonia Recovery with On-Demand Product Tunability</t>
    <phoneticPr fontId="1" type="noConversion"/>
  </si>
  <si>
    <t>Continuous</t>
    <phoneticPr fontId="1" type="noConversion"/>
  </si>
  <si>
    <r>
      <t>GDE ES, continuous operation</t>
    </r>
    <r>
      <rPr>
        <sz val="12"/>
        <color theme="1"/>
        <rFont val="SimSun"/>
        <family val="3"/>
        <charset val="134"/>
      </rPr>
      <t>，</t>
    </r>
    <r>
      <rPr>
        <sz val="12"/>
        <color theme="1"/>
        <rFont val="Times New Roman"/>
        <family val="1"/>
      </rPr>
      <t>air flow =20ml/min</t>
    </r>
    <phoneticPr fontId="1" type="noConversion"/>
  </si>
  <si>
    <t>First DD then ED 3 cycles</t>
    <phoneticPr fontId="1" type="noConversion"/>
  </si>
  <si>
    <t>Real anaerobic digestion effluent</t>
    <phoneticPr fontId="1" type="noConversion"/>
  </si>
  <si>
    <t>First DD then ED</t>
    <phoneticPr fontId="1" type="noConversion"/>
  </si>
  <si>
    <t>Real anaerobically digested sludge</t>
    <phoneticPr fontId="1" type="noConversion"/>
  </si>
  <si>
    <t>LN=0.22</t>
    <phoneticPr fontId="1" type="noConversion"/>
  </si>
  <si>
    <t>LN=0.45</t>
    <phoneticPr fontId="1" type="noConversion"/>
  </si>
  <si>
    <t>LN=1.2</t>
    <phoneticPr fontId="1" type="noConversion"/>
  </si>
  <si>
    <t>20-40 h</t>
  </si>
  <si>
    <t>LN=1.33</t>
    <phoneticPr fontId="1" type="noConversion"/>
  </si>
  <si>
    <t>LN=2.54</t>
    <phoneticPr fontId="1" type="noConversion"/>
  </si>
  <si>
    <t>LN=6.16</t>
    <phoneticPr fontId="1" type="noConversion"/>
  </si>
  <si>
    <t>LN=1.18</t>
    <phoneticPr fontId="1" type="noConversion"/>
  </si>
  <si>
    <t>LN=2.72</t>
    <phoneticPr fontId="1" type="noConversion"/>
  </si>
  <si>
    <t>LN=6.48</t>
    <phoneticPr fontId="1" type="noConversion"/>
  </si>
  <si>
    <t>Staged anaerobic fluidized MBR effluent</t>
    <phoneticPr fontId="1" type="noConversion"/>
  </si>
  <si>
    <t>Reverse osmosis concentrate from full advanced treatment of municipal wastewater</t>
    <phoneticPr fontId="1" type="noConversion"/>
  </si>
  <si>
    <t xml:space="preserve">Unmodieied urine </t>
    <phoneticPr fontId="1" type="noConversion"/>
  </si>
  <si>
    <t>ultraslow- flush urine</t>
    <phoneticPr fontId="1" type="noConversion"/>
  </si>
  <si>
    <t>standard-flush urine</t>
    <phoneticPr fontId="1" type="noConversion"/>
  </si>
  <si>
    <t>50% divalent amended</t>
    <phoneticPr fontId="1" type="noConversion"/>
  </si>
  <si>
    <t>100% divalent amended</t>
    <phoneticPr fontId="1" type="noConversion"/>
  </si>
  <si>
    <t>50% hydrolyzed urine</t>
    <phoneticPr fontId="1" type="noConversion"/>
  </si>
  <si>
    <t>100% hydrolyzed urine</t>
    <phoneticPr fontId="1" type="noConversion"/>
  </si>
  <si>
    <t>EC+MC</t>
    <phoneticPr fontId="1" type="noConversion"/>
  </si>
  <si>
    <t>EC+stripping column</t>
    <phoneticPr fontId="1" type="noConversion"/>
  </si>
  <si>
    <t>EC+stripping column+acid absorption</t>
    <phoneticPr fontId="1" type="noConversion"/>
  </si>
  <si>
    <t>outdoor trial 1  with hear transfer,a direct connection to the solar panel</t>
    <phoneticPr fontId="1" type="noConversion"/>
  </si>
  <si>
    <t>outdoor trial 2 without hear transfer,a direct connection to the solar panel</t>
    <phoneticPr fontId="1" type="noConversion"/>
  </si>
  <si>
    <t>outdoor trial 2 with hear transfer,a direct connection to the solar panel</t>
    <phoneticPr fontId="1" type="noConversion"/>
  </si>
  <si>
    <t>Solar Simulator – No heat transfer, direct connection</t>
    <phoneticPr fontId="1" type="noConversion"/>
  </si>
  <si>
    <t>Solar Simulator – Heat transfer, direct connection</t>
    <phoneticPr fontId="1" type="noConversion"/>
  </si>
  <si>
    <t>25-38.3</t>
  </si>
  <si>
    <t>Solar Simulator – No heat transfer, charge controllers</t>
    <phoneticPr fontId="1" type="noConversion"/>
  </si>
  <si>
    <t>Solar Simulator – Heat transfer, charge controllers</t>
    <phoneticPr fontId="1" type="noConversion"/>
  </si>
  <si>
    <t>Real livestock digestate</t>
    <phoneticPr fontId="1" type="noConversion"/>
  </si>
  <si>
    <t>ED concentrate</t>
    <phoneticPr fontId="1" type="noConversion"/>
  </si>
  <si>
    <t>Municipal primary effluent</t>
    <phoneticPr fontId="1" type="noConversion"/>
  </si>
  <si>
    <t>Two-compartment electrochemical cells separated by ion-exchange membranes (EC-IEM)</t>
    <phoneticPr fontId="1" type="noConversion"/>
  </si>
  <si>
    <t>Bio-electrochemical systems (BESs)</t>
    <phoneticPr fontId="1" type="noConversion"/>
  </si>
  <si>
    <t>Special condition</t>
  </si>
  <si>
    <t>Special condition</t>
    <phoneticPr fontId="1" type="noConversion"/>
  </si>
  <si>
    <t>Fecal sludge treatment plant (FSTP) effluen</t>
    <phoneticPr fontId="1" type="noConversion"/>
  </si>
  <si>
    <t>Wastewater type</t>
    <phoneticPr fontId="1" type="noConversion"/>
  </si>
  <si>
    <t>Current Density(A/m2) (constant or peak)</t>
  </si>
  <si>
    <t>Constant voltage(V) (constant or peak)</t>
  </si>
  <si>
    <t>Time(h)</t>
  </si>
  <si>
    <t>Temperature(℃)</t>
  </si>
  <si>
    <t xml:space="preserve">Ammonia removal efficiency </t>
  </si>
  <si>
    <t>Ammonia removal SEC(kwh/kg N)</t>
  </si>
  <si>
    <t>Ammonia recovery SEC(kwh/kg N)</t>
  </si>
  <si>
    <t>Ammonia recovery rate/nitrogen flux (g N/m2/d) EC</t>
  </si>
  <si>
    <t>&lt;3.2</t>
  </si>
  <si>
    <t>&lt;4</t>
  </si>
  <si>
    <t>&lt;2.6</t>
  </si>
  <si>
    <t>&lt;3.5</t>
  </si>
  <si>
    <t>&lt;4.4</t>
  </si>
  <si>
    <t>HRT =70min</t>
  </si>
  <si>
    <t>HRT =140min</t>
  </si>
  <si>
    <t>HRT =210min</t>
  </si>
  <si>
    <t>HRT =280min</t>
  </si>
  <si>
    <t>96h</t>
  </si>
  <si>
    <t>&lt;8.7</t>
  </si>
  <si>
    <t>HRT(anode) = 6，HRT(cathode)=9.6h</t>
  </si>
  <si>
    <t>80%-100%</t>
  </si>
  <si>
    <t>HRT(anode) = 6，HRT(cathode)=7h</t>
  </si>
  <si>
    <t>HRT=1.22h</t>
  </si>
  <si>
    <t>46.5%%</t>
  </si>
  <si>
    <t>&lt;10</t>
  </si>
  <si>
    <t>87.1%%</t>
  </si>
  <si>
    <t>11-24</t>
  </si>
  <si>
    <t>Ammonia removal efficiency (EC)/migration efficiency(EC)</t>
    <phoneticPr fontId="1" type="noConversion"/>
  </si>
  <si>
    <t>Real</t>
  </si>
  <si>
    <t>Electrodes and GPM Position 2</t>
  </si>
  <si>
    <t>Electrodes and GPM Position 3</t>
  </si>
  <si>
    <t>Electrodes and GPM Position 4</t>
  </si>
  <si>
    <t>constant current (CC)</t>
  </si>
  <si>
    <t>bipolar membrane electrodialysis (BPMC)，pH=9.5</t>
  </si>
  <si>
    <t>Vacuum stripping</t>
    <phoneticPr fontId="1" type="noConversion"/>
  </si>
  <si>
    <t>sweep gas flow rate = 0.5 L/min, vacuum pressure =900 bar</t>
    <phoneticPr fontId="1" type="noConversion"/>
  </si>
  <si>
    <t>sweep gas flow rate = 1 L/min, vacuum pressure =900 bar</t>
    <phoneticPr fontId="1" type="noConversion"/>
  </si>
  <si>
    <t>sweep gas flow rate = 2 L/min, vacuum pressure =900 bar</t>
    <phoneticPr fontId="1" type="noConversion"/>
  </si>
  <si>
    <t>sweep gas flow rate = 0.5 L/min, vacuum pressure =700 bar</t>
    <phoneticPr fontId="1" type="noConversion"/>
  </si>
  <si>
    <t>sweep gas flow rate = 1 L/min, vacuum pressure =700 bar</t>
    <phoneticPr fontId="1" type="noConversion"/>
  </si>
  <si>
    <t>sweep gas flow rate = 2 L/min, vacuum pressure =700 bar</t>
    <phoneticPr fontId="1" type="noConversion"/>
  </si>
  <si>
    <t>sweep gas flow rate = 0.5 L/min, vacuum pressure =500 bar</t>
    <phoneticPr fontId="1" type="noConversion"/>
  </si>
  <si>
    <t>sweep gas flow rate = 1 L/min, vacuum pressure =500 bar</t>
    <phoneticPr fontId="1" type="noConversion"/>
  </si>
  <si>
    <t>sweep gas flow rate = 2 L/min, vacuum pressure =500 bar</t>
    <phoneticPr fontId="1" type="noConversion"/>
  </si>
  <si>
    <t xml:space="preserve">Electrodialysis cells </t>
    <phoneticPr fontId="1" type="noConversion"/>
  </si>
  <si>
    <t>Ammonia removal efficiency (EC)/migration efficiency(EC)</t>
  </si>
  <si>
    <t>Ammonia recovery efficiency（stripper）</t>
  </si>
  <si>
    <t>Electrochemical cell configuration</t>
  </si>
  <si>
    <t>Stripping unit type</t>
  </si>
  <si>
    <t>4 pairs of AEM+CEM stack</t>
  </si>
  <si>
    <t>BPM-ED(bipolar-electrodialysis) stack</t>
  </si>
  <si>
    <t>Selective electrodialysis reversal (SEDR) + BPM-ED</t>
  </si>
  <si>
    <t>Vacuum membrane contactor</t>
  </si>
  <si>
    <t>ED</t>
  </si>
  <si>
    <t>BPM-ED</t>
  </si>
  <si>
    <t>CEM+AEM</t>
  </si>
  <si>
    <t>No</t>
  </si>
  <si>
    <t>CEM+AEM+CEM</t>
  </si>
  <si>
    <t>Flow-electrode capacitive deionization (FCDI)</t>
  </si>
  <si>
    <t>HRT=1.48min</t>
  </si>
  <si>
    <t>HRT=0.98min</t>
  </si>
  <si>
    <t>HRT=1.96min</t>
  </si>
  <si>
    <t>HRT=2.94min</t>
  </si>
  <si>
    <t xml:space="preserve">Membrane contactor </t>
  </si>
  <si>
    <t>CEM+Donnan</t>
  </si>
  <si>
    <t xml:space="preserve">Stripping tank/vacuum stripping </t>
  </si>
  <si>
    <t>Vacuum stripping</t>
  </si>
  <si>
    <t>Flow-electrode capacitive deionization (FCDI)-CEM+AEM</t>
  </si>
  <si>
    <t>BPM+CEM+AEM</t>
  </si>
  <si>
    <t>AEM+CEM</t>
  </si>
  <si>
    <t>Striping+Absorption column or tank</t>
  </si>
  <si>
    <t>Wastewater Type</t>
  </si>
  <si>
    <t>TAN(mg/L)</t>
  </si>
  <si>
    <t xml:space="preserve">Electrodes and GPM Position 1 </t>
  </si>
  <si>
    <t>C50 low</t>
  </si>
  <si>
    <t>C50 high</t>
  </si>
  <si>
    <t>C75 high</t>
  </si>
  <si>
    <t>D50 low</t>
  </si>
  <si>
    <t>D50 high</t>
  </si>
  <si>
    <t>D75 low1</t>
  </si>
  <si>
    <t>D75 low2</t>
  </si>
  <si>
    <t>D100 high</t>
  </si>
  <si>
    <t>bipolar membrane electrodialysis (BPMC)，pH=9.2</t>
  </si>
  <si>
    <t>bipolar membrane electrodialysis (BPMC)，pH=10</t>
  </si>
  <si>
    <t>bipolar membrane electrodialysis (BPMC)，pH=10.5</t>
  </si>
  <si>
    <t>Batch</t>
  </si>
  <si>
    <t>Batch-larg-scale with multiple membrane-model result</t>
  </si>
  <si>
    <t>Continuous-model result</t>
  </si>
  <si>
    <t>Synthetic spent urine</t>
  </si>
  <si>
    <t>Synthetic hydrolyzed urine</t>
  </si>
  <si>
    <t>Real hydrolyzed urine</t>
  </si>
  <si>
    <t>Real spent urine</t>
  </si>
  <si>
    <t>Carbon content=0%</t>
  </si>
  <si>
    <t>Carbon content=2%</t>
  </si>
  <si>
    <t>Carbon content=5%</t>
  </si>
  <si>
    <t>Carbon content=10%</t>
  </si>
  <si>
    <t>Real domestic wastewater</t>
  </si>
  <si>
    <t>Synthetic urine</t>
  </si>
  <si>
    <t>Synthetic domestic wastewater</t>
  </si>
  <si>
    <t>LN=1.5</t>
  </si>
  <si>
    <t>LN=1</t>
  </si>
  <si>
    <t>LN=2.5</t>
  </si>
  <si>
    <t>Continuous, LN =0.8, without Donnan</t>
  </si>
  <si>
    <t>Continuous, LN =1, without Donnan</t>
  </si>
  <si>
    <t>Continuous, LN =1.3, without Donnan</t>
  </si>
  <si>
    <t>Continuous, LN =0.8, with Donnan</t>
  </si>
  <si>
    <t>Batch, LN =0.8, without Donnan</t>
  </si>
  <si>
    <t>Batch, LN =1, without Donnan</t>
  </si>
  <si>
    <t>Batch, LN =1.3, without Donnan</t>
  </si>
  <si>
    <t>Pig mauran</t>
  </si>
  <si>
    <t xml:space="preserve">carbon contents = 0 wt% </t>
  </si>
  <si>
    <t>carbon contents = 2 wt%</t>
  </si>
  <si>
    <t>carbon contents = 5 wt%</t>
  </si>
  <si>
    <t>carbon contents = 10 wt%</t>
  </si>
  <si>
    <t>Inter-membrane distance = 0.82 mm</t>
  </si>
  <si>
    <t>Inter-membrane distance = 1.64 mm</t>
  </si>
  <si>
    <t>Inter-membrane distance = 2.46 mm</t>
  </si>
  <si>
    <t>Real reject water</t>
  </si>
  <si>
    <t>Cathode chamber Aeration flow=3.2</t>
    <phoneticPr fontId="1" type="noConversion"/>
  </si>
  <si>
    <t xml:space="preserve">Aeration flow=0 </t>
    <phoneticPr fontId="1" type="noConversion"/>
  </si>
  <si>
    <t xml:space="preserve">Aeration flow=0.8 </t>
    <phoneticPr fontId="1" type="noConversion"/>
  </si>
  <si>
    <t xml:space="preserve">Aeration flow=1.6 </t>
    <phoneticPr fontId="1" type="noConversion"/>
  </si>
  <si>
    <t xml:space="preserve">Aeration flow=2.4 </t>
    <phoneticPr fontId="1" type="noConversion"/>
  </si>
  <si>
    <t xml:space="preserve">Aeration flow=3.2 </t>
    <phoneticPr fontId="1" type="noConversion"/>
  </si>
  <si>
    <t>Aeration flow=4</t>
    <phoneticPr fontId="1" type="noConversion"/>
  </si>
  <si>
    <t>type</t>
    <phoneticPr fontId="1" type="noConversion"/>
  </si>
  <si>
    <t>indext</t>
    <phoneticPr fontId="1" type="noConversion"/>
  </si>
  <si>
    <t>Donnan</t>
    <phoneticPr fontId="1" type="noConversion"/>
  </si>
  <si>
    <t>CNT coated membrane</t>
    <phoneticPr fontId="1" type="noConversion"/>
  </si>
  <si>
    <t>CEM+ECM</t>
    <phoneticPr fontId="1" type="noConversion"/>
  </si>
  <si>
    <t>Acid trap+Vacuum stripping</t>
    <phoneticPr fontId="1" type="noConversion"/>
  </si>
  <si>
    <t>Ni membrane</t>
    <phoneticPr fontId="1" type="noConversion"/>
  </si>
  <si>
    <t>ECM</t>
    <phoneticPr fontId="1" type="noConversion"/>
  </si>
  <si>
    <t>AEM+ECM</t>
    <phoneticPr fontId="1" type="noConversion"/>
  </si>
  <si>
    <t>EC-IEM</t>
  </si>
  <si>
    <t xml:space="preserve">Wastewater Type	</t>
    <phoneticPr fontId="1" type="noConversion"/>
  </si>
  <si>
    <t>Stripping column+Acid trap tank</t>
    <phoneticPr fontId="1" type="noConversion"/>
  </si>
  <si>
    <t>Stripping tank+Acid trap tank</t>
    <phoneticPr fontId="1" type="noConversion"/>
  </si>
  <si>
    <t>Aeration in cathode compartment</t>
    <phoneticPr fontId="1" type="noConversion"/>
  </si>
  <si>
    <t>Stripping column or tank</t>
    <phoneticPr fontId="1" type="noConversion"/>
  </si>
  <si>
    <t>No</t>
    <phoneticPr fontId="1" type="noConversion"/>
  </si>
  <si>
    <t>Striping Column</t>
    <phoneticPr fontId="1" type="noConversion"/>
  </si>
  <si>
    <t>Striping+Absorption column</t>
    <phoneticPr fontId="1" type="noConversion"/>
  </si>
  <si>
    <t>GDE+Acid trap Tank</t>
    <phoneticPr fontId="1" type="noConversion"/>
  </si>
  <si>
    <t>Solvent extraction+Acid trap tank</t>
    <phoneticPr fontId="1" type="noConversion"/>
  </si>
  <si>
    <t>Membrane contractor/Column</t>
    <phoneticPr fontId="1" type="noConversion"/>
  </si>
  <si>
    <t>Striping+Absorption column or tank</t>
    <phoneticPr fontId="1" type="noConversion"/>
  </si>
  <si>
    <t>Operation condition</t>
    <phoneticPr fontId="1" type="noConversion"/>
  </si>
  <si>
    <t>Removal Performance</t>
    <phoneticPr fontId="1" type="noConversion"/>
  </si>
  <si>
    <t>Energy consumption</t>
    <phoneticPr fontId="1" type="noConversion"/>
  </si>
  <si>
    <t>Pore size</t>
    <phoneticPr fontId="1" type="noConversion"/>
  </si>
  <si>
    <t>Membrane area</t>
    <phoneticPr fontId="1" type="noConversion"/>
  </si>
  <si>
    <t xml:space="preserve">Type of the devices </t>
    <phoneticPr fontId="1" type="noConversion"/>
  </si>
  <si>
    <t>Initial TAN before stripping</t>
    <phoneticPr fontId="1" type="noConversion"/>
  </si>
  <si>
    <t>Gas flow rate/areation rates/vacuum pump pressure</t>
    <phoneticPr fontId="1" type="noConversion"/>
  </si>
  <si>
    <t>Time</t>
    <phoneticPr fontId="1" type="noConversion"/>
  </si>
  <si>
    <t xml:space="preserve">reaction pH </t>
    <phoneticPr fontId="1" type="noConversion"/>
  </si>
  <si>
    <r>
      <t>Feed Temperature(</t>
    </r>
    <r>
      <rPr>
        <b/>
        <sz val="12"/>
        <color theme="1"/>
        <rFont val="宋体"/>
        <family val="3"/>
        <charset val="134"/>
      </rPr>
      <t>℃</t>
    </r>
    <r>
      <rPr>
        <b/>
        <sz val="12"/>
        <color theme="1"/>
        <rFont val="Times New Roman"/>
        <family val="1"/>
      </rPr>
      <t>)</t>
    </r>
    <phoneticPr fontId="1" type="noConversion"/>
  </si>
  <si>
    <t>Avaerage ammonia flux</t>
    <phoneticPr fontId="1" type="noConversion"/>
  </si>
  <si>
    <t>Water flux (g/L) &amp; Water evaporation (L/h)</t>
    <phoneticPr fontId="1" type="noConversion"/>
  </si>
  <si>
    <t>Liquid pump</t>
    <phoneticPr fontId="1" type="noConversion"/>
  </si>
  <si>
    <t>Air pump/vacuum pump</t>
    <phoneticPr fontId="1" type="noConversion"/>
  </si>
  <si>
    <t>Heating for stripping</t>
    <phoneticPr fontId="1" type="noConversion"/>
  </si>
  <si>
    <t>Total for stripping</t>
    <phoneticPr fontId="1" type="noConversion"/>
  </si>
  <si>
    <t>standard unit</t>
    <phoneticPr fontId="1" type="noConversion"/>
  </si>
  <si>
    <t>HFMC</t>
    <phoneticPr fontId="1" type="noConversion"/>
  </si>
  <si>
    <t>0.03 m2</t>
    <phoneticPr fontId="1" type="noConversion"/>
  </si>
  <si>
    <t>4.36 L</t>
    <phoneticPr fontId="1" type="noConversion"/>
  </si>
  <si>
    <t>0.0173 L/min</t>
    <phoneticPr fontId="1" type="noConversion"/>
  </si>
  <si>
    <t>Flat-sheet MC</t>
    <phoneticPr fontId="1" type="noConversion"/>
  </si>
  <si>
    <t>0.45 μm</t>
    <phoneticPr fontId="1" type="noConversion"/>
  </si>
  <si>
    <t>2 cm2</t>
    <phoneticPr fontId="1" type="noConversion"/>
  </si>
  <si>
    <t>0.1 L/min</t>
    <phoneticPr fontId="1" type="noConversion"/>
  </si>
  <si>
    <t>40 L/min</t>
    <phoneticPr fontId="1" type="noConversion"/>
  </si>
  <si>
    <t>6 cycles</t>
    <phoneticPr fontId="1" type="noConversion"/>
  </si>
  <si>
    <t>7 cycles</t>
    <phoneticPr fontId="1" type="noConversion"/>
  </si>
  <si>
    <t>&gt;99%</t>
    <phoneticPr fontId="1" type="noConversion"/>
  </si>
  <si>
    <t>2 cm2</t>
  </si>
  <si>
    <t>0.1 L/min</t>
  </si>
  <si>
    <t>8 cycles</t>
    <phoneticPr fontId="1" type="noConversion"/>
  </si>
  <si>
    <t>0.45 μm</t>
  </si>
  <si>
    <t>9 cycles</t>
    <phoneticPr fontId="1" type="noConversion"/>
  </si>
  <si>
    <t>&gt;99%</t>
  </si>
  <si>
    <t>10 cycles</t>
    <phoneticPr fontId="1" type="noConversion"/>
  </si>
  <si>
    <t>37.4 L/min</t>
  </si>
  <si>
    <t>4 cycles</t>
    <phoneticPr fontId="1" type="noConversion"/>
  </si>
  <si>
    <t>5 cycles</t>
    <phoneticPr fontId="1" type="noConversion"/>
  </si>
  <si>
    <t>2 cycles</t>
    <phoneticPr fontId="1" type="noConversion"/>
  </si>
  <si>
    <t>3 cycles</t>
    <phoneticPr fontId="1" type="noConversion"/>
  </si>
  <si>
    <t>0.1  μm</t>
    <phoneticPr fontId="1" type="noConversion"/>
  </si>
  <si>
    <t>34 cm2</t>
    <phoneticPr fontId="1" type="noConversion"/>
  </si>
  <si>
    <t>&lt;1L</t>
    <phoneticPr fontId="1" type="noConversion"/>
  </si>
  <si>
    <t>0.34-0.68 L/s</t>
    <phoneticPr fontId="1" type="noConversion"/>
  </si>
  <si>
    <t>1,500 Pa</t>
    <phoneticPr fontId="1" type="noConversion"/>
  </si>
  <si>
    <t>&lt;1L</t>
  </si>
  <si>
    <t>0.34-0.68 L/s</t>
  </si>
  <si>
    <t>1,500 Pa</t>
  </si>
  <si>
    <t>0.04 μm</t>
    <phoneticPr fontId="1" type="noConversion"/>
  </si>
  <si>
    <t>53 m2</t>
    <phoneticPr fontId="1" type="noConversion"/>
  </si>
  <si>
    <t>5 m3</t>
    <phoneticPr fontId="1" type="noConversion"/>
  </si>
  <si>
    <t>6000 L·h−1 (approximately 1500 L·h−1 per membrane module)</t>
    <phoneticPr fontId="1" type="noConversion"/>
  </si>
  <si>
    <t>6-12 m3/h/m3H2O</t>
    <phoneticPr fontId="1" type="noConversion"/>
  </si>
  <si>
    <t xml:space="preserve">Ammonia capture from human urine to harvest liquid N-P compound fertilizer by a submerged hollow fiber membrane contactor: Performance and fertilizer analysis </t>
  </si>
  <si>
    <t>Ultrahigh-purity ammonia recovery from synthetic coke wastewater via membrane contactor: Overcoming phenolic interference and assessing cost efficiency</t>
  </si>
  <si>
    <t>Fuelling a solid oxide fuel cell with ammonia recovered from water by vacuum membrane stripping</t>
  </si>
  <si>
    <t>Recovering Ammonia as Ammonium Citrate and Ammonium Sulfate from Sludge Digestion Liquors Using Membrane Contactors in a Pilot Plant</t>
  </si>
  <si>
    <t>Initial TAN (mg/L)</t>
  </si>
  <si>
    <t>Time (h)</t>
  </si>
  <si>
    <t>Total for stripping (kWh/kgN)</t>
  </si>
  <si>
    <t>TAS</t>
  </si>
  <si>
    <t xml:space="preserve">Traditional stripping reactor </t>
  </si>
  <si>
    <t>Pig slurry</t>
  </si>
  <si>
    <t>Air</t>
  </si>
  <si>
    <t>Dairy cattle slurry</t>
  </si>
  <si>
    <t>Packed Columns</t>
  </si>
  <si>
    <t>human urine after Struvite precipitation</t>
  </si>
  <si>
    <t>130 m3/h</t>
  </si>
  <si>
    <t>130m3/h</t>
  </si>
  <si>
    <t>Traditional stripping tower</t>
  </si>
  <si>
    <t>hydrolyzed human urine(after removing the Mg/P)</t>
  </si>
  <si>
    <t>2 L/min/L urine</t>
  </si>
  <si>
    <t>Air stripping process for ammonia recovery from source-separated urine: modeling and optimization</t>
  </si>
  <si>
    <t>Columns (based on figures)</t>
  </si>
  <si>
    <t>Full</t>
  </si>
  <si>
    <t>Continuous sidestream</t>
  </si>
  <si>
    <t>Municipal wastewater</t>
  </si>
  <si>
    <t>Life cycle assessment and techno-economic analysis of nitrogen recovery by ammonia air-stripping from wastewater treatment</t>
  </si>
  <si>
    <t>liquid digestate</t>
  </si>
  <si>
    <t>0,7-1,3 vvm for 2 A:D ratio (vvm)</t>
  </si>
  <si>
    <t>9,02 ± 0,01</t>
  </si>
  <si>
    <t xml:space="preserve">Traditional stripping column </t>
  </si>
  <si>
    <t>Pilot (theorical)</t>
  </si>
  <si>
    <t xml:space="preserve">theoretical mesophilic digestate liquid </t>
  </si>
  <si>
    <t>9-10,20</t>
  </si>
  <si>
    <t>Liquid fertilizer products from anaerobic digestion of food waste: mass, nutrient and energy balance of four digestate liquid treatment systems</t>
  </si>
  <si>
    <t>Column up-flow reactor</t>
  </si>
  <si>
    <t xml:space="preserve"> Mesophilic digestate sludge </t>
  </si>
  <si>
    <t>1,0 L/L/min</t>
  </si>
  <si>
    <t>Continuous production of high-concentrated ammonia broth through fermentation</t>
  </si>
  <si>
    <t xml:space="preserve">Stripping column </t>
  </si>
  <si>
    <t>Continuous,3a</t>
  </si>
  <si>
    <t>Pig urine</t>
  </si>
  <si>
    <t>1440 m3/h</t>
  </si>
  <si>
    <t>6.4  -  13.6</t>
  </si>
  <si>
    <t>Enhancing swine manure treatment: A full-scale techno-economic assessment of nitrogen recovery, pure oxygen aeration and effluent polishing</t>
  </si>
  <si>
    <t>Continuous,3b</t>
  </si>
  <si>
    <t>Swine LF digestate and LF manure, usually in a ratio of 1:1.</t>
  </si>
  <si>
    <t>Evaluation of a new approach for swine wastewater valorisation and treatment: A combined system of ammonium recovery and aerated constructed wetland</t>
  </si>
  <si>
    <t xml:space="preserve">Traditional stripping tower </t>
  </si>
  <si>
    <t>Continuous</t>
  </si>
  <si>
    <t>Sewage sludge (with HSOW =high-strength organic  waste)</t>
  </si>
  <si>
    <t>21.63-23.81</t>
  </si>
  <si>
    <t>Conventional domestic wastewater</t>
  </si>
  <si>
    <t>Pure Urine, pH Not Maintained</t>
  </si>
  <si>
    <t>Nitrogen removal from digester supernatant - comparison of chemical and biological methods</t>
  </si>
  <si>
    <t>Basic information</t>
    <phoneticPr fontId="1" type="noConversion"/>
  </si>
  <si>
    <t>Indext</t>
    <phoneticPr fontId="1" type="noConversion"/>
  </si>
  <si>
    <t>Device type</t>
    <phoneticPr fontId="1" type="noConversion"/>
  </si>
  <si>
    <t xml:space="preserve">Wastewater type </t>
    <phoneticPr fontId="1" type="noConversion"/>
  </si>
  <si>
    <t xml:space="preserve">  Air pump energy consumption (kWh/Kg N)</t>
    <phoneticPr fontId="1" type="noConversion"/>
  </si>
  <si>
    <t>Energy for other part(liquid pump/chemical pump/stirrer)(kWh/Kg N)</t>
    <phoneticPr fontId="1" type="noConversion"/>
  </si>
  <si>
    <t xml:space="preserve"> Heating for stripping (kWh/Kg N)</t>
    <phoneticPr fontId="1" type="noConversion"/>
  </si>
  <si>
    <t>Total for stripping (SEC) (kWh/Kg N)</t>
    <phoneticPr fontId="1" type="noConversion"/>
  </si>
  <si>
    <t>Published year</t>
    <phoneticPr fontId="1" type="noConversion"/>
  </si>
  <si>
    <r>
      <t>Temperature(</t>
    </r>
    <r>
      <rPr>
        <b/>
        <sz val="12"/>
        <color theme="1"/>
        <rFont val="宋体"/>
        <family val="3"/>
        <charset val="134"/>
      </rPr>
      <t>℃</t>
    </r>
    <r>
      <rPr>
        <b/>
        <sz val="12"/>
        <color theme="1"/>
        <rFont val="Times New Roman"/>
        <family val="1"/>
      </rPr>
      <t>)</t>
    </r>
    <phoneticPr fontId="1" type="noConversion"/>
  </si>
  <si>
    <t>Scale</t>
    <phoneticPr fontId="1" type="noConversion"/>
  </si>
  <si>
    <t>Operation mode</t>
    <phoneticPr fontId="1" type="noConversion"/>
  </si>
  <si>
    <t>Gas flow rate</t>
    <phoneticPr fontId="1" type="noConversion"/>
  </si>
  <si>
    <t>10 ~ 22</t>
    <phoneticPr fontId="1" type="noConversion"/>
  </si>
  <si>
    <t>10 ~ 12</t>
    <phoneticPr fontId="1" type="noConversion"/>
  </si>
  <si>
    <t>65 ~ 70</t>
    <phoneticPr fontId="1" type="noConversion"/>
  </si>
  <si>
    <t>Performance</t>
    <phoneticPr fontId="1" type="noConversion"/>
  </si>
  <si>
    <r>
      <t xml:space="preserve">277200 </t>
    </r>
    <r>
      <rPr>
        <u/>
        <sz val="12"/>
        <color theme="1"/>
        <rFont val="Times New Roman"/>
        <family val="1"/>
      </rPr>
      <t>$</t>
    </r>
    <r>
      <rPr>
        <sz val="12"/>
        <color theme="1"/>
        <rFont val="Times New Roman"/>
        <family val="1"/>
      </rPr>
      <t>/year</t>
    </r>
  </si>
  <si>
    <r>
      <t xml:space="preserve">9.28 </t>
    </r>
    <r>
      <rPr>
        <u/>
        <sz val="12"/>
        <color theme="1"/>
        <rFont val="Times New Roman"/>
        <family val="1"/>
      </rPr>
      <t>$</t>
    </r>
  </si>
  <si>
    <t>Reactor type</t>
    <phoneticPr fontId="1" type="noConversion"/>
  </si>
  <si>
    <t>General condition</t>
    <phoneticPr fontId="1" type="noConversion"/>
  </si>
  <si>
    <t>Special Condition</t>
    <phoneticPr fontId="1" type="noConversion"/>
  </si>
  <si>
    <t>Energy consumption(recovery)</t>
    <phoneticPr fontId="1" type="noConversion"/>
  </si>
  <si>
    <t>pH</t>
    <phoneticPr fontId="1" type="noConversion"/>
  </si>
  <si>
    <t>Temperature</t>
    <phoneticPr fontId="1" type="noConversion"/>
  </si>
  <si>
    <t>Air flow</t>
    <phoneticPr fontId="1" type="noConversion"/>
  </si>
  <si>
    <t>Dydrodynamic cavitation reactor</t>
    <phoneticPr fontId="1" type="noConversion"/>
  </si>
  <si>
    <t xml:space="preserve"> 25 L/min</t>
    <phoneticPr fontId="1" type="noConversion"/>
  </si>
  <si>
    <t>Cavitation number=0.12</t>
    <phoneticPr fontId="1" type="noConversion"/>
  </si>
  <si>
    <t>Water circulation flow (L/min)=85</t>
    <phoneticPr fontId="1" type="noConversion"/>
  </si>
  <si>
    <t>Pressure (bar)=7.4</t>
    <phoneticPr fontId="1" type="noConversion"/>
  </si>
  <si>
    <t>Microwave radiation reactor</t>
    <phoneticPr fontId="1" type="noConversion"/>
  </si>
  <si>
    <t>2 400 - 11 000</t>
    <phoneticPr fontId="1" type="noConversion"/>
  </si>
  <si>
    <t>35.5 kwh/m3/h</t>
    <phoneticPr fontId="1" type="noConversion"/>
  </si>
  <si>
    <t>60%-80%</t>
    <phoneticPr fontId="1" type="noConversion"/>
  </si>
  <si>
    <t>Ultrasonic stripping</t>
    <phoneticPr fontId="1" type="noConversion"/>
  </si>
  <si>
    <t>35-65</t>
    <phoneticPr fontId="1" type="noConversion"/>
  </si>
  <si>
    <t>6 L/min</t>
    <phoneticPr fontId="1" type="noConversion"/>
  </si>
  <si>
    <t>sonication power = 200W</t>
    <phoneticPr fontId="1" type="noConversion"/>
  </si>
  <si>
    <t>Dynamic wave stripping</t>
    <phoneticPr fontId="1" type="noConversion"/>
  </si>
  <si>
    <t>Stripping time = 3 h</t>
    <phoneticPr fontId="1" type="noConversion"/>
  </si>
  <si>
    <t>Study ID</t>
  </si>
  <si>
    <t xml:space="preserve">CAPEX </t>
  </si>
  <si>
    <t>Product</t>
  </si>
  <si>
    <t xml:space="preserve">Profit </t>
  </si>
  <si>
    <t>Electric cost</t>
  </si>
  <si>
    <t>Maintenance costs</t>
  </si>
  <si>
    <t>Amount</t>
  </si>
  <si>
    <t>Type</t>
  </si>
  <si>
    <t>Monetary value</t>
  </si>
  <si>
    <t>Removal of ammonia nitrogen in wastewater by microwave radiation: A pilot-scale study</t>
  </si>
  <si>
    <t>2.88 $/m3 WW</t>
  </si>
  <si>
    <t>Improved mesophilic anaerobic digestion of swine wastewater by ammonia stripping with microwave irradiation</t>
  </si>
  <si>
    <t>Time = 5.5min
Treatment capicity = 0.2 L wastewater</t>
  </si>
  <si>
    <t>24.4 $/m3 WW</t>
  </si>
  <si>
    <t>9.94 kWh/m3 WW</t>
  </si>
  <si>
    <t>Methane calorific value</t>
  </si>
  <si>
    <t>0.53 kWh/m3 WW</t>
  </si>
  <si>
    <t>$2.4/m3 SWW</t>
  </si>
  <si>
    <t>Repeatedly using the decomposition product of struvite by ultrasound stripping to remove ammonia nitrogen from landfill leachate</t>
  </si>
  <si>
    <t xml:space="preserve">Costs for energy consumption of ultrasound stripping, the preformed struvite, and the used NaOH were taken into account.
Initial TAN = 1395 mg/L
Ammonia recoval efficienct = 90% </t>
  </si>
  <si>
    <t>2.76 $/kgN</t>
  </si>
  <si>
    <t>Efficient treatment of aged landfill leachate containing high ammonia nitrogen concentration using dynamic wave stripping: Insights into influencing factors and kinetic mechanism</t>
  </si>
  <si>
    <t>The cost comprises the electricity charge generated by the centrifugal pump and fan and  the adding NaOH</t>
  </si>
  <si>
    <t>1.855572998 $/kg N</t>
  </si>
  <si>
    <t>4.424427002 $/kg N</t>
  </si>
  <si>
    <t>3.954474097 $/kg N</t>
  </si>
  <si>
    <t>3.805525903 $/kg N</t>
  </si>
  <si>
    <t>4.709576138 $/kg N</t>
  </si>
  <si>
    <t>4.050423862 $/kg N</t>
  </si>
  <si>
    <t>3.894819466 $/kg N</t>
  </si>
  <si>
    <t>4.115180534 $/kg N</t>
  </si>
  <si>
    <t>4.009419152 $/kg N</t>
  </si>
  <si>
    <t>3.470580848 $/kg N</t>
  </si>
  <si>
    <t>Ammonium removal and recovery from greywater using the combination of ion exchange and air stripping: The utilization of NaOH for the regeneration of natural zeolites</t>
  </si>
  <si>
    <t xml:space="preserve">Treatment capicity = 100 m3/d
Initial TAN = 50 mg/L
Ammonia desorption efficienct = 95% </t>
  </si>
  <si>
    <t>19005 $/year</t>
  </si>
  <si>
    <t>Chemical cost (Alkaline and/or acid )</t>
    <phoneticPr fontId="1" type="noConversion"/>
  </si>
  <si>
    <t>Nutrient removal from digested swine wastewater by combining ammonia stripping with struvite precipitation</t>
    <phoneticPr fontId="1" type="noConversion"/>
  </si>
  <si>
    <t>1 US$ =1 700 Lit. (Italian Lire)
Liquid flow rate = 4167 L/h
Time = 200 day/year
Gas flow rate = 45 Nm³/h
Temperature = 30
pH = 9 N.C.
Removal efficiency = 30%
1 US$= 1 700 Lit. (Italian Lire)</t>
    <phoneticPr fontId="1" type="noConversion"/>
  </si>
  <si>
    <t>Liquid flow rate = 4167 L/h
Time = 200 day/year
Gas flow rate = 70 Nm³/h
Temperature = 30
pH = 9 N.C.
Removal efficiency = 30%
1 US$= 1 700 Lit. (Italian Lire)</t>
    <phoneticPr fontId="1" type="noConversion"/>
  </si>
  <si>
    <t>Liquid flow rate = 4167 L/h
Time = 200 day/year
Gas flow rate = 45 Nm³/h
Temperature = 30
pH = 11
Removal efficiency = 30%
1 US$= 1 700 Lit. (Italian Lire)</t>
    <phoneticPr fontId="1" type="noConversion"/>
  </si>
  <si>
    <t>Liquid flow rate = 4167 L/h
Time = 200 day/year
Gas flow rate = 70 Nm³/h
Temperature = 30
pH = 11
Removal efficiency = 30%
1 US$= 1 700 Lit. (Italian Lire)</t>
    <phoneticPr fontId="1" type="noConversion"/>
  </si>
  <si>
    <t>Liquid flow rate = 4167 L/h
Time = 200 day/year
Gas flow rate = 45 Nm³/h
Temperature = 50
pH = 9 N.C.
Removal efficiency = 30%
1 US$= 1 700 Lit. (Italian Lire)</t>
    <phoneticPr fontId="1" type="noConversion"/>
  </si>
  <si>
    <t>Liquid flow rate = 4167 L/h
Time = 200 day/year
Gas flow rate = 70 Nm³/h
Temperature = 50
pH = 9 N.C.
Removal efficiency = 30%
1 US$= 1 700 Lit. (Italian Lire)</t>
    <phoneticPr fontId="1" type="noConversion"/>
  </si>
  <si>
    <t>Liquid flow rate = 4167 L/h
Time = 200 day/year
Gas flow rate = 45 Nm³/h
Temperature = 50
pH = 11
Removal efficiency = 30%
1 US$= 1 700 Lit. (Italian Lire)</t>
    <phoneticPr fontId="1" type="noConversion"/>
  </si>
  <si>
    <t>Liquid flow rate = 4167 L/h
Time = 200 day/year
Gas flow rate = 70 Nm³/h
Temperature = 50
pH = 11
Removal efficiency = 30%
1 US$= 1 700 Lit. (Italian Lire)</t>
    <phoneticPr fontId="1" type="noConversion"/>
  </si>
  <si>
    <t>Liquid flow rate = 4167 L/h
Time = 200 day/year
Gas flow rate = 45 Nm³/h
Temperature = 70
pH = 9 N.C.
Removal efficiency = 30%
1 US$= 1 700 Lit. (Italian Lire)</t>
    <phoneticPr fontId="1" type="noConversion"/>
  </si>
  <si>
    <t>Liquid flow rate = 4167 L/h
Time = 200 day/year
Gas flow rate = 70 Nm³/h
Temperature = 70
pH = 9 N.C.
Removal efficiency = 30%
1 US$= 1 700 Lit. (Italian Lire)</t>
    <phoneticPr fontId="1" type="noConversion"/>
  </si>
  <si>
    <t>Liquid flow rate = 4167 L/h
Time = 200 day/year
Gas flow rate = 45 Nm³/h
Temperature = 70
pH = 11
Removal efficiency = 30%
1 US$= 1 700 Lit. (Italian Lire)</t>
    <phoneticPr fontId="1" type="noConversion"/>
  </si>
  <si>
    <t>Liquid flow rate = 4167 L/h
Time = 200 day/year
Gas flow rate = 70 Nm³/h
Temperature = 70
pH = 11
Removal efficiency = 30%
1 US$= 1 700 Lit. (Italian Lire)</t>
    <phoneticPr fontId="1" type="noConversion"/>
  </si>
  <si>
    <t>Liquid flow rate = 4167 L/h
Time = 200 day/year
Gas flow rate = 45 Nm³/h
Temperature = 30
pH = 9 N.C.
Removal efficiency = 50%
1 US$= 1 700 Lit. (Italian Lire)</t>
    <phoneticPr fontId="1" type="noConversion"/>
  </si>
  <si>
    <t>Liquid flow rate = 4167 L/h
Time = 200 day/year
Gas flow rate = 70 Nm³/h
Temperature = 30
pH = 9 N.C.
Removal efficiency = 50%
1 US$= 1 700 Lit. (Italian Lire)</t>
    <phoneticPr fontId="1" type="noConversion"/>
  </si>
  <si>
    <t>Liquid flow rate = 4167 L/h
Time = 200 day/year
Gas flow rate = 45 Nm³/h
Temperature = 30
pH = 11
Removal efficiency = 50%
1 US$= 1 700 Lit. (Italian Lire)</t>
    <phoneticPr fontId="1" type="noConversion"/>
  </si>
  <si>
    <t>Liquid flow rate = 4167 L/h
Time = 200 day/year
Gas flow rate = 70 Nm³/h
Temperature = 30
pH = 11
Removal efficiency = 50%
1 US$= 1 700 Lit. (Italian Lire)</t>
    <phoneticPr fontId="1" type="noConversion"/>
  </si>
  <si>
    <t>Liquid flow rate = 4167 L/h
Time = 200 day/year
Gas flow rate = 45 Nm³/h
Temperature = 50
pH = 9 N.C.
Removal efficiency = 50%
1 US$= 1 700 Lit. (Italian Lire)</t>
    <phoneticPr fontId="1" type="noConversion"/>
  </si>
  <si>
    <t>Liquid flow rate = 4167 L/h
Time = 200 day/year
Gas flow rate = 70 Nm³/h
Temperature = 50
pH = 9 N.C.
Removal efficiency = 50%
1 US$= 1 700 Lit. (Italian Lire)</t>
    <phoneticPr fontId="1" type="noConversion"/>
  </si>
  <si>
    <t>Liquid flow rate = 4167 L/h
Time = 200 day/year
Gas flow rate = 45 Nm³/h
Temperature = 50
pH = 11
Removal efficiency = 50%
1 US$= 1 700 Lit. (Italian Lire)</t>
    <phoneticPr fontId="1" type="noConversion"/>
  </si>
  <si>
    <t>Liquid flow rate = 4167 L/h
Time = 200 day/year
Gas flow rate = 70 Nm³/h
Temperature = 50
pH = 11
Removal efficiency = 50%
1 US$= 1 700 Lit. (Italian Lire)</t>
    <phoneticPr fontId="1" type="noConversion"/>
  </si>
  <si>
    <t>Liquid flow rate = 4167 L/h
Time = 200 day/year
Gas flow rate = 45 Nm³/h
Temperature = 70
pH = 9 N.C.
Removal efficiency = 50%
1 US$= 1 700 Lit. (Italian Lire)</t>
    <phoneticPr fontId="1" type="noConversion"/>
  </si>
  <si>
    <t>Liquid flow rate = 4167 L/h
Time = 200 day/year
Gas flow rate = 70 Nm³/h
Temperature = 70
pH = 9 N.C.
Removal efficiency = 50%
1 US$= 1 700 Lit. (Italian Lire)</t>
    <phoneticPr fontId="1" type="noConversion"/>
  </si>
  <si>
    <t>Liquid flow rate = 4167 L/h
Time = 200 day/year
Gas flow rate = 45 Nm³/h
Temperature = 70
pH = 11
Removal efficiency = 50%
1 US$= 1 700 Lit. (Italian Lire)</t>
    <phoneticPr fontId="1" type="noConversion"/>
  </si>
  <si>
    <t>Liquid flow rate = 4167 L/h
Time = 200 day/year
Gas flow rate = 70 Nm³/h
Temperature = 70
pH = 11
Removal efficiency = 50%
1 US$= 1 700 Lit. (Italian Lire)</t>
    <phoneticPr fontId="1" type="noConversion"/>
  </si>
  <si>
    <t>Liquid flow rate = 4167 L/h
Time = 200 day/year
Gas flow rate = 45 Nm³/h
Temperature = 30
pH = 11
Removal efficiency = 70%
1 US$= 1 700 Lit. (Italian Lire)</t>
    <phoneticPr fontId="1" type="noConversion"/>
  </si>
  <si>
    <t>Liquid flow rate = 4167 L/h
Time = 200 day/year
Gas flow rate = 70 Nm³/h
Temperature = 30
pH = 11
Removal efficiency = 70%
1 US$= 1 700 Lit. (Italian Lire)</t>
    <phoneticPr fontId="1" type="noConversion"/>
  </si>
  <si>
    <t>Liquid flow rate = 4167 L/h
Time = 200 day/year
Gas flow rate = 45 Nm³/h
Temperature = 50
pH = 9 N.C.
Removal efficiency = 70%
1 US$= 1 700 Lit. (Italian Lire)</t>
    <phoneticPr fontId="1" type="noConversion"/>
  </si>
  <si>
    <t>Liquid flow rate = 4167 L/h
Time = 200 day/year
Gas flow rate = 70 Nm³/h
Temperature = 50
pH = 9 N.C.
Removal efficiency = 70%
1 US$= 1 700 Lit. (Italian Lire)</t>
    <phoneticPr fontId="1" type="noConversion"/>
  </si>
  <si>
    <t>Liquid flow rate = 4167 L/h
Time = 200 day/year
Gas flow rate = 45 Nm³/h
Temperature = 50
pH = 11
Removal efficiency = 70%
1 US$= 1 700 Lit. (Italian Lire)</t>
    <phoneticPr fontId="1" type="noConversion"/>
  </si>
  <si>
    <t>Liquid flow rate = 4167 L/h
Time = 200 day/year
Gas flow rate = 70 Nm³/h
Temperature = 50
pH = 11
Removal efficiency = 70%
1 US$= 1 700 Lit. (Italian Lire)</t>
    <phoneticPr fontId="1" type="noConversion"/>
  </si>
  <si>
    <t>Liquid flow rate = 4167 L/h
Time = 200 day/year
Gas flow rate = 45 Nm³/h
Temperature = 30
pH = 11
Removal efficiency = 90%
1 US$= 1 700 Lit. (Italian Lire)</t>
    <phoneticPr fontId="1" type="noConversion"/>
  </si>
  <si>
    <t>Liquid flow rate = 4167 L/h
Time = 200 day/year
Gas flow rate = 70 Nm³/h
Temperature = 30
pH = 11
Removal efficiency = 90%
1 US$= 1 700 Lit. (Italian Lire)</t>
    <phoneticPr fontId="1" type="noConversion"/>
  </si>
  <si>
    <t>Liquid flow rate = 4167 L/h
Time = 200 day/year
Gas flow rate = 45 Nm³/h
Temperature = 50
pH = 9 N.C.
Removal efficiency = 90%
1 US$= 1 700 Lit. (Italian Lire)</t>
    <phoneticPr fontId="1" type="noConversion"/>
  </si>
  <si>
    <t>Liquid flow rate = 4167 L/h
Time = 200 day/year
Gas flow rate = 70 Nm³/h
Temperature = 50
pH = 9 N.C.
Removal efficiency = 90%
1 US$= 1 700 Lit. (Italian Lire)</t>
    <phoneticPr fontId="1" type="noConversion"/>
  </si>
  <si>
    <t>Liquid flow rate = 4167 L/h
Time = 200 day/year
Gas flow rate = 45 Nm³/h
Temperature = 50
pH = 11
Removal efficiency = 90%
1 US$= 1 700 Lit. (Italian Lire)</t>
    <phoneticPr fontId="1" type="noConversion"/>
  </si>
  <si>
    <t>Liquid flow rate = 4167 L/h
Time = 200 day/year
Gas flow rate = 70 Nm³/h
Temperature = 50
pH = 11
Removal efficiency = 90%
1 US$= 1 700 Lit. (Italian Lire)</t>
    <phoneticPr fontId="1" type="noConversion"/>
  </si>
  <si>
    <t>Liquid flow rate = 4167 L/h
Time = 200 day/year
Gas flow rate = 45 Nm³/h
Temperature = 70
pH = 9 N.C.
Removal efficiency = 90%
1 US$= 1 700 Lit. (Italian Lire)</t>
    <phoneticPr fontId="1" type="noConversion"/>
  </si>
  <si>
    <t>Liquid flow rate = 4167 L/h
Time = 200 day/year
Gas flow rate = 70 Nm³/h
Temperature = 70
pH = 9 N.C.
Removal efficiency = 90%
1 US$= 1 700 Lit. (Italian Lire)</t>
    <phoneticPr fontId="1" type="noConversion"/>
  </si>
  <si>
    <t>Liquid flow rate = 4167 L/h
Time = 200 day/year
Gas flow rate = 45 Nm³/h
Temperature = 70
pH = 11
Removal efficiency = 90%
1 US$= 1 700 Lit. (Italian Lire)</t>
    <phoneticPr fontId="1" type="noConversion"/>
  </si>
  <si>
    <t>Liquid flow rate = 4167 L/h
Time = 200 day/year
Gas flow rate = 70 Nm³/h
Temperature = 70
pH = 11
Removal efficiency = 90%
1 US$= 1 700 Lit. (Italian Lire)</t>
    <phoneticPr fontId="1" type="noConversion"/>
  </si>
  <si>
    <t>No.</t>
    <phoneticPr fontId="1" type="noConversion"/>
  </si>
  <si>
    <t>EC type</t>
    <phoneticPr fontId="1" type="noConversion"/>
  </si>
  <si>
    <t>Inter-membrane distance = 1.64 mm</t>
    <phoneticPr fontId="1" type="noConversion"/>
  </si>
  <si>
    <t>Only energy consumption during the stable operation phase is included</t>
    <phoneticPr fontId="1" type="noConversion"/>
  </si>
  <si>
    <t>Fed wastewater flow (WWinf) = 40000m3/d
Feed flow = 0.117 m3/s
pH=9
Acid solution flow rate = 0.03 m3/s
Efficiency of the pump and the motor =  75% 
Removal efficiency = 90%
Membrane and pump lifespan = 10 year 
Settler lifespan = 20 year
MCs working time = 20 hours per day
 Price of electricity = 0.1 $/kWh</t>
    <phoneticPr fontId="1" type="noConversion"/>
  </si>
  <si>
    <t>Fed wastewater flow (WWinf) = 40000m3/d
Feed flow = 0.117 m3/s
pH=10
Acid solution flow rate = 0.03 m3/s
Efficiency of the pump and the motor =  75% 
Removal efficiency = 90%
Membrane and pump lifespan = 10 year 
Settler lifespan = 20 year
MCs working time = 20 hours per day
 Price of electricity = 0.1 $/kWh</t>
    <phoneticPr fontId="1" type="noConversion"/>
  </si>
  <si>
    <t>Fed wastewater flow (WWinf) = 40000m3/d
Feed flow = 0.117 m3/s
pH=11
Acid solution flow rate = 0.03 m3/s
Efficiency of the pump and the motor =  75% 
Removal efficiency = 90%
Membrane and pump lifespan = 10 year 
Settler lifespan = 20 year
MCs working time = 20 hours per day
 Price of electricity = 0.1 $/kWh</t>
    <phoneticPr fontId="1" type="noConversion"/>
  </si>
  <si>
    <t>Electrodialysis (EC)</t>
    <phoneticPr fontId="1" type="noConversion"/>
  </si>
  <si>
    <t>BPM-ED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</si>
</sst>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8">
    <numFmt numFmtId="44" formatCode="_(&quot;¥&quot;* #,##0.00_);_(&quot;¥&quot;* \(#,##0.00\);_(&quot;¥&quot;* &quot;-&quot;??_);_(@_)"/>
    <numFmt numFmtId="24" formatCode="\$#,##0_);[Red]\(\$#,##0\)"/>
    <numFmt numFmtId="25" formatCode="\$#,##0.00_);\(\$#,##0.00\)"/>
    <numFmt numFmtId="26" formatCode="\$#,##0.00_);[Red]\(\$#,##0.00\)"/>
    <numFmt numFmtId="176" formatCode="0.00_);[Red]\(0.00\)"/>
    <numFmt numFmtId="177" formatCode="General&quot; kwh/kg N&quot;"/>
    <numFmt numFmtId="178" formatCode="General&quot; kWh&quot;"/>
    <numFmt numFmtId="179" formatCode="0.00_ "/>
    <numFmt numFmtId="180" formatCode="General&quot; kwh th /kg N&quot;"/>
    <numFmt numFmtId="181" formatCode="0.0&quot; mg/L&quot;"/>
    <numFmt numFmtId="182" formatCode="0&quot; t&quot;"/>
    <numFmt numFmtId="183" formatCode="General&quot; kwh/m3&quot;"/>
    <numFmt numFmtId="184" formatCode="0.0"/>
    <numFmt numFmtId="185" formatCode="0&quot; mg/L&quot;"/>
    <numFmt numFmtId="186" formatCode="General&quot; $/kg N&quot;"/>
    <numFmt numFmtId="187" formatCode="General&quot; $/m3&quot;"/>
    <numFmt numFmtId="188" formatCode="General&quot; $/L&quot;"/>
    <numFmt numFmtId="189" formatCode="General&quot; €/m3&quot;"/>
    <numFmt numFmtId="190" formatCode="General&quot; kg/m3/day&quot;"/>
    <numFmt numFmtId="191" formatCode="\$#,##0;[Red]\-\$#,##0"/>
    <numFmt numFmtId="192" formatCode="General&quot; €/kg N&quot;"/>
    <numFmt numFmtId="193" formatCode="General&quot; $/m3 treated urine&quot;"/>
    <numFmt numFmtId="194" formatCode="General&quot; kg&quot;"/>
    <numFmt numFmtId="195" formatCode="General&quot; $/m3 biogas slurry&quot;"/>
    <numFmt numFmtId="196" formatCode="\$#,##0.00"/>
    <numFmt numFmtId="197" formatCode="General&quot; $/m3 urine&quot;"/>
    <numFmt numFmtId="198" formatCode="#,##0\ &quot;€&quot;;[Red]\-#,##0\ &quot;€&quot;"/>
    <numFmt numFmtId="199" formatCode="#,##0.00\ &quot;€&quot;;[Red]\-#,##0.00\ &quot;€&quot;"/>
    <numFmt numFmtId="200" formatCode="General&quot; $/kgN&quot;"/>
    <numFmt numFmtId="201" formatCode="\$#,##0.00000_);[Red]\(\$#,##0.00000\)"/>
    <numFmt numFmtId="202" formatCode="General&quot; kgN/m3/d&quot;"/>
    <numFmt numFmtId="203" formatCode="0.0%"/>
    <numFmt numFmtId="204" formatCode="0.000"/>
    <numFmt numFmtId="205" formatCode="General&quot; mg/L&quot;"/>
    <numFmt numFmtId="206" formatCode="General&quot; h&quot;"/>
    <numFmt numFmtId="207" formatCode="General&quot; g/m2.h&quot;"/>
    <numFmt numFmtId="208" formatCode="General&quot; kg/m2.h&quot;"/>
    <numFmt numFmtId="209" formatCode="General&quot; m3/day&quot;"/>
    <numFmt numFmtId="210" formatCode="General&quot; g/L&quot;"/>
    <numFmt numFmtId="211" formatCode="General&quot; kg/h&quot;"/>
    <numFmt numFmtId="212" formatCode="General&quot; d&quot;"/>
    <numFmt numFmtId="213" formatCode="General&quot; L/h&quot;"/>
    <numFmt numFmtId="214" formatCode="0.00\ &quot;mg/L&quot;"/>
    <numFmt numFmtId="215" formatCode="0.0000\ &quot;kWh/Kg&quot;"/>
    <numFmt numFmtId="216" formatCode="General&quot; kwh&quot;"/>
    <numFmt numFmtId="217" formatCode="General&quot; L/min&quot;"/>
    <numFmt numFmtId="218" formatCode="General&quot; g&quot;"/>
    <numFmt numFmtId="219" formatCode="General&quot; $/metric ton&quot;"/>
  </numFmts>
  <fonts count="3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9"/>
      <name val="等线"/>
      <family val="3"/>
      <charset val="134"/>
      <scheme val="minor"/>
    </font>
    <font>
      <sz val="12"/>
      <color rgb="FF000000"/>
      <name val="Times New Roman"/>
      <family val="1"/>
    </font>
    <font>
      <sz val="12"/>
      <color theme="1"/>
      <name val="等线"/>
      <family val="2"/>
      <charset val="134"/>
      <scheme val="minor"/>
    </font>
    <font>
      <b/>
      <sz val="12"/>
      <color theme="1"/>
      <name val="Times New Roman"/>
      <family val="3"/>
    </font>
    <font>
      <sz val="11"/>
      <color theme="1"/>
      <name val="Times New Roman"/>
      <family val="1"/>
    </font>
    <font>
      <sz val="11"/>
      <color theme="1"/>
      <name val="等线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0"/>
      <color rgb="FF000000"/>
      <name val="Microsoft YaHei UI"/>
      <family val="2"/>
      <charset val="134"/>
    </font>
    <font>
      <sz val="10"/>
      <color rgb="FF000000"/>
      <name val="Microsoft YaHei UI"/>
      <family val="2"/>
      <charset val="134"/>
    </font>
    <font>
      <sz val="10"/>
      <color rgb="FF000000"/>
      <name val="等线"/>
      <family val="4"/>
      <charset val="13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u/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2"/>
      <color theme="1"/>
      <name val="Times New Roman"/>
      <family val="1"/>
    </font>
    <font>
      <b/>
      <sz val="28"/>
      <color theme="1"/>
      <name val="Times New Roman"/>
      <family val="1"/>
    </font>
    <font>
      <b/>
      <sz val="12"/>
      <color theme="1"/>
      <name val="SimSun"/>
      <family val="3"/>
      <charset val="134"/>
    </font>
    <font>
      <sz val="12"/>
      <color theme="1"/>
      <name val="SimSun"/>
      <family val="3"/>
      <charset val="134"/>
    </font>
    <font>
      <sz val="12"/>
      <color theme="1"/>
      <name val="Times New Roman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rgb="FF000000"/>
      <name val="Times New Roman"/>
      <family val="1"/>
    </font>
    <font>
      <sz val="6"/>
      <color rgb="FF000000"/>
      <name val="Times New Roman"/>
      <family val="1"/>
    </font>
    <font>
      <sz val="6"/>
      <color rgb="FF4472C4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5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9" fillId="0" borderId="0"/>
    <xf numFmtId="0" fontId="9" fillId="0" borderId="0"/>
  </cellStyleXfs>
  <cellXfs count="659">
    <xf numFmtId="0" fontId="0" fillId="0" borderId="0" xfId="0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0" fontId="2" fillId="0" borderId="2" xfId="1" applyNumberFormat="1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10" fontId="2" fillId="0" borderId="0" xfId="1" applyNumberFormat="1" applyFont="1" applyFill="1" applyBorder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0" fontId="2" fillId="0" borderId="7" xfId="1" applyNumberFormat="1" applyFont="1" applyFill="1" applyBorder="1" applyAlignment="1">
      <alignment horizontal="center" vertical="center" wrapText="1"/>
    </xf>
    <xf numFmtId="177" fontId="2" fillId="0" borderId="7" xfId="0" applyNumberFormat="1" applyFont="1" applyBorder="1" applyAlignment="1">
      <alignment horizontal="center" vertical="center" wrapText="1"/>
    </xf>
    <xf numFmtId="179" fontId="2" fillId="0" borderId="2" xfId="0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9" fontId="2" fillId="0" borderId="0" xfId="0" applyNumberFormat="1" applyFont="1" applyAlignment="1">
      <alignment horizontal="center" vertical="center"/>
    </xf>
    <xf numFmtId="10" fontId="2" fillId="0" borderId="0" xfId="1" applyNumberFormat="1" applyFont="1" applyFill="1" applyBorder="1" applyAlignment="1">
      <alignment horizontal="center" vertical="center"/>
    </xf>
    <xf numFmtId="179" fontId="2" fillId="0" borderId="7" xfId="0" applyNumberFormat="1" applyFont="1" applyBorder="1" applyAlignment="1">
      <alignment horizontal="center" vertical="center"/>
    </xf>
    <xf numFmtId="180" fontId="2" fillId="0" borderId="7" xfId="0" applyNumberFormat="1" applyFont="1" applyBorder="1" applyAlignment="1">
      <alignment horizontal="center" vertical="center"/>
    </xf>
    <xf numFmtId="177" fontId="2" fillId="0" borderId="7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181" fontId="2" fillId="0" borderId="10" xfId="0" applyNumberFormat="1" applyFont="1" applyBorder="1" applyAlignment="1">
      <alignment horizontal="center" vertical="center"/>
    </xf>
    <xf numFmtId="182" fontId="2" fillId="0" borderId="10" xfId="0" applyNumberFormat="1" applyFont="1" applyBorder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10" fontId="2" fillId="0" borderId="10" xfId="1" applyNumberFormat="1" applyFont="1" applyFill="1" applyBorder="1" applyAlignment="1">
      <alignment horizontal="center" vertical="center"/>
    </xf>
    <xf numFmtId="183" fontId="2" fillId="0" borderId="1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9" fontId="2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77" fontId="0" fillId="0" borderId="0" xfId="0" applyNumberFormat="1" applyAlignment="1">
      <alignment horizontal="center"/>
    </xf>
    <xf numFmtId="0" fontId="0" fillId="0" borderId="0" xfId="0" applyAlignment="1"/>
    <xf numFmtId="49" fontId="2" fillId="0" borderId="0" xfId="0" applyNumberFormat="1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26" fontId="11" fillId="0" borderId="12" xfId="2" applyNumberFormat="1" applyFont="1" applyFill="1" applyBorder="1" applyAlignment="1">
      <alignment horizontal="center" vertical="center" wrapText="1"/>
    </xf>
    <xf numFmtId="26" fontId="11" fillId="0" borderId="12" xfId="0" applyNumberFormat="1" applyFont="1" applyBorder="1" applyAlignment="1">
      <alignment horizontal="center" vertical="center"/>
    </xf>
    <xf numFmtId="187" fontId="11" fillId="0" borderId="12" xfId="0" applyNumberFormat="1" applyFont="1" applyBorder="1" applyAlignment="1">
      <alignment horizontal="center" vertical="center"/>
    </xf>
    <xf numFmtId="188" fontId="11" fillId="0" borderId="12" xfId="0" applyNumberFormat="1" applyFont="1" applyBorder="1" applyAlignment="1">
      <alignment horizontal="center" vertical="center" wrapText="1"/>
    </xf>
    <xf numFmtId="189" fontId="11" fillId="0" borderId="12" xfId="0" applyNumberFormat="1" applyFont="1" applyBorder="1" applyAlignment="1">
      <alignment horizontal="center" vertical="center"/>
    </xf>
    <xf numFmtId="190" fontId="11" fillId="0" borderId="12" xfId="0" applyNumberFormat="1" applyFont="1" applyBorder="1" applyAlignment="1">
      <alignment horizontal="center" vertical="center"/>
    </xf>
    <xf numFmtId="191" fontId="11" fillId="0" borderId="12" xfId="0" applyNumberFormat="1" applyFont="1" applyBorder="1" applyAlignment="1">
      <alignment horizontal="center" vertical="center" wrapText="1"/>
    </xf>
    <xf numFmtId="191" fontId="11" fillId="0" borderId="12" xfId="2" applyNumberFormat="1" applyFont="1" applyFill="1" applyBorder="1" applyAlignment="1">
      <alignment horizontal="center" vertical="center"/>
    </xf>
    <xf numFmtId="187" fontId="11" fillId="0" borderId="12" xfId="0" applyNumberFormat="1" applyFont="1" applyBorder="1" applyAlignment="1">
      <alignment horizontal="center" vertical="center" wrapText="1"/>
    </xf>
    <xf numFmtId="192" fontId="11" fillId="0" borderId="12" xfId="0" applyNumberFormat="1" applyFont="1" applyBorder="1" applyAlignment="1">
      <alignment horizontal="center" vertical="center" wrapText="1"/>
    </xf>
    <xf numFmtId="193" fontId="11" fillId="0" borderId="12" xfId="0" applyNumberFormat="1" applyFont="1" applyBorder="1" applyAlignment="1">
      <alignment horizontal="center" vertical="center" wrapText="1"/>
    </xf>
    <xf numFmtId="194" fontId="11" fillId="0" borderId="12" xfId="0" applyNumberFormat="1" applyFont="1" applyBorder="1" applyAlignment="1">
      <alignment horizontal="center" vertical="center" wrapText="1"/>
    </xf>
    <xf numFmtId="194" fontId="11" fillId="0" borderId="12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195" fontId="11" fillId="0" borderId="1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7" fontId="2" fillId="0" borderId="1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9" fontId="2" fillId="0" borderId="1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10" fontId="2" fillId="0" borderId="7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 wrapText="1"/>
    </xf>
    <xf numFmtId="177" fontId="17" fillId="0" borderId="2" xfId="0" applyNumberFormat="1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7" fontId="17" fillId="0" borderId="0" xfId="0" applyNumberFormat="1" applyFont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10" fontId="2" fillId="0" borderId="2" xfId="1" applyNumberFormat="1" applyFont="1" applyFill="1" applyBorder="1" applyAlignment="1">
      <alignment horizontal="center" vertical="center"/>
    </xf>
    <xf numFmtId="10" fontId="2" fillId="0" borderId="7" xfId="1" applyNumberFormat="1" applyFont="1" applyFill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9" fontId="2" fillId="0" borderId="10" xfId="1" applyFont="1" applyFill="1" applyBorder="1" applyAlignment="1">
      <alignment horizontal="center" vertical="center"/>
    </xf>
    <xf numFmtId="184" fontId="2" fillId="0" borderId="10" xfId="0" applyNumberFormat="1" applyFont="1" applyBorder="1" applyAlignment="1">
      <alignment horizontal="center" vertical="center"/>
    </xf>
    <xf numFmtId="185" fontId="2" fillId="0" borderId="10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200" fontId="2" fillId="0" borderId="0" xfId="0" applyNumberFormat="1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201" fontId="2" fillId="0" borderId="7" xfId="0" applyNumberFormat="1" applyFont="1" applyBorder="1" applyAlignment="1">
      <alignment horizontal="left" vertical="center"/>
    </xf>
    <xf numFmtId="26" fontId="2" fillId="0" borderId="3" xfId="0" applyNumberFormat="1" applyFont="1" applyBorder="1" applyAlignment="1">
      <alignment horizontal="left" vertical="center"/>
    </xf>
    <xf numFmtId="26" fontId="2" fillId="0" borderId="5" xfId="0" applyNumberFormat="1" applyFont="1" applyBorder="1" applyAlignment="1">
      <alignment horizontal="left" vertical="center"/>
    </xf>
    <xf numFmtId="26" fontId="2" fillId="0" borderId="8" xfId="0" applyNumberFormat="1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2" xfId="1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0" xfId="1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9" fontId="2" fillId="0" borderId="0" xfId="1" applyFont="1" applyFill="1" applyBorder="1" applyAlignment="1">
      <alignment horizontal="left" vertical="center"/>
    </xf>
    <xf numFmtId="9" fontId="2" fillId="0" borderId="7" xfId="1" applyFont="1" applyFill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10" fontId="23" fillId="0" borderId="0" xfId="1" applyNumberFormat="1" applyFont="1" applyFill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  <xf numFmtId="10" fontId="23" fillId="0" borderId="7" xfId="0" applyNumberFormat="1" applyFont="1" applyBorder="1" applyAlignment="1">
      <alignment horizontal="left" vertical="center"/>
    </xf>
    <xf numFmtId="10" fontId="23" fillId="0" borderId="7" xfId="1" applyNumberFormat="1" applyFont="1" applyFill="1" applyBorder="1" applyAlignment="1">
      <alignment horizontal="left" vertical="center"/>
    </xf>
    <xf numFmtId="11" fontId="23" fillId="0" borderId="7" xfId="0" applyNumberFormat="1" applyFont="1" applyBorder="1" applyAlignment="1">
      <alignment horizontal="left" vertical="center"/>
    </xf>
    <xf numFmtId="9" fontId="2" fillId="0" borderId="2" xfId="0" applyNumberFormat="1" applyFont="1" applyBorder="1" applyAlignment="1">
      <alignment horizontal="left" vertical="center"/>
    </xf>
    <xf numFmtId="9" fontId="2" fillId="0" borderId="7" xfId="0" applyNumberFormat="1" applyFont="1" applyBorder="1" applyAlignment="1">
      <alignment horizontal="left" vertical="center"/>
    </xf>
    <xf numFmtId="0" fontId="2" fillId="0" borderId="7" xfId="1" applyNumberFormat="1" applyFont="1" applyFill="1" applyBorder="1" applyAlignment="1">
      <alignment horizontal="left" vertical="center"/>
    </xf>
    <xf numFmtId="9" fontId="2" fillId="0" borderId="10" xfId="0" applyNumberFormat="1" applyFont="1" applyBorder="1" applyAlignment="1">
      <alignment horizontal="left" vertical="center"/>
    </xf>
    <xf numFmtId="10" fontId="2" fillId="0" borderId="10" xfId="0" applyNumberFormat="1" applyFont="1" applyBorder="1" applyAlignment="1">
      <alignment horizontal="left" vertical="center"/>
    </xf>
    <xf numFmtId="0" fontId="2" fillId="0" borderId="10" xfId="1" applyNumberFormat="1" applyFont="1" applyFill="1" applyBorder="1" applyAlignment="1">
      <alignment horizontal="left" vertical="center"/>
    </xf>
    <xf numFmtId="2" fontId="2" fillId="0" borderId="2" xfId="0" applyNumberFormat="1" applyFont="1" applyBorder="1" applyAlignment="1">
      <alignment horizontal="left" vertical="center"/>
    </xf>
    <xf numFmtId="2" fontId="2" fillId="0" borderId="7" xfId="0" applyNumberFormat="1" applyFont="1" applyBorder="1" applyAlignment="1">
      <alignment horizontal="left" vertical="center"/>
    </xf>
    <xf numFmtId="0" fontId="2" fillId="0" borderId="2" xfId="1" applyNumberFormat="1" applyFont="1" applyFill="1" applyBorder="1" applyAlignment="1">
      <alignment horizontal="left" vertical="center"/>
    </xf>
    <xf numFmtId="11" fontId="2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10" fontId="23" fillId="0" borderId="0" xfId="0" applyNumberFormat="1" applyFont="1" applyBorder="1" applyAlignment="1">
      <alignment horizontal="left" vertical="center"/>
    </xf>
    <xf numFmtId="11" fontId="23" fillId="0" borderId="0" xfId="0" applyNumberFormat="1" applyFont="1" applyBorder="1" applyAlignment="1">
      <alignment horizontal="left" vertical="center"/>
    </xf>
    <xf numFmtId="9" fontId="2" fillId="0" borderId="0" xfId="0" applyNumberFormat="1" applyFont="1" applyBorder="1" applyAlignment="1">
      <alignment horizontal="left" vertical="center"/>
    </xf>
    <xf numFmtId="2" fontId="2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9" fontId="2" fillId="0" borderId="2" xfId="1" applyFont="1" applyFill="1" applyBorder="1" applyAlignment="1">
      <alignment horizontal="left" vertical="center"/>
    </xf>
    <xf numFmtId="11" fontId="2" fillId="0" borderId="2" xfId="0" applyNumberFormat="1" applyFont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center"/>
    </xf>
    <xf numFmtId="0" fontId="23" fillId="0" borderId="7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10" fontId="2" fillId="0" borderId="0" xfId="1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0" fontId="2" fillId="0" borderId="2" xfId="1" applyNumberFormat="1" applyFont="1" applyFill="1" applyBorder="1" applyAlignment="1">
      <alignment horizontal="left" vertical="center" wrapText="1"/>
    </xf>
    <xf numFmtId="10" fontId="2" fillId="0" borderId="7" xfId="1" applyNumberFormat="1" applyFont="1" applyFill="1" applyBorder="1" applyAlignment="1">
      <alignment horizontal="left" vertical="center" wrapText="1"/>
    </xf>
    <xf numFmtId="9" fontId="2" fillId="0" borderId="10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23" fillId="0" borderId="7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203" fontId="2" fillId="0" borderId="0" xfId="1" applyNumberFormat="1" applyFont="1" applyFill="1" applyBorder="1" applyAlignment="1">
      <alignment horizontal="left" vertical="center"/>
    </xf>
    <xf numFmtId="2" fontId="2" fillId="0" borderId="0" xfId="0" applyNumberFormat="1" applyFont="1" applyBorder="1" applyAlignment="1">
      <alignment horizontal="left" vertical="center" wrapText="1"/>
    </xf>
    <xf numFmtId="0" fontId="27" fillId="0" borderId="2" xfId="0" applyFont="1" applyFill="1" applyBorder="1" applyAlignment="1">
      <alignment horizontal="left" vertical="center"/>
    </xf>
    <xf numFmtId="1" fontId="2" fillId="0" borderId="2" xfId="0" applyNumberFormat="1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left" vertical="center"/>
    </xf>
    <xf numFmtId="2" fontId="2" fillId="0" borderId="0" xfId="0" applyNumberFormat="1" applyFont="1" applyFill="1" applyBorder="1" applyAlignment="1">
      <alignment horizontal="left" vertical="center"/>
    </xf>
    <xf numFmtId="0" fontId="27" fillId="0" borderId="7" xfId="0" applyFont="1" applyFill="1" applyBorder="1" applyAlignment="1">
      <alignment horizontal="left" vertical="center"/>
    </xf>
    <xf numFmtId="2" fontId="2" fillId="0" borderId="7" xfId="0" applyNumberFormat="1" applyFont="1" applyFill="1" applyBorder="1" applyAlignment="1">
      <alignment horizontal="left" vertical="center"/>
    </xf>
    <xf numFmtId="2" fontId="2" fillId="0" borderId="10" xfId="0" applyNumberFormat="1" applyFont="1" applyFill="1" applyBorder="1" applyAlignment="1">
      <alignment horizontal="left" vertical="center" wrapText="1"/>
    </xf>
    <xf numFmtId="2" fontId="2" fillId="0" borderId="10" xfId="0" applyNumberFormat="1" applyFont="1" applyFill="1" applyBorder="1" applyAlignment="1">
      <alignment horizontal="left" vertical="center"/>
    </xf>
    <xf numFmtId="203" fontId="2" fillId="0" borderId="0" xfId="0" applyNumberFormat="1" applyFont="1" applyBorder="1" applyAlignment="1">
      <alignment horizontal="left" vertical="center"/>
    </xf>
    <xf numFmtId="2" fontId="2" fillId="0" borderId="0" xfId="0" applyNumberFormat="1" applyFont="1" applyFill="1" applyBorder="1" applyAlignment="1">
      <alignment horizontal="left" vertical="center" wrapText="1"/>
    </xf>
    <xf numFmtId="2" fontId="2" fillId="0" borderId="7" xfId="0" applyNumberFormat="1" applyFont="1" applyFill="1" applyBorder="1" applyAlignment="1">
      <alignment horizontal="left" vertical="center" wrapText="1"/>
    </xf>
    <xf numFmtId="204" fontId="2" fillId="0" borderId="0" xfId="0" applyNumberFormat="1" applyFont="1" applyBorder="1" applyAlignment="1">
      <alignment horizontal="left" vertical="center"/>
    </xf>
    <xf numFmtId="204" fontId="2" fillId="0" borderId="7" xfId="0" applyNumberFormat="1" applyFont="1" applyBorder="1" applyAlignment="1">
      <alignment horizontal="left" vertical="center"/>
    </xf>
    <xf numFmtId="1" fontId="2" fillId="0" borderId="0" xfId="0" applyNumberFormat="1" applyFont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1" fontId="2" fillId="0" borderId="0" xfId="0" applyNumberFormat="1" applyFont="1" applyFill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203" fontId="2" fillId="0" borderId="7" xfId="1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2" fontId="2" fillId="0" borderId="7" xfId="0" applyNumberFormat="1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176" fontId="3" fillId="0" borderId="2" xfId="0" applyNumberFormat="1" applyFont="1" applyBorder="1" applyAlignment="1">
      <alignment horizontal="left" vertical="center" wrapText="1"/>
    </xf>
    <xf numFmtId="0" fontId="3" fillId="0" borderId="2" xfId="1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176" fontId="2" fillId="0" borderId="0" xfId="0" applyNumberFormat="1" applyFont="1" applyBorder="1" applyAlignment="1">
      <alignment horizontal="left" vertical="center"/>
    </xf>
    <xf numFmtId="10" fontId="2" fillId="0" borderId="0" xfId="0" applyNumberFormat="1" applyFont="1" applyBorder="1" applyAlignment="1">
      <alignment horizontal="left" vertical="center" wrapText="1"/>
    </xf>
    <xf numFmtId="176" fontId="2" fillId="0" borderId="7" xfId="0" applyNumberFormat="1" applyFont="1" applyBorder="1" applyAlignment="1">
      <alignment horizontal="left" vertical="center"/>
    </xf>
    <xf numFmtId="10" fontId="2" fillId="0" borderId="7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9" fontId="2" fillId="0" borderId="2" xfId="0" applyNumberFormat="1" applyFont="1" applyBorder="1" applyAlignment="1">
      <alignment horizontal="left" vertical="center" wrapText="1"/>
    </xf>
    <xf numFmtId="9" fontId="2" fillId="0" borderId="0" xfId="0" applyNumberFormat="1" applyFont="1" applyBorder="1" applyAlignment="1">
      <alignment horizontal="left" vertical="center" wrapText="1"/>
    </xf>
    <xf numFmtId="9" fontId="2" fillId="0" borderId="7" xfId="0" applyNumberFormat="1" applyFont="1" applyBorder="1" applyAlignment="1">
      <alignment horizontal="left" vertical="center" wrapText="1"/>
    </xf>
    <xf numFmtId="10" fontId="2" fillId="0" borderId="10" xfId="0" applyNumberFormat="1" applyFont="1" applyBorder="1" applyAlignment="1">
      <alignment horizontal="left" vertical="center" wrapText="1"/>
    </xf>
    <xf numFmtId="176" fontId="2" fillId="0" borderId="10" xfId="0" applyNumberFormat="1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9" fontId="2" fillId="0" borderId="7" xfId="1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0" fontId="2" fillId="0" borderId="2" xfId="0" applyNumberFormat="1" applyFont="1" applyBorder="1" applyAlignment="1">
      <alignment horizontal="left" vertical="center"/>
    </xf>
    <xf numFmtId="10" fontId="2" fillId="0" borderId="7" xfId="0" applyNumberFormat="1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0" fontId="2" fillId="0" borderId="0" xfId="0" applyNumberFormat="1" applyFont="1" applyAlignment="1">
      <alignment horizontal="left" vertical="center"/>
    </xf>
    <xf numFmtId="10" fontId="2" fillId="0" borderId="0" xfId="0" applyNumberFormat="1" applyFont="1" applyBorder="1" applyAlignment="1">
      <alignment horizontal="left" vertical="center"/>
    </xf>
    <xf numFmtId="10" fontId="2" fillId="0" borderId="2" xfId="1" applyNumberFormat="1" applyFont="1" applyFill="1" applyBorder="1" applyAlignment="1">
      <alignment horizontal="left" vertical="center"/>
    </xf>
    <xf numFmtId="10" fontId="2" fillId="0" borderId="0" xfId="1" applyNumberFormat="1" applyFont="1" applyFill="1" applyBorder="1" applyAlignment="1">
      <alignment horizontal="left" vertical="center"/>
    </xf>
    <xf numFmtId="10" fontId="2" fillId="0" borderId="7" xfId="1" applyNumberFormat="1" applyFont="1" applyFill="1" applyBorder="1" applyAlignment="1">
      <alignment horizontal="left" vertical="center"/>
    </xf>
    <xf numFmtId="176" fontId="2" fillId="0" borderId="2" xfId="0" applyNumberFormat="1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202" fontId="2" fillId="0" borderId="0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0" fontId="3" fillId="0" borderId="0" xfId="0" applyNumberFormat="1" applyFont="1" applyBorder="1" applyAlignment="1">
      <alignment horizontal="left" vertical="center"/>
    </xf>
    <xf numFmtId="10" fontId="3" fillId="0" borderId="7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0" fontId="3" fillId="0" borderId="2" xfId="1" applyNumberFormat="1" applyFont="1" applyFill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10" fontId="3" fillId="0" borderId="7" xfId="1" applyNumberFormat="1" applyFont="1" applyFill="1" applyBorder="1" applyAlignment="1">
      <alignment horizontal="left" vertical="center"/>
    </xf>
    <xf numFmtId="10" fontId="3" fillId="0" borderId="0" xfId="1" applyNumberFormat="1" applyFont="1" applyFill="1" applyBorder="1" applyAlignment="1">
      <alignment horizontal="left" vertical="center"/>
    </xf>
    <xf numFmtId="10" fontId="2" fillId="0" borderId="11" xfId="0" applyNumberFormat="1" applyFont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176" fontId="0" fillId="0" borderId="7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10" fontId="3" fillId="0" borderId="12" xfId="1" applyNumberFormat="1" applyFont="1" applyFill="1" applyBorder="1" applyAlignment="1">
      <alignment horizontal="center" vertical="center" wrapText="1"/>
    </xf>
    <xf numFmtId="177" fontId="3" fillId="0" borderId="12" xfId="0" applyNumberFormat="1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215" fontId="3" fillId="0" borderId="12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214" fontId="3" fillId="0" borderId="12" xfId="0" applyNumberFormat="1" applyFont="1" applyFill="1" applyBorder="1" applyAlignment="1">
      <alignment horizontal="center" vertical="center" wrapText="1"/>
    </xf>
    <xf numFmtId="206" fontId="3" fillId="0" borderId="12" xfId="0" applyNumberFormat="1" applyFont="1" applyFill="1" applyBorder="1" applyAlignment="1">
      <alignment horizontal="center" vertical="center" wrapText="1"/>
    </xf>
    <xf numFmtId="2" fontId="3" fillId="0" borderId="1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0" fontId="2" fillId="0" borderId="0" xfId="1" applyNumberFormat="1" applyFont="1" applyBorder="1" applyAlignment="1">
      <alignment horizontal="center" vertical="center"/>
    </xf>
    <xf numFmtId="10" fontId="2" fillId="0" borderId="7" xfId="1" applyNumberFormat="1" applyFont="1" applyBorder="1" applyAlignment="1">
      <alignment horizontal="center" vertical="center"/>
    </xf>
    <xf numFmtId="10" fontId="2" fillId="0" borderId="2" xfId="1" applyNumberFormat="1" applyFont="1" applyBorder="1" applyAlignment="1">
      <alignment horizontal="center" vertical="center"/>
    </xf>
    <xf numFmtId="10" fontId="2" fillId="0" borderId="10" xfId="1" applyNumberFormat="1" applyFont="1" applyBorder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15" xfId="3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4" xfId="3" applyFont="1" applyFill="1" applyBorder="1" applyAlignment="1">
      <alignment horizontal="center" vertical="center" wrapText="1"/>
    </xf>
    <xf numFmtId="0" fontId="2" fillId="0" borderId="12" xfId="3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98" fontId="2" fillId="0" borderId="14" xfId="0" applyNumberFormat="1" applyFont="1" applyFill="1" applyBorder="1" applyAlignment="1">
      <alignment horizontal="center" vertical="center"/>
    </xf>
    <xf numFmtId="199" fontId="2" fillId="0" borderId="12" xfId="0" applyNumberFormat="1" applyFont="1" applyFill="1" applyBorder="1" applyAlignment="1">
      <alignment horizontal="center" vertical="center"/>
    </xf>
    <xf numFmtId="0" fontId="2" fillId="0" borderId="13" xfId="4" applyFont="1" applyFill="1" applyBorder="1" applyAlignment="1">
      <alignment horizontal="center" vertical="center" wrapText="1"/>
    </xf>
    <xf numFmtId="0" fontId="2" fillId="0" borderId="15" xfId="4" applyFont="1" applyFill="1" applyBorder="1" applyAlignment="1">
      <alignment horizontal="center" vertical="center" wrapText="1"/>
    </xf>
    <xf numFmtId="198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7" fontId="2" fillId="0" borderId="10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216" fontId="2" fillId="0" borderId="7" xfId="0" applyNumberFormat="1" applyFont="1" applyBorder="1" applyAlignment="1">
      <alignment horizontal="center" vertical="center"/>
    </xf>
    <xf numFmtId="203" fontId="2" fillId="0" borderId="7" xfId="1" applyNumberFormat="1" applyFont="1" applyBorder="1" applyAlignment="1">
      <alignment horizontal="center" vertical="center"/>
    </xf>
    <xf numFmtId="217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217" fontId="2" fillId="0" borderId="0" xfId="0" applyNumberFormat="1" applyFont="1" applyAlignment="1">
      <alignment horizontal="center" vertical="center"/>
    </xf>
    <xf numFmtId="217" fontId="2" fillId="0" borderId="7" xfId="0" applyNumberFormat="1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218" fontId="30" fillId="0" borderId="0" xfId="0" applyNumberFormat="1" applyFont="1" applyAlignment="1">
      <alignment horizontal="center" vertical="center"/>
    </xf>
    <xf numFmtId="26" fontId="30" fillId="0" borderId="0" xfId="0" applyNumberFormat="1" applyFont="1" applyAlignment="1">
      <alignment horizontal="center" vertical="center"/>
    </xf>
    <xf numFmtId="219" fontId="30" fillId="0" borderId="0" xfId="0" applyNumberFormat="1" applyFont="1" applyAlignment="1">
      <alignment horizontal="center" vertical="center" wrapText="1"/>
    </xf>
    <xf numFmtId="2" fontId="31" fillId="0" borderId="0" xfId="0" applyNumberFormat="1" applyFont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86" fontId="5" fillId="0" borderId="0" xfId="0" applyNumberFormat="1" applyFont="1" applyAlignment="1">
      <alignment horizontal="center" vertical="center" wrapText="1"/>
    </xf>
    <xf numFmtId="186" fontId="5" fillId="0" borderId="5" xfId="0" applyNumberFormat="1" applyFont="1" applyBorder="1" applyAlignment="1">
      <alignment horizontal="center" vertical="center" wrapText="1"/>
    </xf>
    <xf numFmtId="186" fontId="5" fillId="0" borderId="7" xfId="0" applyNumberFormat="1" applyFont="1" applyBorder="1" applyAlignment="1">
      <alignment horizontal="center" vertical="center" wrapText="1"/>
    </xf>
    <xf numFmtId="186" fontId="5" fillId="0" borderId="8" xfId="0" applyNumberFormat="1" applyFont="1" applyBorder="1" applyAlignment="1">
      <alignment horizontal="center" vertical="center" wrapText="1"/>
    </xf>
    <xf numFmtId="177" fontId="5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 wrapText="1"/>
    </xf>
    <xf numFmtId="186" fontId="5" fillId="0" borderId="0" xfId="0" applyNumberFormat="1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/>
    </xf>
    <xf numFmtId="218" fontId="30" fillId="0" borderId="0" xfId="0" applyNumberFormat="1" applyFont="1" applyBorder="1" applyAlignment="1">
      <alignment horizontal="center" vertical="center"/>
    </xf>
    <xf numFmtId="26" fontId="30" fillId="0" borderId="0" xfId="0" applyNumberFormat="1" applyFont="1" applyBorder="1" applyAlignment="1">
      <alignment horizontal="center" vertical="center"/>
    </xf>
    <xf numFmtId="219" fontId="30" fillId="0" borderId="0" xfId="0" applyNumberFormat="1" applyFont="1" applyBorder="1" applyAlignment="1">
      <alignment horizontal="center" vertical="center" wrapText="1"/>
    </xf>
    <xf numFmtId="2" fontId="31" fillId="0" borderId="0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186" fontId="11" fillId="0" borderId="12" xfId="0" applyNumberFormat="1" applyFont="1" applyBorder="1" applyAlignment="1">
      <alignment horizontal="center" vertical="center" wrapText="1"/>
    </xf>
    <xf numFmtId="186" fontId="11" fillId="0" borderId="12" xfId="0" applyNumberFormat="1" applyFont="1" applyBorder="1" applyAlignment="1">
      <alignment horizontal="center" vertical="center"/>
    </xf>
    <xf numFmtId="26" fontId="11" fillId="0" borderId="12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200" fontId="2" fillId="0" borderId="10" xfId="0" applyNumberFormat="1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76" fontId="2" fillId="0" borderId="2" xfId="0" applyNumberFormat="1" applyFont="1" applyBorder="1" applyAlignment="1">
      <alignment horizontal="left" vertical="center"/>
    </xf>
    <xf numFmtId="176" fontId="2" fillId="0" borderId="0" xfId="0" applyNumberFormat="1" applyFont="1" applyBorder="1" applyAlignment="1">
      <alignment horizontal="left" vertical="center"/>
    </xf>
    <xf numFmtId="176" fontId="2" fillId="0" borderId="7" xfId="0" applyNumberFormat="1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10" fontId="2" fillId="0" borderId="2" xfId="1" applyNumberFormat="1" applyFont="1" applyFill="1" applyBorder="1" applyAlignment="1">
      <alignment horizontal="left" vertical="center"/>
    </xf>
    <xf numFmtId="10" fontId="2" fillId="0" borderId="0" xfId="1" applyNumberFormat="1" applyFont="1" applyFill="1" applyBorder="1" applyAlignment="1">
      <alignment horizontal="left" vertical="center"/>
    </xf>
    <xf numFmtId="10" fontId="2" fillId="0" borderId="7" xfId="1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197" fontId="2" fillId="0" borderId="0" xfId="0" applyNumberFormat="1" applyFont="1" applyFill="1" applyBorder="1" applyAlignment="1">
      <alignment horizontal="center" vertical="center"/>
    </xf>
    <xf numFmtId="197" fontId="2" fillId="0" borderId="7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left" vertical="center" wrapText="1"/>
    </xf>
    <xf numFmtId="0" fontId="16" fillId="0" borderId="12" xfId="0" applyFont="1" applyFill="1" applyBorder="1" applyAlignment="1">
      <alignment horizontal="center" vertical="center" wrapText="1"/>
    </xf>
    <xf numFmtId="186" fontId="16" fillId="0" borderId="12" xfId="0" applyNumberFormat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194" fontId="16" fillId="0" borderId="12" xfId="0" applyNumberFormat="1" applyFont="1" applyFill="1" applyBorder="1" applyAlignment="1">
      <alignment horizontal="center" vertical="center"/>
    </xf>
    <xf numFmtId="196" fontId="16" fillId="0" borderId="12" xfId="0" applyNumberFormat="1" applyFont="1" applyFill="1" applyBorder="1" applyAlignment="1">
      <alignment horizontal="center" vertical="center"/>
    </xf>
    <xf numFmtId="186" fontId="16" fillId="0" borderId="12" xfId="0" applyNumberFormat="1" applyFont="1" applyFill="1" applyBorder="1" applyAlignment="1">
      <alignment horizontal="center" vertical="center" wrapText="1"/>
    </xf>
    <xf numFmtId="24" fontId="16" fillId="0" borderId="12" xfId="0" applyNumberFormat="1" applyFont="1" applyFill="1" applyBorder="1" applyAlignment="1">
      <alignment horizontal="center" vertical="center"/>
    </xf>
    <xf numFmtId="26" fontId="16" fillId="0" borderId="12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12" xfId="0" applyFont="1" applyFill="1" applyBorder="1">
      <alignment vertical="center"/>
    </xf>
    <xf numFmtId="0" fontId="10" fillId="0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06" fontId="2" fillId="0" borderId="0" xfId="0" applyNumberFormat="1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205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0" fontId="2" fillId="0" borderId="13" xfId="1" applyNumberFormat="1" applyFont="1" applyFill="1" applyBorder="1" applyAlignment="1">
      <alignment horizontal="center" vertical="center" wrapText="1"/>
    </xf>
    <xf numFmtId="207" fontId="2" fillId="0" borderId="13" xfId="1" applyNumberFormat="1" applyFont="1" applyFill="1" applyBorder="1" applyAlignment="1">
      <alignment horizontal="center" vertical="center" wrapText="1"/>
    </xf>
    <xf numFmtId="208" fontId="2" fillId="0" borderId="13" xfId="1" applyNumberFormat="1" applyFont="1" applyFill="1" applyBorder="1" applyAlignment="1">
      <alignment horizontal="center" vertical="center" wrapText="1"/>
    </xf>
    <xf numFmtId="177" fontId="2" fillId="0" borderId="13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205" fontId="2" fillId="0" borderId="0" xfId="0" applyNumberFormat="1" applyFont="1" applyBorder="1" applyAlignment="1">
      <alignment horizontal="center" vertical="center"/>
    </xf>
    <xf numFmtId="209" fontId="2" fillId="0" borderId="0" xfId="0" applyNumberFormat="1" applyFont="1" applyBorder="1" applyAlignment="1">
      <alignment horizontal="center" vertical="center"/>
    </xf>
    <xf numFmtId="183" fontId="2" fillId="0" borderId="0" xfId="0" applyNumberFormat="1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205" fontId="2" fillId="0" borderId="2" xfId="0" applyNumberFormat="1" applyFont="1" applyBorder="1" applyAlignment="1">
      <alignment horizontal="center" vertical="center"/>
    </xf>
    <xf numFmtId="209" fontId="2" fillId="0" borderId="2" xfId="0" applyNumberFormat="1" applyFont="1" applyBorder="1" applyAlignment="1">
      <alignment horizontal="center" vertical="center"/>
    </xf>
    <xf numFmtId="183" fontId="2" fillId="0" borderId="2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205" fontId="2" fillId="0" borderId="7" xfId="0" applyNumberFormat="1" applyFont="1" applyBorder="1" applyAlignment="1">
      <alignment horizontal="center" vertical="center"/>
    </xf>
    <xf numFmtId="177" fontId="2" fillId="0" borderId="8" xfId="0" applyNumberFormat="1" applyFont="1" applyBorder="1" applyAlignment="1">
      <alignment horizontal="center" vertical="center"/>
    </xf>
    <xf numFmtId="202" fontId="2" fillId="0" borderId="7" xfId="0" applyNumberFormat="1" applyFont="1" applyBorder="1" applyAlignment="1">
      <alignment horizontal="left" vertical="center"/>
    </xf>
    <xf numFmtId="176" fontId="2" fillId="0" borderId="10" xfId="0" applyNumberFormat="1" applyFont="1" applyBorder="1" applyAlignment="1">
      <alignment horizontal="left" vertical="center"/>
    </xf>
    <xf numFmtId="2" fontId="2" fillId="0" borderId="1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10" fontId="0" fillId="0" borderId="2" xfId="0" applyNumberFormat="1" applyFont="1" applyBorder="1" applyAlignment="1">
      <alignment horizontal="left" vertical="center" wrapText="1"/>
    </xf>
    <xf numFmtId="10" fontId="0" fillId="0" borderId="0" xfId="1" applyNumberFormat="1" applyFont="1" applyBorder="1" applyAlignment="1">
      <alignment horizontal="left" vertical="center"/>
    </xf>
    <xf numFmtId="10" fontId="0" fillId="0" borderId="7" xfId="0" applyNumberFormat="1" applyFont="1" applyBorder="1" applyAlignment="1">
      <alignment horizontal="left" vertical="center" wrapText="1"/>
    </xf>
    <xf numFmtId="10" fontId="0" fillId="0" borderId="0" xfId="0" applyNumberFormat="1" applyFont="1" applyBorder="1" applyAlignment="1">
      <alignment horizontal="left" vertical="center" wrapText="1"/>
    </xf>
    <xf numFmtId="10" fontId="0" fillId="0" borderId="2" xfId="1" applyNumberFormat="1" applyFont="1" applyFill="1" applyBorder="1" applyAlignment="1">
      <alignment horizontal="left" vertical="center" wrapText="1"/>
    </xf>
    <xf numFmtId="10" fontId="0" fillId="0" borderId="0" xfId="1" applyNumberFormat="1" applyFont="1" applyFill="1" applyBorder="1" applyAlignment="1">
      <alignment horizontal="left" vertical="center" wrapText="1"/>
    </xf>
    <xf numFmtId="10" fontId="0" fillId="0" borderId="7" xfId="1" applyNumberFormat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10" fontId="0" fillId="0" borderId="10" xfId="0" applyNumberFormat="1" applyFont="1" applyBorder="1" applyAlignment="1">
      <alignment horizontal="left" vertical="center"/>
    </xf>
    <xf numFmtId="9" fontId="0" fillId="0" borderId="2" xfId="0" applyNumberFormat="1" applyFont="1" applyBorder="1" applyAlignment="1">
      <alignment horizontal="left" vertical="center" wrapText="1"/>
    </xf>
    <xf numFmtId="9" fontId="0" fillId="0" borderId="0" xfId="0" applyNumberFormat="1" applyFont="1" applyBorder="1" applyAlignment="1">
      <alignment horizontal="left" vertical="center" wrapText="1"/>
    </xf>
    <xf numFmtId="9" fontId="0" fillId="0" borderId="7" xfId="0" applyNumberFormat="1" applyFont="1" applyBorder="1" applyAlignment="1">
      <alignment horizontal="left" vertical="center" wrapText="1"/>
    </xf>
    <xf numFmtId="10" fontId="0" fillId="0" borderId="0" xfId="1" applyNumberFormat="1" applyFont="1" applyFill="1" applyBorder="1" applyAlignment="1">
      <alignment horizontal="left" vertical="center"/>
    </xf>
    <xf numFmtId="10" fontId="0" fillId="0" borderId="0" xfId="0" applyNumberFormat="1" applyFont="1" applyBorder="1" applyAlignment="1">
      <alignment horizontal="left" vertical="center"/>
    </xf>
    <xf numFmtId="9" fontId="0" fillId="0" borderId="0" xfId="1" applyFont="1" applyFill="1" applyBorder="1" applyAlignment="1">
      <alignment horizontal="left" vertical="center" wrapText="1"/>
    </xf>
    <xf numFmtId="9" fontId="0" fillId="0" borderId="10" xfId="0" applyNumberFormat="1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 wrapText="1"/>
    </xf>
    <xf numFmtId="9" fontId="0" fillId="0" borderId="2" xfId="0" applyNumberFormat="1" applyFont="1" applyBorder="1" applyAlignment="1">
      <alignment horizontal="left" vertical="center"/>
    </xf>
    <xf numFmtId="9" fontId="0" fillId="0" borderId="7" xfId="1" applyFont="1" applyFill="1" applyBorder="1" applyAlignment="1">
      <alignment horizontal="left" vertical="center" wrapText="1"/>
    </xf>
    <xf numFmtId="9" fontId="0" fillId="0" borderId="0" xfId="0" applyNumberFormat="1" applyFont="1" applyBorder="1" applyAlignment="1">
      <alignment horizontal="left" vertical="center"/>
    </xf>
    <xf numFmtId="10" fontId="0" fillId="0" borderId="2" xfId="1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9" fontId="0" fillId="0" borderId="7" xfId="0" applyNumberFormat="1" applyFont="1" applyBorder="1" applyAlignment="1">
      <alignment horizontal="left" vertical="center"/>
    </xf>
    <xf numFmtId="9" fontId="0" fillId="0" borderId="0" xfId="1" applyFont="1" applyFill="1" applyBorder="1" applyAlignment="1">
      <alignment horizontal="left" vertical="center"/>
    </xf>
    <xf numFmtId="10" fontId="0" fillId="0" borderId="2" xfId="1" applyNumberFormat="1" applyFont="1" applyBorder="1" applyAlignment="1">
      <alignment horizontal="left" vertical="center"/>
    </xf>
    <xf numFmtId="10" fontId="0" fillId="0" borderId="7" xfId="1" applyNumberFormat="1" applyFont="1" applyBorder="1" applyAlignment="1">
      <alignment horizontal="left" vertical="center"/>
    </xf>
    <xf numFmtId="177" fontId="2" fillId="0" borderId="11" xfId="0" applyNumberFormat="1" applyFont="1" applyBorder="1" applyAlignment="1">
      <alignment horizontal="center" vertical="center"/>
    </xf>
    <xf numFmtId="177" fontId="16" fillId="0" borderId="3" xfId="0" applyNumberFormat="1" applyFont="1" applyBorder="1" applyAlignment="1">
      <alignment horizontal="center" vertical="center"/>
    </xf>
    <xf numFmtId="177" fontId="16" fillId="0" borderId="5" xfId="0" applyNumberFormat="1" applyFont="1" applyBorder="1" applyAlignment="1">
      <alignment horizontal="center" vertical="center"/>
    </xf>
    <xf numFmtId="177" fontId="16" fillId="0" borderId="8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0" fontId="3" fillId="0" borderId="2" xfId="1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ill="1" applyAlignment="1"/>
    <xf numFmtId="210" fontId="2" fillId="0" borderId="0" xfId="0" applyNumberFormat="1" applyFont="1" applyBorder="1" applyAlignment="1">
      <alignment horizontal="center" vertical="center"/>
    </xf>
    <xf numFmtId="9" fontId="2" fillId="0" borderId="0" xfId="1" applyFont="1" applyFill="1" applyBorder="1" applyAlignment="1">
      <alignment horizontal="center" vertical="center"/>
    </xf>
    <xf numFmtId="211" fontId="2" fillId="0" borderId="0" xfId="1" applyNumberFormat="1" applyFont="1" applyFill="1" applyBorder="1" applyAlignment="1">
      <alignment horizontal="center" vertical="center"/>
    </xf>
    <xf numFmtId="212" fontId="2" fillId="0" borderId="0" xfId="0" applyNumberFormat="1" applyFont="1" applyBorder="1" applyAlignment="1">
      <alignment horizontal="center" vertical="center"/>
    </xf>
    <xf numFmtId="213" fontId="2" fillId="0" borderId="0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210" fontId="2" fillId="0" borderId="2" xfId="0" applyNumberFormat="1" applyFont="1" applyBorder="1" applyAlignment="1">
      <alignment horizontal="center" vertical="center"/>
    </xf>
    <xf numFmtId="206" fontId="2" fillId="0" borderId="2" xfId="0" applyNumberFormat="1" applyFont="1" applyBorder="1" applyAlignment="1">
      <alignment horizontal="center" vertical="center"/>
    </xf>
    <xf numFmtId="9" fontId="2" fillId="0" borderId="2" xfId="1" applyFont="1" applyFill="1" applyBorder="1" applyAlignment="1">
      <alignment horizontal="center" vertical="center"/>
    </xf>
    <xf numFmtId="211" fontId="2" fillId="0" borderId="2" xfId="1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212" fontId="2" fillId="0" borderId="7" xfId="0" applyNumberFormat="1" applyFont="1" applyBorder="1" applyAlignment="1">
      <alignment horizontal="center" vertical="center"/>
    </xf>
    <xf numFmtId="213" fontId="2" fillId="0" borderId="7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12" fontId="2" fillId="0" borderId="2" xfId="0" applyNumberFormat="1" applyFont="1" applyBorder="1" applyAlignment="1">
      <alignment horizontal="center" vertical="center"/>
    </xf>
    <xf numFmtId="213" fontId="2" fillId="0" borderId="2" xfId="1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176" fontId="2" fillId="0" borderId="2" xfId="0" applyNumberFormat="1" applyFont="1" applyBorder="1" applyAlignment="1">
      <alignment horizontal="left" vertical="center" wrapText="1"/>
    </xf>
    <xf numFmtId="176" fontId="2" fillId="0" borderId="0" xfId="0" applyNumberFormat="1" applyFont="1" applyBorder="1" applyAlignment="1">
      <alignment horizontal="left" vertical="center" wrapText="1"/>
    </xf>
    <xf numFmtId="176" fontId="2" fillId="0" borderId="7" xfId="0" applyNumberFormat="1" applyFont="1" applyBorder="1" applyAlignment="1">
      <alignment horizontal="left" vertical="center" wrapText="1"/>
    </xf>
    <xf numFmtId="176" fontId="2" fillId="0" borderId="2" xfId="0" applyNumberFormat="1" applyFont="1" applyBorder="1" applyAlignment="1">
      <alignment horizontal="left" vertical="center"/>
    </xf>
    <xf numFmtId="176" fontId="2" fillId="0" borderId="0" xfId="0" applyNumberFormat="1" applyFont="1" applyBorder="1" applyAlignment="1">
      <alignment horizontal="left" vertical="center"/>
    </xf>
    <xf numFmtId="176" fontId="2" fillId="0" borderId="7" xfId="0" applyNumberFormat="1" applyFont="1" applyBorder="1" applyAlignment="1">
      <alignment horizontal="left" vertical="center"/>
    </xf>
    <xf numFmtId="10" fontId="2" fillId="0" borderId="2" xfId="0" applyNumberFormat="1" applyFont="1" applyBorder="1" applyAlignment="1">
      <alignment horizontal="left" vertical="center" wrapText="1"/>
    </xf>
    <xf numFmtId="10" fontId="2" fillId="0" borderId="0" xfId="0" applyNumberFormat="1" applyFont="1" applyBorder="1" applyAlignment="1">
      <alignment horizontal="left" vertical="center" wrapText="1"/>
    </xf>
    <xf numFmtId="10" fontId="2" fillId="0" borderId="7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9" fontId="2" fillId="0" borderId="2" xfId="1" applyFont="1" applyFill="1" applyBorder="1" applyAlignment="1">
      <alignment horizontal="left" vertical="center" wrapText="1"/>
    </xf>
    <xf numFmtId="9" fontId="2" fillId="0" borderId="0" xfId="1" applyFont="1" applyFill="1" applyBorder="1" applyAlignment="1">
      <alignment horizontal="left" vertical="center" wrapText="1"/>
    </xf>
    <xf numFmtId="9" fontId="2" fillId="0" borderId="2" xfId="0" applyNumberFormat="1" applyFont="1" applyBorder="1" applyAlignment="1">
      <alignment horizontal="left" vertical="center" wrapText="1"/>
    </xf>
    <xf numFmtId="9" fontId="2" fillId="0" borderId="0" xfId="0" applyNumberFormat="1" applyFont="1" applyBorder="1" applyAlignment="1">
      <alignment horizontal="left" vertical="center" wrapText="1"/>
    </xf>
    <xf numFmtId="9" fontId="2" fillId="0" borderId="7" xfId="0" applyNumberFormat="1" applyFont="1" applyBorder="1" applyAlignment="1">
      <alignment horizontal="left" vertical="center" wrapText="1"/>
    </xf>
    <xf numFmtId="10" fontId="2" fillId="0" borderId="2" xfId="0" applyNumberFormat="1" applyFont="1" applyBorder="1" applyAlignment="1">
      <alignment horizontal="left" vertical="center"/>
    </xf>
    <xf numFmtId="10" fontId="2" fillId="0" borderId="7" xfId="0" applyNumberFormat="1" applyFont="1" applyBorder="1" applyAlignment="1">
      <alignment horizontal="left" vertical="center"/>
    </xf>
    <xf numFmtId="10" fontId="2" fillId="0" borderId="3" xfId="0" applyNumberFormat="1" applyFont="1" applyBorder="1" applyAlignment="1">
      <alignment horizontal="left" vertical="center"/>
    </xf>
    <xf numFmtId="10" fontId="2" fillId="0" borderId="8" xfId="0" applyNumberFormat="1" applyFont="1" applyBorder="1" applyAlignment="1">
      <alignment horizontal="left" vertical="center"/>
    </xf>
    <xf numFmtId="10" fontId="2" fillId="0" borderId="0" xfId="0" applyNumberFormat="1" applyFont="1" applyBorder="1" applyAlignment="1">
      <alignment horizontal="left" vertical="center"/>
    </xf>
    <xf numFmtId="10" fontId="2" fillId="0" borderId="2" xfId="1" applyNumberFormat="1" applyFont="1" applyFill="1" applyBorder="1" applyAlignment="1">
      <alignment horizontal="left" vertical="center"/>
    </xf>
    <xf numFmtId="10" fontId="2" fillId="0" borderId="0" xfId="1" applyNumberFormat="1" applyFont="1" applyFill="1" applyBorder="1" applyAlignment="1">
      <alignment horizontal="left" vertical="center"/>
    </xf>
    <xf numFmtId="10" fontId="2" fillId="0" borderId="7" xfId="1" applyNumberFormat="1" applyFont="1" applyFill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78" fontId="2" fillId="0" borderId="2" xfId="0" applyNumberFormat="1" applyFont="1" applyBorder="1" applyAlignment="1">
      <alignment horizontal="center" vertical="center" wrapText="1"/>
    </xf>
    <xf numFmtId="180" fontId="2" fillId="0" borderId="0" xfId="0" applyNumberFormat="1" applyFont="1" applyAlignment="1">
      <alignment horizontal="center" vertical="center"/>
    </xf>
    <xf numFmtId="177" fontId="2" fillId="0" borderId="10" xfId="0" applyNumberFormat="1" applyFont="1" applyBorder="1" applyAlignment="1">
      <alignment horizontal="center" vertical="center"/>
    </xf>
    <xf numFmtId="178" fontId="2" fillId="0" borderId="0" xfId="0" applyNumberFormat="1" applyFont="1" applyAlignment="1">
      <alignment horizontal="center" vertical="center" wrapText="1"/>
    </xf>
    <xf numFmtId="178" fontId="2" fillId="0" borderId="7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83" fontId="2" fillId="0" borderId="0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183" fontId="2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left" vertical="center" wrapText="1"/>
    </xf>
    <xf numFmtId="186" fontId="16" fillId="0" borderId="12" xfId="0" applyNumberFormat="1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24" fontId="16" fillId="0" borderId="12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25" fontId="11" fillId="0" borderId="12" xfId="0" applyNumberFormat="1" applyFont="1" applyBorder="1" applyAlignment="1">
      <alignment horizontal="center" vertical="center" wrapText="1"/>
    </xf>
    <xf numFmtId="186" fontId="11" fillId="0" borderId="9" xfId="0" applyNumberFormat="1" applyFont="1" applyBorder="1" applyAlignment="1">
      <alignment horizontal="center" vertical="center" wrapText="1"/>
    </xf>
    <xf numFmtId="186" fontId="11" fillId="0" borderId="11" xfId="0" applyNumberFormat="1" applyFont="1" applyBorder="1" applyAlignment="1">
      <alignment horizontal="center" vertical="center" wrapText="1"/>
    </xf>
    <xf numFmtId="24" fontId="11" fillId="0" borderId="9" xfId="0" applyNumberFormat="1" applyFont="1" applyBorder="1" applyAlignment="1">
      <alignment horizontal="center" vertical="center" wrapText="1"/>
    </xf>
    <xf numFmtId="24" fontId="11" fillId="0" borderId="11" xfId="0" applyNumberFormat="1" applyFont="1" applyBorder="1" applyAlignment="1">
      <alignment horizontal="center" vertical="center" wrapText="1"/>
    </xf>
    <xf numFmtId="26" fontId="11" fillId="0" borderId="9" xfId="0" applyNumberFormat="1" applyFont="1" applyBorder="1" applyAlignment="1">
      <alignment horizontal="center" vertical="center" wrapText="1"/>
    </xf>
    <xf numFmtId="26" fontId="11" fillId="0" borderId="11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26" fontId="11" fillId="0" borderId="12" xfId="0" applyNumberFormat="1" applyFont="1" applyBorder="1" applyAlignment="1">
      <alignment horizontal="center" vertical="center" wrapText="1"/>
    </xf>
    <xf numFmtId="186" fontId="11" fillId="0" borderId="12" xfId="0" applyNumberFormat="1" applyFont="1" applyBorder="1" applyAlignment="1">
      <alignment horizontal="center" vertical="center" wrapText="1"/>
    </xf>
    <xf numFmtId="186" fontId="11" fillId="0" borderId="12" xfId="0" applyNumberFormat="1" applyFont="1" applyBorder="1" applyAlignment="1">
      <alignment horizontal="center" vertical="center"/>
    </xf>
    <xf numFmtId="3" fontId="11" fillId="0" borderId="12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26" fontId="2" fillId="0" borderId="2" xfId="0" applyNumberFormat="1" applyFont="1" applyBorder="1" applyAlignment="1">
      <alignment horizontal="left" vertical="center"/>
    </xf>
    <xf numFmtId="26" fontId="2" fillId="0" borderId="7" xfId="0" applyNumberFormat="1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200" fontId="2" fillId="0" borderId="10" xfId="0" applyNumberFormat="1" applyFont="1" applyBorder="1" applyAlignment="1">
      <alignment horizontal="left" vertical="center"/>
    </xf>
    <xf numFmtId="26" fontId="2" fillId="0" borderId="0" xfId="0" applyNumberFormat="1" applyFont="1" applyAlignment="1">
      <alignment horizontal="left" vertical="center"/>
    </xf>
    <xf numFmtId="0" fontId="29" fillId="0" borderId="12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</cellXfs>
  <cellStyles count="5">
    <cellStyle name="Normale 2" xfId="3" xr:uid="{16CCF5A3-3A20-D54A-887D-0CF09D3D5D47}"/>
    <cellStyle name="Normale 3" xfId="4" xr:uid="{632EDD95-EF6A-9C4F-8D7A-698B86FDFFB7}"/>
    <cellStyle name="百分比" xfId="1" builtinId="5"/>
    <cellStyle name="常规" xfId="0" builtinId="0"/>
    <cellStyle name="货币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F147F-7832-954E-9EBB-BD129653DC10}">
  <dimension ref="A1:W467"/>
  <sheetViews>
    <sheetView tabSelected="1" topLeftCell="C253" zoomScale="75" zoomScaleNormal="93" workbookViewId="0">
      <selection activeCell="R342" sqref="R342:S361"/>
    </sheetView>
  </sheetViews>
  <sheetFormatPr baseColWidth="10" defaultRowHeight="16" customHeight="1"/>
  <cols>
    <col min="1" max="2" width="34.1640625" style="219" hidden="1" customWidth="1"/>
    <col min="3" max="3" width="5.1640625" style="219" bestFit="1" customWidth="1"/>
    <col min="4" max="4" width="118.1640625" style="219" bestFit="1" customWidth="1"/>
    <col min="5" max="6" width="34.1640625" style="228" customWidth="1"/>
    <col min="7" max="9" width="34.1640625" style="219" customWidth="1"/>
    <col min="10" max="11" width="34.1640625" style="228" customWidth="1"/>
    <col min="12" max="18" width="34.1640625" style="219" customWidth="1"/>
    <col min="19" max="19" width="24.33203125" style="219" customWidth="1"/>
    <col min="20" max="20" width="10.83203125" style="219"/>
    <col min="21" max="21" width="25.33203125" style="219" customWidth="1"/>
    <col min="22" max="16384" width="10.83203125" style="219"/>
  </cols>
  <sheetData>
    <row r="1" spans="1:21" ht="35" customHeight="1">
      <c r="A1" s="495" t="s">
        <v>870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6"/>
      <c r="S1" s="496"/>
      <c r="T1" s="496"/>
      <c r="U1" s="496"/>
    </row>
    <row r="2" spans="1:21" s="100" customFormat="1" ht="16" customHeight="1">
      <c r="A2" s="518" t="s">
        <v>302</v>
      </c>
      <c r="B2" s="519"/>
      <c r="C2" s="327" t="s">
        <v>1249</v>
      </c>
      <c r="D2" s="98" t="s">
        <v>8</v>
      </c>
      <c r="E2" s="520" t="s">
        <v>872</v>
      </c>
      <c r="F2" s="521"/>
      <c r="G2" s="148" t="s">
        <v>874</v>
      </c>
      <c r="H2" s="98" t="s">
        <v>723</v>
      </c>
      <c r="I2" s="98" t="s">
        <v>724</v>
      </c>
      <c r="J2" s="129" t="s">
        <v>725</v>
      </c>
      <c r="K2" s="129" t="s">
        <v>726</v>
      </c>
      <c r="L2" s="98" t="s">
        <v>727</v>
      </c>
      <c r="M2" s="98" t="s">
        <v>728</v>
      </c>
      <c r="N2" s="98" t="s">
        <v>729</v>
      </c>
      <c r="O2" s="99" t="s">
        <v>730</v>
      </c>
      <c r="P2" s="98" t="s">
        <v>731</v>
      </c>
      <c r="Q2" s="215" t="s">
        <v>732</v>
      </c>
      <c r="R2" s="215" t="s">
        <v>735</v>
      </c>
      <c r="S2" s="126"/>
      <c r="T2" s="126"/>
      <c r="U2" s="126"/>
    </row>
    <row r="3" spans="1:21" s="102" customFormat="1" ht="16" customHeight="1">
      <c r="A3" s="152">
        <v>1</v>
      </c>
      <c r="B3" s="144" t="s">
        <v>736</v>
      </c>
      <c r="C3" s="515">
        <v>1</v>
      </c>
      <c r="D3" s="490" t="s">
        <v>186</v>
      </c>
      <c r="E3" s="160" t="s">
        <v>737</v>
      </c>
      <c r="F3" s="509" t="s">
        <v>738</v>
      </c>
      <c r="G3" s="144" t="s">
        <v>1</v>
      </c>
      <c r="H3" s="144">
        <v>3670</v>
      </c>
      <c r="I3" s="144">
        <v>0.59602169981916797</v>
      </c>
      <c r="J3" s="160" t="s">
        <v>98</v>
      </c>
      <c r="K3" s="160" t="s">
        <v>98</v>
      </c>
      <c r="L3" s="144" t="s">
        <v>98</v>
      </c>
      <c r="M3" s="144" t="s">
        <v>98</v>
      </c>
      <c r="N3" s="144" t="s">
        <v>98</v>
      </c>
      <c r="O3" s="149" t="s">
        <v>98</v>
      </c>
      <c r="P3" s="144">
        <f>0.162*1000/3600</f>
        <v>4.4999999999999998E-2</v>
      </c>
      <c r="Q3" s="119">
        <v>4.1904761904761898</v>
      </c>
      <c r="R3" s="512" t="s">
        <v>1011</v>
      </c>
      <c r="S3" s="190"/>
      <c r="T3" s="190"/>
      <c r="U3" s="190"/>
    </row>
    <row r="4" spans="1:21" s="102" customFormat="1" ht="16" customHeight="1">
      <c r="A4" s="154">
        <v>2</v>
      </c>
      <c r="B4" s="190" t="s">
        <v>736</v>
      </c>
      <c r="C4" s="516"/>
      <c r="D4" s="492"/>
      <c r="E4" s="208" t="s">
        <v>737</v>
      </c>
      <c r="F4" s="510"/>
      <c r="G4" s="190" t="s">
        <v>1</v>
      </c>
      <c r="H4" s="190">
        <v>3670</v>
      </c>
      <c r="I4" s="190">
        <v>0.82169981916817303</v>
      </c>
      <c r="J4" s="208" t="s">
        <v>98</v>
      </c>
      <c r="K4" s="208" t="s">
        <v>98</v>
      </c>
      <c r="L4" s="190" t="s">
        <v>98</v>
      </c>
      <c r="M4" s="190" t="s">
        <v>98</v>
      </c>
      <c r="N4" s="190" t="s">
        <v>98</v>
      </c>
      <c r="O4" s="150" t="s">
        <v>98</v>
      </c>
      <c r="P4" s="190">
        <f>0.279*1000/3600</f>
        <v>7.7499999999999999E-2</v>
      </c>
      <c r="Q4" s="101">
        <v>4.5866666666666598</v>
      </c>
      <c r="R4" s="514"/>
      <c r="S4" s="190"/>
      <c r="T4" s="190"/>
      <c r="U4" s="190"/>
    </row>
    <row r="5" spans="1:21" s="102" customFormat="1" ht="16" customHeight="1">
      <c r="A5" s="154">
        <v>3</v>
      </c>
      <c r="B5" s="190" t="s">
        <v>736</v>
      </c>
      <c r="C5" s="516"/>
      <c r="D5" s="492"/>
      <c r="E5" s="208" t="s">
        <v>737</v>
      </c>
      <c r="F5" s="510"/>
      <c r="G5" s="190" t="s">
        <v>1</v>
      </c>
      <c r="H5" s="190">
        <v>3670</v>
      </c>
      <c r="I5" s="190">
        <v>1.15732368896925</v>
      </c>
      <c r="J5" s="208" t="s">
        <v>98</v>
      </c>
      <c r="K5" s="208" t="s">
        <v>98</v>
      </c>
      <c r="L5" s="190" t="s">
        <v>98</v>
      </c>
      <c r="M5" s="190" t="s">
        <v>98</v>
      </c>
      <c r="N5" s="190" t="s">
        <v>98</v>
      </c>
      <c r="O5" s="150" t="s">
        <v>98</v>
      </c>
      <c r="P5" s="190">
        <f>1.088*1000/3600</f>
        <v>0.30222222222222223</v>
      </c>
      <c r="Q5" s="101">
        <v>6.7504761904761903</v>
      </c>
      <c r="R5" s="514"/>
      <c r="S5" s="190"/>
      <c r="T5" s="190"/>
      <c r="U5" s="190"/>
    </row>
    <row r="6" spans="1:21" s="102" customFormat="1" ht="16" customHeight="1">
      <c r="A6" s="154">
        <v>4</v>
      </c>
      <c r="B6" s="190" t="s">
        <v>736</v>
      </c>
      <c r="C6" s="516"/>
      <c r="D6" s="492"/>
      <c r="E6" s="208" t="s">
        <v>737</v>
      </c>
      <c r="F6" s="510"/>
      <c r="G6" s="190" t="s">
        <v>1</v>
      </c>
      <c r="H6" s="190">
        <v>3670</v>
      </c>
      <c r="I6" s="190">
        <v>1.2007233273055999</v>
      </c>
      <c r="J6" s="208" t="s">
        <v>98</v>
      </c>
      <c r="K6" s="208" t="s">
        <v>98</v>
      </c>
      <c r="L6" s="190" t="s">
        <v>98</v>
      </c>
      <c r="M6" s="210">
        <v>0.66900000000000004</v>
      </c>
      <c r="N6" s="190" t="s">
        <v>98</v>
      </c>
      <c r="O6" s="199">
        <v>0.90800000000000003</v>
      </c>
      <c r="P6" s="190">
        <f>2.132*1000/3600</f>
        <v>0.59222222222222221</v>
      </c>
      <c r="Q6" s="101">
        <v>6.8723809523809498</v>
      </c>
      <c r="R6" s="514"/>
      <c r="S6" s="190"/>
      <c r="T6" s="190"/>
      <c r="U6" s="190"/>
    </row>
    <row r="7" spans="1:21" s="126" customFormat="1" ht="16" customHeight="1">
      <c r="A7" s="147">
        <v>5</v>
      </c>
      <c r="B7" s="147" t="s">
        <v>736</v>
      </c>
      <c r="C7" s="517"/>
      <c r="D7" s="491"/>
      <c r="E7" s="161" t="s">
        <v>739</v>
      </c>
      <c r="F7" s="157" t="s">
        <v>740</v>
      </c>
      <c r="G7" s="147" t="s">
        <v>1</v>
      </c>
      <c r="H7" s="147"/>
      <c r="I7" s="147"/>
      <c r="J7" s="161" t="s">
        <v>98</v>
      </c>
      <c r="K7" s="161" t="s">
        <v>98</v>
      </c>
      <c r="L7" s="147" t="s">
        <v>98</v>
      </c>
      <c r="M7" s="207">
        <v>0.185</v>
      </c>
      <c r="N7" s="147" t="s">
        <v>98</v>
      </c>
      <c r="O7" s="200">
        <v>0.85</v>
      </c>
      <c r="P7" s="147">
        <f>8.608*1000/3600</f>
        <v>2.391111111111111</v>
      </c>
      <c r="Q7" s="190" t="s">
        <v>98</v>
      </c>
      <c r="R7" s="514"/>
      <c r="S7" s="190"/>
      <c r="T7" s="190"/>
      <c r="U7" s="190"/>
    </row>
    <row r="8" spans="1:21" s="146" customFormat="1" ht="16" customHeight="1">
      <c r="A8" s="152">
        <v>6</v>
      </c>
      <c r="B8" s="144" t="s">
        <v>736</v>
      </c>
      <c r="C8" s="515">
        <v>2</v>
      </c>
      <c r="D8" s="490" t="s">
        <v>190</v>
      </c>
      <c r="E8" s="509" t="s">
        <v>741</v>
      </c>
      <c r="F8" s="153" t="s">
        <v>98</v>
      </c>
      <c r="G8" s="144" t="s">
        <v>742</v>
      </c>
      <c r="H8" s="144">
        <f>3400/5</f>
        <v>680</v>
      </c>
      <c r="I8" s="144" t="s">
        <v>98</v>
      </c>
      <c r="J8" s="160">
        <v>0.5</v>
      </c>
      <c r="K8" s="160">
        <f>135-72</f>
        <v>63</v>
      </c>
      <c r="L8" s="144" t="s">
        <v>98</v>
      </c>
      <c r="M8" s="144" t="s">
        <v>98</v>
      </c>
      <c r="N8" s="144" t="s">
        <v>98</v>
      </c>
      <c r="O8" s="119"/>
      <c r="P8" s="144">
        <f>6.10581613508442/3.6</f>
        <v>1.69606003752345</v>
      </c>
      <c r="Q8" s="144"/>
      <c r="R8" s="512" t="s">
        <v>744</v>
      </c>
      <c r="S8" s="190"/>
      <c r="T8" s="190"/>
      <c r="U8" s="190"/>
    </row>
    <row r="9" spans="1:21" s="146" customFormat="1" ht="16" customHeight="1">
      <c r="A9" s="154">
        <v>7</v>
      </c>
      <c r="B9" s="190" t="s">
        <v>736</v>
      </c>
      <c r="C9" s="516"/>
      <c r="D9" s="492"/>
      <c r="E9" s="510"/>
      <c r="F9" s="155" t="s">
        <v>98</v>
      </c>
      <c r="G9" s="190" t="s">
        <v>742</v>
      </c>
      <c r="H9" s="190">
        <f>3400/2.5</f>
        <v>1360</v>
      </c>
      <c r="I9" s="190" t="s">
        <v>98</v>
      </c>
      <c r="J9" s="208">
        <v>0.5</v>
      </c>
      <c r="K9" s="208">
        <f>150-136</f>
        <v>14</v>
      </c>
      <c r="L9" s="190" t="s">
        <v>98</v>
      </c>
      <c r="M9" s="210">
        <v>0.92500000000000004</v>
      </c>
      <c r="N9" s="190" t="s">
        <v>98</v>
      </c>
      <c r="O9" s="103">
        <v>0.31</v>
      </c>
      <c r="P9" s="190">
        <f>4.97110694183864/3.6</f>
        <v>1.3808630393996222</v>
      </c>
      <c r="Q9" s="360" t="s">
        <v>98</v>
      </c>
      <c r="R9" s="514"/>
      <c r="S9" s="190"/>
      <c r="T9" s="190"/>
      <c r="U9" s="190"/>
    </row>
    <row r="10" spans="1:21" s="146" customFormat="1" ht="16" customHeight="1">
      <c r="A10" s="154">
        <v>8</v>
      </c>
      <c r="B10" s="190" t="s">
        <v>736</v>
      </c>
      <c r="C10" s="516"/>
      <c r="D10" s="492"/>
      <c r="E10" s="510"/>
      <c r="F10" s="155" t="s">
        <v>98</v>
      </c>
      <c r="G10" s="190" t="s">
        <v>742</v>
      </c>
      <c r="H10" s="190">
        <f>3400/2</f>
        <v>1700</v>
      </c>
      <c r="I10" s="190" t="s">
        <v>98</v>
      </c>
      <c r="J10" s="208">
        <v>0.5</v>
      </c>
      <c r="K10" s="208">
        <f>178-151</f>
        <v>27</v>
      </c>
      <c r="L10" s="190" t="s">
        <v>98</v>
      </c>
      <c r="M10" s="190" t="s">
        <v>98</v>
      </c>
      <c r="N10" s="190" t="s">
        <v>98</v>
      </c>
      <c r="O10" s="101" t="s">
        <v>98</v>
      </c>
      <c r="P10" s="190">
        <f>5.38986866791744/3.6</f>
        <v>1.4971857410881779</v>
      </c>
      <c r="Q10" s="360" t="s">
        <v>98</v>
      </c>
      <c r="R10" s="514"/>
      <c r="S10" s="190"/>
      <c r="T10" s="190"/>
      <c r="U10" s="190"/>
    </row>
    <row r="11" spans="1:21" s="146" customFormat="1" ht="16" customHeight="1">
      <c r="A11" s="154">
        <v>9</v>
      </c>
      <c r="B11" s="190" t="s">
        <v>736</v>
      </c>
      <c r="C11" s="516"/>
      <c r="D11" s="492"/>
      <c r="E11" s="510"/>
      <c r="F11" s="155" t="s">
        <v>98</v>
      </c>
      <c r="G11" s="190" t="s">
        <v>742</v>
      </c>
      <c r="H11" s="190">
        <v>3400</v>
      </c>
      <c r="I11" s="190" t="s">
        <v>98</v>
      </c>
      <c r="J11" s="208">
        <v>0.5</v>
      </c>
      <c r="K11" s="208">
        <f>206-179</f>
        <v>27</v>
      </c>
      <c r="L11" s="190" t="s">
        <v>98</v>
      </c>
      <c r="M11" s="190" t="s">
        <v>98</v>
      </c>
      <c r="N11" s="190" t="s">
        <v>98</v>
      </c>
      <c r="O11" s="101" t="s">
        <v>98</v>
      </c>
      <c r="P11" s="190">
        <f>5.44390243902439/3.6</f>
        <v>1.5121951219512193</v>
      </c>
      <c r="Q11" s="360" t="s">
        <v>98</v>
      </c>
      <c r="R11" s="514"/>
      <c r="S11" s="190"/>
      <c r="T11" s="190"/>
      <c r="U11" s="190"/>
    </row>
    <row r="12" spans="1:21" s="146" customFormat="1" ht="16" customHeight="1">
      <c r="A12" s="154">
        <v>10</v>
      </c>
      <c r="B12" s="190" t="s">
        <v>736</v>
      </c>
      <c r="C12" s="516"/>
      <c r="D12" s="492"/>
      <c r="E12" s="510"/>
      <c r="F12" s="155" t="s">
        <v>98</v>
      </c>
      <c r="G12" s="190" t="s">
        <v>742</v>
      </c>
      <c r="H12" s="190">
        <v>3400</v>
      </c>
      <c r="I12" s="190" t="s">
        <v>98</v>
      </c>
      <c r="J12" s="208">
        <v>0.6</v>
      </c>
      <c r="K12" s="208">
        <f>206-179</f>
        <v>27</v>
      </c>
      <c r="L12" s="190" t="s">
        <v>98</v>
      </c>
      <c r="M12" s="190" t="s">
        <v>98</v>
      </c>
      <c r="N12" s="190" t="s">
        <v>98</v>
      </c>
      <c r="O12" s="101" t="s">
        <v>98</v>
      </c>
      <c r="P12" s="190">
        <f>3.47166979362101/3.6</f>
        <v>0.96435272045028053</v>
      </c>
      <c r="Q12" s="360" t="s">
        <v>98</v>
      </c>
      <c r="R12" s="514"/>
      <c r="S12" s="190"/>
      <c r="T12" s="190"/>
      <c r="U12" s="190"/>
    </row>
    <row r="13" spans="1:21" s="190" customFormat="1" ht="16" customHeight="1">
      <c r="A13" s="147">
        <v>11</v>
      </c>
      <c r="B13" s="147" t="s">
        <v>736</v>
      </c>
      <c r="C13" s="517"/>
      <c r="D13" s="491"/>
      <c r="E13" s="511"/>
      <c r="F13" s="161" t="s">
        <v>98</v>
      </c>
      <c r="G13" s="147" t="s">
        <v>742</v>
      </c>
      <c r="H13" s="147">
        <v>3400</v>
      </c>
      <c r="I13" s="147" t="s">
        <v>98</v>
      </c>
      <c r="J13" s="161">
        <v>0.7</v>
      </c>
      <c r="K13" s="161">
        <v>27</v>
      </c>
      <c r="L13" s="147" t="s">
        <v>98</v>
      </c>
      <c r="M13" s="147" t="s">
        <v>98</v>
      </c>
      <c r="N13" s="147" t="s">
        <v>98</v>
      </c>
      <c r="O13" s="104">
        <v>0.26</v>
      </c>
      <c r="P13" s="147">
        <f>3.79587242026266/3.6</f>
        <v>1.0544090056285167</v>
      </c>
      <c r="Q13" s="361" t="s">
        <v>98</v>
      </c>
      <c r="R13" s="513"/>
    </row>
    <row r="14" spans="1:21" s="146" customFormat="1" ht="16" customHeight="1">
      <c r="A14" s="152">
        <v>12</v>
      </c>
      <c r="B14" s="144" t="s">
        <v>736</v>
      </c>
      <c r="C14" s="515">
        <v>3</v>
      </c>
      <c r="D14" s="490" t="s">
        <v>191</v>
      </c>
      <c r="E14" s="506" t="s">
        <v>98</v>
      </c>
      <c r="F14" s="153" t="s">
        <v>736</v>
      </c>
      <c r="G14" s="144" t="s">
        <v>1</v>
      </c>
      <c r="H14" s="144">
        <v>1000</v>
      </c>
      <c r="I14" s="144" t="s">
        <v>98</v>
      </c>
      <c r="J14" s="160">
        <v>0.4</v>
      </c>
      <c r="K14" s="160" t="s">
        <v>98</v>
      </c>
      <c r="L14" s="144" t="s">
        <v>98</v>
      </c>
      <c r="M14" s="206">
        <v>0.46592178770949699</v>
      </c>
      <c r="N14" s="144" t="s">
        <v>98</v>
      </c>
      <c r="O14" s="211">
        <v>0.41731843575418998</v>
      </c>
      <c r="P14" s="128">
        <v>2E-14</v>
      </c>
      <c r="Q14" s="360" t="s">
        <v>98</v>
      </c>
      <c r="R14" s="512" t="s">
        <v>1011</v>
      </c>
      <c r="S14" s="190"/>
      <c r="T14" s="190"/>
      <c r="U14" s="190"/>
    </row>
    <row r="15" spans="1:21" s="146" customFormat="1" ht="16" customHeight="1">
      <c r="A15" s="154">
        <v>13</v>
      </c>
      <c r="B15" s="190" t="s">
        <v>1009</v>
      </c>
      <c r="C15" s="516"/>
      <c r="D15" s="492"/>
      <c r="E15" s="507"/>
      <c r="F15" s="155" t="s">
        <v>736</v>
      </c>
      <c r="G15" s="190" t="s">
        <v>1</v>
      </c>
      <c r="H15" s="190">
        <v>1000</v>
      </c>
      <c r="I15" s="190" t="s">
        <v>98</v>
      </c>
      <c r="J15" s="208">
        <v>1.2</v>
      </c>
      <c r="K15" s="208" t="s">
        <v>98</v>
      </c>
      <c r="L15" s="190" t="s">
        <v>98</v>
      </c>
      <c r="M15" s="210">
        <v>0.52122905027932898</v>
      </c>
      <c r="N15" s="190" t="s">
        <v>98</v>
      </c>
      <c r="O15" s="212">
        <v>0.49106145251396599</v>
      </c>
      <c r="P15" s="120">
        <v>1.4999999999999999E-4</v>
      </c>
      <c r="Q15" s="360" t="s">
        <v>98</v>
      </c>
      <c r="R15" s="514"/>
      <c r="S15" s="190"/>
      <c r="T15" s="190"/>
      <c r="U15" s="190"/>
    </row>
    <row r="16" spans="1:21" s="105" customFormat="1" ht="16" customHeight="1">
      <c r="A16" s="154">
        <v>14</v>
      </c>
      <c r="B16" s="190" t="s">
        <v>1009</v>
      </c>
      <c r="C16" s="516"/>
      <c r="D16" s="492"/>
      <c r="E16" s="507"/>
      <c r="F16" s="158" t="s">
        <v>745</v>
      </c>
      <c r="G16" s="190" t="s">
        <v>1</v>
      </c>
      <c r="H16" s="121">
        <v>1000</v>
      </c>
      <c r="I16" s="363" t="s">
        <v>98</v>
      </c>
      <c r="J16" s="130">
        <v>0.4</v>
      </c>
      <c r="K16" s="372" t="s">
        <v>98</v>
      </c>
      <c r="L16" s="363" t="s">
        <v>98</v>
      </c>
      <c r="M16" s="122">
        <v>0.42654867256637102</v>
      </c>
      <c r="N16" s="363" t="s">
        <v>98</v>
      </c>
      <c r="O16" s="106">
        <v>0.38584070796460102</v>
      </c>
      <c r="P16" s="123">
        <v>1.0000000000000001E-5</v>
      </c>
      <c r="Q16" s="360" t="s">
        <v>98</v>
      </c>
      <c r="R16" s="514"/>
      <c r="S16" s="121"/>
      <c r="T16" s="121"/>
      <c r="U16" s="121"/>
    </row>
    <row r="17" spans="1:21" s="121" customFormat="1" ht="16" customHeight="1">
      <c r="A17" s="147">
        <v>15</v>
      </c>
      <c r="B17" s="147" t="s">
        <v>736</v>
      </c>
      <c r="C17" s="517"/>
      <c r="D17" s="491"/>
      <c r="E17" s="508"/>
      <c r="F17" s="159" t="s">
        <v>745</v>
      </c>
      <c r="G17" s="147" t="s">
        <v>1</v>
      </c>
      <c r="H17" s="107">
        <v>1000</v>
      </c>
      <c r="I17" s="364" t="s">
        <v>98</v>
      </c>
      <c r="J17" s="131">
        <v>1.2</v>
      </c>
      <c r="K17" s="358" t="s">
        <v>98</v>
      </c>
      <c r="L17" s="364" t="s">
        <v>98</v>
      </c>
      <c r="M17" s="108">
        <v>0.52389380530973395</v>
      </c>
      <c r="N17" s="364" t="s">
        <v>98</v>
      </c>
      <c r="O17" s="109">
        <v>0.48672566371681403</v>
      </c>
      <c r="P17" s="110">
        <v>2.0000000000000001E-4</v>
      </c>
      <c r="Q17" s="361" t="s">
        <v>98</v>
      </c>
      <c r="R17" s="513"/>
    </row>
    <row r="18" spans="1:21" s="146" customFormat="1" ht="16" customHeight="1">
      <c r="A18" s="152">
        <v>16</v>
      </c>
      <c r="B18" s="144" t="s">
        <v>736</v>
      </c>
      <c r="C18" s="515">
        <v>4</v>
      </c>
      <c r="D18" s="490" t="s">
        <v>194</v>
      </c>
      <c r="E18" s="509" t="s">
        <v>746</v>
      </c>
      <c r="F18" s="160" t="s">
        <v>98</v>
      </c>
      <c r="G18" s="144" t="s">
        <v>747</v>
      </c>
      <c r="H18" s="144">
        <v>1000</v>
      </c>
      <c r="I18" s="144">
        <f>5*10/7.1</f>
        <v>7.042253521126761</v>
      </c>
      <c r="J18" s="160">
        <v>0.94</v>
      </c>
      <c r="K18" s="160">
        <v>20</v>
      </c>
      <c r="L18" s="144"/>
      <c r="M18" s="144"/>
      <c r="N18" s="144"/>
      <c r="O18" s="127">
        <v>0.52</v>
      </c>
      <c r="P18" s="144">
        <v>5</v>
      </c>
      <c r="Q18" s="144"/>
      <c r="R18" s="512" t="s">
        <v>1012</v>
      </c>
      <c r="S18" s="190"/>
      <c r="T18" s="190"/>
      <c r="U18" s="190"/>
    </row>
    <row r="19" spans="1:21" s="146" customFormat="1" ht="16" customHeight="1">
      <c r="A19" s="154">
        <v>17</v>
      </c>
      <c r="B19" s="190" t="s">
        <v>736</v>
      </c>
      <c r="C19" s="516"/>
      <c r="D19" s="492"/>
      <c r="E19" s="510"/>
      <c r="F19" s="360" t="s">
        <v>98</v>
      </c>
      <c r="G19" s="190" t="s">
        <v>747</v>
      </c>
      <c r="H19" s="190">
        <v>1000</v>
      </c>
      <c r="I19" s="190">
        <f>5*10/7.1</f>
        <v>7.042253521126761</v>
      </c>
      <c r="J19" s="208">
        <v>0.86</v>
      </c>
      <c r="K19" s="208">
        <v>20</v>
      </c>
      <c r="L19" s="360" t="s">
        <v>98</v>
      </c>
      <c r="M19" s="360" t="s">
        <v>98</v>
      </c>
      <c r="N19" s="360" t="s">
        <v>98</v>
      </c>
      <c r="O19" s="103">
        <v>0.4</v>
      </c>
      <c r="P19" s="190">
        <v>4.8</v>
      </c>
      <c r="Q19" s="360" t="s">
        <v>98</v>
      </c>
      <c r="R19" s="514"/>
      <c r="S19" s="190"/>
      <c r="T19" s="190"/>
      <c r="U19" s="190"/>
    </row>
    <row r="20" spans="1:21" s="146" customFormat="1" ht="16" customHeight="1">
      <c r="A20" s="154">
        <v>18</v>
      </c>
      <c r="B20" s="190" t="s">
        <v>736</v>
      </c>
      <c r="C20" s="516"/>
      <c r="D20" s="492"/>
      <c r="E20" s="510"/>
      <c r="F20" s="360" t="s">
        <v>98</v>
      </c>
      <c r="G20" s="190" t="s">
        <v>747</v>
      </c>
      <c r="H20" s="190">
        <v>1000</v>
      </c>
      <c r="I20" s="190">
        <f>10*10/7.1</f>
        <v>14.084507042253522</v>
      </c>
      <c r="J20" s="208">
        <v>1.21</v>
      </c>
      <c r="K20" s="208">
        <v>20</v>
      </c>
      <c r="L20" s="360" t="s">
        <v>98</v>
      </c>
      <c r="M20" s="360" t="s">
        <v>98</v>
      </c>
      <c r="N20" s="360" t="s">
        <v>98</v>
      </c>
      <c r="O20" s="103">
        <v>0.74</v>
      </c>
      <c r="P20" s="190">
        <v>8.6</v>
      </c>
      <c r="Q20" s="360" t="s">
        <v>98</v>
      </c>
      <c r="R20" s="514"/>
      <c r="S20" s="190"/>
      <c r="T20" s="190"/>
      <c r="U20" s="190"/>
    </row>
    <row r="21" spans="1:21" s="146" customFormat="1" ht="16" customHeight="1">
      <c r="A21" s="154">
        <v>19</v>
      </c>
      <c r="B21" s="190" t="s">
        <v>736</v>
      </c>
      <c r="C21" s="516"/>
      <c r="D21" s="492"/>
      <c r="E21" s="510"/>
      <c r="F21" s="360" t="s">
        <v>98</v>
      </c>
      <c r="G21" s="190" t="s">
        <v>747</v>
      </c>
      <c r="H21" s="190">
        <v>1000</v>
      </c>
      <c r="I21" s="190">
        <f>10*10/7.1</f>
        <v>14.084507042253522</v>
      </c>
      <c r="J21" s="208">
        <v>1.22</v>
      </c>
      <c r="K21" s="208">
        <v>20</v>
      </c>
      <c r="L21" s="360" t="s">
        <v>98</v>
      </c>
      <c r="M21" s="360" t="s">
        <v>98</v>
      </c>
      <c r="N21" s="360" t="s">
        <v>98</v>
      </c>
      <c r="O21" s="103">
        <v>0.86</v>
      </c>
      <c r="P21" s="190">
        <v>7.2</v>
      </c>
      <c r="Q21" s="360" t="s">
        <v>98</v>
      </c>
      <c r="R21" s="514"/>
      <c r="S21" s="190"/>
      <c r="T21" s="190"/>
      <c r="U21" s="190"/>
    </row>
    <row r="22" spans="1:21" s="146" customFormat="1" ht="16" customHeight="1">
      <c r="A22" s="154">
        <v>20</v>
      </c>
      <c r="B22" s="190" t="s">
        <v>736</v>
      </c>
      <c r="C22" s="516"/>
      <c r="D22" s="492"/>
      <c r="E22" s="510"/>
      <c r="F22" s="360" t="s">
        <v>98</v>
      </c>
      <c r="G22" s="190" t="s">
        <v>747</v>
      </c>
      <c r="H22" s="190">
        <v>1000</v>
      </c>
      <c r="I22" s="190">
        <f>15*10/7.1</f>
        <v>21.126760563380284</v>
      </c>
      <c r="J22" s="208">
        <v>1.54</v>
      </c>
      <c r="K22" s="208">
        <v>20</v>
      </c>
      <c r="L22" s="360" t="s">
        <v>98</v>
      </c>
      <c r="M22" s="360" t="s">
        <v>98</v>
      </c>
      <c r="N22" s="360" t="s">
        <v>98</v>
      </c>
      <c r="O22" s="103">
        <v>0.82</v>
      </c>
      <c r="P22" s="190">
        <v>14.5</v>
      </c>
      <c r="Q22" s="360" t="s">
        <v>98</v>
      </c>
      <c r="R22" s="514"/>
      <c r="S22" s="190"/>
      <c r="T22" s="190"/>
      <c r="U22" s="190"/>
    </row>
    <row r="23" spans="1:21" s="146" customFormat="1" ht="16" customHeight="1">
      <c r="A23" s="154">
        <v>21</v>
      </c>
      <c r="B23" s="190" t="s">
        <v>736</v>
      </c>
      <c r="C23" s="516"/>
      <c r="D23" s="492"/>
      <c r="E23" s="510"/>
      <c r="F23" s="360" t="s">
        <v>98</v>
      </c>
      <c r="G23" s="190" t="s">
        <v>747</v>
      </c>
      <c r="H23" s="190">
        <v>1000</v>
      </c>
      <c r="I23" s="190">
        <f>15*10/7.1</f>
        <v>21.126760563380284</v>
      </c>
      <c r="J23" s="208">
        <v>1.48</v>
      </c>
      <c r="K23" s="208">
        <v>20</v>
      </c>
      <c r="L23" s="360" t="s">
        <v>98</v>
      </c>
      <c r="M23" s="360" t="s">
        <v>98</v>
      </c>
      <c r="N23" s="360" t="s">
        <v>98</v>
      </c>
      <c r="O23" s="103">
        <v>0.94</v>
      </c>
      <c r="P23" s="190">
        <v>12.3</v>
      </c>
      <c r="Q23" s="360" t="s">
        <v>98</v>
      </c>
      <c r="R23" s="514"/>
      <c r="S23" s="190"/>
      <c r="T23" s="190"/>
      <c r="U23" s="190"/>
    </row>
    <row r="24" spans="1:21" s="146" customFormat="1" ht="16" customHeight="1">
      <c r="A24" s="154">
        <v>22</v>
      </c>
      <c r="B24" s="190" t="s">
        <v>736</v>
      </c>
      <c r="C24" s="516"/>
      <c r="D24" s="492"/>
      <c r="E24" s="510"/>
      <c r="F24" s="360" t="s">
        <v>98</v>
      </c>
      <c r="G24" s="150" t="s">
        <v>749</v>
      </c>
      <c r="H24" s="190">
        <v>1000</v>
      </c>
      <c r="I24" s="190">
        <f>5*10/7.1</f>
        <v>7.042253521126761</v>
      </c>
      <c r="J24" s="208">
        <v>0.89</v>
      </c>
      <c r="K24" s="208">
        <v>20</v>
      </c>
      <c r="L24" s="360" t="s">
        <v>98</v>
      </c>
      <c r="M24" s="360" t="s">
        <v>98</v>
      </c>
      <c r="N24" s="360" t="s">
        <v>98</v>
      </c>
      <c r="O24" s="103">
        <v>0.56999999999999995</v>
      </c>
      <c r="P24" s="190">
        <v>3.8</v>
      </c>
      <c r="Q24" s="360" t="s">
        <v>98</v>
      </c>
      <c r="R24" s="514"/>
      <c r="S24" s="190"/>
      <c r="T24" s="190"/>
      <c r="U24" s="190"/>
    </row>
    <row r="25" spans="1:21" s="146" customFormat="1" ht="16" customHeight="1">
      <c r="A25" s="154">
        <v>23</v>
      </c>
      <c r="B25" s="190" t="s">
        <v>736</v>
      </c>
      <c r="C25" s="516"/>
      <c r="D25" s="492"/>
      <c r="E25" s="510"/>
      <c r="F25" s="360" t="s">
        <v>98</v>
      </c>
      <c r="G25" s="150" t="s">
        <v>749</v>
      </c>
      <c r="H25" s="190">
        <v>1000</v>
      </c>
      <c r="I25" s="190">
        <f>10*10/7.1</f>
        <v>14.084507042253522</v>
      </c>
      <c r="J25" s="208">
        <v>1.26</v>
      </c>
      <c r="K25" s="208">
        <v>20</v>
      </c>
      <c r="L25" s="360" t="s">
        <v>98</v>
      </c>
      <c r="M25" s="360" t="s">
        <v>98</v>
      </c>
      <c r="N25" s="360" t="s">
        <v>98</v>
      </c>
      <c r="O25" s="103">
        <v>0.65</v>
      </c>
      <c r="P25" s="190">
        <v>8.6</v>
      </c>
      <c r="Q25" s="360" t="s">
        <v>98</v>
      </c>
      <c r="R25" s="514"/>
      <c r="S25" s="190"/>
      <c r="T25" s="190"/>
      <c r="U25" s="190"/>
    </row>
    <row r="26" spans="1:21" s="146" customFormat="1" ht="16" customHeight="1">
      <c r="A26" s="154">
        <v>24</v>
      </c>
      <c r="B26" s="190" t="s">
        <v>736</v>
      </c>
      <c r="C26" s="516"/>
      <c r="D26" s="492"/>
      <c r="E26" s="510"/>
      <c r="F26" s="360" t="s">
        <v>98</v>
      </c>
      <c r="G26" s="150" t="s">
        <v>749</v>
      </c>
      <c r="H26" s="190">
        <v>1000</v>
      </c>
      <c r="I26" s="190">
        <f>15*10/7.1</f>
        <v>21.126760563380284</v>
      </c>
      <c r="J26" s="208">
        <v>1.87</v>
      </c>
      <c r="K26" s="208">
        <v>20</v>
      </c>
      <c r="L26" s="360" t="s">
        <v>98</v>
      </c>
      <c r="M26" s="360" t="s">
        <v>98</v>
      </c>
      <c r="N26" s="360" t="s">
        <v>98</v>
      </c>
      <c r="O26" s="103">
        <v>0.74</v>
      </c>
      <c r="P26" s="190">
        <v>15.9</v>
      </c>
      <c r="Q26" s="360" t="s">
        <v>98</v>
      </c>
      <c r="R26" s="514"/>
      <c r="S26" s="190"/>
      <c r="T26" s="190"/>
      <c r="U26" s="190"/>
    </row>
    <row r="27" spans="1:21" s="146" customFormat="1" ht="16" customHeight="1">
      <c r="A27" s="154">
        <v>25</v>
      </c>
      <c r="B27" s="190" t="s">
        <v>736</v>
      </c>
      <c r="C27" s="516"/>
      <c r="D27" s="492"/>
      <c r="E27" s="510"/>
      <c r="F27" s="360" t="s">
        <v>98</v>
      </c>
      <c r="G27" s="150" t="s">
        <v>749</v>
      </c>
      <c r="H27" s="190">
        <v>1000</v>
      </c>
      <c r="I27" s="190">
        <f>15*10/7.1</f>
        <v>21.126760563380284</v>
      </c>
      <c r="J27" s="208">
        <v>1.58</v>
      </c>
      <c r="K27" s="208">
        <v>20</v>
      </c>
      <c r="L27" s="360" t="s">
        <v>98</v>
      </c>
      <c r="M27" s="360" t="s">
        <v>98</v>
      </c>
      <c r="N27" s="360" t="s">
        <v>98</v>
      </c>
      <c r="O27" s="103">
        <v>0.73</v>
      </c>
      <c r="P27" s="190">
        <v>13.6</v>
      </c>
      <c r="Q27" s="360" t="s">
        <v>98</v>
      </c>
      <c r="R27" s="514"/>
      <c r="S27" s="190"/>
      <c r="T27" s="190"/>
      <c r="U27" s="190"/>
    </row>
    <row r="28" spans="1:21" s="190" customFormat="1" ht="16" customHeight="1">
      <c r="A28" s="147">
        <v>26</v>
      </c>
      <c r="B28" s="147" t="s">
        <v>736</v>
      </c>
      <c r="C28" s="517"/>
      <c r="D28" s="491"/>
      <c r="E28" s="511"/>
      <c r="F28" s="361" t="s">
        <v>98</v>
      </c>
      <c r="G28" s="151" t="s">
        <v>749</v>
      </c>
      <c r="H28" s="147">
        <v>1000</v>
      </c>
      <c r="I28" s="147">
        <f>20*10/7.1</f>
        <v>28.169014084507044</v>
      </c>
      <c r="J28" s="161">
        <v>1.92</v>
      </c>
      <c r="K28" s="161">
        <v>20</v>
      </c>
      <c r="L28" s="361" t="s">
        <v>98</v>
      </c>
      <c r="M28" s="361" t="s">
        <v>98</v>
      </c>
      <c r="N28" s="361" t="s">
        <v>98</v>
      </c>
      <c r="O28" s="104">
        <v>0.79</v>
      </c>
      <c r="P28" s="147">
        <v>20.5</v>
      </c>
      <c r="Q28" s="361" t="s">
        <v>98</v>
      </c>
      <c r="R28" s="513"/>
    </row>
    <row r="29" spans="1:21" s="146" customFormat="1" ht="16" customHeight="1">
      <c r="A29" s="152">
        <v>27</v>
      </c>
      <c r="B29" s="144" t="s">
        <v>736</v>
      </c>
      <c r="C29" s="515">
        <v>5</v>
      </c>
      <c r="D29" s="490" t="s">
        <v>750</v>
      </c>
      <c r="E29" s="160" t="s">
        <v>751</v>
      </c>
      <c r="F29" s="153" t="s">
        <v>752</v>
      </c>
      <c r="G29" s="144" t="s">
        <v>1</v>
      </c>
      <c r="H29" s="144">
        <v>200</v>
      </c>
      <c r="I29" s="144">
        <v>0.97</v>
      </c>
      <c r="J29" s="160">
        <v>0.87</v>
      </c>
      <c r="K29" s="160">
        <v>227</v>
      </c>
      <c r="L29" s="144">
        <v>25</v>
      </c>
      <c r="M29" s="144" t="s">
        <v>98</v>
      </c>
      <c r="N29" s="144" t="s">
        <v>98</v>
      </c>
      <c r="O29" s="211">
        <v>0.374</v>
      </c>
      <c r="P29" s="144">
        <v>27.8</v>
      </c>
      <c r="Q29" s="216">
        <v>0.02</v>
      </c>
      <c r="R29" s="514" t="s">
        <v>753</v>
      </c>
      <c r="S29" s="190"/>
      <c r="T29" s="190"/>
      <c r="U29" s="190"/>
    </row>
    <row r="30" spans="1:21" s="146" customFormat="1" ht="16" customHeight="1">
      <c r="A30" s="154">
        <v>28</v>
      </c>
      <c r="B30" s="190" t="s">
        <v>736</v>
      </c>
      <c r="C30" s="516"/>
      <c r="D30" s="492"/>
      <c r="E30" s="510" t="s">
        <v>98</v>
      </c>
      <c r="F30" s="155" t="s">
        <v>752</v>
      </c>
      <c r="G30" s="190"/>
      <c r="H30" s="190">
        <v>200</v>
      </c>
      <c r="I30" s="190">
        <v>6.21</v>
      </c>
      <c r="J30" s="208">
        <v>2.06</v>
      </c>
      <c r="K30" s="208">
        <v>227</v>
      </c>
      <c r="L30" s="190">
        <v>25</v>
      </c>
      <c r="M30" s="190" t="s">
        <v>98</v>
      </c>
      <c r="N30" s="190" t="s">
        <v>98</v>
      </c>
      <c r="O30" s="212">
        <v>0.50900000000000001</v>
      </c>
      <c r="P30" s="190">
        <v>52.4</v>
      </c>
      <c r="Q30" s="216">
        <v>0.13</v>
      </c>
      <c r="R30" s="514"/>
      <c r="S30" s="190"/>
      <c r="T30" s="190"/>
      <c r="U30" s="190"/>
    </row>
    <row r="31" spans="1:21" s="146" customFormat="1" ht="16" customHeight="1">
      <c r="A31" s="154">
        <v>29</v>
      </c>
      <c r="B31" s="190" t="s">
        <v>736</v>
      </c>
      <c r="C31" s="516"/>
      <c r="D31" s="492"/>
      <c r="E31" s="510"/>
      <c r="F31" s="155" t="s">
        <v>752</v>
      </c>
      <c r="G31" s="190"/>
      <c r="H31" s="190">
        <v>200</v>
      </c>
      <c r="I31" s="190">
        <v>14.6</v>
      </c>
      <c r="J31" s="208">
        <v>3.04</v>
      </c>
      <c r="K31" s="208">
        <v>227</v>
      </c>
      <c r="L31" s="190">
        <v>25</v>
      </c>
      <c r="M31" s="190" t="s">
        <v>98</v>
      </c>
      <c r="N31" s="190" t="s">
        <v>98</v>
      </c>
      <c r="O31" s="212">
        <v>0.48899999999999999</v>
      </c>
      <c r="P31" s="190">
        <v>171</v>
      </c>
      <c r="Q31" s="216">
        <v>0.14000000000000001</v>
      </c>
      <c r="R31" s="514"/>
      <c r="S31" s="190"/>
      <c r="T31" s="190"/>
      <c r="U31" s="190"/>
    </row>
    <row r="32" spans="1:21" s="190" customFormat="1" ht="16" customHeight="1">
      <c r="A32" s="147">
        <v>30</v>
      </c>
      <c r="B32" s="147" t="s">
        <v>736</v>
      </c>
      <c r="C32" s="517"/>
      <c r="D32" s="491"/>
      <c r="E32" s="511"/>
      <c r="F32" s="157" t="s">
        <v>752</v>
      </c>
      <c r="G32" s="147"/>
      <c r="H32" s="147">
        <v>200</v>
      </c>
      <c r="I32" s="147">
        <v>28.9</v>
      </c>
      <c r="J32" s="161">
        <v>3.37</v>
      </c>
      <c r="K32" s="161">
        <v>227</v>
      </c>
      <c r="L32" s="147">
        <v>25</v>
      </c>
      <c r="M32" s="147" t="s">
        <v>98</v>
      </c>
      <c r="N32" s="147" t="s">
        <v>98</v>
      </c>
      <c r="O32" s="213">
        <v>0.69099999999999995</v>
      </c>
      <c r="P32" s="147">
        <v>266</v>
      </c>
      <c r="Q32" s="422">
        <v>0.2</v>
      </c>
      <c r="R32" s="514"/>
    </row>
    <row r="33" spans="1:21" s="146" customFormat="1" ht="16" customHeight="1">
      <c r="A33" s="152">
        <v>31</v>
      </c>
      <c r="B33" s="144" t="s">
        <v>736</v>
      </c>
      <c r="C33" s="515">
        <v>6</v>
      </c>
      <c r="D33" s="490" t="s">
        <v>754</v>
      </c>
      <c r="E33" s="160" t="s">
        <v>755</v>
      </c>
      <c r="F33" s="153"/>
      <c r="G33" s="144" t="s">
        <v>748</v>
      </c>
      <c r="H33" s="144">
        <v>1000</v>
      </c>
      <c r="I33" s="144">
        <v>2.5</v>
      </c>
      <c r="J33" s="160"/>
      <c r="K33" s="160"/>
      <c r="L33" s="144">
        <v>30</v>
      </c>
      <c r="M33" s="206">
        <v>0.751</v>
      </c>
      <c r="N33" s="144">
        <v>1.6</v>
      </c>
      <c r="O33" s="211">
        <v>0.45300000000000001</v>
      </c>
      <c r="P33" s="144">
        <v>2.2000000000000002</v>
      </c>
      <c r="Q33" s="144">
        <v>9.6</v>
      </c>
      <c r="R33" s="512" t="s">
        <v>753</v>
      </c>
      <c r="S33" s="190"/>
      <c r="T33" s="190"/>
      <c r="U33" s="190"/>
    </row>
    <row r="34" spans="1:21" s="190" customFormat="1" ht="16" customHeight="1">
      <c r="A34" s="147">
        <v>32</v>
      </c>
      <c r="B34" s="147" t="s">
        <v>736</v>
      </c>
      <c r="C34" s="517"/>
      <c r="D34" s="491"/>
      <c r="E34" s="161" t="s">
        <v>756</v>
      </c>
      <c r="F34" s="157"/>
      <c r="G34" s="147"/>
      <c r="H34" s="147">
        <v>1000</v>
      </c>
      <c r="I34" s="147">
        <v>2.5</v>
      </c>
      <c r="J34" s="161"/>
      <c r="K34" s="161"/>
      <c r="L34" s="147">
        <v>30</v>
      </c>
      <c r="M34" s="207">
        <v>0.751</v>
      </c>
      <c r="N34" s="147"/>
      <c r="O34" s="213">
        <v>0.45300000000000001</v>
      </c>
      <c r="P34" s="147">
        <v>10.8</v>
      </c>
      <c r="Q34" s="147">
        <v>9.6</v>
      </c>
      <c r="R34" s="513"/>
    </row>
    <row r="35" spans="1:21" s="146" customFormat="1" ht="16" customHeight="1">
      <c r="A35" s="152">
        <v>33</v>
      </c>
      <c r="B35" s="144" t="s">
        <v>736</v>
      </c>
      <c r="C35" s="515">
        <v>7</v>
      </c>
      <c r="D35" s="490" t="s">
        <v>207</v>
      </c>
      <c r="E35" s="509" t="s">
        <v>98</v>
      </c>
      <c r="F35" s="153" t="s">
        <v>757</v>
      </c>
      <c r="G35" s="144" t="s">
        <v>1</v>
      </c>
      <c r="H35" s="144">
        <v>200</v>
      </c>
      <c r="I35" s="144">
        <v>5</v>
      </c>
      <c r="J35" s="160" t="s">
        <v>98</v>
      </c>
      <c r="K35" s="160">
        <v>24</v>
      </c>
      <c r="L35" s="144" t="s">
        <v>98</v>
      </c>
      <c r="M35" s="144" t="s">
        <v>98</v>
      </c>
      <c r="N35" s="144" t="s">
        <v>98</v>
      </c>
      <c r="O35" s="119" t="s">
        <v>98</v>
      </c>
      <c r="P35" s="144" t="s">
        <v>758</v>
      </c>
      <c r="Q35" s="360" t="s">
        <v>98</v>
      </c>
      <c r="R35" s="514" t="s">
        <v>744</v>
      </c>
      <c r="S35" s="190"/>
      <c r="T35" s="190"/>
      <c r="U35" s="190"/>
    </row>
    <row r="36" spans="1:21" s="105" customFormat="1" ht="16" customHeight="1">
      <c r="A36" s="154">
        <v>34</v>
      </c>
      <c r="B36" s="190" t="s">
        <v>1009</v>
      </c>
      <c r="C36" s="516"/>
      <c r="D36" s="492"/>
      <c r="E36" s="510"/>
      <c r="F36" s="158" t="s">
        <v>759</v>
      </c>
      <c r="G36" s="121"/>
      <c r="H36" s="121">
        <v>200</v>
      </c>
      <c r="I36" s="121">
        <v>5</v>
      </c>
      <c r="J36" s="372" t="s">
        <v>98</v>
      </c>
      <c r="K36" s="130">
        <v>24</v>
      </c>
      <c r="L36" s="363" t="s">
        <v>98</v>
      </c>
      <c r="M36" s="363" t="s">
        <v>98</v>
      </c>
      <c r="N36" s="363" t="s">
        <v>98</v>
      </c>
      <c r="O36" s="101" t="s">
        <v>98</v>
      </c>
      <c r="P36" s="121">
        <v>26</v>
      </c>
      <c r="Q36" s="360" t="s">
        <v>98</v>
      </c>
      <c r="R36" s="514"/>
      <c r="S36" s="121"/>
      <c r="T36" s="121"/>
      <c r="U36" s="121"/>
    </row>
    <row r="37" spans="1:21" s="121" customFormat="1" ht="16" customHeight="1">
      <c r="A37" s="147">
        <v>35</v>
      </c>
      <c r="B37" s="147" t="s">
        <v>1009</v>
      </c>
      <c r="C37" s="517"/>
      <c r="D37" s="491"/>
      <c r="E37" s="511"/>
      <c r="F37" s="159" t="s">
        <v>759</v>
      </c>
      <c r="G37" s="107"/>
      <c r="H37" s="107">
        <v>200</v>
      </c>
      <c r="I37" s="107">
        <v>7.5</v>
      </c>
      <c r="J37" s="358" t="s">
        <v>98</v>
      </c>
      <c r="K37" s="131">
        <v>24</v>
      </c>
      <c r="L37" s="364" t="s">
        <v>98</v>
      </c>
      <c r="M37" s="364" t="s">
        <v>98</v>
      </c>
      <c r="N37" s="364" t="s">
        <v>98</v>
      </c>
      <c r="O37" s="113" t="s">
        <v>98</v>
      </c>
      <c r="P37" s="107">
        <v>16</v>
      </c>
      <c r="Q37" s="361" t="s">
        <v>98</v>
      </c>
      <c r="R37" s="514"/>
    </row>
    <row r="38" spans="1:21" s="190" customFormat="1" ht="16" customHeight="1">
      <c r="A38" s="152">
        <v>36</v>
      </c>
      <c r="B38" s="144" t="s">
        <v>736</v>
      </c>
      <c r="C38" s="515">
        <v>8</v>
      </c>
      <c r="D38" s="490" t="s">
        <v>220</v>
      </c>
      <c r="E38" s="510" t="s">
        <v>98</v>
      </c>
      <c r="F38" s="153" t="s">
        <v>98</v>
      </c>
      <c r="G38" s="144" t="s">
        <v>1</v>
      </c>
      <c r="H38" s="144">
        <v>1100</v>
      </c>
      <c r="I38" s="144">
        <v>0.8</v>
      </c>
      <c r="J38" s="160" t="s">
        <v>98</v>
      </c>
      <c r="K38" s="160" t="s">
        <v>98</v>
      </c>
      <c r="L38" s="144" t="s">
        <v>98</v>
      </c>
      <c r="M38" s="111">
        <v>0.92</v>
      </c>
      <c r="N38" s="144">
        <f>6.6/3.6</f>
        <v>1.8333333333333333</v>
      </c>
      <c r="O38" s="211" t="s">
        <v>98</v>
      </c>
      <c r="P38" s="144">
        <f>9.2/3.6</f>
        <v>2.5555555555555554</v>
      </c>
      <c r="Q38" s="360" t="s">
        <v>98</v>
      </c>
      <c r="R38" s="512" t="s">
        <v>744</v>
      </c>
    </row>
    <row r="39" spans="1:21" s="146" customFormat="1" ht="16" customHeight="1">
      <c r="A39" s="154">
        <v>37</v>
      </c>
      <c r="B39" s="190" t="s">
        <v>736</v>
      </c>
      <c r="C39" s="516"/>
      <c r="D39" s="492"/>
      <c r="E39" s="510"/>
      <c r="F39" s="155" t="s">
        <v>98</v>
      </c>
      <c r="G39" s="190"/>
      <c r="H39" s="190">
        <v>5500</v>
      </c>
      <c r="I39" s="190">
        <v>4</v>
      </c>
      <c r="J39" s="208" t="s">
        <v>98</v>
      </c>
      <c r="K39" s="208" t="s">
        <v>98</v>
      </c>
      <c r="L39" s="190" t="s">
        <v>98</v>
      </c>
      <c r="M39" s="124">
        <v>0.998</v>
      </c>
      <c r="N39" s="190">
        <f>9.2/3.6</f>
        <v>2.5555555555555554</v>
      </c>
      <c r="O39" s="212" t="s">
        <v>98</v>
      </c>
      <c r="P39" s="190" t="s">
        <v>98</v>
      </c>
      <c r="Q39" s="360" t="s">
        <v>98</v>
      </c>
      <c r="R39" s="514"/>
      <c r="S39" s="190"/>
      <c r="T39" s="190"/>
      <c r="U39" s="190"/>
    </row>
    <row r="40" spans="1:21" s="190" customFormat="1" ht="16" customHeight="1">
      <c r="A40" s="147">
        <v>38</v>
      </c>
      <c r="B40" s="147" t="s">
        <v>736</v>
      </c>
      <c r="C40" s="517"/>
      <c r="D40" s="491"/>
      <c r="E40" s="511"/>
      <c r="F40" s="157" t="s">
        <v>98</v>
      </c>
      <c r="G40" s="147"/>
      <c r="H40" s="147">
        <v>5500</v>
      </c>
      <c r="I40" s="147">
        <v>18</v>
      </c>
      <c r="J40" s="161" t="s">
        <v>98</v>
      </c>
      <c r="K40" s="161" t="s">
        <v>98</v>
      </c>
      <c r="L40" s="147" t="s">
        <v>98</v>
      </c>
      <c r="M40" s="112">
        <v>0.9</v>
      </c>
      <c r="N40" s="147">
        <f>12/3.6</f>
        <v>3.333333333333333</v>
      </c>
      <c r="O40" s="213" t="s">
        <v>98</v>
      </c>
      <c r="P40" s="147" t="s">
        <v>98</v>
      </c>
      <c r="Q40" s="361" t="s">
        <v>98</v>
      </c>
      <c r="R40" s="513"/>
    </row>
    <row r="41" spans="1:21" s="146" customFormat="1" ht="16" customHeight="1">
      <c r="A41" s="152">
        <v>39</v>
      </c>
      <c r="B41" s="144" t="s">
        <v>736</v>
      </c>
      <c r="C41" s="515">
        <v>9</v>
      </c>
      <c r="D41" s="490" t="s">
        <v>760</v>
      </c>
      <c r="E41" s="506" t="s">
        <v>761</v>
      </c>
      <c r="F41" s="160" t="s">
        <v>762</v>
      </c>
      <c r="G41" s="144" t="s">
        <v>1</v>
      </c>
      <c r="H41" s="144">
        <v>4000</v>
      </c>
      <c r="I41" s="144">
        <f>10*0.9/25.5/7.5</f>
        <v>4.7058823529411771E-2</v>
      </c>
      <c r="J41" s="160">
        <v>0.8</v>
      </c>
      <c r="K41" s="160">
        <f>12*7</f>
        <v>84</v>
      </c>
      <c r="L41" s="144">
        <v>22</v>
      </c>
      <c r="M41" s="144" t="s">
        <v>98</v>
      </c>
      <c r="N41" s="144" t="s">
        <v>98</v>
      </c>
      <c r="O41" s="119" t="s">
        <v>98</v>
      </c>
      <c r="P41" s="144">
        <v>1.61</v>
      </c>
      <c r="Q41" s="190">
        <v>36.200000000000003</v>
      </c>
      <c r="R41" s="514" t="s">
        <v>744</v>
      </c>
      <c r="S41" s="190"/>
      <c r="T41" s="190"/>
      <c r="U41" s="190"/>
    </row>
    <row r="42" spans="1:21" s="190" customFormat="1" ht="16" customHeight="1">
      <c r="A42" s="147">
        <v>40</v>
      </c>
      <c r="B42" s="147" t="s">
        <v>736</v>
      </c>
      <c r="C42" s="517"/>
      <c r="D42" s="491"/>
      <c r="E42" s="508"/>
      <c r="F42" s="161" t="s">
        <v>763</v>
      </c>
      <c r="G42" s="147"/>
      <c r="H42" s="147">
        <v>4000</v>
      </c>
      <c r="I42" s="147">
        <f>10*54/2/25.5/7.5</f>
        <v>1.4117647058823528</v>
      </c>
      <c r="J42" s="161">
        <v>0.8</v>
      </c>
      <c r="K42" s="161">
        <f>9*12</f>
        <v>108</v>
      </c>
      <c r="L42" s="147">
        <v>22</v>
      </c>
      <c r="M42" s="147" t="s">
        <v>98</v>
      </c>
      <c r="N42" s="147" t="s">
        <v>98</v>
      </c>
      <c r="O42" s="113" t="s">
        <v>98</v>
      </c>
      <c r="P42" s="147">
        <v>1.93</v>
      </c>
      <c r="Q42" s="190">
        <v>25.7</v>
      </c>
      <c r="R42" s="514"/>
    </row>
    <row r="43" spans="1:21" s="146" customFormat="1" ht="16" customHeight="1">
      <c r="A43" s="152">
        <v>41</v>
      </c>
      <c r="B43" s="144" t="s">
        <v>736</v>
      </c>
      <c r="C43" s="515">
        <v>10</v>
      </c>
      <c r="D43" s="490" t="s">
        <v>764</v>
      </c>
      <c r="E43" s="506" t="s">
        <v>98</v>
      </c>
      <c r="F43" s="153" t="s">
        <v>765</v>
      </c>
      <c r="G43" s="144" t="s">
        <v>1</v>
      </c>
      <c r="H43" s="144">
        <v>3000</v>
      </c>
      <c r="I43" s="144" t="s">
        <v>766</v>
      </c>
      <c r="J43" s="160">
        <v>0.8</v>
      </c>
      <c r="K43" s="160">
        <v>24</v>
      </c>
      <c r="L43" s="144">
        <v>20</v>
      </c>
      <c r="M43" s="111">
        <v>0.95</v>
      </c>
      <c r="N43" s="144">
        <v>2.2000000000000002</v>
      </c>
      <c r="O43" s="211">
        <v>0.90100000000000002</v>
      </c>
      <c r="P43" s="144">
        <v>2.2999999999999998</v>
      </c>
      <c r="Q43" s="359" t="s">
        <v>98</v>
      </c>
      <c r="R43" s="512" t="s">
        <v>1013</v>
      </c>
      <c r="S43" s="190"/>
      <c r="T43" s="190"/>
      <c r="U43" s="190"/>
    </row>
    <row r="44" spans="1:21" s="190" customFormat="1" ht="16" customHeight="1">
      <c r="A44" s="147">
        <v>42</v>
      </c>
      <c r="B44" s="147" t="s">
        <v>736</v>
      </c>
      <c r="C44" s="517"/>
      <c r="D44" s="491"/>
      <c r="E44" s="508"/>
      <c r="F44" s="157" t="s">
        <v>767</v>
      </c>
      <c r="G44" s="147"/>
      <c r="H44" s="147">
        <v>3000</v>
      </c>
      <c r="I44" s="147" t="s">
        <v>768</v>
      </c>
      <c r="J44" s="161">
        <v>0.8</v>
      </c>
      <c r="K44" s="161">
        <v>24</v>
      </c>
      <c r="L44" s="147">
        <v>20</v>
      </c>
      <c r="M44" s="112">
        <v>0.93</v>
      </c>
      <c r="N44" s="147">
        <v>1</v>
      </c>
      <c r="O44" s="104">
        <v>0.73</v>
      </c>
      <c r="P44" s="147">
        <v>1.3</v>
      </c>
      <c r="Q44" s="361" t="s">
        <v>98</v>
      </c>
      <c r="R44" s="513"/>
    </row>
    <row r="45" spans="1:21" s="190" customFormat="1" ht="16" customHeight="1">
      <c r="A45" s="145">
        <v>43</v>
      </c>
      <c r="B45" s="145" t="s">
        <v>736</v>
      </c>
      <c r="C45" s="88">
        <v>11</v>
      </c>
      <c r="D45" s="145" t="s">
        <v>222</v>
      </c>
      <c r="E45" s="132" t="s">
        <v>769</v>
      </c>
      <c r="F45" s="162"/>
      <c r="G45" s="145" t="s">
        <v>1</v>
      </c>
      <c r="H45" s="145">
        <v>1000</v>
      </c>
      <c r="I45" s="145">
        <f>1/2</f>
        <v>0.5</v>
      </c>
      <c r="J45" s="132"/>
      <c r="K45" s="132" t="s">
        <v>770</v>
      </c>
      <c r="L45" s="145">
        <v>20</v>
      </c>
      <c r="M45" s="114">
        <v>0.73</v>
      </c>
      <c r="N45" s="145">
        <v>1.1000000000000001</v>
      </c>
      <c r="O45" s="114"/>
      <c r="P45" s="145">
        <v>1.17</v>
      </c>
      <c r="R45" s="196" t="s">
        <v>1014</v>
      </c>
    </row>
    <row r="46" spans="1:21" s="190" customFormat="1" ht="16" customHeight="1">
      <c r="A46" s="145">
        <v>44</v>
      </c>
      <c r="B46" s="145" t="s">
        <v>736</v>
      </c>
      <c r="C46" s="88">
        <v>12</v>
      </c>
      <c r="D46" s="92" t="s">
        <v>771</v>
      </c>
      <c r="E46" s="132" t="s">
        <v>98</v>
      </c>
      <c r="F46" s="162"/>
      <c r="G46" s="145" t="s">
        <v>1</v>
      </c>
      <c r="H46" s="145">
        <v>5880</v>
      </c>
      <c r="I46" s="145">
        <v>29.3</v>
      </c>
      <c r="J46" s="132">
        <v>1.46</v>
      </c>
      <c r="K46" s="132"/>
      <c r="L46" s="145">
        <v>22</v>
      </c>
      <c r="M46" s="115">
        <v>0.59699999999999998</v>
      </c>
      <c r="N46" s="116">
        <v>2.38</v>
      </c>
      <c r="O46" s="115">
        <v>0.14000000000000001</v>
      </c>
      <c r="P46" s="145">
        <v>9.51</v>
      </c>
      <c r="Q46" s="359" t="s">
        <v>98</v>
      </c>
      <c r="R46" s="89" t="s">
        <v>1015</v>
      </c>
    </row>
    <row r="47" spans="1:21" s="190" customFormat="1" ht="16" customHeight="1">
      <c r="A47" s="190">
        <v>45</v>
      </c>
      <c r="B47" s="190" t="s">
        <v>772</v>
      </c>
      <c r="C47" s="322">
        <v>13</v>
      </c>
      <c r="D47" s="150" t="s">
        <v>187</v>
      </c>
      <c r="E47" s="372" t="s">
        <v>98</v>
      </c>
      <c r="F47" s="155"/>
      <c r="G47" s="190" t="s">
        <v>743</v>
      </c>
      <c r="H47" s="190">
        <v>4000</v>
      </c>
      <c r="I47" s="379">
        <v>0.5</v>
      </c>
      <c r="J47" s="208" t="s">
        <v>98</v>
      </c>
      <c r="K47" s="208" t="s">
        <v>98</v>
      </c>
      <c r="L47" s="190" t="s">
        <v>98</v>
      </c>
      <c r="M47" s="190" t="s">
        <v>98</v>
      </c>
      <c r="N47" s="190" t="s">
        <v>98</v>
      </c>
      <c r="O47" s="212">
        <v>0.114</v>
      </c>
      <c r="P47" s="424">
        <f>10.93/3.6</f>
        <v>3.036111111111111</v>
      </c>
      <c r="Q47" s="162" t="s">
        <v>98</v>
      </c>
      <c r="R47" s="196" t="s">
        <v>753</v>
      </c>
    </row>
    <row r="48" spans="1:21" s="190" customFormat="1" ht="16" customHeight="1">
      <c r="A48" s="152">
        <v>46</v>
      </c>
      <c r="B48" s="144" t="s">
        <v>736</v>
      </c>
      <c r="C48" s="515">
        <v>14</v>
      </c>
      <c r="D48" s="490" t="s">
        <v>188</v>
      </c>
      <c r="E48" s="506" t="s">
        <v>98</v>
      </c>
      <c r="F48" s="153" t="s">
        <v>773</v>
      </c>
      <c r="G48" s="144" t="s">
        <v>1</v>
      </c>
      <c r="H48" s="144">
        <f>80*14.01</f>
        <v>1120.8</v>
      </c>
      <c r="I48" s="360" t="s">
        <v>98</v>
      </c>
      <c r="J48" s="160">
        <v>1</v>
      </c>
      <c r="K48" s="160">
        <v>24</v>
      </c>
      <c r="L48" s="144">
        <v>25</v>
      </c>
      <c r="M48" s="211">
        <v>0.56732026143790804</v>
      </c>
      <c r="N48" s="117">
        <v>2.9702970297029698</v>
      </c>
      <c r="O48" s="211">
        <v>0.26928104575163397</v>
      </c>
      <c r="P48" s="360" t="s">
        <v>98</v>
      </c>
      <c r="Q48" s="360" t="s">
        <v>98</v>
      </c>
      <c r="R48" s="512" t="s">
        <v>744</v>
      </c>
    </row>
    <row r="49" spans="1:22" s="146" customFormat="1" ht="16" customHeight="1">
      <c r="A49" s="154">
        <v>47</v>
      </c>
      <c r="B49" s="190" t="s">
        <v>736</v>
      </c>
      <c r="C49" s="516"/>
      <c r="D49" s="492"/>
      <c r="E49" s="507"/>
      <c r="F49" s="155" t="s">
        <v>774</v>
      </c>
      <c r="G49" s="190" t="s">
        <v>1</v>
      </c>
      <c r="H49" s="190">
        <f>80*14.01</f>
        <v>1120.8</v>
      </c>
      <c r="I49" s="360" t="s">
        <v>98</v>
      </c>
      <c r="J49" s="208">
        <v>1</v>
      </c>
      <c r="K49" s="208">
        <v>24</v>
      </c>
      <c r="L49" s="190">
        <v>25</v>
      </c>
      <c r="M49" s="212">
        <v>0.66143790849673201</v>
      </c>
      <c r="N49" s="125">
        <v>2.9108910891089099</v>
      </c>
      <c r="O49" s="212">
        <v>0.30326797385620902</v>
      </c>
      <c r="P49" s="360" t="s">
        <v>98</v>
      </c>
      <c r="Q49" s="360" t="s">
        <v>98</v>
      </c>
      <c r="R49" s="514"/>
      <c r="S49" s="190"/>
      <c r="T49" s="190"/>
      <c r="U49" s="190"/>
    </row>
    <row r="50" spans="1:22" s="146" customFormat="1" ht="16" customHeight="1">
      <c r="A50" s="154">
        <v>48</v>
      </c>
      <c r="B50" s="190" t="s">
        <v>736</v>
      </c>
      <c r="C50" s="516"/>
      <c r="D50" s="492"/>
      <c r="E50" s="507"/>
      <c r="F50" s="155" t="s">
        <v>775</v>
      </c>
      <c r="G50" s="190" t="s">
        <v>1</v>
      </c>
      <c r="H50" s="190">
        <f>80*14.01</f>
        <v>1120.8</v>
      </c>
      <c r="I50" s="360" t="s">
        <v>98</v>
      </c>
      <c r="J50" s="208">
        <v>1</v>
      </c>
      <c r="K50" s="208">
        <v>24</v>
      </c>
      <c r="L50" s="190">
        <v>25</v>
      </c>
      <c r="M50" s="212">
        <v>0.71895424836601296</v>
      </c>
      <c r="N50" s="125">
        <v>2.3762376237623699</v>
      </c>
      <c r="O50" s="212">
        <v>0.35032679738562</v>
      </c>
      <c r="P50" s="360" t="s">
        <v>98</v>
      </c>
      <c r="Q50" s="360" t="s">
        <v>98</v>
      </c>
      <c r="R50" s="514"/>
      <c r="S50" s="190"/>
      <c r="T50" s="190"/>
      <c r="U50" s="190"/>
    </row>
    <row r="51" spans="1:22" s="146" customFormat="1" ht="16" customHeight="1">
      <c r="A51" s="154">
        <v>49</v>
      </c>
      <c r="B51" s="190" t="s">
        <v>736</v>
      </c>
      <c r="C51" s="516"/>
      <c r="D51" s="492"/>
      <c r="E51" s="507"/>
      <c r="F51" s="155" t="s">
        <v>773</v>
      </c>
      <c r="G51" s="190" t="s">
        <v>1</v>
      </c>
      <c r="H51" s="190">
        <f>80*14.01</f>
        <v>1120.8</v>
      </c>
      <c r="I51" s="360" t="s">
        <v>98</v>
      </c>
      <c r="J51" s="208">
        <v>1.2</v>
      </c>
      <c r="K51" s="208">
        <v>24</v>
      </c>
      <c r="L51" s="190">
        <v>25</v>
      </c>
      <c r="M51" s="212">
        <v>0.64150943396226401</v>
      </c>
      <c r="N51" s="125">
        <v>3.1485148514851402</v>
      </c>
      <c r="O51" s="212">
        <v>0.38993710691823902</v>
      </c>
      <c r="P51" s="360" t="s">
        <v>98</v>
      </c>
      <c r="Q51" s="360" t="s">
        <v>98</v>
      </c>
      <c r="R51" s="514"/>
      <c r="S51" s="190"/>
      <c r="T51" s="190"/>
      <c r="U51" s="190"/>
    </row>
    <row r="52" spans="1:22" s="146" customFormat="1" ht="16" customHeight="1">
      <c r="A52" s="154">
        <v>50</v>
      </c>
      <c r="B52" s="190" t="s">
        <v>736</v>
      </c>
      <c r="C52" s="516"/>
      <c r="D52" s="492"/>
      <c r="E52" s="507"/>
      <c r="F52" s="155" t="s">
        <v>773</v>
      </c>
      <c r="G52" s="190" t="s">
        <v>1</v>
      </c>
      <c r="H52" s="190">
        <f>80*14.01</f>
        <v>1120.8</v>
      </c>
      <c r="I52" s="360" t="s">
        <v>98</v>
      </c>
      <c r="J52" s="208">
        <v>1.4</v>
      </c>
      <c r="K52" s="208">
        <v>24</v>
      </c>
      <c r="L52" s="190">
        <v>25</v>
      </c>
      <c r="M52" s="212">
        <v>0.65911949685534599</v>
      </c>
      <c r="N52" s="125">
        <v>2.5544554455445501</v>
      </c>
      <c r="O52" s="212">
        <v>0.54842767295597405</v>
      </c>
      <c r="P52" s="360" t="s">
        <v>98</v>
      </c>
      <c r="Q52" s="360" t="s">
        <v>98</v>
      </c>
      <c r="R52" s="514"/>
      <c r="S52" s="190"/>
      <c r="T52" s="190"/>
      <c r="U52" s="190"/>
    </row>
    <row r="53" spans="1:22" s="146" customFormat="1" ht="16" customHeight="1">
      <c r="A53" s="154">
        <v>51</v>
      </c>
      <c r="B53" s="190" t="s">
        <v>736</v>
      </c>
      <c r="C53" s="516"/>
      <c r="D53" s="492"/>
      <c r="E53" s="507"/>
      <c r="F53" s="155" t="s">
        <v>773</v>
      </c>
      <c r="G53" s="190" t="s">
        <v>1</v>
      </c>
      <c r="H53" s="190">
        <f>40*14.01</f>
        <v>560.4</v>
      </c>
      <c r="I53" s="360" t="s">
        <v>98</v>
      </c>
      <c r="J53" s="208">
        <v>1</v>
      </c>
      <c r="K53" s="208">
        <v>24</v>
      </c>
      <c r="L53" s="190">
        <v>25</v>
      </c>
      <c r="M53" s="212">
        <v>0.86180257510729597</v>
      </c>
      <c r="N53" s="125">
        <v>3.1485148514851402</v>
      </c>
      <c r="O53" s="212">
        <v>0.60429184549356196</v>
      </c>
      <c r="P53" s="360" t="s">
        <v>98</v>
      </c>
      <c r="Q53" s="360" t="s">
        <v>98</v>
      </c>
      <c r="R53" s="514"/>
      <c r="S53" s="190"/>
      <c r="T53" s="190"/>
      <c r="U53" s="190"/>
    </row>
    <row r="54" spans="1:22" s="190" customFormat="1" ht="16" customHeight="1">
      <c r="A54" s="147">
        <v>52</v>
      </c>
      <c r="B54" s="147" t="s">
        <v>736</v>
      </c>
      <c r="C54" s="517"/>
      <c r="D54" s="491"/>
      <c r="E54" s="508"/>
      <c r="F54" s="157" t="s">
        <v>773</v>
      </c>
      <c r="G54" s="147" t="s">
        <v>1</v>
      </c>
      <c r="H54" s="147">
        <f>20*14.01</f>
        <v>280.2</v>
      </c>
      <c r="I54" s="361" t="s">
        <v>98</v>
      </c>
      <c r="J54" s="161">
        <v>1</v>
      </c>
      <c r="K54" s="161">
        <v>24</v>
      </c>
      <c r="L54" s="147">
        <v>25</v>
      </c>
      <c r="M54" s="213">
        <v>0.97167381974248901</v>
      </c>
      <c r="N54" s="118">
        <v>4.21782178217821</v>
      </c>
      <c r="O54" s="213">
        <v>0.67982832618025701</v>
      </c>
      <c r="P54" s="361" t="s">
        <v>98</v>
      </c>
      <c r="Q54" s="361" t="s">
        <v>98</v>
      </c>
      <c r="R54" s="513"/>
    </row>
    <row r="58" spans="1:22" ht="50" customHeight="1">
      <c r="A58" s="538" t="s">
        <v>869</v>
      </c>
      <c r="B58" s="538"/>
      <c r="C58" s="538"/>
      <c r="D58" s="538"/>
      <c r="E58" s="538"/>
      <c r="F58" s="538"/>
      <c r="G58" s="538"/>
      <c r="H58" s="538"/>
      <c r="I58" s="538"/>
      <c r="J58" s="538"/>
      <c r="K58" s="538"/>
      <c r="L58" s="538"/>
      <c r="M58" s="538"/>
      <c r="N58" s="538"/>
      <c r="O58" s="538"/>
      <c r="P58" s="538"/>
      <c r="Q58" s="538"/>
      <c r="R58" s="538"/>
      <c r="S58" s="538"/>
      <c r="T58" s="538"/>
      <c r="U58" s="538"/>
      <c r="V58" s="538"/>
    </row>
    <row r="59" spans="1:22" ht="16" customHeight="1">
      <c r="A59" s="88" t="s">
        <v>302</v>
      </c>
      <c r="B59" s="163" t="s">
        <v>776</v>
      </c>
      <c r="C59" s="327" t="s">
        <v>1249</v>
      </c>
      <c r="D59" s="98" t="s">
        <v>8</v>
      </c>
      <c r="E59" s="129" t="s">
        <v>872</v>
      </c>
      <c r="F59" s="129" t="s">
        <v>733</v>
      </c>
      <c r="G59" s="98" t="s">
        <v>723</v>
      </c>
      <c r="H59" s="98" t="s">
        <v>875</v>
      </c>
      <c r="I59" s="98" t="s">
        <v>876</v>
      </c>
      <c r="J59" s="129" t="s">
        <v>877</v>
      </c>
      <c r="K59" s="129" t="s">
        <v>878</v>
      </c>
      <c r="L59" s="98" t="s">
        <v>879</v>
      </c>
      <c r="M59" s="98" t="s">
        <v>880</v>
      </c>
      <c r="N59" s="99" t="s">
        <v>43</v>
      </c>
      <c r="O59" s="98" t="s">
        <v>881</v>
      </c>
      <c r="P59" s="164" t="s">
        <v>882</v>
      </c>
      <c r="Q59" s="217" t="s">
        <v>735</v>
      </c>
    </row>
    <row r="60" spans="1:22" ht="16" customHeight="1">
      <c r="A60" s="152">
        <v>1</v>
      </c>
      <c r="B60" s="195" t="s">
        <v>1009</v>
      </c>
      <c r="C60" s="515">
        <v>15</v>
      </c>
      <c r="D60" s="490" t="s">
        <v>782</v>
      </c>
      <c r="E60" s="208" t="s">
        <v>783</v>
      </c>
      <c r="F60" s="155" t="s">
        <v>1</v>
      </c>
      <c r="G60" s="190">
        <v>2800</v>
      </c>
      <c r="H60" s="190">
        <v>62.5</v>
      </c>
      <c r="I60" s="190" t="s">
        <v>790</v>
      </c>
      <c r="J60" s="208">
        <v>20</v>
      </c>
      <c r="K60" s="208" t="s">
        <v>98</v>
      </c>
      <c r="L60" s="124">
        <v>0.19</v>
      </c>
      <c r="M60" s="190">
        <v>8.19</v>
      </c>
      <c r="N60" s="190">
        <v>0</v>
      </c>
      <c r="O60" s="190" t="s">
        <v>98</v>
      </c>
      <c r="P60" s="190">
        <v>527.69953051643199</v>
      </c>
      <c r="Q60" s="512" t="s">
        <v>744</v>
      </c>
    </row>
    <row r="61" spans="1:22" ht="16" customHeight="1">
      <c r="A61" s="154">
        <v>2</v>
      </c>
      <c r="B61" s="196" t="s">
        <v>1009</v>
      </c>
      <c r="C61" s="516"/>
      <c r="D61" s="492"/>
      <c r="E61" s="208" t="s">
        <v>783</v>
      </c>
      <c r="F61" s="155" t="s">
        <v>1</v>
      </c>
      <c r="G61" s="190">
        <v>2800</v>
      </c>
      <c r="H61" s="190">
        <v>125</v>
      </c>
      <c r="I61" s="190" t="s">
        <v>883</v>
      </c>
      <c r="J61" s="208">
        <v>20</v>
      </c>
      <c r="K61" s="208" t="s">
        <v>98</v>
      </c>
      <c r="L61" s="210">
        <v>0.44500000000000001</v>
      </c>
      <c r="M61" s="190">
        <v>13.12</v>
      </c>
      <c r="N61" s="190">
        <v>0</v>
      </c>
      <c r="O61" s="190" t="s">
        <v>98</v>
      </c>
      <c r="P61" s="190">
        <v>723.00469483567997</v>
      </c>
      <c r="Q61" s="514"/>
    </row>
    <row r="62" spans="1:22" ht="16" customHeight="1">
      <c r="A62" s="154">
        <v>3</v>
      </c>
      <c r="B62" s="196" t="s">
        <v>1009</v>
      </c>
      <c r="C62" s="516"/>
      <c r="D62" s="492"/>
      <c r="E62" s="208" t="s">
        <v>783</v>
      </c>
      <c r="F62" s="155" t="s">
        <v>1</v>
      </c>
      <c r="G62" s="190">
        <v>2800</v>
      </c>
      <c r="H62" s="190">
        <v>250</v>
      </c>
      <c r="I62" s="190" t="s">
        <v>884</v>
      </c>
      <c r="J62" s="208">
        <v>20</v>
      </c>
      <c r="K62" s="208" t="s">
        <v>98</v>
      </c>
      <c r="L62" s="210">
        <v>0.64600000000000002</v>
      </c>
      <c r="M62" s="190">
        <v>22.7</v>
      </c>
      <c r="N62" s="212">
        <v>1.3796627491057742E-2</v>
      </c>
      <c r="O62" s="190" t="s">
        <v>98</v>
      </c>
      <c r="P62" s="190">
        <v>1038.0487804878001</v>
      </c>
      <c r="Q62" s="514"/>
    </row>
    <row r="63" spans="1:22" ht="16" customHeight="1">
      <c r="A63" s="154">
        <v>4</v>
      </c>
      <c r="B63" s="196" t="s">
        <v>1009</v>
      </c>
      <c r="C63" s="516"/>
      <c r="D63" s="492"/>
      <c r="E63" s="208" t="s">
        <v>784</v>
      </c>
      <c r="F63" s="155" t="s">
        <v>1</v>
      </c>
      <c r="G63" s="190">
        <v>2800</v>
      </c>
      <c r="H63" s="190">
        <v>250</v>
      </c>
      <c r="I63" s="190" t="s">
        <v>98</v>
      </c>
      <c r="J63" s="208">
        <v>20</v>
      </c>
      <c r="K63" s="208" t="s">
        <v>98</v>
      </c>
      <c r="L63" s="124">
        <v>0.79</v>
      </c>
      <c r="M63" s="190">
        <v>92.172523961661298</v>
      </c>
      <c r="N63" s="212">
        <v>6.0000000000000255E-2</v>
      </c>
      <c r="O63" s="190" t="s">
        <v>98</v>
      </c>
      <c r="P63" s="190"/>
      <c r="Q63" s="514"/>
    </row>
    <row r="64" spans="1:22" ht="16" customHeight="1">
      <c r="A64" s="154">
        <v>5</v>
      </c>
      <c r="B64" s="196" t="s">
        <v>1009</v>
      </c>
      <c r="C64" s="516"/>
      <c r="D64" s="492"/>
      <c r="E64" s="208" t="s">
        <v>785</v>
      </c>
      <c r="F64" s="155" t="s">
        <v>1</v>
      </c>
      <c r="G64" s="190">
        <v>2800</v>
      </c>
      <c r="H64" s="190">
        <v>250</v>
      </c>
      <c r="I64" s="190" t="s">
        <v>98</v>
      </c>
      <c r="J64" s="208">
        <v>20</v>
      </c>
      <c r="K64" s="208" t="s">
        <v>98</v>
      </c>
      <c r="L64" s="210">
        <v>0.61499999999999999</v>
      </c>
      <c r="M64" s="190">
        <v>41.853035143769901</v>
      </c>
      <c r="N64" s="212">
        <v>3.7656903765690669E-2</v>
      </c>
      <c r="O64" s="190" t="s">
        <v>98</v>
      </c>
      <c r="P64" s="190"/>
      <c r="Q64" s="514"/>
    </row>
    <row r="65" spans="1:17" ht="16" customHeight="1">
      <c r="A65" s="154">
        <v>6</v>
      </c>
      <c r="B65" s="196" t="s">
        <v>1009</v>
      </c>
      <c r="C65" s="516"/>
      <c r="D65" s="492"/>
      <c r="E65" s="208" t="s">
        <v>786</v>
      </c>
      <c r="F65" s="155" t="s">
        <v>1</v>
      </c>
      <c r="G65" s="190">
        <v>2800</v>
      </c>
      <c r="H65" s="190">
        <v>250</v>
      </c>
      <c r="I65" s="190" t="s">
        <v>98</v>
      </c>
      <c r="J65" s="208">
        <v>20</v>
      </c>
      <c r="K65" s="208" t="s">
        <v>98</v>
      </c>
      <c r="L65" s="210">
        <v>0.47799999999999998</v>
      </c>
      <c r="M65" s="190">
        <v>27.156549520766699</v>
      </c>
      <c r="N65" s="212">
        <v>1.8867924528301955E-2</v>
      </c>
      <c r="O65" s="190" t="s">
        <v>98</v>
      </c>
      <c r="P65" s="190">
        <v>801</v>
      </c>
      <c r="Q65" s="514"/>
    </row>
    <row r="66" spans="1:17" ht="16" customHeight="1">
      <c r="A66" s="154">
        <v>7</v>
      </c>
      <c r="B66" s="196" t="s">
        <v>1009</v>
      </c>
      <c r="C66" s="516"/>
      <c r="D66" s="492"/>
      <c r="E66" s="208" t="s">
        <v>786</v>
      </c>
      <c r="F66" s="155" t="s">
        <v>1</v>
      </c>
      <c r="G66" s="190">
        <v>2800</v>
      </c>
      <c r="H66" s="190">
        <v>62.5</v>
      </c>
      <c r="I66" s="190" t="s">
        <v>885</v>
      </c>
      <c r="J66" s="208">
        <v>20</v>
      </c>
      <c r="K66" s="208" t="s">
        <v>98</v>
      </c>
      <c r="L66" s="212">
        <v>0.25585937499999911</v>
      </c>
      <c r="M66" s="190">
        <v>9.0032154340835895</v>
      </c>
      <c r="N66" s="190">
        <v>0</v>
      </c>
      <c r="O66" s="190" t="s">
        <v>98</v>
      </c>
      <c r="P66" s="125">
        <v>448.27586206896501</v>
      </c>
      <c r="Q66" s="514"/>
    </row>
    <row r="67" spans="1:17" ht="16" customHeight="1">
      <c r="A67" s="154">
        <v>8</v>
      </c>
      <c r="B67" s="196" t="s">
        <v>1009</v>
      </c>
      <c r="C67" s="516"/>
      <c r="D67" s="492"/>
      <c r="E67" s="208" t="s">
        <v>786</v>
      </c>
      <c r="F67" s="155" t="s">
        <v>1</v>
      </c>
      <c r="G67" s="190">
        <v>2800</v>
      </c>
      <c r="H67" s="190">
        <v>125</v>
      </c>
      <c r="I67" s="190" t="s">
        <v>790</v>
      </c>
      <c r="J67" s="208">
        <v>20</v>
      </c>
      <c r="K67" s="208" t="s">
        <v>98</v>
      </c>
      <c r="L67" s="212">
        <v>0.4046242774566457</v>
      </c>
      <c r="M67" s="190">
        <v>12.8617363344051</v>
      </c>
      <c r="N67" s="190">
        <v>0</v>
      </c>
      <c r="O67" s="190" t="s">
        <v>98</v>
      </c>
      <c r="P67" s="125">
        <v>706.896551724137</v>
      </c>
      <c r="Q67" s="514"/>
    </row>
    <row r="68" spans="1:17" ht="16" customHeight="1">
      <c r="A68" s="154">
        <v>9</v>
      </c>
      <c r="B68" s="196" t="s">
        <v>1009</v>
      </c>
      <c r="C68" s="516"/>
      <c r="D68" s="492"/>
      <c r="E68" s="208" t="s">
        <v>786</v>
      </c>
      <c r="F68" s="155" t="s">
        <v>1</v>
      </c>
      <c r="G68" s="190">
        <v>2800</v>
      </c>
      <c r="H68" s="190">
        <v>250</v>
      </c>
      <c r="I68" s="190" t="s">
        <v>883</v>
      </c>
      <c r="J68" s="208">
        <v>20</v>
      </c>
      <c r="K68" s="208" t="s">
        <v>98</v>
      </c>
      <c r="L68" s="212">
        <v>0.48412698412698274</v>
      </c>
      <c r="M68" s="190">
        <v>24.437299035369701</v>
      </c>
      <c r="N68" s="212">
        <v>1.9841269841269864E-2</v>
      </c>
      <c r="O68" s="190" t="s">
        <v>98</v>
      </c>
      <c r="P68" s="125">
        <v>798.85057471264304</v>
      </c>
      <c r="Q68" s="514"/>
    </row>
    <row r="69" spans="1:17" ht="16" customHeight="1">
      <c r="A69" s="154">
        <v>10</v>
      </c>
      <c r="B69" s="196" t="s">
        <v>1009</v>
      </c>
      <c r="C69" s="516"/>
      <c r="D69" s="492"/>
      <c r="E69" s="208" t="s">
        <v>786</v>
      </c>
      <c r="F69" s="155" t="s">
        <v>1</v>
      </c>
      <c r="G69" s="190">
        <v>2800</v>
      </c>
      <c r="H69" s="190">
        <v>500</v>
      </c>
      <c r="I69" s="190" t="s">
        <v>886</v>
      </c>
      <c r="J69" s="208">
        <v>20</v>
      </c>
      <c r="K69" s="208" t="s">
        <v>98</v>
      </c>
      <c r="L69" s="212">
        <v>0.74193548387096686</v>
      </c>
      <c r="M69" s="190">
        <v>33.311897106109299</v>
      </c>
      <c r="N69" s="212">
        <v>5.1233396584439983E-2</v>
      </c>
      <c r="O69" s="190" t="s">
        <v>98</v>
      </c>
      <c r="P69" s="125">
        <v>1307.4712643678099</v>
      </c>
      <c r="Q69" s="514"/>
    </row>
    <row r="70" spans="1:17" ht="16" customHeight="1">
      <c r="A70" s="154">
        <v>11</v>
      </c>
      <c r="B70" s="196" t="s">
        <v>1009</v>
      </c>
      <c r="C70" s="516"/>
      <c r="D70" s="492"/>
      <c r="E70" s="208" t="s">
        <v>786</v>
      </c>
      <c r="F70" s="155" t="s">
        <v>1</v>
      </c>
      <c r="G70" s="190">
        <v>2800</v>
      </c>
      <c r="H70" s="190">
        <v>1000</v>
      </c>
      <c r="I70" s="190" t="s">
        <v>887</v>
      </c>
      <c r="J70" s="208">
        <v>20</v>
      </c>
      <c r="K70" s="208" t="s">
        <v>98</v>
      </c>
      <c r="L70" s="212">
        <v>0.90361445783132499</v>
      </c>
      <c r="M70" s="190">
        <v>74.083601286173604</v>
      </c>
      <c r="N70" s="212">
        <v>8.8353413654618254E-2</v>
      </c>
      <c r="O70" s="190" t="s">
        <v>98</v>
      </c>
      <c r="P70" s="125">
        <v>1502.87356321839</v>
      </c>
      <c r="Q70" s="514"/>
    </row>
    <row r="71" spans="1:17" ht="16" customHeight="1">
      <c r="A71" s="154">
        <v>12</v>
      </c>
      <c r="B71" s="196" t="s">
        <v>1009</v>
      </c>
      <c r="C71" s="516"/>
      <c r="D71" s="492"/>
      <c r="E71" s="208" t="s">
        <v>787</v>
      </c>
      <c r="F71" s="155" t="s">
        <v>1</v>
      </c>
      <c r="G71" s="190">
        <v>2800</v>
      </c>
      <c r="H71" s="190">
        <v>250</v>
      </c>
      <c r="I71" s="190" t="s">
        <v>790</v>
      </c>
      <c r="J71" s="208">
        <v>1</v>
      </c>
      <c r="K71" s="208" t="s">
        <v>98</v>
      </c>
      <c r="L71" s="212">
        <v>0.585413290113452</v>
      </c>
      <c r="M71" s="190">
        <v>18.533057851239601</v>
      </c>
      <c r="N71" s="190" t="s">
        <v>98</v>
      </c>
      <c r="O71" s="190" t="s">
        <v>98</v>
      </c>
      <c r="P71" s="125">
        <v>925.71428571428498</v>
      </c>
      <c r="Q71" s="514"/>
    </row>
    <row r="72" spans="1:17" ht="16" customHeight="1">
      <c r="A72" s="154">
        <v>13</v>
      </c>
      <c r="B72" s="196" t="s">
        <v>1009</v>
      </c>
      <c r="C72" s="516"/>
      <c r="D72" s="492"/>
      <c r="E72" s="208" t="s">
        <v>788</v>
      </c>
      <c r="F72" s="155" t="s">
        <v>1</v>
      </c>
      <c r="G72" s="190">
        <v>2800</v>
      </c>
      <c r="H72" s="190">
        <v>250</v>
      </c>
      <c r="I72" s="190" t="s">
        <v>790</v>
      </c>
      <c r="J72" s="208">
        <v>1</v>
      </c>
      <c r="K72" s="208" t="s">
        <v>98</v>
      </c>
      <c r="L72" s="212">
        <v>0.43225283630470002</v>
      </c>
      <c r="M72" s="190">
        <v>27.5826446280991</v>
      </c>
      <c r="N72" s="190" t="s">
        <v>98</v>
      </c>
      <c r="O72" s="190" t="s">
        <v>98</v>
      </c>
      <c r="P72" s="125">
        <v>630.47619047619003</v>
      </c>
      <c r="Q72" s="514"/>
    </row>
    <row r="73" spans="1:17" ht="16" customHeight="1">
      <c r="A73" s="154">
        <v>14</v>
      </c>
      <c r="B73" s="196" t="s">
        <v>1009</v>
      </c>
      <c r="C73" s="516"/>
      <c r="D73" s="492"/>
      <c r="E73" s="208" t="s">
        <v>789</v>
      </c>
      <c r="F73" s="155" t="s">
        <v>1</v>
      </c>
      <c r="G73" s="190">
        <v>2800</v>
      </c>
      <c r="H73" s="190">
        <v>250</v>
      </c>
      <c r="I73" s="190" t="s">
        <v>790</v>
      </c>
      <c r="J73" s="208">
        <v>1</v>
      </c>
      <c r="K73" s="208" t="s">
        <v>98</v>
      </c>
      <c r="L73" s="212">
        <v>0.443598055105348</v>
      </c>
      <c r="M73" s="190">
        <v>22.561983471074299</v>
      </c>
      <c r="N73" s="190" t="s">
        <v>98</v>
      </c>
      <c r="O73" s="190" t="s">
        <v>98</v>
      </c>
      <c r="P73" s="125">
        <v>794.28571428571399</v>
      </c>
      <c r="Q73" s="514"/>
    </row>
    <row r="74" spans="1:17" ht="16" customHeight="1">
      <c r="A74" s="154">
        <v>15</v>
      </c>
      <c r="B74" s="196" t="s">
        <v>1009</v>
      </c>
      <c r="C74" s="516"/>
      <c r="D74" s="492"/>
      <c r="E74" s="208" t="s">
        <v>791</v>
      </c>
      <c r="F74" s="155" t="s">
        <v>1</v>
      </c>
      <c r="G74" s="190">
        <v>2800</v>
      </c>
      <c r="H74" s="190">
        <v>250</v>
      </c>
      <c r="I74" s="190" t="s">
        <v>790</v>
      </c>
      <c r="J74" s="208">
        <v>1</v>
      </c>
      <c r="K74" s="208" t="s">
        <v>98</v>
      </c>
      <c r="L74" s="212">
        <v>0.56952998379254405</v>
      </c>
      <c r="M74" s="190">
        <v>17.603305785123901</v>
      </c>
      <c r="N74" s="190" t="s">
        <v>98</v>
      </c>
      <c r="O74" s="190" t="s">
        <v>98</v>
      </c>
      <c r="P74" s="125">
        <v>982.857142857143</v>
      </c>
      <c r="Q74" s="514"/>
    </row>
    <row r="75" spans="1:17" ht="16" customHeight="1">
      <c r="A75" s="154">
        <v>16</v>
      </c>
      <c r="B75" s="196" t="s">
        <v>1009</v>
      </c>
      <c r="C75" s="516"/>
      <c r="D75" s="492"/>
      <c r="E75" s="208" t="s">
        <v>792</v>
      </c>
      <c r="F75" s="155" t="s">
        <v>1</v>
      </c>
      <c r="G75" s="190">
        <v>2800</v>
      </c>
      <c r="H75" s="190">
        <v>250</v>
      </c>
      <c r="I75" s="190" t="s">
        <v>790</v>
      </c>
      <c r="J75" s="208">
        <v>1</v>
      </c>
      <c r="K75" s="208" t="s">
        <v>98</v>
      </c>
      <c r="L75" s="212">
        <v>0.44700162074554201</v>
      </c>
      <c r="M75" s="190">
        <v>23.4776859504132</v>
      </c>
      <c r="N75" s="190" t="s">
        <v>98</v>
      </c>
      <c r="O75" s="190" t="s">
        <v>98</v>
      </c>
      <c r="P75" s="125">
        <v>746.66666666666595</v>
      </c>
      <c r="Q75" s="514"/>
    </row>
    <row r="76" spans="1:17" ht="16" customHeight="1">
      <c r="A76" s="154">
        <v>17</v>
      </c>
      <c r="B76" s="196" t="s">
        <v>1009</v>
      </c>
      <c r="C76" s="516"/>
      <c r="D76" s="492"/>
      <c r="E76" s="208" t="s">
        <v>793</v>
      </c>
      <c r="F76" s="155" t="s">
        <v>1</v>
      </c>
      <c r="G76" s="190">
        <v>2800</v>
      </c>
      <c r="H76" s="190">
        <v>250</v>
      </c>
      <c r="I76" s="190" t="s">
        <v>790</v>
      </c>
      <c r="J76" s="208">
        <v>1</v>
      </c>
      <c r="K76" s="208" t="s">
        <v>98</v>
      </c>
      <c r="L76" s="212">
        <v>0.63760129659643405</v>
      </c>
      <c r="M76" s="190">
        <v>16.4876033057851</v>
      </c>
      <c r="N76" s="190" t="s">
        <v>98</v>
      </c>
      <c r="O76" s="190" t="s">
        <v>98</v>
      </c>
      <c r="P76" s="125">
        <v>1074.2857142857099</v>
      </c>
      <c r="Q76" s="514"/>
    </row>
    <row r="77" spans="1:17" ht="16" customHeight="1">
      <c r="A77" s="156">
        <v>18</v>
      </c>
      <c r="B77" s="197" t="s">
        <v>1009</v>
      </c>
      <c r="C77" s="517"/>
      <c r="D77" s="491"/>
      <c r="E77" s="161" t="s">
        <v>794</v>
      </c>
      <c r="F77" s="157" t="s">
        <v>1</v>
      </c>
      <c r="G77" s="147">
        <v>2800</v>
      </c>
      <c r="H77" s="147">
        <v>250</v>
      </c>
      <c r="I77" s="147" t="s">
        <v>790</v>
      </c>
      <c r="J77" s="161">
        <v>1</v>
      </c>
      <c r="K77" s="161" t="s">
        <v>98</v>
      </c>
      <c r="L77" s="213">
        <v>0.54910858995137701</v>
      </c>
      <c r="M77" s="147">
        <v>21.198347107438</v>
      </c>
      <c r="N77" s="147" t="s">
        <v>98</v>
      </c>
      <c r="O77" s="147" t="s">
        <v>98</v>
      </c>
      <c r="P77" s="118">
        <v>853.33333333333303</v>
      </c>
      <c r="Q77" s="513"/>
    </row>
    <row r="78" spans="1:17" ht="16" customHeight="1">
      <c r="A78" s="154">
        <v>19</v>
      </c>
      <c r="B78" s="196" t="s">
        <v>1009</v>
      </c>
      <c r="C78" s="515">
        <v>16</v>
      </c>
      <c r="D78" s="492" t="s">
        <v>795</v>
      </c>
      <c r="E78" s="506" t="s">
        <v>98</v>
      </c>
      <c r="F78" s="153" t="s">
        <v>1</v>
      </c>
      <c r="G78" s="144">
        <f>5*14.01</f>
        <v>70.05</v>
      </c>
      <c r="H78" s="190">
        <v>4.8</v>
      </c>
      <c r="I78" s="190">
        <v>0.2</v>
      </c>
      <c r="J78" s="208" t="s">
        <v>98</v>
      </c>
      <c r="K78" s="208">
        <v>25</v>
      </c>
      <c r="L78" s="103">
        <v>0.52</v>
      </c>
      <c r="M78" s="190">
        <v>1.2</v>
      </c>
      <c r="N78" s="190" t="s">
        <v>98</v>
      </c>
      <c r="O78" s="190">
        <v>6.4</v>
      </c>
      <c r="P78" s="190">
        <v>27</v>
      </c>
      <c r="Q78" s="512" t="s">
        <v>744</v>
      </c>
    </row>
    <row r="79" spans="1:17" ht="16" customHeight="1">
      <c r="A79" s="154">
        <v>20</v>
      </c>
      <c r="B79" s="196" t="s">
        <v>1009</v>
      </c>
      <c r="C79" s="516"/>
      <c r="D79" s="492"/>
      <c r="E79" s="507"/>
      <c r="F79" s="155" t="s">
        <v>1</v>
      </c>
      <c r="G79" s="190">
        <f>5*14.01</f>
        <v>70.05</v>
      </c>
      <c r="H79" s="190">
        <v>9.6</v>
      </c>
      <c r="I79" s="190">
        <v>0.47</v>
      </c>
      <c r="J79" s="208" t="s">
        <v>98</v>
      </c>
      <c r="K79" s="208">
        <v>25</v>
      </c>
      <c r="L79" s="103">
        <v>0.57999999999999996</v>
      </c>
      <c r="M79" s="190">
        <v>3.2</v>
      </c>
      <c r="N79" s="190" t="s">
        <v>98</v>
      </c>
      <c r="O79" s="190">
        <v>9.1</v>
      </c>
      <c r="P79" s="190">
        <v>33.799999999999997</v>
      </c>
      <c r="Q79" s="514"/>
    </row>
    <row r="80" spans="1:17" ht="16" customHeight="1">
      <c r="A80" s="156">
        <v>21</v>
      </c>
      <c r="B80" s="197" t="s">
        <v>1009</v>
      </c>
      <c r="C80" s="517"/>
      <c r="D80" s="491"/>
      <c r="E80" s="508"/>
      <c r="F80" s="157" t="s">
        <v>1</v>
      </c>
      <c r="G80" s="147">
        <f>5*14.01</f>
        <v>70.05</v>
      </c>
      <c r="H80" s="147">
        <v>19.2</v>
      </c>
      <c r="I80" s="147">
        <v>0.28000000000000003</v>
      </c>
      <c r="J80" s="161" t="s">
        <v>98</v>
      </c>
      <c r="K80" s="161">
        <v>25</v>
      </c>
      <c r="L80" s="104">
        <v>0.64</v>
      </c>
      <c r="M80" s="147">
        <v>12.6</v>
      </c>
      <c r="N80" s="147" t="s">
        <v>98</v>
      </c>
      <c r="O80" s="147">
        <v>25.6</v>
      </c>
      <c r="P80" s="147">
        <v>38.700000000000003</v>
      </c>
      <c r="Q80" s="513"/>
    </row>
    <row r="81" spans="1:17" ht="16" customHeight="1">
      <c r="A81" s="154">
        <v>22</v>
      </c>
      <c r="B81" s="196" t="s">
        <v>1009</v>
      </c>
      <c r="C81" s="515">
        <v>17</v>
      </c>
      <c r="D81" s="490" t="s">
        <v>198</v>
      </c>
      <c r="E81" s="208" t="s">
        <v>796</v>
      </c>
      <c r="F81" s="155" t="s">
        <v>1</v>
      </c>
      <c r="G81" s="190">
        <v>3000</v>
      </c>
      <c r="H81" s="190" t="s">
        <v>98</v>
      </c>
      <c r="I81" s="190" t="s">
        <v>98</v>
      </c>
      <c r="J81" s="208" t="s">
        <v>98</v>
      </c>
      <c r="K81" s="208" t="s">
        <v>98</v>
      </c>
      <c r="L81" s="124">
        <v>0.95</v>
      </c>
      <c r="M81" s="125">
        <v>260</v>
      </c>
      <c r="N81" s="124">
        <v>0.59</v>
      </c>
      <c r="O81" s="190" t="s">
        <v>98</v>
      </c>
      <c r="P81" s="190"/>
      <c r="Q81" s="512" t="s">
        <v>744</v>
      </c>
    </row>
    <row r="82" spans="1:17" ht="16" customHeight="1">
      <c r="A82" s="154">
        <v>23</v>
      </c>
      <c r="B82" s="196" t="s">
        <v>1009</v>
      </c>
      <c r="C82" s="516"/>
      <c r="D82" s="492"/>
      <c r="E82" s="507" t="s">
        <v>98</v>
      </c>
      <c r="F82" s="155" t="s">
        <v>1</v>
      </c>
      <c r="G82" s="190">
        <v>3000</v>
      </c>
      <c r="H82" s="190" t="s">
        <v>98</v>
      </c>
      <c r="I82" s="190">
        <v>10</v>
      </c>
      <c r="J82" s="208" t="s">
        <v>98</v>
      </c>
      <c r="K82" s="208" t="s">
        <v>98</v>
      </c>
      <c r="L82" s="124">
        <v>0.61</v>
      </c>
      <c r="M82" s="190">
        <v>62.5</v>
      </c>
      <c r="N82" s="190" t="s">
        <v>98</v>
      </c>
      <c r="O82" s="190" t="s">
        <v>98</v>
      </c>
      <c r="P82" s="190">
        <v>139.6</v>
      </c>
      <c r="Q82" s="514"/>
    </row>
    <row r="83" spans="1:17" ht="16" customHeight="1">
      <c r="A83" s="156">
        <v>24</v>
      </c>
      <c r="B83" s="197" t="s">
        <v>1009</v>
      </c>
      <c r="C83" s="517"/>
      <c r="D83" s="491"/>
      <c r="E83" s="508"/>
      <c r="F83" s="157" t="s">
        <v>1</v>
      </c>
      <c r="G83" s="147">
        <v>300</v>
      </c>
      <c r="H83" s="147">
        <v>100</v>
      </c>
      <c r="I83" s="147">
        <v>16</v>
      </c>
      <c r="J83" s="161">
        <v>0.5</v>
      </c>
      <c r="K83" s="161"/>
      <c r="L83" s="112">
        <v>0.61</v>
      </c>
      <c r="M83" s="147">
        <v>116.66666666666666</v>
      </c>
      <c r="N83" s="147" t="s">
        <v>98</v>
      </c>
      <c r="O83" s="147" t="s">
        <v>98</v>
      </c>
      <c r="P83" s="147">
        <v>101.4</v>
      </c>
      <c r="Q83" s="513"/>
    </row>
    <row r="84" spans="1:17" ht="16" customHeight="1">
      <c r="A84" s="152">
        <v>25</v>
      </c>
      <c r="B84" s="195" t="s">
        <v>1009</v>
      </c>
      <c r="C84" s="515">
        <v>18</v>
      </c>
      <c r="D84" s="490" t="s">
        <v>199</v>
      </c>
      <c r="E84" s="160" t="s">
        <v>797</v>
      </c>
      <c r="F84" s="155" t="s">
        <v>1</v>
      </c>
      <c r="G84" s="149">
        <v>3700</v>
      </c>
      <c r="H84" s="144">
        <v>20</v>
      </c>
      <c r="I84" s="149">
        <v>2</v>
      </c>
      <c r="J84" s="208" t="s">
        <v>799</v>
      </c>
      <c r="K84" s="160">
        <v>25</v>
      </c>
      <c r="L84" s="133">
        <v>0.47</v>
      </c>
      <c r="M84" s="166">
        <v>10.8</v>
      </c>
      <c r="N84" s="192">
        <v>0.80500000000000005</v>
      </c>
      <c r="O84" s="354" t="s">
        <v>98</v>
      </c>
      <c r="P84" s="149">
        <v>199.20000000000002</v>
      </c>
      <c r="Q84" s="512" t="s">
        <v>798</v>
      </c>
    </row>
    <row r="85" spans="1:17" ht="16" customHeight="1">
      <c r="A85" s="154">
        <v>26</v>
      </c>
      <c r="B85" s="196" t="s">
        <v>1009</v>
      </c>
      <c r="C85" s="516"/>
      <c r="D85" s="492"/>
      <c r="E85" s="208" t="s">
        <v>797</v>
      </c>
      <c r="F85" s="155" t="s">
        <v>1</v>
      </c>
      <c r="G85" s="150">
        <v>3700</v>
      </c>
      <c r="H85" s="190">
        <v>40</v>
      </c>
      <c r="I85" s="150">
        <v>2</v>
      </c>
      <c r="J85" s="208" t="s">
        <v>799</v>
      </c>
      <c r="K85" s="208">
        <v>25</v>
      </c>
      <c r="L85" s="133">
        <v>0.51900000000000002</v>
      </c>
      <c r="M85" s="166">
        <v>14.8</v>
      </c>
      <c r="N85" s="192">
        <v>0.95099999999999996</v>
      </c>
      <c r="O85" s="355" t="s">
        <v>98</v>
      </c>
      <c r="P85" s="150">
        <v>338.4</v>
      </c>
      <c r="Q85" s="514"/>
    </row>
    <row r="86" spans="1:17" ht="16" customHeight="1">
      <c r="A86" s="154">
        <v>27</v>
      </c>
      <c r="B86" s="196" t="s">
        <v>1009</v>
      </c>
      <c r="C86" s="516"/>
      <c r="D86" s="492"/>
      <c r="E86" s="208" t="s">
        <v>797</v>
      </c>
      <c r="F86" s="155" t="s">
        <v>1</v>
      </c>
      <c r="G86" s="150">
        <v>3700</v>
      </c>
      <c r="H86" s="190">
        <v>60</v>
      </c>
      <c r="I86" s="150">
        <v>2</v>
      </c>
      <c r="J86" s="208" t="s">
        <v>799</v>
      </c>
      <c r="K86" s="208">
        <v>25</v>
      </c>
      <c r="L86" s="133">
        <v>0.78400000000000003</v>
      </c>
      <c r="M86" s="166">
        <v>20.399999999999999</v>
      </c>
      <c r="N86" s="199">
        <v>0.91</v>
      </c>
      <c r="O86" s="355" t="s">
        <v>98</v>
      </c>
      <c r="P86" s="150">
        <v>470.40000000000003</v>
      </c>
      <c r="Q86" s="514"/>
    </row>
    <row r="87" spans="1:17" ht="16" customHeight="1">
      <c r="A87" s="154">
        <v>28</v>
      </c>
      <c r="B87" s="196" t="s">
        <v>1009</v>
      </c>
      <c r="C87" s="516"/>
      <c r="D87" s="492"/>
      <c r="E87" s="208" t="s">
        <v>797</v>
      </c>
      <c r="F87" s="155" t="s">
        <v>1</v>
      </c>
      <c r="G87" s="150">
        <v>3700</v>
      </c>
      <c r="H87" s="190">
        <v>80</v>
      </c>
      <c r="I87" s="150">
        <v>2</v>
      </c>
      <c r="J87" s="208" t="s">
        <v>799</v>
      </c>
      <c r="K87" s="208">
        <v>25</v>
      </c>
      <c r="L87" s="133">
        <v>0.82199999999999995</v>
      </c>
      <c r="M87" s="166">
        <v>31.3</v>
      </c>
      <c r="N87" s="192">
        <v>0.88200000000000001</v>
      </c>
      <c r="O87" s="355" t="s">
        <v>98</v>
      </c>
      <c r="P87" s="150">
        <v>446.40000000000003</v>
      </c>
      <c r="Q87" s="514"/>
    </row>
    <row r="88" spans="1:17" ht="16" customHeight="1">
      <c r="A88" s="154">
        <v>29</v>
      </c>
      <c r="B88" s="196" t="s">
        <v>1009</v>
      </c>
      <c r="C88" s="516"/>
      <c r="D88" s="492"/>
      <c r="E88" s="208" t="s">
        <v>797</v>
      </c>
      <c r="F88" s="155" t="s">
        <v>1</v>
      </c>
      <c r="G88" s="150">
        <v>3700</v>
      </c>
      <c r="H88" s="190">
        <v>100</v>
      </c>
      <c r="I88" s="150">
        <v>2</v>
      </c>
      <c r="J88" s="208" t="s">
        <v>799</v>
      </c>
      <c r="K88" s="208">
        <v>25</v>
      </c>
      <c r="L88" s="133">
        <v>0.89200000000000002</v>
      </c>
      <c r="M88" s="166">
        <v>44.3</v>
      </c>
      <c r="N88" s="192">
        <v>0.81399999999999995</v>
      </c>
      <c r="O88" s="355" t="s">
        <v>98</v>
      </c>
      <c r="P88" s="150">
        <v>462.72</v>
      </c>
      <c r="Q88" s="514"/>
    </row>
    <row r="89" spans="1:17" ht="16" customHeight="1">
      <c r="A89" s="154">
        <v>30</v>
      </c>
      <c r="B89" s="196" t="s">
        <v>1009</v>
      </c>
      <c r="C89" s="516"/>
      <c r="D89" s="492"/>
      <c r="E89" s="208" t="s">
        <v>800</v>
      </c>
      <c r="F89" s="155" t="s">
        <v>1</v>
      </c>
      <c r="G89" s="150">
        <v>3700</v>
      </c>
      <c r="H89" s="190">
        <v>60</v>
      </c>
      <c r="I89" s="150">
        <v>2</v>
      </c>
      <c r="J89" s="208" t="s">
        <v>888</v>
      </c>
      <c r="K89" s="208">
        <v>25</v>
      </c>
      <c r="L89" s="165">
        <v>0.53200000000000003</v>
      </c>
      <c r="M89" s="166">
        <v>21.1494</v>
      </c>
      <c r="N89" s="165">
        <v>0.81079999999999997</v>
      </c>
      <c r="O89" s="355" t="s">
        <v>98</v>
      </c>
      <c r="P89" s="150">
        <v>525.57360000000006</v>
      </c>
      <c r="Q89" s="514"/>
    </row>
    <row r="90" spans="1:17" ht="16" customHeight="1">
      <c r="A90" s="154">
        <v>31</v>
      </c>
      <c r="B90" s="196" t="s">
        <v>1009</v>
      </c>
      <c r="C90" s="516"/>
      <c r="D90" s="492"/>
      <c r="E90" s="208" t="s">
        <v>800</v>
      </c>
      <c r="F90" s="155" t="s">
        <v>1</v>
      </c>
      <c r="G90" s="150">
        <v>3700</v>
      </c>
      <c r="H90" s="190">
        <v>60</v>
      </c>
      <c r="I90" s="150">
        <v>2</v>
      </c>
      <c r="J90" s="208" t="s">
        <v>889</v>
      </c>
      <c r="K90" s="208">
        <v>25</v>
      </c>
      <c r="L90" s="165">
        <v>0.53490000000000004</v>
      </c>
      <c r="M90" s="166">
        <v>18.460999999999999</v>
      </c>
      <c r="N90" s="165">
        <v>0.92889999999999995</v>
      </c>
      <c r="O90" s="355" t="s">
        <v>98</v>
      </c>
      <c r="P90" s="150">
        <v>484.30320000000006</v>
      </c>
      <c r="Q90" s="514"/>
    </row>
    <row r="91" spans="1:17" ht="16" customHeight="1">
      <c r="A91" s="154">
        <v>32</v>
      </c>
      <c r="B91" s="196" t="s">
        <v>1009</v>
      </c>
      <c r="C91" s="516"/>
      <c r="D91" s="492"/>
      <c r="E91" s="208" t="s">
        <v>800</v>
      </c>
      <c r="F91" s="155" t="s">
        <v>1</v>
      </c>
      <c r="G91" s="150">
        <v>3700</v>
      </c>
      <c r="H91" s="190">
        <v>60</v>
      </c>
      <c r="I91" s="150">
        <v>2</v>
      </c>
      <c r="J91" s="208" t="s">
        <v>890</v>
      </c>
      <c r="K91" s="208">
        <v>25</v>
      </c>
      <c r="L91" s="165">
        <v>0.6643</v>
      </c>
      <c r="M91" s="166">
        <v>17.837700000000002</v>
      </c>
      <c r="N91" s="165">
        <v>0.91320000000000001</v>
      </c>
      <c r="O91" s="355" t="s">
        <v>98</v>
      </c>
      <c r="P91" s="150">
        <v>544.11119999999994</v>
      </c>
      <c r="Q91" s="514"/>
    </row>
    <row r="92" spans="1:17" ht="16" customHeight="1">
      <c r="A92" s="154">
        <v>33</v>
      </c>
      <c r="B92" s="196" t="s">
        <v>1009</v>
      </c>
      <c r="C92" s="516"/>
      <c r="D92" s="492"/>
      <c r="E92" s="208" t="s">
        <v>800</v>
      </c>
      <c r="F92" s="155" t="s">
        <v>1</v>
      </c>
      <c r="G92" s="150">
        <v>3700</v>
      </c>
      <c r="H92" s="190">
        <v>60</v>
      </c>
      <c r="I92" s="150">
        <v>2</v>
      </c>
      <c r="J92" s="208" t="s">
        <v>891</v>
      </c>
      <c r="K92" s="208">
        <v>25</v>
      </c>
      <c r="L92" s="165">
        <v>0.72689999999999999</v>
      </c>
      <c r="M92" s="166">
        <v>19.542200000000001</v>
      </c>
      <c r="N92" s="165">
        <v>0.93459999999999999</v>
      </c>
      <c r="O92" s="355" t="s">
        <v>98</v>
      </c>
      <c r="P92" s="150">
        <v>465.59999999999997</v>
      </c>
      <c r="Q92" s="514"/>
    </row>
    <row r="93" spans="1:17" ht="16" customHeight="1">
      <c r="A93" s="156">
        <v>34</v>
      </c>
      <c r="B93" s="197" t="s">
        <v>1009</v>
      </c>
      <c r="C93" s="517"/>
      <c r="D93" s="491"/>
      <c r="E93" s="161" t="s">
        <v>800</v>
      </c>
      <c r="F93" s="157" t="s">
        <v>801</v>
      </c>
      <c r="G93" s="150">
        <v>10639.3</v>
      </c>
      <c r="H93" s="147">
        <v>60</v>
      </c>
      <c r="I93" s="151">
        <v>2</v>
      </c>
      <c r="J93" s="208" t="s">
        <v>892</v>
      </c>
      <c r="K93" s="161">
        <v>25</v>
      </c>
      <c r="L93" s="212">
        <v>0.84199999999999997</v>
      </c>
      <c r="M93" s="118">
        <v>33.1</v>
      </c>
      <c r="N93" s="210">
        <v>0.78400000000000003</v>
      </c>
      <c r="O93" s="356" t="s">
        <v>98</v>
      </c>
      <c r="P93" s="151">
        <v>348</v>
      </c>
      <c r="Q93" s="513"/>
    </row>
    <row r="94" spans="1:17" ht="16" customHeight="1">
      <c r="A94" s="152">
        <v>35</v>
      </c>
      <c r="B94" s="195" t="s">
        <v>1009</v>
      </c>
      <c r="C94" s="515">
        <v>19</v>
      </c>
      <c r="D94" s="490" t="s">
        <v>205</v>
      </c>
      <c r="E94" s="167" t="s">
        <v>802</v>
      </c>
      <c r="F94" s="153" t="s">
        <v>803</v>
      </c>
      <c r="G94" s="144">
        <v>3000</v>
      </c>
      <c r="H94" s="144">
        <v>938</v>
      </c>
      <c r="I94" s="144" t="s">
        <v>893</v>
      </c>
      <c r="J94" s="168">
        <v>6.666666666666667</v>
      </c>
      <c r="K94" s="160">
        <v>25</v>
      </c>
      <c r="L94" s="206">
        <v>0.93700000000000006</v>
      </c>
      <c r="M94" s="144">
        <v>28.2</v>
      </c>
      <c r="N94" s="144" t="s">
        <v>98</v>
      </c>
      <c r="O94" s="144" t="s">
        <v>98</v>
      </c>
      <c r="P94" s="144">
        <v>5975</v>
      </c>
      <c r="Q94" s="512" t="s">
        <v>753</v>
      </c>
    </row>
    <row r="95" spans="1:17" ht="16" customHeight="1">
      <c r="A95" s="154">
        <v>36</v>
      </c>
      <c r="B95" s="196" t="s">
        <v>1009</v>
      </c>
      <c r="C95" s="516"/>
      <c r="D95" s="492"/>
      <c r="E95" s="169" t="s">
        <v>797</v>
      </c>
      <c r="F95" s="155" t="s">
        <v>1</v>
      </c>
      <c r="G95" s="190">
        <v>3000</v>
      </c>
      <c r="H95" s="190">
        <v>313</v>
      </c>
      <c r="I95" s="190">
        <v>4.3</v>
      </c>
      <c r="J95" s="170">
        <v>0.66666666666666663</v>
      </c>
      <c r="K95" s="208">
        <v>25</v>
      </c>
      <c r="L95" s="220">
        <v>0.15881907591908684</v>
      </c>
      <c r="M95" s="190">
        <v>17.600000000000001</v>
      </c>
      <c r="N95" s="190" t="s">
        <v>98</v>
      </c>
      <c r="O95" s="190" t="s">
        <v>98</v>
      </c>
      <c r="P95" s="190">
        <v>1839.4</v>
      </c>
      <c r="Q95" s="514"/>
    </row>
    <row r="96" spans="1:17" ht="16" customHeight="1">
      <c r="A96" s="154">
        <v>37</v>
      </c>
      <c r="B96" s="196" t="s">
        <v>1009</v>
      </c>
      <c r="C96" s="516"/>
      <c r="D96" s="492"/>
      <c r="E96" s="169" t="s">
        <v>797</v>
      </c>
      <c r="F96" s="155" t="s">
        <v>1</v>
      </c>
      <c r="G96" s="190">
        <v>3000</v>
      </c>
      <c r="H96" s="190">
        <v>625</v>
      </c>
      <c r="I96" s="190">
        <v>5.3</v>
      </c>
      <c r="J96" s="170">
        <v>0.66666666666666663</v>
      </c>
      <c r="K96" s="208">
        <v>25</v>
      </c>
      <c r="L96" s="220">
        <v>0.30479879942763416</v>
      </c>
      <c r="M96" s="190">
        <v>26.4</v>
      </c>
      <c r="N96" s="190" t="s">
        <v>98</v>
      </c>
      <c r="O96" s="190" t="s">
        <v>98</v>
      </c>
      <c r="P96" s="190">
        <v>3020.6</v>
      </c>
      <c r="Q96" s="514"/>
    </row>
    <row r="97" spans="1:17" ht="16" customHeight="1">
      <c r="A97" s="154">
        <v>38</v>
      </c>
      <c r="B97" s="196" t="s">
        <v>1009</v>
      </c>
      <c r="C97" s="516"/>
      <c r="D97" s="492"/>
      <c r="E97" s="169" t="s">
        <v>797</v>
      </c>
      <c r="F97" s="155" t="s">
        <v>1</v>
      </c>
      <c r="G97" s="190">
        <v>3000</v>
      </c>
      <c r="H97" s="190">
        <v>938</v>
      </c>
      <c r="I97" s="190">
        <v>6.1</v>
      </c>
      <c r="J97" s="170">
        <v>0.66666666666666663</v>
      </c>
      <c r="K97" s="208">
        <v>25</v>
      </c>
      <c r="L97" s="220">
        <v>0.38170716753583045</v>
      </c>
      <c r="M97" s="190">
        <v>36.799999999999997</v>
      </c>
      <c r="N97" s="190" t="s">
        <v>98</v>
      </c>
      <c r="O97" s="190" t="s">
        <v>98</v>
      </c>
      <c r="P97" s="190">
        <v>3712.5</v>
      </c>
      <c r="Q97" s="514"/>
    </row>
    <row r="98" spans="1:17" ht="16" customHeight="1">
      <c r="A98" s="156">
        <v>39</v>
      </c>
      <c r="B98" s="197" t="s">
        <v>1009</v>
      </c>
      <c r="C98" s="517"/>
      <c r="D98" s="491"/>
      <c r="E98" s="171" t="s">
        <v>797</v>
      </c>
      <c r="F98" s="157" t="s">
        <v>1</v>
      </c>
      <c r="G98" s="147">
        <v>3000</v>
      </c>
      <c r="H98" s="147">
        <v>1250</v>
      </c>
      <c r="I98" s="147">
        <v>6.9</v>
      </c>
      <c r="J98" s="172">
        <v>0.66666666666666663</v>
      </c>
      <c r="K98" s="161">
        <v>25</v>
      </c>
      <c r="L98" s="221">
        <v>0.44</v>
      </c>
      <c r="M98" s="147">
        <v>47.1</v>
      </c>
      <c r="N98" s="147" t="s">
        <v>98</v>
      </c>
      <c r="O98" s="147" t="s">
        <v>98</v>
      </c>
      <c r="P98" s="147">
        <v>4404.3999999999996</v>
      </c>
      <c r="Q98" s="513"/>
    </row>
    <row r="99" spans="1:17" ht="16" customHeight="1">
      <c r="A99" s="152">
        <v>40</v>
      </c>
      <c r="B99" s="195" t="s">
        <v>1009</v>
      </c>
      <c r="C99" s="515">
        <v>20</v>
      </c>
      <c r="D99" s="490" t="s">
        <v>206</v>
      </c>
      <c r="E99" s="208" t="s">
        <v>804</v>
      </c>
      <c r="F99" s="155" t="s">
        <v>742</v>
      </c>
      <c r="G99" s="190">
        <v>5490</v>
      </c>
      <c r="H99" s="190">
        <v>20</v>
      </c>
      <c r="I99" s="190">
        <v>2.7</v>
      </c>
      <c r="J99" s="208" t="s">
        <v>98</v>
      </c>
      <c r="K99" s="208" t="s">
        <v>98</v>
      </c>
      <c r="L99" s="210">
        <v>0.871</v>
      </c>
      <c r="M99" s="125">
        <v>1.9</v>
      </c>
      <c r="N99" s="190"/>
      <c r="O99" s="190">
        <v>5.8</v>
      </c>
      <c r="P99" s="190">
        <v>0.56999999999999995</v>
      </c>
      <c r="Q99" s="512" t="s">
        <v>1016</v>
      </c>
    </row>
    <row r="100" spans="1:17" ht="16" customHeight="1">
      <c r="A100" s="154">
        <v>41</v>
      </c>
      <c r="B100" s="196" t="s">
        <v>1009</v>
      </c>
      <c r="C100" s="516"/>
      <c r="D100" s="492"/>
      <c r="E100" s="208" t="s">
        <v>805</v>
      </c>
      <c r="F100" s="155" t="s">
        <v>742</v>
      </c>
      <c r="G100" s="190">
        <v>5490</v>
      </c>
      <c r="H100" s="190">
        <v>20</v>
      </c>
      <c r="I100" s="190">
        <v>2.7</v>
      </c>
      <c r="J100" s="208" t="s">
        <v>98</v>
      </c>
      <c r="K100" s="208" t="s">
        <v>98</v>
      </c>
      <c r="L100" s="210">
        <v>0.68400000000000005</v>
      </c>
      <c r="M100" s="125">
        <v>3.6</v>
      </c>
      <c r="N100" s="210">
        <v>0.13300000000000001</v>
      </c>
      <c r="O100" s="101">
        <v>19.399999999999999</v>
      </c>
      <c r="P100" s="190"/>
      <c r="Q100" s="514"/>
    </row>
    <row r="101" spans="1:17" ht="16" customHeight="1">
      <c r="A101" s="156">
        <v>42</v>
      </c>
      <c r="B101" s="197" t="s">
        <v>1009</v>
      </c>
      <c r="C101" s="517"/>
      <c r="D101" s="491"/>
      <c r="E101" s="208" t="s">
        <v>806</v>
      </c>
      <c r="F101" s="155" t="s">
        <v>742</v>
      </c>
      <c r="G101" s="190">
        <v>5490</v>
      </c>
      <c r="H101" s="190">
        <v>20</v>
      </c>
      <c r="I101" s="190">
        <v>2.7</v>
      </c>
      <c r="J101" s="208" t="s">
        <v>98</v>
      </c>
      <c r="K101" s="208" t="s">
        <v>98</v>
      </c>
      <c r="L101" s="210">
        <v>0.68400000000000005</v>
      </c>
      <c r="M101" s="125">
        <v>2.6</v>
      </c>
      <c r="N101" s="210">
        <v>0.13300000000000001</v>
      </c>
      <c r="O101" s="101">
        <v>13.9</v>
      </c>
      <c r="P101" s="190"/>
      <c r="Q101" s="513"/>
    </row>
    <row r="102" spans="1:17" ht="16" customHeight="1">
      <c r="A102" s="154">
        <v>43</v>
      </c>
      <c r="B102" s="196" t="s">
        <v>1009</v>
      </c>
      <c r="C102" s="322">
        <v>21</v>
      </c>
      <c r="D102" s="92" t="s">
        <v>208</v>
      </c>
      <c r="E102" s="132" t="s">
        <v>1252</v>
      </c>
      <c r="F102" s="173" t="s">
        <v>807</v>
      </c>
      <c r="G102" s="145"/>
      <c r="H102" s="145">
        <v>10</v>
      </c>
      <c r="I102" s="145"/>
      <c r="J102" s="132"/>
      <c r="K102" s="174">
        <v>34</v>
      </c>
      <c r="L102" s="115">
        <v>0.28199999999999997</v>
      </c>
      <c r="M102" s="145">
        <v>17</v>
      </c>
      <c r="N102" s="114" t="s">
        <v>98</v>
      </c>
      <c r="O102" s="145" t="s">
        <v>98</v>
      </c>
      <c r="P102" s="145">
        <v>47</v>
      </c>
      <c r="Q102" s="32" t="s">
        <v>1015</v>
      </c>
    </row>
    <row r="103" spans="1:17" ht="16" customHeight="1">
      <c r="A103" s="152">
        <v>44</v>
      </c>
      <c r="B103" s="195" t="s">
        <v>1009</v>
      </c>
      <c r="C103" s="515">
        <v>22</v>
      </c>
      <c r="D103" s="490" t="s">
        <v>210</v>
      </c>
      <c r="E103" s="208" t="s">
        <v>808</v>
      </c>
      <c r="F103" s="155" t="s">
        <v>809</v>
      </c>
      <c r="G103" s="190">
        <v>2120</v>
      </c>
      <c r="H103" s="190">
        <v>10</v>
      </c>
      <c r="I103" s="190">
        <v>2.83</v>
      </c>
      <c r="J103" s="208" t="s">
        <v>894</v>
      </c>
      <c r="K103" s="208">
        <v>20</v>
      </c>
      <c r="L103" s="103">
        <v>0.38</v>
      </c>
      <c r="M103" s="125">
        <v>13</v>
      </c>
      <c r="N103" s="190" t="s">
        <v>895</v>
      </c>
      <c r="O103" s="190" t="s">
        <v>98</v>
      </c>
      <c r="P103" s="190">
        <v>53</v>
      </c>
      <c r="Q103" s="512" t="s">
        <v>1017</v>
      </c>
    </row>
    <row r="104" spans="1:17" ht="16" customHeight="1">
      <c r="A104" s="154">
        <v>45</v>
      </c>
      <c r="B104" s="196" t="s">
        <v>1009</v>
      </c>
      <c r="C104" s="516"/>
      <c r="D104" s="492"/>
      <c r="E104" s="208" t="s">
        <v>808</v>
      </c>
      <c r="F104" s="155" t="s">
        <v>809</v>
      </c>
      <c r="G104" s="190">
        <v>2120</v>
      </c>
      <c r="H104" s="190">
        <v>20</v>
      </c>
      <c r="I104" s="190">
        <v>3.17</v>
      </c>
      <c r="J104" s="208" t="s">
        <v>894</v>
      </c>
      <c r="K104" s="208">
        <v>20</v>
      </c>
      <c r="L104" s="103">
        <v>0.57999999999999996</v>
      </c>
      <c r="M104" s="125">
        <v>16.7</v>
      </c>
      <c r="N104" s="190" t="s">
        <v>895</v>
      </c>
      <c r="O104" s="190" t="s">
        <v>98</v>
      </c>
      <c r="P104" s="190">
        <v>91.3</v>
      </c>
      <c r="Q104" s="514"/>
    </row>
    <row r="105" spans="1:17" ht="16" customHeight="1">
      <c r="A105" s="154">
        <v>46</v>
      </c>
      <c r="B105" s="196" t="s">
        <v>1009</v>
      </c>
      <c r="C105" s="516"/>
      <c r="D105" s="492"/>
      <c r="E105" s="208" t="s">
        <v>810</v>
      </c>
      <c r="F105" s="155" t="s">
        <v>809</v>
      </c>
      <c r="G105" s="190">
        <v>2120</v>
      </c>
      <c r="H105" s="190">
        <v>30</v>
      </c>
      <c r="I105" s="190">
        <v>3.46</v>
      </c>
      <c r="J105" s="208" t="s">
        <v>894</v>
      </c>
      <c r="K105" s="208">
        <v>20</v>
      </c>
      <c r="L105" s="103">
        <v>0.63</v>
      </c>
      <c r="M105" s="125">
        <v>26</v>
      </c>
      <c r="N105" s="190" t="s">
        <v>895</v>
      </c>
      <c r="O105" s="190" t="s">
        <v>98</v>
      </c>
      <c r="P105" s="190">
        <v>97.6</v>
      </c>
      <c r="Q105" s="514"/>
    </row>
    <row r="106" spans="1:17" ht="16" customHeight="1">
      <c r="A106" s="154">
        <v>47</v>
      </c>
      <c r="B106" s="196" t="s">
        <v>1009</v>
      </c>
      <c r="C106" s="516"/>
      <c r="D106" s="492"/>
      <c r="E106" s="208" t="s">
        <v>810</v>
      </c>
      <c r="F106" s="155" t="s">
        <v>1</v>
      </c>
      <c r="G106" s="190">
        <v>5000</v>
      </c>
      <c r="H106" s="190">
        <v>10</v>
      </c>
      <c r="I106" s="190">
        <v>2.73</v>
      </c>
      <c r="J106" s="208" t="s">
        <v>896</v>
      </c>
      <c r="K106" s="208">
        <v>20</v>
      </c>
      <c r="L106" s="103">
        <v>0.25</v>
      </c>
      <c r="M106" s="125">
        <v>6.7</v>
      </c>
      <c r="N106" s="190" t="s">
        <v>811</v>
      </c>
      <c r="O106" s="190" t="s">
        <v>98</v>
      </c>
      <c r="P106" s="190">
        <v>94.53</v>
      </c>
      <c r="Q106" s="514"/>
    </row>
    <row r="107" spans="1:17" ht="16" customHeight="1">
      <c r="A107" s="154">
        <v>48</v>
      </c>
      <c r="B107" s="196" t="s">
        <v>1009</v>
      </c>
      <c r="C107" s="516"/>
      <c r="D107" s="492"/>
      <c r="E107" s="208" t="s">
        <v>810</v>
      </c>
      <c r="F107" s="155" t="s">
        <v>1</v>
      </c>
      <c r="G107" s="190">
        <v>5000</v>
      </c>
      <c r="H107" s="190">
        <v>20</v>
      </c>
      <c r="I107" s="190">
        <v>2.99</v>
      </c>
      <c r="J107" s="208" t="s">
        <v>896</v>
      </c>
      <c r="K107" s="208">
        <v>20</v>
      </c>
      <c r="L107" s="103">
        <v>0.34</v>
      </c>
      <c r="M107" s="125">
        <v>11.1</v>
      </c>
      <c r="N107" s="190" t="s">
        <v>811</v>
      </c>
      <c r="O107" s="190" t="s">
        <v>98</v>
      </c>
      <c r="P107" s="190">
        <v>124.38</v>
      </c>
      <c r="Q107" s="514"/>
    </row>
    <row r="108" spans="1:17" ht="16" customHeight="1">
      <c r="A108" s="154">
        <v>49</v>
      </c>
      <c r="B108" s="196" t="s">
        <v>1009</v>
      </c>
      <c r="C108" s="516"/>
      <c r="D108" s="492"/>
      <c r="E108" s="208" t="s">
        <v>810</v>
      </c>
      <c r="F108" s="155" t="s">
        <v>1</v>
      </c>
      <c r="G108" s="190">
        <v>5000</v>
      </c>
      <c r="H108" s="190">
        <v>30</v>
      </c>
      <c r="I108" s="190">
        <v>3.35</v>
      </c>
      <c r="J108" s="208" t="s">
        <v>896</v>
      </c>
      <c r="K108" s="208">
        <v>20</v>
      </c>
      <c r="L108" s="103">
        <v>0.41</v>
      </c>
      <c r="M108" s="125">
        <v>16.8</v>
      </c>
      <c r="N108" s="190" t="s">
        <v>811</v>
      </c>
      <c r="O108" s="190" t="s">
        <v>98</v>
      </c>
      <c r="P108" s="190">
        <v>145.81</v>
      </c>
      <c r="Q108" s="514"/>
    </row>
    <row r="109" spans="1:17" ht="16" customHeight="1">
      <c r="A109" s="154">
        <v>50</v>
      </c>
      <c r="B109" s="196" t="s">
        <v>1009</v>
      </c>
      <c r="C109" s="516"/>
      <c r="D109" s="492"/>
      <c r="E109" s="208" t="s">
        <v>810</v>
      </c>
      <c r="F109" s="155" t="s">
        <v>1</v>
      </c>
      <c r="G109" s="190">
        <v>1000</v>
      </c>
      <c r="H109" s="190">
        <v>20</v>
      </c>
      <c r="I109" s="190">
        <v>4.04</v>
      </c>
      <c r="J109" s="208" t="s">
        <v>896</v>
      </c>
      <c r="K109" s="208">
        <v>20</v>
      </c>
      <c r="L109" s="103">
        <v>0.56999999999999995</v>
      </c>
      <c r="M109" s="125">
        <v>40.9</v>
      </c>
      <c r="N109" s="190" t="s">
        <v>811</v>
      </c>
      <c r="O109" s="190" t="s">
        <v>98</v>
      </c>
      <c r="P109" s="190">
        <v>41.82</v>
      </c>
      <c r="Q109" s="514"/>
    </row>
    <row r="110" spans="1:17" ht="16" customHeight="1">
      <c r="A110" s="154">
        <v>51</v>
      </c>
      <c r="B110" s="196" t="s">
        <v>1009</v>
      </c>
      <c r="C110" s="516"/>
      <c r="D110" s="492"/>
      <c r="E110" s="208" t="s">
        <v>810</v>
      </c>
      <c r="F110" s="155" t="s">
        <v>1</v>
      </c>
      <c r="G110" s="190">
        <v>3000</v>
      </c>
      <c r="H110" s="190">
        <v>20</v>
      </c>
      <c r="I110" s="190">
        <v>3.26</v>
      </c>
      <c r="J110" s="208" t="s">
        <v>896</v>
      </c>
      <c r="K110" s="208">
        <v>20</v>
      </c>
      <c r="L110" s="103">
        <v>0.41</v>
      </c>
      <c r="M110" s="125">
        <v>18.899999999999999</v>
      </c>
      <c r="N110" s="190" t="s">
        <v>811</v>
      </c>
      <c r="O110" s="190" t="s">
        <v>98</v>
      </c>
      <c r="P110" s="190">
        <v>94.68</v>
      </c>
      <c r="Q110" s="514"/>
    </row>
    <row r="111" spans="1:17" ht="16" customHeight="1">
      <c r="A111" s="154">
        <v>52</v>
      </c>
      <c r="B111" s="196" t="s">
        <v>1009</v>
      </c>
      <c r="C111" s="516"/>
      <c r="D111" s="492"/>
      <c r="E111" s="208" t="s">
        <v>810</v>
      </c>
      <c r="F111" s="155" t="s">
        <v>1</v>
      </c>
      <c r="G111" s="190">
        <v>5000</v>
      </c>
      <c r="H111" s="190">
        <v>20</v>
      </c>
      <c r="I111" s="190">
        <v>2.99</v>
      </c>
      <c r="J111" s="208" t="s">
        <v>896</v>
      </c>
      <c r="K111" s="208">
        <v>20</v>
      </c>
      <c r="L111" s="103">
        <v>0.34</v>
      </c>
      <c r="M111" s="125">
        <v>11.1</v>
      </c>
      <c r="N111" s="190" t="s">
        <v>811</v>
      </c>
      <c r="O111" s="190" t="s">
        <v>98</v>
      </c>
      <c r="P111" s="190">
        <v>128.86000000000001</v>
      </c>
      <c r="Q111" s="514"/>
    </row>
    <row r="112" spans="1:17" ht="16" customHeight="1">
      <c r="A112" s="154">
        <v>53</v>
      </c>
      <c r="B112" s="196" t="s">
        <v>1009</v>
      </c>
      <c r="C112" s="516"/>
      <c r="D112" s="492"/>
      <c r="E112" s="208" t="s">
        <v>808</v>
      </c>
      <c r="F112" s="155" t="s">
        <v>1</v>
      </c>
      <c r="G112" s="190">
        <v>5000</v>
      </c>
      <c r="H112" s="190">
        <v>10</v>
      </c>
      <c r="I112" s="190">
        <v>2.56</v>
      </c>
      <c r="J112" s="208" t="s">
        <v>896</v>
      </c>
      <c r="K112" s="208">
        <v>20</v>
      </c>
      <c r="L112" s="103">
        <v>0.23</v>
      </c>
      <c r="M112" s="125">
        <v>6.9</v>
      </c>
      <c r="N112" s="190" t="s">
        <v>811</v>
      </c>
      <c r="O112" s="190" t="s">
        <v>98</v>
      </c>
      <c r="P112" s="190">
        <v>99.54</v>
      </c>
      <c r="Q112" s="514"/>
    </row>
    <row r="113" spans="1:17" ht="16" customHeight="1">
      <c r="A113" s="154">
        <v>54</v>
      </c>
      <c r="B113" s="196" t="s">
        <v>1009</v>
      </c>
      <c r="C113" s="516"/>
      <c r="D113" s="492"/>
      <c r="E113" s="208" t="s">
        <v>812</v>
      </c>
      <c r="F113" s="155" t="s">
        <v>1</v>
      </c>
      <c r="G113" s="190">
        <v>5000</v>
      </c>
      <c r="H113" s="190">
        <v>10</v>
      </c>
      <c r="I113" s="190">
        <v>2.5499999999999998</v>
      </c>
      <c r="J113" s="208" t="s">
        <v>896</v>
      </c>
      <c r="K113" s="208">
        <v>20</v>
      </c>
      <c r="L113" s="103">
        <v>0.02</v>
      </c>
      <c r="M113" s="125">
        <v>5.3</v>
      </c>
      <c r="N113" s="190" t="s">
        <v>811</v>
      </c>
      <c r="O113" s="190" t="s">
        <v>98</v>
      </c>
      <c r="P113" s="190">
        <v>114.32</v>
      </c>
      <c r="Q113" s="514"/>
    </row>
    <row r="114" spans="1:17" ht="16" customHeight="1">
      <c r="A114" s="156">
        <v>55</v>
      </c>
      <c r="B114" s="197" t="s">
        <v>1009</v>
      </c>
      <c r="C114" s="517"/>
      <c r="D114" s="491"/>
      <c r="E114" s="161" t="s">
        <v>813</v>
      </c>
      <c r="F114" s="157" t="s">
        <v>1</v>
      </c>
      <c r="G114" s="147">
        <v>5000</v>
      </c>
      <c r="H114" s="147">
        <v>10</v>
      </c>
      <c r="I114" s="147">
        <v>2.57</v>
      </c>
      <c r="J114" s="161" t="s">
        <v>896</v>
      </c>
      <c r="K114" s="161">
        <v>20</v>
      </c>
      <c r="L114" s="104">
        <v>0.01</v>
      </c>
      <c r="M114" s="118">
        <v>5</v>
      </c>
      <c r="N114" s="147" t="s">
        <v>811</v>
      </c>
      <c r="O114" s="147" t="s">
        <v>98</v>
      </c>
      <c r="P114" s="147">
        <v>120</v>
      </c>
      <c r="Q114" s="513"/>
    </row>
    <row r="115" spans="1:17" ht="16" customHeight="1">
      <c r="A115" s="154">
        <v>56</v>
      </c>
      <c r="B115" s="196" t="s">
        <v>1009</v>
      </c>
      <c r="C115" s="515">
        <v>23</v>
      </c>
      <c r="D115" s="490" t="s">
        <v>814</v>
      </c>
      <c r="E115" s="208" t="s">
        <v>800</v>
      </c>
      <c r="F115" s="155" t="s">
        <v>742</v>
      </c>
      <c r="G115" s="190">
        <v>7490</v>
      </c>
      <c r="H115" s="190">
        <v>100</v>
      </c>
      <c r="I115" s="190" t="s">
        <v>98</v>
      </c>
      <c r="J115" s="208" t="s">
        <v>897</v>
      </c>
      <c r="K115" s="170" t="s">
        <v>98</v>
      </c>
      <c r="L115" s="103">
        <v>0.60599999999999998</v>
      </c>
      <c r="M115" s="190">
        <v>8.5</v>
      </c>
      <c r="N115" s="175">
        <v>0.496</v>
      </c>
      <c r="O115" s="190" t="s">
        <v>98</v>
      </c>
      <c r="P115" s="190">
        <v>1710</v>
      </c>
      <c r="Q115" s="512" t="s">
        <v>744</v>
      </c>
    </row>
    <row r="116" spans="1:17" ht="16" customHeight="1">
      <c r="A116" s="154">
        <v>57</v>
      </c>
      <c r="B116" s="196" t="s">
        <v>1009</v>
      </c>
      <c r="C116" s="516"/>
      <c r="D116" s="492"/>
      <c r="E116" s="208" t="s">
        <v>800</v>
      </c>
      <c r="F116" s="176" t="s">
        <v>815</v>
      </c>
      <c r="G116" s="190">
        <v>3400</v>
      </c>
      <c r="H116" s="190" t="s">
        <v>98</v>
      </c>
      <c r="I116" s="190" t="s">
        <v>98</v>
      </c>
      <c r="J116" s="208" t="s">
        <v>98</v>
      </c>
      <c r="K116" s="170" t="s">
        <v>98</v>
      </c>
      <c r="L116" s="190" t="s">
        <v>98</v>
      </c>
      <c r="M116" s="190">
        <v>17.994444444444444</v>
      </c>
      <c r="N116" s="190" t="s">
        <v>98</v>
      </c>
      <c r="O116" s="190" t="s">
        <v>98</v>
      </c>
      <c r="P116" s="190"/>
      <c r="Q116" s="514"/>
    </row>
    <row r="117" spans="1:17" ht="16" customHeight="1">
      <c r="A117" s="154">
        <v>58</v>
      </c>
      <c r="B117" s="196" t="s">
        <v>1009</v>
      </c>
      <c r="C117" s="516"/>
      <c r="D117" s="491"/>
      <c r="E117" s="161" t="s">
        <v>800</v>
      </c>
      <c r="F117" s="177" t="s">
        <v>1</v>
      </c>
      <c r="G117" s="147">
        <v>7950</v>
      </c>
      <c r="H117" s="147" t="s">
        <v>98</v>
      </c>
      <c r="I117" s="147" t="s">
        <v>98</v>
      </c>
      <c r="J117" s="161" t="s">
        <v>98</v>
      </c>
      <c r="K117" s="172" t="s">
        <v>98</v>
      </c>
      <c r="L117" s="147" t="s">
        <v>98</v>
      </c>
      <c r="M117" s="147">
        <v>11.165277777777778</v>
      </c>
      <c r="N117" s="147" t="s">
        <v>98</v>
      </c>
      <c r="O117" s="147" t="s">
        <v>98</v>
      </c>
      <c r="P117" s="147"/>
      <c r="Q117" s="513"/>
    </row>
    <row r="118" spans="1:17" ht="16" customHeight="1">
      <c r="A118" s="152">
        <v>59</v>
      </c>
      <c r="B118" s="195" t="s">
        <v>1009</v>
      </c>
      <c r="C118" s="515">
        <v>24</v>
      </c>
      <c r="D118" s="490" t="s">
        <v>211</v>
      </c>
      <c r="E118" s="208" t="s">
        <v>98</v>
      </c>
      <c r="F118" s="155" t="s">
        <v>1</v>
      </c>
      <c r="G118" s="190">
        <v>6500</v>
      </c>
      <c r="H118" s="190">
        <v>10</v>
      </c>
      <c r="I118" s="190" t="s">
        <v>98</v>
      </c>
      <c r="J118" s="208" t="s">
        <v>816</v>
      </c>
      <c r="K118" s="170"/>
      <c r="L118" s="212">
        <v>9.6910112359550604E-2</v>
      </c>
      <c r="M118" s="125">
        <v>5.3928816281757399</v>
      </c>
      <c r="N118" s="103"/>
      <c r="O118" s="190"/>
      <c r="P118" s="190">
        <v>117.371054861998</v>
      </c>
      <c r="Q118" s="512" t="s">
        <v>1017</v>
      </c>
    </row>
    <row r="119" spans="1:17" ht="16" customHeight="1">
      <c r="A119" s="154">
        <v>60</v>
      </c>
      <c r="B119" s="196" t="s">
        <v>1009</v>
      </c>
      <c r="C119" s="516"/>
      <c r="D119" s="492"/>
      <c r="E119" s="507" t="s">
        <v>98</v>
      </c>
      <c r="F119" s="360" t="s">
        <v>1</v>
      </c>
      <c r="G119" s="363">
        <v>6500</v>
      </c>
      <c r="H119" s="363">
        <v>10</v>
      </c>
      <c r="I119" s="170" t="s">
        <v>98</v>
      </c>
      <c r="J119" s="372" t="s">
        <v>817</v>
      </c>
      <c r="K119" s="170" t="s">
        <v>98</v>
      </c>
      <c r="L119" s="370">
        <v>0.125</v>
      </c>
      <c r="M119" s="125">
        <v>4.6369055780820396</v>
      </c>
      <c r="N119" s="170" t="s">
        <v>98</v>
      </c>
      <c r="O119" s="170" t="s">
        <v>98</v>
      </c>
      <c r="P119" s="363">
        <v>136.66520278491799</v>
      </c>
      <c r="Q119" s="514"/>
    </row>
    <row r="120" spans="1:17" ht="16" customHeight="1">
      <c r="A120" s="154">
        <v>61</v>
      </c>
      <c r="B120" s="196" t="s">
        <v>1009</v>
      </c>
      <c r="C120" s="516"/>
      <c r="D120" s="492"/>
      <c r="E120" s="507"/>
      <c r="F120" s="360" t="s">
        <v>1</v>
      </c>
      <c r="G120" s="363">
        <v>6500</v>
      </c>
      <c r="H120" s="363">
        <v>10</v>
      </c>
      <c r="I120" s="170" t="s">
        <v>98</v>
      </c>
      <c r="J120" s="372" t="s">
        <v>818</v>
      </c>
      <c r="K120" s="170" t="s">
        <v>98</v>
      </c>
      <c r="L120" s="370">
        <v>0.11938202247191</v>
      </c>
      <c r="M120" s="125">
        <v>5.8453703159585499</v>
      </c>
      <c r="N120" s="170" t="s">
        <v>98</v>
      </c>
      <c r="O120" s="170" t="s">
        <v>98</v>
      </c>
      <c r="P120" s="363">
        <v>108.009297980122</v>
      </c>
      <c r="Q120" s="514"/>
    </row>
    <row r="121" spans="1:17" ht="16" customHeight="1">
      <c r="A121" s="154">
        <v>62</v>
      </c>
      <c r="B121" s="196" t="s">
        <v>1009</v>
      </c>
      <c r="C121" s="516"/>
      <c r="D121" s="492"/>
      <c r="E121" s="507"/>
      <c r="F121" s="360" t="s">
        <v>1</v>
      </c>
      <c r="G121" s="363">
        <v>6500</v>
      </c>
      <c r="H121" s="363">
        <v>10</v>
      </c>
      <c r="I121" s="170" t="s">
        <v>98</v>
      </c>
      <c r="J121" s="372" t="s">
        <v>819</v>
      </c>
      <c r="K121" s="170" t="s">
        <v>98</v>
      </c>
      <c r="L121" s="370">
        <v>0.14466292134831399</v>
      </c>
      <c r="M121" s="125">
        <v>5.5950977127447699</v>
      </c>
      <c r="N121" s="170" t="s">
        <v>98</v>
      </c>
      <c r="O121" s="170" t="s">
        <v>98</v>
      </c>
      <c r="P121" s="363">
        <v>107.121458361888</v>
      </c>
      <c r="Q121" s="514"/>
    </row>
    <row r="122" spans="1:17" ht="16" customHeight="1">
      <c r="A122" s="154">
        <v>63</v>
      </c>
      <c r="B122" s="196" t="s">
        <v>1009</v>
      </c>
      <c r="C122" s="516"/>
      <c r="D122" s="492"/>
      <c r="E122" s="507"/>
      <c r="F122" s="360" t="s">
        <v>1</v>
      </c>
      <c r="G122" s="363">
        <v>6500</v>
      </c>
      <c r="H122" s="363">
        <v>10</v>
      </c>
      <c r="I122" s="170" t="s">
        <v>98</v>
      </c>
      <c r="J122" s="372" t="s">
        <v>820</v>
      </c>
      <c r="K122" s="170" t="s">
        <v>98</v>
      </c>
      <c r="L122" s="370">
        <v>0.200842696629213</v>
      </c>
      <c r="M122" s="125">
        <v>5.43349460996519</v>
      </c>
      <c r="N122" s="170" t="s">
        <v>98</v>
      </c>
      <c r="O122" s="170" t="s">
        <v>98</v>
      </c>
      <c r="P122" s="363">
        <v>117.835953868144</v>
      </c>
      <c r="Q122" s="514"/>
    </row>
    <row r="123" spans="1:17" ht="16" customHeight="1">
      <c r="A123" s="154">
        <v>64</v>
      </c>
      <c r="B123" s="196" t="s">
        <v>1009</v>
      </c>
      <c r="C123" s="516"/>
      <c r="D123" s="492"/>
      <c r="E123" s="507"/>
      <c r="F123" s="360" t="s">
        <v>1</v>
      </c>
      <c r="G123" s="363">
        <v>6500</v>
      </c>
      <c r="H123" s="363">
        <v>10</v>
      </c>
      <c r="I123" s="170" t="s">
        <v>98</v>
      </c>
      <c r="J123" s="372" t="s">
        <v>821</v>
      </c>
      <c r="K123" s="170" t="s">
        <v>98</v>
      </c>
      <c r="L123" s="370">
        <v>0.20505617977528001</v>
      </c>
      <c r="M123" s="125">
        <v>5.9694292635469104</v>
      </c>
      <c r="N123" s="170" t="s">
        <v>98</v>
      </c>
      <c r="O123" s="170" t="s">
        <v>98</v>
      </c>
      <c r="P123" s="363">
        <v>104.29681927400701</v>
      </c>
      <c r="Q123" s="514"/>
    </row>
    <row r="124" spans="1:17" ht="16" customHeight="1">
      <c r="A124" s="154">
        <v>65</v>
      </c>
      <c r="B124" s="196" t="s">
        <v>1009</v>
      </c>
      <c r="C124" s="516"/>
      <c r="D124" s="492"/>
      <c r="E124" s="507"/>
      <c r="F124" s="360" t="s">
        <v>1</v>
      </c>
      <c r="G124" s="363">
        <v>6500</v>
      </c>
      <c r="H124" s="363">
        <v>10</v>
      </c>
      <c r="I124" s="170" t="s">
        <v>98</v>
      </c>
      <c r="J124" s="372" t="s">
        <v>822</v>
      </c>
      <c r="K124" s="170" t="s">
        <v>98</v>
      </c>
      <c r="L124" s="370">
        <v>0.27247191011235899</v>
      </c>
      <c r="M124" s="125">
        <v>6.03498462321991</v>
      </c>
      <c r="N124" s="170" t="s">
        <v>98</v>
      </c>
      <c r="O124" s="170" t="s">
        <v>98</v>
      </c>
      <c r="P124" s="363">
        <v>105.689837956682</v>
      </c>
      <c r="Q124" s="514"/>
    </row>
    <row r="125" spans="1:17" ht="16" customHeight="1">
      <c r="A125" s="154">
        <v>66</v>
      </c>
      <c r="B125" s="196" t="s">
        <v>1009</v>
      </c>
      <c r="C125" s="516"/>
      <c r="D125" s="492"/>
      <c r="E125" s="507"/>
      <c r="F125" s="360" t="s">
        <v>1</v>
      </c>
      <c r="G125" s="363">
        <v>6500</v>
      </c>
      <c r="H125" s="363">
        <v>10</v>
      </c>
      <c r="I125" s="363" t="s">
        <v>98</v>
      </c>
      <c r="J125" s="372" t="s">
        <v>823</v>
      </c>
      <c r="K125" s="170" t="s">
        <v>98</v>
      </c>
      <c r="L125" s="370">
        <v>0.41713483146067398</v>
      </c>
      <c r="M125" s="125">
        <v>5.3258897964780303</v>
      </c>
      <c r="N125" s="170" t="s">
        <v>98</v>
      </c>
      <c r="O125" s="170" t="s">
        <v>98</v>
      </c>
      <c r="P125" s="363">
        <v>105.119203797514</v>
      </c>
      <c r="Q125" s="514"/>
    </row>
    <row r="126" spans="1:17" ht="16" customHeight="1">
      <c r="A126" s="154">
        <v>67</v>
      </c>
      <c r="B126" s="196" t="s">
        <v>1009</v>
      </c>
      <c r="C126" s="516"/>
      <c r="D126" s="492"/>
      <c r="E126" s="507"/>
      <c r="F126" s="360" t="s">
        <v>1</v>
      </c>
      <c r="G126" s="363">
        <v>6500</v>
      </c>
      <c r="H126" s="363">
        <v>30</v>
      </c>
      <c r="I126" s="363">
        <v>3.3</v>
      </c>
      <c r="J126" s="372" t="s">
        <v>816</v>
      </c>
      <c r="K126" s="170" t="s">
        <v>98</v>
      </c>
      <c r="L126" s="370">
        <v>0.16713483146067401</v>
      </c>
      <c r="M126" s="125">
        <v>10.88314300079</v>
      </c>
      <c r="N126" s="170" t="s">
        <v>98</v>
      </c>
      <c r="O126" s="170" t="s">
        <v>98</v>
      </c>
      <c r="P126" s="363">
        <v>211.35617921269201</v>
      </c>
      <c r="Q126" s="514"/>
    </row>
    <row r="127" spans="1:17" ht="16" customHeight="1">
      <c r="A127" s="154">
        <v>68</v>
      </c>
      <c r="B127" s="196" t="s">
        <v>1009</v>
      </c>
      <c r="C127" s="516"/>
      <c r="D127" s="492"/>
      <c r="E127" s="507"/>
      <c r="F127" s="360" t="s">
        <v>1</v>
      </c>
      <c r="G127" s="363">
        <v>6500</v>
      </c>
      <c r="H127" s="363">
        <v>30</v>
      </c>
      <c r="I127" s="363">
        <v>3.3</v>
      </c>
      <c r="J127" s="372" t="s">
        <v>817</v>
      </c>
      <c r="K127" s="170" t="s">
        <v>98</v>
      </c>
      <c r="L127" s="370">
        <v>0.23314606741572999</v>
      </c>
      <c r="M127" s="125">
        <v>9.48297454179807</v>
      </c>
      <c r="N127" s="170" t="s">
        <v>98</v>
      </c>
      <c r="O127" s="170" t="s">
        <v>98</v>
      </c>
      <c r="P127" s="363">
        <v>249.11202052045101</v>
      </c>
      <c r="Q127" s="514"/>
    </row>
    <row r="128" spans="1:17" ht="16" customHeight="1">
      <c r="A128" s="154">
        <v>69</v>
      </c>
      <c r="B128" s="196" t="s">
        <v>1009</v>
      </c>
      <c r="C128" s="516"/>
      <c r="D128" s="492"/>
      <c r="E128" s="507"/>
      <c r="F128" s="360" t="s">
        <v>1</v>
      </c>
      <c r="G128" s="363">
        <v>6500</v>
      </c>
      <c r="H128" s="363">
        <v>30</v>
      </c>
      <c r="I128" s="363">
        <v>3.3</v>
      </c>
      <c r="J128" s="372" t="s">
        <v>818</v>
      </c>
      <c r="K128" s="170" t="s">
        <v>98</v>
      </c>
      <c r="L128" s="370">
        <v>0.34691011235954999</v>
      </c>
      <c r="M128" s="125">
        <v>7.3581712405241797</v>
      </c>
      <c r="N128" s="170" t="s">
        <v>98</v>
      </c>
      <c r="O128" s="170" t="s">
        <v>98</v>
      </c>
      <c r="P128" s="363">
        <v>313.60542885674499</v>
      </c>
      <c r="Q128" s="514"/>
    </row>
    <row r="129" spans="1:17" ht="16" customHeight="1">
      <c r="A129" s="154">
        <v>70</v>
      </c>
      <c r="B129" s="196" t="s">
        <v>1009</v>
      </c>
      <c r="C129" s="516"/>
      <c r="D129" s="492"/>
      <c r="E129" s="507"/>
      <c r="F129" s="360" t="s">
        <v>1</v>
      </c>
      <c r="G129" s="363">
        <v>6500</v>
      </c>
      <c r="H129" s="363">
        <v>30</v>
      </c>
      <c r="I129" s="363">
        <v>3.3</v>
      </c>
      <c r="J129" s="372" t="s">
        <v>819</v>
      </c>
      <c r="K129" s="170" t="s">
        <v>98</v>
      </c>
      <c r="L129" s="370">
        <v>0.36516853932584198</v>
      </c>
      <c r="M129" s="125">
        <v>8.2841733429968691</v>
      </c>
      <c r="N129" s="170" t="s">
        <v>98</v>
      </c>
      <c r="O129" s="170" t="s">
        <v>98</v>
      </c>
      <c r="P129" s="363">
        <v>283.34671339899302</v>
      </c>
      <c r="Q129" s="514"/>
    </row>
    <row r="130" spans="1:17" ht="16" customHeight="1">
      <c r="A130" s="154">
        <v>71</v>
      </c>
      <c r="B130" s="196" t="s">
        <v>1009</v>
      </c>
      <c r="C130" s="516"/>
      <c r="D130" s="492"/>
      <c r="E130" s="507"/>
      <c r="F130" s="360" t="s">
        <v>1</v>
      </c>
      <c r="G130" s="363">
        <v>6500</v>
      </c>
      <c r="H130" s="363">
        <v>30</v>
      </c>
      <c r="I130" s="363">
        <v>3.3</v>
      </c>
      <c r="J130" s="372" t="s">
        <v>820</v>
      </c>
      <c r="K130" s="170" t="s">
        <v>98</v>
      </c>
      <c r="L130" s="370">
        <v>0.41292134831460597</v>
      </c>
      <c r="M130" s="125">
        <v>10.419358419358399</v>
      </c>
      <c r="N130" s="170" t="s">
        <v>98</v>
      </c>
      <c r="O130" s="170" t="s">
        <v>98</v>
      </c>
      <c r="P130" s="363">
        <v>221.89277112814901</v>
      </c>
      <c r="Q130" s="514"/>
    </row>
    <row r="131" spans="1:17" ht="16" customHeight="1">
      <c r="A131" s="154">
        <v>72</v>
      </c>
      <c r="B131" s="196" t="s">
        <v>1009</v>
      </c>
      <c r="C131" s="516"/>
      <c r="D131" s="492"/>
      <c r="E131" s="507"/>
      <c r="F131" s="360" t="s">
        <v>1</v>
      </c>
      <c r="G131" s="363">
        <v>6500</v>
      </c>
      <c r="H131" s="363">
        <v>30</v>
      </c>
      <c r="I131" s="363">
        <v>3.3</v>
      </c>
      <c r="J131" s="372" t="s">
        <v>821</v>
      </c>
      <c r="K131" s="170" t="s">
        <v>98</v>
      </c>
      <c r="L131" s="370">
        <v>0.53230337078651602</v>
      </c>
      <c r="M131" s="125">
        <v>9.4146115322585793</v>
      </c>
      <c r="N131" s="170" t="s">
        <v>98</v>
      </c>
      <c r="O131" s="170" t="s">
        <v>98</v>
      </c>
      <c r="P131" s="363">
        <v>252.829534233853</v>
      </c>
      <c r="Q131" s="514"/>
    </row>
    <row r="132" spans="1:17" ht="16" customHeight="1">
      <c r="A132" s="154">
        <v>73</v>
      </c>
      <c r="B132" s="196" t="s">
        <v>1009</v>
      </c>
      <c r="C132" s="516"/>
      <c r="D132" s="492"/>
      <c r="E132" s="507"/>
      <c r="F132" s="360" t="s">
        <v>1</v>
      </c>
      <c r="G132" s="363">
        <v>6500</v>
      </c>
      <c r="H132" s="363">
        <v>30</v>
      </c>
      <c r="I132" s="363">
        <v>3.3</v>
      </c>
      <c r="J132" s="372" t="s">
        <v>822</v>
      </c>
      <c r="K132" s="170" t="s">
        <v>98</v>
      </c>
      <c r="L132" s="370">
        <v>0.79353932584269604</v>
      </c>
      <c r="M132" s="125">
        <v>8.1639014580190992</v>
      </c>
      <c r="N132" s="170" t="s">
        <v>98</v>
      </c>
      <c r="O132" s="170" t="s">
        <v>98</v>
      </c>
      <c r="P132" s="363">
        <v>307.92761897302597</v>
      </c>
      <c r="Q132" s="514"/>
    </row>
    <row r="133" spans="1:17" ht="16" customHeight="1">
      <c r="A133" s="154">
        <v>74</v>
      </c>
      <c r="B133" s="196" t="s">
        <v>1009</v>
      </c>
      <c r="C133" s="516"/>
      <c r="D133" s="492"/>
      <c r="E133" s="507"/>
      <c r="F133" s="360" t="s">
        <v>1</v>
      </c>
      <c r="G133" s="363">
        <v>6500</v>
      </c>
      <c r="H133" s="363">
        <v>30</v>
      </c>
      <c r="I133" s="363">
        <v>3.3</v>
      </c>
      <c r="J133" s="372" t="s">
        <v>823</v>
      </c>
      <c r="K133" s="170" t="s">
        <v>98</v>
      </c>
      <c r="L133" s="370">
        <v>0.800561797752808</v>
      </c>
      <c r="M133" s="125">
        <v>12.1886348945172</v>
      </c>
      <c r="N133" s="103">
        <v>0.57499999999999996</v>
      </c>
      <c r="O133" s="170" t="s">
        <v>98</v>
      </c>
      <c r="P133" s="363">
        <v>210.01351060288599</v>
      </c>
      <c r="Q133" s="514"/>
    </row>
    <row r="134" spans="1:17" ht="16" customHeight="1">
      <c r="A134" s="154">
        <v>75</v>
      </c>
      <c r="B134" s="196" t="s">
        <v>1009</v>
      </c>
      <c r="C134" s="516"/>
      <c r="D134" s="492"/>
      <c r="E134" s="507"/>
      <c r="F134" s="360" t="s">
        <v>1</v>
      </c>
      <c r="G134" s="363">
        <v>6500</v>
      </c>
      <c r="H134" s="363">
        <v>50</v>
      </c>
      <c r="I134" s="363">
        <v>5</v>
      </c>
      <c r="J134" s="372" t="s">
        <v>816</v>
      </c>
      <c r="K134" s="170" t="s">
        <v>98</v>
      </c>
      <c r="L134" s="370">
        <v>0.37078651685393199</v>
      </c>
      <c r="M134" s="125">
        <v>8.8384556619850692</v>
      </c>
      <c r="N134" s="103" t="s">
        <v>98</v>
      </c>
      <c r="O134" s="170" t="s">
        <v>98</v>
      </c>
      <c r="P134" s="363">
        <v>402.67974276707201</v>
      </c>
      <c r="Q134" s="514"/>
    </row>
    <row r="135" spans="1:17" ht="16" customHeight="1">
      <c r="A135" s="154">
        <v>76</v>
      </c>
      <c r="B135" s="196" t="s">
        <v>1009</v>
      </c>
      <c r="C135" s="516"/>
      <c r="D135" s="492"/>
      <c r="E135" s="507"/>
      <c r="F135" s="360" t="s">
        <v>1</v>
      </c>
      <c r="G135" s="363">
        <v>6500</v>
      </c>
      <c r="H135" s="363">
        <v>50</v>
      </c>
      <c r="I135" s="363">
        <v>5</v>
      </c>
      <c r="J135" s="372" t="s">
        <v>817</v>
      </c>
      <c r="K135" s="170" t="s">
        <v>98</v>
      </c>
      <c r="L135" s="370">
        <v>0.37780898876404401</v>
      </c>
      <c r="M135" s="125">
        <v>11.1637121048885</v>
      </c>
      <c r="N135" s="170" t="s">
        <v>98</v>
      </c>
      <c r="O135" s="170" t="s">
        <v>98</v>
      </c>
      <c r="P135" s="363">
        <v>502.55079063600499</v>
      </c>
      <c r="Q135" s="514"/>
    </row>
    <row r="136" spans="1:17" ht="16" customHeight="1">
      <c r="A136" s="154">
        <v>77</v>
      </c>
      <c r="B136" s="196" t="s">
        <v>1009</v>
      </c>
      <c r="C136" s="516"/>
      <c r="D136" s="492"/>
      <c r="E136" s="507"/>
      <c r="F136" s="360" t="s">
        <v>1</v>
      </c>
      <c r="G136" s="363">
        <v>6500</v>
      </c>
      <c r="H136" s="363">
        <v>50</v>
      </c>
      <c r="I136" s="363">
        <v>5</v>
      </c>
      <c r="J136" s="372" t="s">
        <v>818</v>
      </c>
      <c r="K136" s="170" t="s">
        <v>98</v>
      </c>
      <c r="L136" s="370">
        <v>0.46348314606741498</v>
      </c>
      <c r="M136" s="125">
        <v>12.988358047181499</v>
      </c>
      <c r="N136" s="170" t="s">
        <v>98</v>
      </c>
      <c r="O136" s="170" t="s">
        <v>98</v>
      </c>
      <c r="P136" s="363">
        <v>343.81043757010502</v>
      </c>
      <c r="Q136" s="514"/>
    </row>
    <row r="137" spans="1:17" ht="16" customHeight="1">
      <c r="A137" s="154">
        <v>78</v>
      </c>
      <c r="B137" s="196" t="s">
        <v>1009</v>
      </c>
      <c r="C137" s="516"/>
      <c r="D137" s="492"/>
      <c r="E137" s="507"/>
      <c r="F137" s="360" t="s">
        <v>1</v>
      </c>
      <c r="G137" s="363">
        <v>6500</v>
      </c>
      <c r="H137" s="363">
        <v>50</v>
      </c>
      <c r="I137" s="363">
        <v>5</v>
      </c>
      <c r="J137" s="372" t="s">
        <v>819</v>
      </c>
      <c r="K137" s="170" t="s">
        <v>98</v>
      </c>
      <c r="L137" s="370">
        <v>0.58005617977528001</v>
      </c>
      <c r="M137" s="125">
        <v>10.1605975723622</v>
      </c>
      <c r="N137" s="170" t="s">
        <v>98</v>
      </c>
      <c r="O137" s="170" t="s">
        <v>98</v>
      </c>
      <c r="P137" s="363">
        <v>446.98612855492399</v>
      </c>
      <c r="Q137" s="514"/>
    </row>
    <row r="138" spans="1:17" ht="16" customHeight="1">
      <c r="A138" s="154">
        <v>79</v>
      </c>
      <c r="B138" s="196" t="s">
        <v>1009</v>
      </c>
      <c r="C138" s="516"/>
      <c r="D138" s="492"/>
      <c r="E138" s="507"/>
      <c r="F138" s="360" t="s">
        <v>1</v>
      </c>
      <c r="G138" s="363">
        <v>6500</v>
      </c>
      <c r="H138" s="363">
        <v>50</v>
      </c>
      <c r="I138" s="363">
        <v>5</v>
      </c>
      <c r="J138" s="372" t="s">
        <v>820</v>
      </c>
      <c r="K138" s="170" t="s">
        <v>98</v>
      </c>
      <c r="L138" s="370">
        <v>0.73174157303370702</v>
      </c>
      <c r="M138" s="125">
        <v>11.343728167257501</v>
      </c>
      <c r="N138" s="170" t="s">
        <v>98</v>
      </c>
      <c r="O138" s="170" t="s">
        <v>98</v>
      </c>
      <c r="P138" s="363">
        <v>402.31554390666201</v>
      </c>
      <c r="Q138" s="514"/>
    </row>
    <row r="139" spans="1:17" ht="16" customHeight="1">
      <c r="A139" s="154">
        <v>80</v>
      </c>
      <c r="B139" s="196" t="s">
        <v>1009</v>
      </c>
      <c r="C139" s="516"/>
      <c r="D139" s="492"/>
      <c r="E139" s="507"/>
      <c r="F139" s="360" t="s">
        <v>1</v>
      </c>
      <c r="G139" s="363">
        <v>6500</v>
      </c>
      <c r="H139" s="363">
        <v>50</v>
      </c>
      <c r="I139" s="363">
        <v>5</v>
      </c>
      <c r="J139" s="372" t="s">
        <v>821</v>
      </c>
      <c r="K139" s="170" t="s">
        <v>98</v>
      </c>
      <c r="L139" s="370">
        <v>0.80758426966292096</v>
      </c>
      <c r="M139" s="125">
        <v>12.4679634091398</v>
      </c>
      <c r="N139" s="170" t="s">
        <v>98</v>
      </c>
      <c r="O139" s="170" t="s">
        <v>98</v>
      </c>
      <c r="P139" s="363">
        <v>386.255548997613</v>
      </c>
      <c r="Q139" s="514"/>
    </row>
    <row r="140" spans="1:17" ht="16" customHeight="1">
      <c r="A140" s="154">
        <v>81</v>
      </c>
      <c r="B140" s="196" t="s">
        <v>1009</v>
      </c>
      <c r="C140" s="516"/>
      <c r="D140" s="492"/>
      <c r="E140" s="507"/>
      <c r="F140" s="360" t="s">
        <v>1</v>
      </c>
      <c r="G140" s="363">
        <v>6500</v>
      </c>
      <c r="H140" s="363">
        <v>50</v>
      </c>
      <c r="I140" s="363">
        <v>5</v>
      </c>
      <c r="J140" s="372" t="s">
        <v>822</v>
      </c>
      <c r="K140" s="170" t="s">
        <v>98</v>
      </c>
      <c r="L140" s="370">
        <v>0.87078651685393205</v>
      </c>
      <c r="M140" s="125">
        <v>12.085339497104201</v>
      </c>
      <c r="N140" s="170" t="s">
        <v>98</v>
      </c>
      <c r="O140" s="170" t="s">
        <v>98</v>
      </c>
      <c r="P140" s="363">
        <v>384.295252827296</v>
      </c>
      <c r="Q140" s="514"/>
    </row>
    <row r="141" spans="1:17" ht="16" customHeight="1">
      <c r="A141" s="154">
        <v>82</v>
      </c>
      <c r="B141" s="196" t="s">
        <v>1009</v>
      </c>
      <c r="C141" s="516"/>
      <c r="D141" s="491"/>
      <c r="E141" s="508"/>
      <c r="F141" s="361" t="s">
        <v>1</v>
      </c>
      <c r="G141" s="364">
        <v>6500</v>
      </c>
      <c r="H141" s="364">
        <v>50</v>
      </c>
      <c r="I141" s="364">
        <v>5</v>
      </c>
      <c r="J141" s="358" t="s">
        <v>823</v>
      </c>
      <c r="K141" s="172" t="s">
        <v>98</v>
      </c>
      <c r="L141" s="371">
        <v>0.84971910112359506</v>
      </c>
      <c r="M141" s="118">
        <v>19.275600216776599</v>
      </c>
      <c r="N141" s="172" t="s">
        <v>98</v>
      </c>
      <c r="O141" s="172" t="s">
        <v>98</v>
      </c>
      <c r="P141" s="364">
        <v>247.77438691793199</v>
      </c>
      <c r="Q141" s="513"/>
    </row>
    <row r="142" spans="1:17" ht="16" customHeight="1">
      <c r="A142" s="154">
        <v>83</v>
      </c>
      <c r="B142" s="196" t="s">
        <v>1009</v>
      </c>
      <c r="C142" s="516"/>
      <c r="D142" s="492"/>
      <c r="E142" s="155" t="s">
        <v>824</v>
      </c>
      <c r="F142" s="208" t="s">
        <v>742</v>
      </c>
      <c r="G142" s="190">
        <v>4800</v>
      </c>
      <c r="H142" s="190">
        <v>40</v>
      </c>
      <c r="I142" s="190">
        <v>3.7</v>
      </c>
      <c r="J142" s="208">
        <v>46.330038600265681</v>
      </c>
      <c r="K142" s="208" t="s">
        <v>98</v>
      </c>
      <c r="L142" s="212">
        <v>0.76391562683598202</v>
      </c>
      <c r="M142" s="190">
        <v>13.611465000000001</v>
      </c>
      <c r="N142" s="103">
        <v>0.76</v>
      </c>
      <c r="O142" s="190" t="s">
        <v>98</v>
      </c>
      <c r="P142" s="178">
        <v>322.58034188806801</v>
      </c>
      <c r="Q142" s="514"/>
    </row>
    <row r="143" spans="1:17" ht="16" customHeight="1">
      <c r="A143" s="154">
        <v>84</v>
      </c>
      <c r="B143" s="196" t="s">
        <v>1009</v>
      </c>
      <c r="C143" s="516"/>
      <c r="D143" s="492"/>
      <c r="E143" s="155" t="s">
        <v>824</v>
      </c>
      <c r="F143" s="208" t="s">
        <v>742</v>
      </c>
      <c r="G143" s="190">
        <v>4800</v>
      </c>
      <c r="H143" s="190">
        <v>40</v>
      </c>
      <c r="I143" s="190">
        <v>3.7</v>
      </c>
      <c r="J143" s="208">
        <v>70.510156299436801</v>
      </c>
      <c r="K143" s="208" t="s">
        <v>98</v>
      </c>
      <c r="L143" s="212">
        <v>0.75721492403775503</v>
      </c>
      <c r="M143" s="190">
        <v>12.273885399999999</v>
      </c>
      <c r="N143" s="103">
        <v>0.76</v>
      </c>
      <c r="O143" s="190" t="s">
        <v>98</v>
      </c>
      <c r="P143" s="178">
        <v>271.916543875032</v>
      </c>
      <c r="Q143" s="514"/>
    </row>
    <row r="144" spans="1:17" ht="16" customHeight="1">
      <c r="A144" s="154">
        <v>85</v>
      </c>
      <c r="B144" s="196" t="s">
        <v>1009</v>
      </c>
      <c r="C144" s="516"/>
      <c r="D144" s="492"/>
      <c r="E144" s="155" t="s">
        <v>824</v>
      </c>
      <c r="F144" s="208" t="s">
        <v>742</v>
      </c>
      <c r="G144" s="190">
        <v>4800</v>
      </c>
      <c r="H144" s="190">
        <v>40</v>
      </c>
      <c r="I144" s="190">
        <v>3.7</v>
      </c>
      <c r="J144" s="208">
        <v>94.651742435884557</v>
      </c>
      <c r="K144" s="208" t="s">
        <v>98</v>
      </c>
      <c r="L144" s="212">
        <v>0.749574197949188</v>
      </c>
      <c r="M144" s="190">
        <v>12.5414013</v>
      </c>
      <c r="N144" s="103">
        <v>0.76</v>
      </c>
      <c r="O144" s="190" t="s">
        <v>98</v>
      </c>
      <c r="P144" s="178">
        <v>274.87583731841102</v>
      </c>
      <c r="Q144" s="514"/>
    </row>
    <row r="145" spans="1:17" ht="16" customHeight="1">
      <c r="A145" s="154">
        <v>86</v>
      </c>
      <c r="B145" s="196" t="s">
        <v>1009</v>
      </c>
      <c r="C145" s="516"/>
      <c r="D145" s="492"/>
      <c r="E145" s="155" t="s">
        <v>824</v>
      </c>
      <c r="F145" s="208" t="s">
        <v>742</v>
      </c>
      <c r="G145" s="190">
        <v>4800</v>
      </c>
      <c r="H145" s="190">
        <v>40</v>
      </c>
      <c r="I145" s="190">
        <v>3.7</v>
      </c>
      <c r="J145" s="208">
        <v>142.9385595863352</v>
      </c>
      <c r="K145" s="208" t="s">
        <v>98</v>
      </c>
      <c r="L145" s="212">
        <v>0.753194128592102</v>
      </c>
      <c r="M145" s="190">
        <v>12.630573200000001</v>
      </c>
      <c r="N145" s="103">
        <v>0.76</v>
      </c>
      <c r="O145" s="190" t="s">
        <v>98</v>
      </c>
      <c r="P145" s="178">
        <v>275.72196960794003</v>
      </c>
      <c r="Q145" s="514"/>
    </row>
    <row r="146" spans="1:17" ht="16" customHeight="1">
      <c r="A146" s="154">
        <v>87</v>
      </c>
      <c r="B146" s="196" t="s">
        <v>1009</v>
      </c>
      <c r="C146" s="516"/>
      <c r="D146" s="492"/>
      <c r="E146" s="155" t="s">
        <v>824</v>
      </c>
      <c r="F146" s="208" t="s">
        <v>742</v>
      </c>
      <c r="G146" s="190">
        <v>4800</v>
      </c>
      <c r="H146" s="190">
        <v>40</v>
      </c>
      <c r="I146" s="190">
        <v>3.7</v>
      </c>
      <c r="J146" s="208">
        <v>165.35872212328582</v>
      </c>
      <c r="K146" s="208" t="s">
        <v>98</v>
      </c>
      <c r="L146" s="212">
        <v>0.74744466208568805</v>
      </c>
      <c r="M146" s="190">
        <v>13.0318471</v>
      </c>
      <c r="N146" s="103">
        <v>0.76</v>
      </c>
      <c r="O146" s="190" t="s">
        <v>98</v>
      </c>
      <c r="P146" s="178">
        <v>274.32910568517701</v>
      </c>
      <c r="Q146" s="514"/>
    </row>
    <row r="147" spans="1:17" ht="16" customHeight="1">
      <c r="A147" s="154">
        <v>88</v>
      </c>
      <c r="B147" s="196" t="s">
        <v>1009</v>
      </c>
      <c r="C147" s="516"/>
      <c r="D147" s="492"/>
      <c r="E147" s="155" t="s">
        <v>824</v>
      </c>
      <c r="F147" s="208" t="s">
        <v>742</v>
      </c>
      <c r="G147" s="190">
        <v>4800</v>
      </c>
      <c r="H147" s="190">
        <v>40</v>
      </c>
      <c r="I147" s="190">
        <v>3.7</v>
      </c>
      <c r="J147" s="208">
        <v>190.07932309416816</v>
      </c>
      <c r="K147" s="208" t="s">
        <v>98</v>
      </c>
      <c r="L147" s="212">
        <v>0.74263989095355998</v>
      </c>
      <c r="M147" s="190">
        <v>13.299363100000001</v>
      </c>
      <c r="N147" s="103">
        <v>0.76</v>
      </c>
      <c r="O147" s="190" t="s">
        <v>98</v>
      </c>
      <c r="P147" s="178">
        <v>271.49275454027702</v>
      </c>
      <c r="Q147" s="514"/>
    </row>
    <row r="148" spans="1:17" ht="16" customHeight="1">
      <c r="A148" s="154">
        <v>89</v>
      </c>
      <c r="B148" s="196" t="s">
        <v>1009</v>
      </c>
      <c r="C148" s="516"/>
      <c r="D148" s="492"/>
      <c r="E148" s="155" t="s">
        <v>824</v>
      </c>
      <c r="F148" s="208" t="s">
        <v>742</v>
      </c>
      <c r="G148" s="190">
        <v>4800</v>
      </c>
      <c r="H148" s="190">
        <v>40</v>
      </c>
      <c r="I148" s="190">
        <v>3.7</v>
      </c>
      <c r="J148" s="208">
        <v>214.50520967989803</v>
      </c>
      <c r="K148" s="208" t="s">
        <v>98</v>
      </c>
      <c r="L148" s="212">
        <v>0.75106833039576004</v>
      </c>
      <c r="M148" s="190">
        <v>12.7197452</v>
      </c>
      <c r="N148" s="103">
        <v>0.76</v>
      </c>
      <c r="O148" s="190" t="s">
        <v>98</v>
      </c>
      <c r="P148" s="178">
        <v>278.80058939984201</v>
      </c>
      <c r="Q148" s="514"/>
    </row>
    <row r="149" spans="1:17" ht="16" customHeight="1">
      <c r="A149" s="154">
        <v>90</v>
      </c>
      <c r="B149" s="196" t="s">
        <v>1009</v>
      </c>
      <c r="C149" s="516"/>
      <c r="D149" s="492"/>
      <c r="E149" s="155" t="s">
        <v>825</v>
      </c>
      <c r="F149" s="208" t="s">
        <v>742</v>
      </c>
      <c r="G149" s="190">
        <v>5100</v>
      </c>
      <c r="H149" s="190">
        <v>40</v>
      </c>
      <c r="I149" s="190">
        <v>3.6</v>
      </c>
      <c r="J149" s="208">
        <v>42.942385261387919</v>
      </c>
      <c r="K149" s="208" t="s">
        <v>98</v>
      </c>
      <c r="L149" s="212">
        <v>0.76392497100387802</v>
      </c>
      <c r="M149" s="190">
        <v>14.8152866</v>
      </c>
      <c r="N149" s="103">
        <v>0.57999999999999996</v>
      </c>
      <c r="O149" s="190" t="s">
        <v>98</v>
      </c>
      <c r="P149" s="178">
        <v>237.06457182632499</v>
      </c>
      <c r="Q149" s="514"/>
    </row>
    <row r="150" spans="1:17" ht="16" customHeight="1">
      <c r="A150" s="154">
        <v>91</v>
      </c>
      <c r="B150" s="196" t="s">
        <v>1009</v>
      </c>
      <c r="C150" s="516"/>
      <c r="D150" s="492"/>
      <c r="E150" s="155" t="s">
        <v>825</v>
      </c>
      <c r="F150" s="208" t="s">
        <v>742</v>
      </c>
      <c r="G150" s="190">
        <v>5100</v>
      </c>
      <c r="H150" s="190">
        <v>40</v>
      </c>
      <c r="I150" s="190">
        <v>3.6</v>
      </c>
      <c r="J150" s="208">
        <v>69.960821182234795</v>
      </c>
      <c r="K150" s="208" t="s">
        <v>98</v>
      </c>
      <c r="L150" s="212">
        <v>0.75059644991701202</v>
      </c>
      <c r="M150" s="190">
        <v>14.547770699999999</v>
      </c>
      <c r="N150" s="103">
        <v>0.57999999999999996</v>
      </c>
      <c r="O150" s="190" t="s">
        <v>98</v>
      </c>
      <c r="P150" s="178">
        <v>236.407915314452</v>
      </c>
      <c r="Q150" s="514"/>
    </row>
    <row r="151" spans="1:17" ht="16" customHeight="1">
      <c r="A151" s="154">
        <v>92</v>
      </c>
      <c r="B151" s="196" t="s">
        <v>1009</v>
      </c>
      <c r="C151" s="516"/>
      <c r="D151" s="492"/>
      <c r="E151" s="155" t="s">
        <v>825</v>
      </c>
      <c r="F151" s="208" t="s">
        <v>742</v>
      </c>
      <c r="G151" s="190">
        <v>5100</v>
      </c>
      <c r="H151" s="190">
        <v>40</v>
      </c>
      <c r="I151" s="190">
        <v>3.6</v>
      </c>
      <c r="J151" s="208">
        <v>92.941774165845359</v>
      </c>
      <c r="K151" s="208" t="s">
        <v>98</v>
      </c>
      <c r="L151" s="212">
        <v>0.724040324756555</v>
      </c>
      <c r="M151" s="190">
        <v>14.547770699999999</v>
      </c>
      <c r="N151" s="103">
        <v>0.57999999999999996</v>
      </c>
      <c r="O151" s="190" t="s">
        <v>98</v>
      </c>
      <c r="P151" s="178">
        <v>254.581679789551</v>
      </c>
      <c r="Q151" s="514"/>
    </row>
    <row r="152" spans="1:17" ht="16" customHeight="1">
      <c r="A152" s="154">
        <v>93</v>
      </c>
      <c r="B152" s="196" t="s">
        <v>1009</v>
      </c>
      <c r="C152" s="516"/>
      <c r="D152" s="492"/>
      <c r="E152" s="155" t="s">
        <v>825</v>
      </c>
      <c r="F152" s="208" t="s">
        <v>742</v>
      </c>
      <c r="G152" s="190">
        <v>5100</v>
      </c>
      <c r="H152" s="190">
        <v>40</v>
      </c>
      <c r="I152" s="190">
        <v>3.6</v>
      </c>
      <c r="J152" s="208">
        <v>140.96772222272423</v>
      </c>
      <c r="K152" s="208" t="s">
        <v>98</v>
      </c>
      <c r="L152" s="212">
        <v>0.70686667858048002</v>
      </c>
      <c r="M152" s="190">
        <v>16.509554099999999</v>
      </c>
      <c r="N152" s="103">
        <v>0.57999999999999996</v>
      </c>
      <c r="O152" s="190" t="s">
        <v>98</v>
      </c>
      <c r="P152" s="178">
        <v>218.470633966425</v>
      </c>
      <c r="Q152" s="514"/>
    </row>
    <row r="153" spans="1:17" ht="16" customHeight="1">
      <c r="A153" s="154">
        <v>94</v>
      </c>
      <c r="B153" s="196" t="s">
        <v>1009</v>
      </c>
      <c r="C153" s="516"/>
      <c r="D153" s="492"/>
      <c r="E153" s="155" t="s">
        <v>825</v>
      </c>
      <c r="F153" s="208" t="s">
        <v>742</v>
      </c>
      <c r="G153" s="190">
        <v>5100</v>
      </c>
      <c r="H153" s="190">
        <v>40</v>
      </c>
      <c r="I153" s="190">
        <v>3.6</v>
      </c>
      <c r="J153" s="208">
        <v>164.86978783413622</v>
      </c>
      <c r="K153" s="208" t="s">
        <v>98</v>
      </c>
      <c r="L153" s="212">
        <v>0.66706519542743103</v>
      </c>
      <c r="M153" s="190">
        <v>21.859872599999999</v>
      </c>
      <c r="N153" s="103">
        <v>0.79</v>
      </c>
      <c r="O153" s="190" t="s">
        <v>98</v>
      </c>
      <c r="P153" s="178">
        <v>154.76265808481199</v>
      </c>
      <c r="Q153" s="514"/>
    </row>
    <row r="154" spans="1:17" ht="16" customHeight="1">
      <c r="A154" s="154">
        <v>95</v>
      </c>
      <c r="B154" s="196" t="s">
        <v>1009</v>
      </c>
      <c r="C154" s="516"/>
      <c r="D154" s="492"/>
      <c r="E154" s="155" t="s">
        <v>825</v>
      </c>
      <c r="F154" s="208" t="s">
        <v>742</v>
      </c>
      <c r="G154" s="190">
        <v>5100</v>
      </c>
      <c r="H154" s="190">
        <v>40</v>
      </c>
      <c r="I154" s="190">
        <v>3.6</v>
      </c>
      <c r="J154" s="208">
        <v>186.74217734426546</v>
      </c>
      <c r="K154" s="208" t="s">
        <v>98</v>
      </c>
      <c r="L154" s="212">
        <v>0.66794261279286604</v>
      </c>
      <c r="M154" s="190">
        <v>28.949044600000001</v>
      </c>
      <c r="N154" s="103">
        <v>0.79</v>
      </c>
      <c r="O154" s="190" t="s">
        <v>98</v>
      </c>
      <c r="P154" s="178">
        <v>115.68725648837</v>
      </c>
      <c r="Q154" s="514"/>
    </row>
    <row r="155" spans="1:17" ht="16" customHeight="1">
      <c r="A155" s="156">
        <v>96</v>
      </c>
      <c r="B155" s="197" t="s">
        <v>1009</v>
      </c>
      <c r="C155" s="517"/>
      <c r="D155" s="491"/>
      <c r="E155" s="157" t="s">
        <v>825</v>
      </c>
      <c r="F155" s="161" t="s">
        <v>742</v>
      </c>
      <c r="G155" s="147">
        <v>5100</v>
      </c>
      <c r="H155" s="147">
        <v>40</v>
      </c>
      <c r="I155" s="147">
        <v>3.6</v>
      </c>
      <c r="J155" s="161">
        <v>208.32401804359029</v>
      </c>
      <c r="K155" s="161" t="s">
        <v>98</v>
      </c>
      <c r="L155" s="212">
        <v>0.65085212971106599</v>
      </c>
      <c r="M155" s="190">
        <v>41.165605100000001</v>
      </c>
      <c r="N155" s="104">
        <v>0.79</v>
      </c>
      <c r="O155" s="147" t="s">
        <v>98</v>
      </c>
      <c r="P155" s="179">
        <v>80.958949928132895</v>
      </c>
      <c r="Q155" s="513"/>
    </row>
    <row r="156" spans="1:17" ht="16" customHeight="1">
      <c r="A156" s="154">
        <v>97</v>
      </c>
      <c r="B156" s="196" t="s">
        <v>1009</v>
      </c>
      <c r="C156" s="515">
        <v>25</v>
      </c>
      <c r="D156" s="490" t="s">
        <v>177</v>
      </c>
      <c r="E156" s="160" t="s">
        <v>826</v>
      </c>
      <c r="F156" s="155" t="s">
        <v>827</v>
      </c>
      <c r="G156" s="190">
        <v>1444.68</v>
      </c>
      <c r="H156" s="222">
        <v>250</v>
      </c>
      <c r="I156" s="144" t="s">
        <v>98</v>
      </c>
      <c r="J156" s="160">
        <v>8</v>
      </c>
      <c r="K156" s="160">
        <v>25</v>
      </c>
      <c r="L156" s="111">
        <v>0.9</v>
      </c>
      <c r="M156" s="144" t="s">
        <v>98</v>
      </c>
      <c r="N156" s="223">
        <v>1.2348755433729268E-3</v>
      </c>
      <c r="O156" s="144">
        <v>0.5</v>
      </c>
      <c r="P156" s="144">
        <v>396</v>
      </c>
      <c r="Q156" s="512" t="s">
        <v>753</v>
      </c>
    </row>
    <row r="157" spans="1:17" ht="16" customHeight="1">
      <c r="A157" s="154">
        <v>98</v>
      </c>
      <c r="B157" s="196" t="s">
        <v>1009</v>
      </c>
      <c r="C157" s="516"/>
      <c r="D157" s="491"/>
      <c r="E157" s="161" t="s">
        <v>828</v>
      </c>
      <c r="F157" s="157" t="s">
        <v>827</v>
      </c>
      <c r="G157" s="147">
        <v>1444.68</v>
      </c>
      <c r="H157" s="224">
        <v>350</v>
      </c>
      <c r="I157" s="147" t="s">
        <v>98</v>
      </c>
      <c r="J157" s="161">
        <v>8</v>
      </c>
      <c r="K157" s="161">
        <v>25</v>
      </c>
      <c r="L157" s="112">
        <v>0.86</v>
      </c>
      <c r="M157" s="147" t="s">
        <v>98</v>
      </c>
      <c r="N157" s="225">
        <v>2.8656865188138547E-4</v>
      </c>
      <c r="O157" s="147">
        <v>0.9</v>
      </c>
      <c r="P157" s="147" t="s">
        <v>98</v>
      </c>
      <c r="Q157" s="513"/>
    </row>
    <row r="158" spans="1:17" ht="16" customHeight="1">
      <c r="A158" s="152">
        <v>99</v>
      </c>
      <c r="B158" s="195" t="s">
        <v>1009</v>
      </c>
      <c r="C158" s="515">
        <v>26</v>
      </c>
      <c r="D158" s="490" t="s">
        <v>829</v>
      </c>
      <c r="E158" s="208" t="s">
        <v>830</v>
      </c>
      <c r="F158" s="155" t="s">
        <v>742</v>
      </c>
      <c r="G158" s="190">
        <v>4950</v>
      </c>
      <c r="H158" s="190">
        <v>625</v>
      </c>
      <c r="I158" s="190" t="s">
        <v>98</v>
      </c>
      <c r="J158" s="208">
        <v>384</v>
      </c>
      <c r="K158" s="208">
        <v>25</v>
      </c>
      <c r="L158" s="210">
        <v>0.88100000000000001</v>
      </c>
      <c r="M158" s="190">
        <v>46.111111111111107</v>
      </c>
      <c r="N158" s="210">
        <v>0.307</v>
      </c>
      <c r="O158" s="190">
        <v>130.55555555555554</v>
      </c>
      <c r="P158" s="190" t="s">
        <v>98</v>
      </c>
      <c r="Q158" s="512" t="s">
        <v>744</v>
      </c>
    </row>
    <row r="159" spans="1:17" ht="16" customHeight="1">
      <c r="A159" s="156">
        <v>100</v>
      </c>
      <c r="B159" s="197" t="s">
        <v>1009</v>
      </c>
      <c r="C159" s="517"/>
      <c r="D159" s="491"/>
      <c r="E159" s="161" t="s">
        <v>830</v>
      </c>
      <c r="F159" s="157" t="s">
        <v>742</v>
      </c>
      <c r="G159" s="147"/>
      <c r="H159" s="147" t="s">
        <v>98</v>
      </c>
      <c r="I159" s="147" t="s">
        <v>98</v>
      </c>
      <c r="J159" s="161">
        <v>384</v>
      </c>
      <c r="K159" s="161">
        <v>25</v>
      </c>
      <c r="L159" s="207">
        <v>0.88100000000000001</v>
      </c>
      <c r="M159" s="147">
        <v>46.111111111111107</v>
      </c>
      <c r="N159" s="207" t="s">
        <v>898</v>
      </c>
      <c r="O159" s="147">
        <v>87.302777777777777</v>
      </c>
      <c r="P159" s="147" t="s">
        <v>98</v>
      </c>
      <c r="Q159" s="513"/>
    </row>
    <row r="160" spans="1:17" ht="16" customHeight="1">
      <c r="A160" s="154">
        <v>101</v>
      </c>
      <c r="B160" s="196" t="s">
        <v>1009</v>
      </c>
      <c r="C160" s="515">
        <v>27</v>
      </c>
      <c r="D160" s="490" t="s">
        <v>215</v>
      </c>
      <c r="E160" s="208" t="s">
        <v>831</v>
      </c>
      <c r="F160" s="155" t="s">
        <v>1</v>
      </c>
      <c r="G160" s="190">
        <v>3000</v>
      </c>
      <c r="H160" s="190">
        <v>100</v>
      </c>
      <c r="I160" s="190" t="s">
        <v>98</v>
      </c>
      <c r="J160" s="208">
        <v>24</v>
      </c>
      <c r="K160" s="208">
        <v>25</v>
      </c>
      <c r="L160" s="190" t="s">
        <v>325</v>
      </c>
      <c r="M160" s="190">
        <v>7.42</v>
      </c>
      <c r="N160" s="212">
        <v>1.0370370370370371E-3</v>
      </c>
      <c r="O160" s="363" t="s">
        <v>98</v>
      </c>
      <c r="P160" s="190">
        <v>890</v>
      </c>
      <c r="Q160" s="512" t="s">
        <v>1018</v>
      </c>
    </row>
    <row r="161" spans="1:17" ht="16" customHeight="1">
      <c r="A161" s="154">
        <v>102</v>
      </c>
      <c r="B161" s="196" t="s">
        <v>1009</v>
      </c>
      <c r="C161" s="517"/>
      <c r="D161" s="491"/>
      <c r="E161" s="161" t="s">
        <v>831</v>
      </c>
      <c r="F161" s="157" t="s">
        <v>803</v>
      </c>
      <c r="G161" s="147">
        <v>3000</v>
      </c>
      <c r="H161" s="147">
        <v>100</v>
      </c>
      <c r="I161" s="147" t="s">
        <v>98</v>
      </c>
      <c r="J161" s="161">
        <v>24</v>
      </c>
      <c r="K161" s="161">
        <v>25</v>
      </c>
      <c r="L161" s="147" t="s">
        <v>325</v>
      </c>
      <c r="M161" s="147">
        <v>9.44</v>
      </c>
      <c r="N161" s="213">
        <v>8.7615740740740742E-4</v>
      </c>
      <c r="O161" s="147" t="s">
        <v>98</v>
      </c>
      <c r="P161" s="147">
        <v>770</v>
      </c>
      <c r="Q161" s="513"/>
    </row>
    <row r="162" spans="1:17" ht="16" customHeight="1">
      <c r="A162" s="152">
        <v>103</v>
      </c>
      <c r="B162" s="195" t="s">
        <v>1009</v>
      </c>
      <c r="C162" s="515">
        <v>28</v>
      </c>
      <c r="D162" s="490" t="s">
        <v>178</v>
      </c>
      <c r="E162" s="208" t="s">
        <v>832</v>
      </c>
      <c r="F162" s="155" t="s">
        <v>833</v>
      </c>
      <c r="G162" s="190">
        <f>68*14</f>
        <v>952</v>
      </c>
      <c r="H162" s="190">
        <v>15</v>
      </c>
      <c r="I162" s="190">
        <v>15</v>
      </c>
      <c r="J162" s="208">
        <v>60</v>
      </c>
      <c r="K162" s="208" t="s">
        <v>98</v>
      </c>
      <c r="L162" s="124">
        <v>0.82</v>
      </c>
      <c r="M162" s="190">
        <v>4</v>
      </c>
      <c r="N162" s="124">
        <v>0.71</v>
      </c>
      <c r="O162" s="190" t="s">
        <v>98</v>
      </c>
      <c r="P162" s="190">
        <v>98.2</v>
      </c>
      <c r="Q162" s="512" t="s">
        <v>744</v>
      </c>
    </row>
    <row r="163" spans="1:17" ht="16" customHeight="1">
      <c r="A163" s="154">
        <v>104</v>
      </c>
      <c r="B163" s="196" t="s">
        <v>1009</v>
      </c>
      <c r="C163" s="516"/>
      <c r="D163" s="492"/>
      <c r="E163" s="208" t="s">
        <v>832</v>
      </c>
      <c r="F163" s="155" t="s">
        <v>1</v>
      </c>
      <c r="G163" s="190">
        <f>50*14</f>
        <v>700</v>
      </c>
      <c r="H163" s="190">
        <v>15</v>
      </c>
      <c r="I163" s="190">
        <v>15</v>
      </c>
      <c r="J163" s="208">
        <v>55</v>
      </c>
      <c r="K163" s="208" t="s">
        <v>98</v>
      </c>
      <c r="L163" s="124">
        <v>0.95499999999999996</v>
      </c>
      <c r="M163" s="190">
        <v>4.8</v>
      </c>
      <c r="N163" s="210">
        <v>0.85599999999999998</v>
      </c>
      <c r="O163" s="190" t="s">
        <v>98</v>
      </c>
      <c r="P163" s="190">
        <v>106.5</v>
      </c>
      <c r="Q163" s="514"/>
    </row>
    <row r="164" spans="1:17" ht="16" customHeight="1">
      <c r="A164" s="154">
        <v>105</v>
      </c>
      <c r="B164" s="196" t="s">
        <v>1009</v>
      </c>
      <c r="C164" s="516"/>
      <c r="D164" s="492"/>
      <c r="E164" s="208" t="s">
        <v>834</v>
      </c>
      <c r="F164" s="155" t="s">
        <v>1</v>
      </c>
      <c r="G164" s="190">
        <f>10*14</f>
        <v>140</v>
      </c>
      <c r="H164" s="190">
        <v>15</v>
      </c>
      <c r="I164" s="190">
        <v>15</v>
      </c>
      <c r="J164" s="208">
        <v>15</v>
      </c>
      <c r="K164" s="208" t="s">
        <v>98</v>
      </c>
      <c r="L164" s="124">
        <v>0.95</v>
      </c>
      <c r="M164" s="190">
        <v>5.1619999999999999</v>
      </c>
      <c r="N164" s="212">
        <v>0.8931</v>
      </c>
      <c r="O164" s="190" t="s">
        <v>98</v>
      </c>
      <c r="P164" s="190">
        <v>25.680299999999999</v>
      </c>
      <c r="Q164" s="514"/>
    </row>
    <row r="165" spans="1:17" ht="16" customHeight="1">
      <c r="A165" s="154">
        <v>106</v>
      </c>
      <c r="B165" s="196" t="s">
        <v>1009</v>
      </c>
      <c r="C165" s="516"/>
      <c r="D165" s="492"/>
      <c r="E165" s="208" t="s">
        <v>834</v>
      </c>
      <c r="F165" s="155" t="s">
        <v>1</v>
      </c>
      <c r="G165" s="190">
        <f>20*14</f>
        <v>280</v>
      </c>
      <c r="H165" s="190">
        <v>15</v>
      </c>
      <c r="I165" s="190">
        <v>15</v>
      </c>
      <c r="J165" s="208">
        <v>15</v>
      </c>
      <c r="K165" s="208" t="s">
        <v>98</v>
      </c>
      <c r="L165" s="124">
        <v>0.95</v>
      </c>
      <c r="M165" s="190">
        <v>4.694</v>
      </c>
      <c r="N165" s="212">
        <v>0.82540000000000002</v>
      </c>
      <c r="O165" s="190" t="s">
        <v>98</v>
      </c>
      <c r="P165" s="190">
        <v>47.619</v>
      </c>
      <c r="Q165" s="514"/>
    </row>
    <row r="166" spans="1:17" ht="16" customHeight="1">
      <c r="A166" s="156">
        <v>107</v>
      </c>
      <c r="B166" s="197" t="s">
        <v>1009</v>
      </c>
      <c r="C166" s="517"/>
      <c r="D166" s="491"/>
      <c r="E166" s="161" t="s">
        <v>834</v>
      </c>
      <c r="F166" s="157" t="s">
        <v>1</v>
      </c>
      <c r="G166" s="147">
        <f>50*14</f>
        <v>700</v>
      </c>
      <c r="H166" s="147">
        <v>15</v>
      </c>
      <c r="I166" s="147">
        <v>15</v>
      </c>
      <c r="J166" s="161">
        <v>15</v>
      </c>
      <c r="K166" s="161" t="s">
        <v>98</v>
      </c>
      <c r="L166" s="112">
        <v>0.95</v>
      </c>
      <c r="M166" s="147">
        <v>4.4960000000000004</v>
      </c>
      <c r="N166" s="213">
        <v>0.73440000000000005</v>
      </c>
      <c r="O166" s="147" t="s">
        <v>98</v>
      </c>
      <c r="P166" s="147">
        <v>94.727900000000005</v>
      </c>
      <c r="Q166" s="513"/>
    </row>
    <row r="167" spans="1:17" ht="16" customHeight="1">
      <c r="A167" s="152">
        <v>108</v>
      </c>
      <c r="B167" s="195" t="s">
        <v>1009</v>
      </c>
      <c r="C167" s="515">
        <v>29</v>
      </c>
      <c r="D167" s="490" t="s">
        <v>217</v>
      </c>
      <c r="E167" s="506" t="s">
        <v>98</v>
      </c>
      <c r="F167" s="155" t="s">
        <v>835</v>
      </c>
      <c r="G167" s="190">
        <v>712</v>
      </c>
      <c r="H167" s="190">
        <v>60</v>
      </c>
      <c r="I167" s="190" t="s">
        <v>899</v>
      </c>
      <c r="J167" s="208">
        <v>0.5</v>
      </c>
      <c r="K167" s="170" t="s">
        <v>98</v>
      </c>
      <c r="L167" s="210">
        <v>0.73991935483870896</v>
      </c>
      <c r="M167" s="190">
        <v>18.849206349206298</v>
      </c>
      <c r="N167" s="210">
        <v>0.722911638263809</v>
      </c>
      <c r="O167" s="170" t="s">
        <v>98</v>
      </c>
      <c r="P167" s="170" t="s">
        <v>98</v>
      </c>
      <c r="Q167" s="512" t="s">
        <v>1019</v>
      </c>
    </row>
    <row r="168" spans="1:17" ht="16" customHeight="1">
      <c r="A168" s="154">
        <v>109</v>
      </c>
      <c r="B168" s="196" t="s">
        <v>1009</v>
      </c>
      <c r="C168" s="516"/>
      <c r="D168" s="492"/>
      <c r="E168" s="507"/>
      <c r="F168" s="155" t="s">
        <v>835</v>
      </c>
      <c r="G168" s="190">
        <v>712</v>
      </c>
      <c r="H168" s="190">
        <v>60</v>
      </c>
      <c r="I168" s="190" t="s">
        <v>899</v>
      </c>
      <c r="J168" s="208">
        <v>1</v>
      </c>
      <c r="K168" s="170" t="s">
        <v>98</v>
      </c>
      <c r="L168" s="210">
        <v>0.59072580645161199</v>
      </c>
      <c r="M168" s="190">
        <v>25.396825396825299</v>
      </c>
      <c r="N168" s="210">
        <v>0.714687406034896</v>
      </c>
      <c r="O168" s="170" t="s">
        <v>98</v>
      </c>
      <c r="P168" s="170" t="s">
        <v>98</v>
      </c>
      <c r="Q168" s="514"/>
    </row>
    <row r="169" spans="1:17" ht="16" customHeight="1">
      <c r="A169" s="154">
        <v>110</v>
      </c>
      <c r="B169" s="196" t="s">
        <v>1009</v>
      </c>
      <c r="C169" s="516"/>
      <c r="D169" s="492"/>
      <c r="E169" s="507"/>
      <c r="F169" s="155" t="s">
        <v>835</v>
      </c>
      <c r="G169" s="190">
        <v>712</v>
      </c>
      <c r="H169" s="190">
        <v>60</v>
      </c>
      <c r="I169" s="190" t="s">
        <v>899</v>
      </c>
      <c r="J169" s="208">
        <v>1.5</v>
      </c>
      <c r="K169" s="170" t="s">
        <v>98</v>
      </c>
      <c r="L169" s="210">
        <v>0.530241935483871</v>
      </c>
      <c r="M169" s="190">
        <v>31.150793650793599</v>
      </c>
      <c r="N169" s="210">
        <v>0.71222501239323499</v>
      </c>
      <c r="O169" s="170" t="s">
        <v>98</v>
      </c>
      <c r="P169" s="170" t="s">
        <v>98</v>
      </c>
      <c r="Q169" s="514"/>
    </row>
    <row r="170" spans="1:17" ht="16" customHeight="1">
      <c r="A170" s="156">
        <v>111</v>
      </c>
      <c r="B170" s="197" t="s">
        <v>1009</v>
      </c>
      <c r="C170" s="517"/>
      <c r="D170" s="491"/>
      <c r="E170" s="508"/>
      <c r="F170" s="157" t="s">
        <v>835</v>
      </c>
      <c r="G170" s="147">
        <v>712</v>
      </c>
      <c r="H170" s="147">
        <v>60</v>
      </c>
      <c r="I170" s="147" t="s">
        <v>899</v>
      </c>
      <c r="J170" s="161">
        <v>2</v>
      </c>
      <c r="K170" s="172" t="s">
        <v>98</v>
      </c>
      <c r="L170" s="207">
        <v>0.42540322580645101</v>
      </c>
      <c r="M170" s="147">
        <v>38.492063492063401</v>
      </c>
      <c r="N170" s="207">
        <v>0.71177804325035898</v>
      </c>
      <c r="O170" s="172" t="s">
        <v>98</v>
      </c>
      <c r="P170" s="172" t="s">
        <v>98</v>
      </c>
      <c r="Q170" s="513"/>
    </row>
    <row r="171" spans="1:17" ht="16" customHeight="1">
      <c r="A171" s="154">
        <v>112</v>
      </c>
      <c r="B171" s="196" t="s">
        <v>1009</v>
      </c>
      <c r="C171" s="515">
        <v>30</v>
      </c>
      <c r="D171" s="490" t="s">
        <v>218</v>
      </c>
      <c r="E171" s="208" t="s">
        <v>836</v>
      </c>
      <c r="F171" s="155" t="s">
        <v>1</v>
      </c>
      <c r="G171" s="190">
        <f t="shared" ref="G171:G176" si="0">0.14*2*14*1000</f>
        <v>3920.0000000000005</v>
      </c>
      <c r="H171" s="190">
        <v>10</v>
      </c>
      <c r="I171" s="190" t="s">
        <v>98</v>
      </c>
      <c r="J171" s="208" t="s">
        <v>839</v>
      </c>
      <c r="K171" s="208">
        <v>25</v>
      </c>
      <c r="L171" s="103">
        <v>0.27</v>
      </c>
      <c r="M171" s="125">
        <v>8.3333333333333329E-2</v>
      </c>
      <c r="N171" s="124">
        <v>0.27</v>
      </c>
      <c r="O171" s="191" t="s">
        <v>98</v>
      </c>
      <c r="P171" s="180">
        <v>152</v>
      </c>
      <c r="Q171" s="512" t="s">
        <v>744</v>
      </c>
    </row>
    <row r="172" spans="1:17" ht="16" customHeight="1">
      <c r="A172" s="154">
        <v>113</v>
      </c>
      <c r="B172" s="196" t="s">
        <v>1009</v>
      </c>
      <c r="C172" s="516"/>
      <c r="D172" s="492"/>
      <c r="E172" s="208" t="s">
        <v>837</v>
      </c>
      <c r="F172" s="155" t="s">
        <v>1</v>
      </c>
      <c r="G172" s="190">
        <f t="shared" si="0"/>
        <v>3920.0000000000005</v>
      </c>
      <c r="H172" s="190">
        <v>20</v>
      </c>
      <c r="I172" s="190" t="s">
        <v>98</v>
      </c>
      <c r="J172" s="208" t="s">
        <v>839</v>
      </c>
      <c r="K172" s="208">
        <v>25</v>
      </c>
      <c r="L172" s="103">
        <v>0.43</v>
      </c>
      <c r="M172" s="125">
        <v>0.30555555555555558</v>
      </c>
      <c r="N172" s="124">
        <v>0.37</v>
      </c>
      <c r="O172" s="191" t="s">
        <v>98</v>
      </c>
      <c r="P172" s="180">
        <v>240</v>
      </c>
      <c r="Q172" s="514"/>
    </row>
    <row r="173" spans="1:17" ht="16" customHeight="1">
      <c r="A173" s="154">
        <v>114</v>
      </c>
      <c r="B173" s="196" t="s">
        <v>1009</v>
      </c>
      <c r="C173" s="516"/>
      <c r="D173" s="492"/>
      <c r="E173" s="208" t="s">
        <v>838</v>
      </c>
      <c r="F173" s="155" t="s">
        <v>1</v>
      </c>
      <c r="G173" s="190">
        <f t="shared" si="0"/>
        <v>3920.0000000000005</v>
      </c>
      <c r="H173" s="190">
        <v>10</v>
      </c>
      <c r="I173" s="190" t="s">
        <v>98</v>
      </c>
      <c r="J173" s="208" t="s">
        <v>839</v>
      </c>
      <c r="K173" s="208">
        <v>25</v>
      </c>
      <c r="L173" s="103">
        <v>0.94</v>
      </c>
      <c r="M173" s="125">
        <v>0.63888888888888884</v>
      </c>
      <c r="N173" s="124">
        <v>0.83</v>
      </c>
      <c r="O173" s="191" t="s">
        <v>98</v>
      </c>
      <c r="P173" s="180">
        <v>98</v>
      </c>
      <c r="Q173" s="514"/>
    </row>
    <row r="174" spans="1:17" ht="16" customHeight="1">
      <c r="A174" s="154">
        <v>115</v>
      </c>
      <c r="B174" s="196" t="s">
        <v>1009</v>
      </c>
      <c r="C174" s="516"/>
      <c r="D174" s="492"/>
      <c r="E174" s="208" t="s">
        <v>840</v>
      </c>
      <c r="F174" s="155" t="s">
        <v>1</v>
      </c>
      <c r="G174" s="190">
        <f t="shared" si="0"/>
        <v>3920.0000000000005</v>
      </c>
      <c r="H174" s="190">
        <v>50</v>
      </c>
      <c r="I174" s="190" t="s">
        <v>98</v>
      </c>
      <c r="J174" s="208" t="s">
        <v>839</v>
      </c>
      <c r="K174" s="208">
        <v>25</v>
      </c>
      <c r="L174" s="103">
        <v>0.92</v>
      </c>
      <c r="M174" s="125">
        <v>2.7307692307692304</v>
      </c>
      <c r="N174" s="124">
        <v>0.84</v>
      </c>
      <c r="O174" s="191" t="s">
        <v>98</v>
      </c>
      <c r="P174" s="180">
        <v>432.995</v>
      </c>
      <c r="Q174" s="514"/>
    </row>
    <row r="175" spans="1:17" ht="16" customHeight="1">
      <c r="A175" s="154">
        <v>116</v>
      </c>
      <c r="B175" s="196" t="s">
        <v>1009</v>
      </c>
      <c r="C175" s="516"/>
      <c r="D175" s="492"/>
      <c r="E175" s="208" t="s">
        <v>841</v>
      </c>
      <c r="F175" s="155" t="s">
        <v>1</v>
      </c>
      <c r="G175" s="190">
        <f t="shared" si="0"/>
        <v>3920.0000000000005</v>
      </c>
      <c r="H175" s="190">
        <v>20</v>
      </c>
      <c r="I175" s="190" t="s">
        <v>98</v>
      </c>
      <c r="J175" s="208" t="s">
        <v>839</v>
      </c>
      <c r="K175" s="208">
        <v>25</v>
      </c>
      <c r="L175" s="103">
        <v>0.99</v>
      </c>
      <c r="M175" s="125">
        <v>13.666666666666668</v>
      </c>
      <c r="N175" s="124">
        <v>0.93</v>
      </c>
      <c r="O175" s="191" t="s">
        <v>98</v>
      </c>
      <c r="P175" s="180">
        <v>98</v>
      </c>
      <c r="Q175" s="514"/>
    </row>
    <row r="176" spans="1:17" ht="16" customHeight="1">
      <c r="A176" s="154">
        <v>117</v>
      </c>
      <c r="B176" s="196" t="s">
        <v>1009</v>
      </c>
      <c r="C176" s="516"/>
      <c r="D176" s="492"/>
      <c r="E176" s="208" t="s">
        <v>842</v>
      </c>
      <c r="F176" s="155" t="s">
        <v>1</v>
      </c>
      <c r="G176" s="190">
        <f t="shared" si="0"/>
        <v>3920.0000000000005</v>
      </c>
      <c r="H176" s="190">
        <v>50</v>
      </c>
      <c r="I176" s="190" t="s">
        <v>98</v>
      </c>
      <c r="J176" s="208" t="s">
        <v>839</v>
      </c>
      <c r="K176" s="208">
        <v>25</v>
      </c>
      <c r="L176" s="103">
        <v>1</v>
      </c>
      <c r="M176" s="125">
        <v>45.749999999999993</v>
      </c>
      <c r="N176" s="124">
        <v>1.01</v>
      </c>
      <c r="O176" s="191" t="s">
        <v>98</v>
      </c>
      <c r="P176" s="180">
        <v>101</v>
      </c>
      <c r="Q176" s="514"/>
    </row>
    <row r="177" spans="1:17" ht="16" customHeight="1">
      <c r="A177" s="154">
        <v>118</v>
      </c>
      <c r="B177" s="196" t="s">
        <v>1009</v>
      </c>
      <c r="C177" s="516"/>
      <c r="D177" s="492"/>
      <c r="E177" s="208" t="s">
        <v>843</v>
      </c>
      <c r="F177" s="155" t="s">
        <v>742</v>
      </c>
      <c r="G177" s="190">
        <v>4250</v>
      </c>
      <c r="H177" s="190">
        <v>50</v>
      </c>
      <c r="I177" s="190" t="s">
        <v>98</v>
      </c>
      <c r="J177" s="208" t="s">
        <v>839</v>
      </c>
      <c r="K177" s="208">
        <v>25</v>
      </c>
      <c r="L177" s="103">
        <v>0.63</v>
      </c>
      <c r="M177" s="125">
        <v>3.9444444444444442</v>
      </c>
      <c r="N177" s="124">
        <v>0.56000000000000005</v>
      </c>
      <c r="O177" s="191" t="s">
        <v>98</v>
      </c>
      <c r="P177" s="180">
        <v>335</v>
      </c>
      <c r="Q177" s="514"/>
    </row>
    <row r="178" spans="1:17" ht="16" customHeight="1">
      <c r="A178" s="154">
        <v>119</v>
      </c>
      <c r="B178" s="196" t="s">
        <v>1009</v>
      </c>
      <c r="C178" s="516"/>
      <c r="D178" s="492"/>
      <c r="E178" s="208" t="s">
        <v>844</v>
      </c>
      <c r="F178" s="155" t="s">
        <v>742</v>
      </c>
      <c r="G178" s="190">
        <v>4250</v>
      </c>
      <c r="H178" s="190">
        <v>20</v>
      </c>
      <c r="I178" s="190" t="s">
        <v>98</v>
      </c>
      <c r="J178" s="208" t="s">
        <v>839</v>
      </c>
      <c r="K178" s="208">
        <v>25</v>
      </c>
      <c r="L178" s="103">
        <v>0.89</v>
      </c>
      <c r="M178" s="125">
        <v>4.0277777777777777</v>
      </c>
      <c r="N178" s="124">
        <v>0.83</v>
      </c>
      <c r="O178" s="191" t="s">
        <v>98</v>
      </c>
      <c r="P178" s="180">
        <v>82</v>
      </c>
      <c r="Q178" s="514"/>
    </row>
    <row r="179" spans="1:17" ht="16" customHeight="1">
      <c r="A179" s="154">
        <v>120</v>
      </c>
      <c r="B179" s="196" t="s">
        <v>1009</v>
      </c>
      <c r="C179" s="516"/>
      <c r="D179" s="491"/>
      <c r="E179" s="208" t="s">
        <v>845</v>
      </c>
      <c r="F179" s="155" t="s">
        <v>742</v>
      </c>
      <c r="G179" s="147">
        <v>4250</v>
      </c>
      <c r="H179" s="190">
        <v>50</v>
      </c>
      <c r="I179" s="190" t="s">
        <v>98</v>
      </c>
      <c r="J179" s="208" t="s">
        <v>839</v>
      </c>
      <c r="K179" s="208">
        <v>25</v>
      </c>
      <c r="L179" s="104">
        <v>0.92</v>
      </c>
      <c r="M179" s="118">
        <v>13.222222222222221</v>
      </c>
      <c r="N179" s="112">
        <v>0.77</v>
      </c>
      <c r="O179" s="193" t="s">
        <v>98</v>
      </c>
      <c r="P179" s="180">
        <v>89</v>
      </c>
      <c r="Q179" s="513"/>
    </row>
    <row r="180" spans="1:17" ht="16" customHeight="1">
      <c r="A180" s="152">
        <v>121</v>
      </c>
      <c r="B180" s="195" t="s">
        <v>1009</v>
      </c>
      <c r="C180" s="515">
        <v>31</v>
      </c>
      <c r="D180" s="490" t="s">
        <v>219</v>
      </c>
      <c r="E180" s="160" t="s">
        <v>797</v>
      </c>
      <c r="F180" s="153" t="s">
        <v>846</v>
      </c>
      <c r="G180" s="190">
        <v>53</v>
      </c>
      <c r="H180" s="144">
        <v>10</v>
      </c>
      <c r="I180" s="144" t="s">
        <v>98</v>
      </c>
      <c r="J180" s="160">
        <v>8</v>
      </c>
      <c r="K180" s="160" t="s">
        <v>98</v>
      </c>
      <c r="L180" s="212">
        <v>0.98680000000000001</v>
      </c>
      <c r="M180" s="190">
        <v>96.942583333333317</v>
      </c>
      <c r="N180" s="212">
        <v>0.89870000000000005</v>
      </c>
      <c r="O180" s="190">
        <v>109.99255555555555</v>
      </c>
      <c r="P180" s="144" t="s">
        <v>98</v>
      </c>
      <c r="Q180" s="512" t="s">
        <v>744</v>
      </c>
    </row>
    <row r="181" spans="1:17" ht="16" customHeight="1">
      <c r="A181" s="154">
        <v>122</v>
      </c>
      <c r="B181" s="196" t="s">
        <v>1009</v>
      </c>
      <c r="C181" s="516"/>
      <c r="D181" s="492"/>
      <c r="E181" s="208" t="s">
        <v>797</v>
      </c>
      <c r="F181" s="155" t="s">
        <v>847</v>
      </c>
      <c r="G181" s="190">
        <v>209</v>
      </c>
      <c r="H181" s="190">
        <v>50</v>
      </c>
      <c r="I181" s="190" t="s">
        <v>98</v>
      </c>
      <c r="J181" s="208">
        <v>6</v>
      </c>
      <c r="K181" s="208" t="s">
        <v>98</v>
      </c>
      <c r="L181" s="212">
        <v>0.98899999999999999</v>
      </c>
      <c r="M181" s="190">
        <v>134.22819444444443</v>
      </c>
      <c r="N181" s="212">
        <v>0.77529999999999999</v>
      </c>
      <c r="O181" s="190">
        <v>168.33333333333334</v>
      </c>
      <c r="P181" s="190" t="s">
        <v>98</v>
      </c>
      <c r="Q181" s="514"/>
    </row>
    <row r="182" spans="1:17" ht="16" customHeight="1">
      <c r="A182" s="154">
        <v>123</v>
      </c>
      <c r="B182" s="196" t="s">
        <v>1009</v>
      </c>
      <c r="C182" s="516"/>
      <c r="D182" s="492"/>
      <c r="E182" s="208" t="s">
        <v>797</v>
      </c>
      <c r="F182" s="155" t="s">
        <v>873</v>
      </c>
      <c r="G182" s="190">
        <v>349</v>
      </c>
      <c r="H182" s="190">
        <v>100</v>
      </c>
      <c r="I182" s="190" t="s">
        <v>98</v>
      </c>
      <c r="J182" s="208">
        <v>6</v>
      </c>
      <c r="K182" s="208" t="s">
        <v>98</v>
      </c>
      <c r="L182" s="212">
        <v>0.99780000000000002</v>
      </c>
      <c r="M182" s="181">
        <v>792.31916666666666</v>
      </c>
      <c r="N182" s="212">
        <v>1.0109999999999999</v>
      </c>
      <c r="O182" s="181">
        <v>805.55555555555554</v>
      </c>
      <c r="P182" s="190" t="s">
        <v>98</v>
      </c>
      <c r="Q182" s="514"/>
    </row>
    <row r="183" spans="1:17" ht="16" customHeight="1">
      <c r="A183" s="154">
        <v>124</v>
      </c>
      <c r="B183" s="196" t="s">
        <v>1009</v>
      </c>
      <c r="C183" s="516"/>
      <c r="D183" s="492"/>
      <c r="E183" s="208" t="s">
        <v>797</v>
      </c>
      <c r="F183" s="155" t="s">
        <v>807</v>
      </c>
      <c r="G183" s="190">
        <v>692</v>
      </c>
      <c r="H183" s="190">
        <v>25</v>
      </c>
      <c r="I183" s="190" t="s">
        <v>98</v>
      </c>
      <c r="J183" s="208">
        <v>6</v>
      </c>
      <c r="K183" s="208" t="s">
        <v>98</v>
      </c>
      <c r="L183" s="212">
        <v>0.91849999999999998</v>
      </c>
      <c r="M183" s="190">
        <v>48.471277777777779</v>
      </c>
      <c r="N183" s="212">
        <v>0.96699999999999997</v>
      </c>
      <c r="O183" s="190">
        <v>50.335583333333332</v>
      </c>
      <c r="P183" s="190" t="s">
        <v>98</v>
      </c>
      <c r="Q183" s="514"/>
    </row>
    <row r="184" spans="1:17" ht="16" customHeight="1">
      <c r="A184" s="154">
        <v>125</v>
      </c>
      <c r="B184" s="196" t="s">
        <v>1009</v>
      </c>
      <c r="C184" s="516"/>
      <c r="D184" s="492"/>
      <c r="E184" s="208" t="s">
        <v>797</v>
      </c>
      <c r="F184" s="155" t="s">
        <v>807</v>
      </c>
      <c r="G184" s="190">
        <v>1820</v>
      </c>
      <c r="H184" s="190">
        <v>50</v>
      </c>
      <c r="I184" s="190" t="s">
        <v>98</v>
      </c>
      <c r="J184" s="208">
        <v>6</v>
      </c>
      <c r="K184" s="208" t="s">
        <v>98</v>
      </c>
      <c r="L184" s="212">
        <v>0.94269999999999998</v>
      </c>
      <c r="M184" s="190">
        <v>14.914249999999999</v>
      </c>
      <c r="N184" s="212">
        <v>0.89429999999999998</v>
      </c>
      <c r="O184" s="190">
        <v>13.666666666666668</v>
      </c>
      <c r="P184" s="190" t="s">
        <v>98</v>
      </c>
      <c r="Q184" s="514"/>
    </row>
    <row r="185" spans="1:17" ht="16" customHeight="1">
      <c r="A185" s="154">
        <v>126</v>
      </c>
      <c r="B185" s="196" t="s">
        <v>1009</v>
      </c>
      <c r="C185" s="516"/>
      <c r="D185" s="492"/>
      <c r="E185" s="208" t="s">
        <v>797</v>
      </c>
      <c r="F185" s="155" t="s">
        <v>807</v>
      </c>
      <c r="G185" s="190">
        <v>2180</v>
      </c>
      <c r="H185" s="190">
        <v>50</v>
      </c>
      <c r="I185" s="190" t="s">
        <v>98</v>
      </c>
      <c r="J185" s="208">
        <v>6</v>
      </c>
      <c r="K185" s="208" t="s">
        <v>98</v>
      </c>
      <c r="L185" s="212">
        <v>0.96040000000000003</v>
      </c>
      <c r="M185" s="190">
        <v>20.507083333333334</v>
      </c>
      <c r="N185" s="212">
        <v>0.83479999999999999</v>
      </c>
      <c r="O185" s="190">
        <v>13.666666666666668</v>
      </c>
      <c r="P185" s="190" t="s">
        <v>98</v>
      </c>
      <c r="Q185" s="514"/>
    </row>
    <row r="186" spans="1:17" ht="16" customHeight="1">
      <c r="A186" s="154">
        <v>127</v>
      </c>
      <c r="B186" s="196" t="s">
        <v>1009</v>
      </c>
      <c r="C186" s="516"/>
      <c r="D186" s="492"/>
      <c r="E186" s="208" t="s">
        <v>800</v>
      </c>
      <c r="F186" s="155" t="s">
        <v>742</v>
      </c>
      <c r="G186" s="190">
        <v>5050</v>
      </c>
      <c r="H186" s="190">
        <v>10</v>
      </c>
      <c r="I186" s="190" t="s">
        <v>98</v>
      </c>
      <c r="J186" s="182">
        <v>121.39439999999999</v>
      </c>
      <c r="K186" s="208" t="s">
        <v>98</v>
      </c>
      <c r="L186" s="212">
        <v>0.80720000000000003</v>
      </c>
      <c r="M186" s="190">
        <v>16.993027777777776</v>
      </c>
      <c r="N186" s="212">
        <v>0.76790000000000003</v>
      </c>
      <c r="O186" s="190">
        <v>17.961500000000001</v>
      </c>
      <c r="P186" s="190">
        <v>672</v>
      </c>
      <c r="Q186" s="514"/>
    </row>
    <row r="187" spans="1:17" ht="16" customHeight="1">
      <c r="A187" s="154">
        <v>128</v>
      </c>
      <c r="B187" s="196" t="s">
        <v>1009</v>
      </c>
      <c r="C187" s="516"/>
      <c r="D187" s="492"/>
      <c r="E187" s="208" t="s">
        <v>800</v>
      </c>
      <c r="F187" s="155" t="s">
        <v>742</v>
      </c>
      <c r="G187" s="190">
        <v>5050</v>
      </c>
      <c r="H187" s="190">
        <v>10</v>
      </c>
      <c r="I187" s="190" t="s">
        <v>98</v>
      </c>
      <c r="J187" s="182">
        <v>238.72319999999999</v>
      </c>
      <c r="K187" s="208" t="s">
        <v>98</v>
      </c>
      <c r="L187" s="212">
        <v>0.84470000000000001</v>
      </c>
      <c r="M187" s="190">
        <v>17.527749999999997</v>
      </c>
      <c r="N187" s="212">
        <v>0.69110000000000005</v>
      </c>
      <c r="O187" s="190">
        <v>21.254999999999999</v>
      </c>
      <c r="P187" s="190">
        <v>672</v>
      </c>
      <c r="Q187" s="514"/>
    </row>
    <row r="188" spans="1:17" ht="16" customHeight="1">
      <c r="A188" s="154">
        <v>129</v>
      </c>
      <c r="B188" s="196" t="s">
        <v>1009</v>
      </c>
      <c r="C188" s="516"/>
      <c r="D188" s="492"/>
      <c r="E188" s="208" t="s">
        <v>800</v>
      </c>
      <c r="F188" s="155" t="s">
        <v>742</v>
      </c>
      <c r="G188" s="190">
        <v>5050</v>
      </c>
      <c r="H188" s="190">
        <v>10</v>
      </c>
      <c r="I188" s="190" t="s">
        <v>98</v>
      </c>
      <c r="J188" s="182">
        <v>358.77839999999998</v>
      </c>
      <c r="K188" s="208" t="s">
        <v>98</v>
      </c>
      <c r="L188" s="212">
        <v>0.82420000000000004</v>
      </c>
      <c r="M188" s="190">
        <v>17.660055555555555</v>
      </c>
      <c r="N188" s="212">
        <v>0.71499999999999997</v>
      </c>
      <c r="O188" s="190">
        <v>20.359166666666667</v>
      </c>
      <c r="P188" s="190">
        <v>672</v>
      </c>
      <c r="Q188" s="514"/>
    </row>
    <row r="189" spans="1:17" ht="16" customHeight="1">
      <c r="A189" s="154">
        <v>130</v>
      </c>
      <c r="B189" s="196" t="s">
        <v>1009</v>
      </c>
      <c r="C189" s="516"/>
      <c r="D189" s="492"/>
      <c r="E189" s="208" t="s">
        <v>800</v>
      </c>
      <c r="F189" s="155" t="s">
        <v>742</v>
      </c>
      <c r="G189" s="190">
        <v>5050</v>
      </c>
      <c r="H189" s="190">
        <v>10</v>
      </c>
      <c r="I189" s="190" t="s">
        <v>98</v>
      </c>
      <c r="J189" s="182">
        <v>460.2672</v>
      </c>
      <c r="K189" s="208" t="s">
        <v>98</v>
      </c>
      <c r="L189" s="212">
        <v>0.82589999999999997</v>
      </c>
      <c r="M189" s="190">
        <v>17.277555555555555</v>
      </c>
      <c r="N189" s="212">
        <v>0.74060000000000004</v>
      </c>
      <c r="O189" s="190">
        <v>19.534999999999997</v>
      </c>
      <c r="P189" s="190">
        <v>672</v>
      </c>
      <c r="Q189" s="514"/>
    </row>
    <row r="190" spans="1:17" ht="16" customHeight="1">
      <c r="A190" s="154">
        <v>131</v>
      </c>
      <c r="B190" s="196" t="s">
        <v>1009</v>
      </c>
      <c r="C190" s="516"/>
      <c r="D190" s="492"/>
      <c r="E190" s="208" t="s">
        <v>800</v>
      </c>
      <c r="F190" s="155" t="s">
        <v>742</v>
      </c>
      <c r="G190" s="190">
        <v>5050</v>
      </c>
      <c r="H190" s="190">
        <v>10</v>
      </c>
      <c r="I190" s="190" t="s">
        <v>98</v>
      </c>
      <c r="J190" s="182">
        <v>574.36559999999997</v>
      </c>
      <c r="K190" s="208" t="s">
        <v>98</v>
      </c>
      <c r="L190" s="212">
        <v>0.8276</v>
      </c>
      <c r="M190" s="190">
        <v>17.240416666666665</v>
      </c>
      <c r="N190" s="212">
        <v>0.74570000000000003</v>
      </c>
      <c r="O190" s="190">
        <v>19.201194444444447</v>
      </c>
      <c r="P190" s="190">
        <v>672</v>
      </c>
      <c r="Q190" s="514"/>
    </row>
    <row r="191" spans="1:17" ht="16" customHeight="1">
      <c r="A191" s="154">
        <v>132</v>
      </c>
      <c r="B191" s="196" t="s">
        <v>1009</v>
      </c>
      <c r="C191" s="516"/>
      <c r="D191" s="492"/>
      <c r="E191" s="208" t="s">
        <v>800</v>
      </c>
      <c r="F191" s="155" t="s">
        <v>742</v>
      </c>
      <c r="G191" s="190">
        <v>5050</v>
      </c>
      <c r="H191" s="190">
        <v>10</v>
      </c>
      <c r="I191" s="190" t="s">
        <v>98</v>
      </c>
      <c r="J191" s="182">
        <v>680.47680000000003</v>
      </c>
      <c r="K191" s="208" t="s">
        <v>98</v>
      </c>
      <c r="L191" s="212">
        <v>0.82940000000000003</v>
      </c>
      <c r="M191" s="190">
        <v>17.447388888888888</v>
      </c>
      <c r="N191" s="212">
        <v>0.72699999999999998</v>
      </c>
      <c r="O191" s="190">
        <v>19.606777777777779</v>
      </c>
      <c r="P191" s="190">
        <v>672</v>
      </c>
      <c r="Q191" s="514"/>
    </row>
    <row r="192" spans="1:17" ht="16" customHeight="1">
      <c r="A192" s="154">
        <v>133</v>
      </c>
      <c r="B192" s="196" t="s">
        <v>1009</v>
      </c>
      <c r="C192" s="516"/>
      <c r="D192" s="492"/>
      <c r="E192" s="208" t="s">
        <v>800</v>
      </c>
      <c r="F192" s="155" t="s">
        <v>742</v>
      </c>
      <c r="G192" s="190">
        <v>5050</v>
      </c>
      <c r="H192" s="190">
        <v>10</v>
      </c>
      <c r="I192" s="190" t="s">
        <v>98</v>
      </c>
      <c r="J192" s="182">
        <v>791.42879999999991</v>
      </c>
      <c r="K192" s="208" t="s">
        <v>98</v>
      </c>
      <c r="L192" s="212">
        <v>0.83279999999999998</v>
      </c>
      <c r="M192" s="190">
        <v>17.409472222222224</v>
      </c>
      <c r="N192" s="212">
        <v>0.74739999999999995</v>
      </c>
      <c r="O192" s="190">
        <v>19.274555555555555</v>
      </c>
      <c r="P192" s="190">
        <v>672</v>
      </c>
      <c r="Q192" s="514"/>
    </row>
    <row r="193" spans="1:17" ht="16" customHeight="1">
      <c r="A193" s="154">
        <v>134</v>
      </c>
      <c r="B193" s="196" t="s">
        <v>1009</v>
      </c>
      <c r="C193" s="516"/>
      <c r="D193" s="492"/>
      <c r="E193" s="208" t="s">
        <v>800</v>
      </c>
      <c r="F193" s="155" t="s">
        <v>742</v>
      </c>
      <c r="G193" s="190">
        <v>5050</v>
      </c>
      <c r="H193" s="190">
        <v>10</v>
      </c>
      <c r="I193" s="190" t="s">
        <v>98</v>
      </c>
      <c r="J193" s="182">
        <v>886.39200000000005</v>
      </c>
      <c r="K193" s="208" t="s">
        <v>98</v>
      </c>
      <c r="L193" s="212">
        <v>0.84809999999999997</v>
      </c>
      <c r="M193" s="190">
        <v>16.288472222222222</v>
      </c>
      <c r="N193" s="212">
        <v>0.75260000000000005</v>
      </c>
      <c r="O193" s="190">
        <v>18.349472222222222</v>
      </c>
      <c r="P193" s="190">
        <v>672</v>
      </c>
      <c r="Q193" s="514"/>
    </row>
    <row r="194" spans="1:17" ht="16" customHeight="1">
      <c r="A194" s="154">
        <v>135</v>
      </c>
      <c r="B194" s="196" t="s">
        <v>1009</v>
      </c>
      <c r="C194" s="516"/>
      <c r="D194" s="492"/>
      <c r="E194" s="208" t="s">
        <v>800</v>
      </c>
      <c r="F194" s="155" t="s">
        <v>848</v>
      </c>
      <c r="G194" s="190">
        <v>5120</v>
      </c>
      <c r="H194" s="190">
        <v>10</v>
      </c>
      <c r="I194" s="190" t="s">
        <v>98</v>
      </c>
      <c r="J194" s="208">
        <v>48</v>
      </c>
      <c r="K194" s="208" t="s">
        <v>98</v>
      </c>
      <c r="L194" s="212">
        <v>0.80800000000000005</v>
      </c>
      <c r="M194" s="190">
        <v>11.820333333333332</v>
      </c>
      <c r="N194" s="212">
        <v>0.67400000000000004</v>
      </c>
      <c r="O194" s="190">
        <v>18.387194444444443</v>
      </c>
      <c r="P194" s="190">
        <v>605.85407999999995</v>
      </c>
      <c r="Q194" s="514"/>
    </row>
    <row r="195" spans="1:17" ht="16" customHeight="1">
      <c r="A195" s="154">
        <v>136</v>
      </c>
      <c r="B195" s="196" t="s">
        <v>1009</v>
      </c>
      <c r="C195" s="516"/>
      <c r="D195" s="492"/>
      <c r="E195" s="208" t="s">
        <v>800</v>
      </c>
      <c r="F195" s="155" t="s">
        <v>849</v>
      </c>
      <c r="G195" s="190">
        <v>2570</v>
      </c>
      <c r="H195" s="190">
        <v>10</v>
      </c>
      <c r="I195" s="190" t="s">
        <v>98</v>
      </c>
      <c r="J195" s="208">
        <v>48</v>
      </c>
      <c r="K195" s="208" t="s">
        <v>98</v>
      </c>
      <c r="L195" s="212">
        <v>0.83099999999999996</v>
      </c>
      <c r="M195" s="190">
        <v>32.834249999999997</v>
      </c>
      <c r="N195" s="212">
        <v>0.78600000000000003</v>
      </c>
      <c r="O195" s="190">
        <v>34.147611111111111</v>
      </c>
      <c r="P195" s="190">
        <v>284.48928000000001</v>
      </c>
      <c r="Q195" s="514"/>
    </row>
    <row r="196" spans="1:17" ht="16" customHeight="1">
      <c r="A196" s="154">
        <v>137</v>
      </c>
      <c r="B196" s="196" t="s">
        <v>1009</v>
      </c>
      <c r="C196" s="516"/>
      <c r="D196" s="492"/>
      <c r="E196" s="208" t="s">
        <v>800</v>
      </c>
      <c r="F196" s="155" t="s">
        <v>850</v>
      </c>
      <c r="G196" s="190">
        <v>240</v>
      </c>
      <c r="H196" s="190">
        <v>10</v>
      </c>
      <c r="I196" s="190" t="s">
        <v>98</v>
      </c>
      <c r="J196" s="208">
        <v>48</v>
      </c>
      <c r="K196" s="208" t="s">
        <v>98</v>
      </c>
      <c r="L196" s="212">
        <v>0.95499999999999996</v>
      </c>
      <c r="M196" s="183">
        <v>495.14052777777778</v>
      </c>
      <c r="N196" s="212">
        <v>0.88300000000000001</v>
      </c>
      <c r="O196" s="183">
        <v>538.48175000000003</v>
      </c>
      <c r="P196" s="190">
        <v>34.240319999999997</v>
      </c>
      <c r="Q196" s="514"/>
    </row>
    <row r="197" spans="1:17" ht="16" customHeight="1">
      <c r="A197" s="154">
        <v>138</v>
      </c>
      <c r="B197" s="196" t="s">
        <v>1009</v>
      </c>
      <c r="C197" s="516"/>
      <c r="D197" s="492"/>
      <c r="E197" s="208" t="s">
        <v>800</v>
      </c>
      <c r="F197" s="155" t="s">
        <v>851</v>
      </c>
      <c r="G197" s="190">
        <v>5900</v>
      </c>
      <c r="H197" s="190">
        <v>10</v>
      </c>
      <c r="I197" s="190" t="s">
        <v>98</v>
      </c>
      <c r="J197" s="208">
        <v>48</v>
      </c>
      <c r="K197" s="208" t="s">
        <v>98</v>
      </c>
      <c r="L197" s="212">
        <v>0.79900000000000004</v>
      </c>
      <c r="M197" s="190">
        <v>17.073805555555555</v>
      </c>
      <c r="N197" s="212">
        <v>0.65500000000000003</v>
      </c>
      <c r="O197" s="190">
        <v>17.073805555555555</v>
      </c>
      <c r="P197" s="190">
        <v>666.43776000000003</v>
      </c>
      <c r="Q197" s="514"/>
    </row>
    <row r="198" spans="1:17" ht="16" customHeight="1">
      <c r="A198" s="154">
        <v>139</v>
      </c>
      <c r="B198" s="196" t="s">
        <v>1009</v>
      </c>
      <c r="C198" s="516"/>
      <c r="D198" s="492"/>
      <c r="E198" s="208" t="s">
        <v>800</v>
      </c>
      <c r="F198" s="155" t="s">
        <v>852</v>
      </c>
      <c r="G198" s="190">
        <v>5000</v>
      </c>
      <c r="H198" s="190">
        <v>10</v>
      </c>
      <c r="I198" s="190" t="s">
        <v>98</v>
      </c>
      <c r="J198" s="208">
        <v>48</v>
      </c>
      <c r="K198" s="208" t="s">
        <v>98</v>
      </c>
      <c r="L198" s="212">
        <v>0.79400000000000004</v>
      </c>
      <c r="M198" s="190">
        <v>11.820333333333332</v>
      </c>
      <c r="N198" s="212">
        <v>0.65200000000000002</v>
      </c>
      <c r="O198" s="190">
        <v>17.073805555555555</v>
      </c>
      <c r="P198" s="190">
        <v>550.54079999999999</v>
      </c>
      <c r="Q198" s="514"/>
    </row>
    <row r="199" spans="1:17" ht="16" customHeight="1">
      <c r="A199" s="154">
        <v>140</v>
      </c>
      <c r="B199" s="196" t="s">
        <v>1009</v>
      </c>
      <c r="C199" s="516"/>
      <c r="D199" s="492"/>
      <c r="E199" s="208" t="s">
        <v>800</v>
      </c>
      <c r="F199" s="155" t="s">
        <v>853</v>
      </c>
      <c r="G199" s="190">
        <v>3930</v>
      </c>
      <c r="H199" s="190">
        <v>10</v>
      </c>
      <c r="I199" s="190" t="s">
        <v>98</v>
      </c>
      <c r="J199" s="208">
        <v>48</v>
      </c>
      <c r="K199" s="208" t="s">
        <v>98</v>
      </c>
      <c r="L199" s="165">
        <v>0.81699999999999995</v>
      </c>
      <c r="M199" s="190">
        <v>18.387194444444443</v>
      </c>
      <c r="N199" s="212">
        <v>0.73499999999999999</v>
      </c>
      <c r="O199" s="190">
        <v>24.954027777777778</v>
      </c>
      <c r="P199" s="190">
        <v>408.29184000000004</v>
      </c>
      <c r="Q199" s="514"/>
    </row>
    <row r="200" spans="1:17" ht="16" customHeight="1">
      <c r="A200" s="156">
        <v>141</v>
      </c>
      <c r="B200" s="197" t="s">
        <v>1009</v>
      </c>
      <c r="C200" s="517"/>
      <c r="D200" s="491"/>
      <c r="E200" s="161" t="s">
        <v>800</v>
      </c>
      <c r="F200" s="157" t="s">
        <v>854</v>
      </c>
      <c r="G200" s="147">
        <v>1920</v>
      </c>
      <c r="H200" s="147">
        <v>10</v>
      </c>
      <c r="I200" s="147" t="s">
        <v>98</v>
      </c>
      <c r="J200" s="161">
        <v>48</v>
      </c>
      <c r="K200" s="161" t="s">
        <v>98</v>
      </c>
      <c r="L200" s="184">
        <v>0.69199999999999995</v>
      </c>
      <c r="M200" s="147">
        <v>51.221444444444444</v>
      </c>
      <c r="N200" s="213">
        <v>0.76100000000000001</v>
      </c>
      <c r="O200" s="147">
        <v>47.281333333333329</v>
      </c>
      <c r="P200" s="147">
        <v>171.21888000000001</v>
      </c>
      <c r="Q200" s="513"/>
    </row>
    <row r="201" spans="1:17" ht="16" customHeight="1">
      <c r="A201" s="154">
        <v>142</v>
      </c>
      <c r="B201" s="196" t="s">
        <v>1009</v>
      </c>
      <c r="C201" s="515">
        <v>32</v>
      </c>
      <c r="D201" s="490" t="s">
        <v>221</v>
      </c>
      <c r="E201" s="208" t="s">
        <v>855</v>
      </c>
      <c r="F201" s="155" t="s">
        <v>742</v>
      </c>
      <c r="G201" s="190">
        <v>4622</v>
      </c>
      <c r="H201" s="190">
        <v>20</v>
      </c>
      <c r="I201" s="425" t="s">
        <v>98</v>
      </c>
      <c r="J201" s="428" t="s">
        <v>98</v>
      </c>
      <c r="K201" s="208">
        <v>25</v>
      </c>
      <c r="L201" s="124">
        <v>0.49</v>
      </c>
      <c r="M201" s="190">
        <v>4.5999999999999996</v>
      </c>
      <c r="N201" s="210">
        <v>0.38700000000000001</v>
      </c>
      <c r="O201" s="190">
        <v>6.3</v>
      </c>
      <c r="P201" s="425" t="s">
        <v>98</v>
      </c>
      <c r="Q201" s="512" t="s">
        <v>1020</v>
      </c>
    </row>
    <row r="202" spans="1:17" ht="16" customHeight="1">
      <c r="A202" s="154">
        <v>143</v>
      </c>
      <c r="B202" s="196" t="s">
        <v>1009</v>
      </c>
      <c r="C202" s="516"/>
      <c r="D202" s="492"/>
      <c r="E202" s="208" t="s">
        <v>856</v>
      </c>
      <c r="F202" s="155" t="s">
        <v>742</v>
      </c>
      <c r="G202" s="190">
        <v>4622</v>
      </c>
      <c r="H202" s="190">
        <v>20</v>
      </c>
      <c r="I202" s="425" t="s">
        <v>98</v>
      </c>
      <c r="J202" s="428" t="s">
        <v>98</v>
      </c>
      <c r="K202" s="208">
        <v>25</v>
      </c>
      <c r="L202" s="124">
        <v>0.45100000000000001</v>
      </c>
      <c r="M202" s="190">
        <v>5.9</v>
      </c>
      <c r="N202" s="210">
        <v>0.17</v>
      </c>
      <c r="O202" s="190">
        <v>12.2</v>
      </c>
      <c r="P202" s="425" t="s">
        <v>98</v>
      </c>
      <c r="Q202" s="514"/>
    </row>
    <row r="203" spans="1:17" ht="16" customHeight="1">
      <c r="A203" s="154">
        <v>144</v>
      </c>
      <c r="B203" s="196" t="s">
        <v>1009</v>
      </c>
      <c r="C203" s="517"/>
      <c r="D203" s="491"/>
      <c r="E203" s="161" t="s">
        <v>857</v>
      </c>
      <c r="F203" s="157" t="s">
        <v>742</v>
      </c>
      <c r="G203" s="147">
        <v>4622</v>
      </c>
      <c r="H203" s="147">
        <v>20</v>
      </c>
      <c r="I203" s="426" t="s">
        <v>98</v>
      </c>
      <c r="J203" s="429" t="s">
        <v>98</v>
      </c>
      <c r="K203" s="161">
        <v>25</v>
      </c>
      <c r="L203" s="207" t="s">
        <v>900</v>
      </c>
      <c r="M203" s="147">
        <v>1.9</v>
      </c>
      <c r="N203" s="207">
        <v>0.25</v>
      </c>
      <c r="O203" s="147">
        <v>5.8</v>
      </c>
      <c r="P203" s="426" t="s">
        <v>98</v>
      </c>
      <c r="Q203" s="513"/>
    </row>
    <row r="204" spans="1:17" ht="16" customHeight="1">
      <c r="A204" s="152">
        <v>145</v>
      </c>
      <c r="B204" s="195" t="s">
        <v>1009</v>
      </c>
      <c r="C204" s="515">
        <v>33</v>
      </c>
      <c r="D204" s="490" t="s">
        <v>225</v>
      </c>
      <c r="E204" s="506" t="s">
        <v>98</v>
      </c>
      <c r="F204" s="359" t="s">
        <v>742</v>
      </c>
      <c r="G204" s="362">
        <f>(4.12+3.99+4.06+5.65)*1000/4</f>
        <v>4455</v>
      </c>
      <c r="H204" s="362">
        <v>50</v>
      </c>
      <c r="I204" s="427" t="s">
        <v>98</v>
      </c>
      <c r="J204" s="357">
        <v>7</v>
      </c>
      <c r="K204" s="357">
        <v>22</v>
      </c>
      <c r="L204" s="369">
        <v>0.46</v>
      </c>
      <c r="M204" s="365">
        <v>7.4666666666666668</v>
      </c>
      <c r="N204" s="369">
        <v>0.22</v>
      </c>
      <c r="O204" s="117">
        <v>18.599027777777778</v>
      </c>
      <c r="P204" s="427" t="s">
        <v>98</v>
      </c>
      <c r="Q204" s="512" t="s">
        <v>744</v>
      </c>
    </row>
    <row r="205" spans="1:17" ht="16" customHeight="1">
      <c r="A205" s="154">
        <v>146</v>
      </c>
      <c r="B205" s="196" t="s">
        <v>1009</v>
      </c>
      <c r="C205" s="516"/>
      <c r="D205" s="492"/>
      <c r="E205" s="507"/>
      <c r="F205" s="360" t="s">
        <v>742</v>
      </c>
      <c r="G205" s="363">
        <f>(4.12+3.99+4.06+5.65)*1000/4</f>
        <v>4455</v>
      </c>
      <c r="H205" s="363">
        <v>100</v>
      </c>
      <c r="I205" s="363">
        <v>3.6</v>
      </c>
      <c r="J205" s="372">
        <v>7</v>
      </c>
      <c r="K205" s="372">
        <v>22</v>
      </c>
      <c r="L205" s="370">
        <v>0.59989999999999999</v>
      </c>
      <c r="M205" s="366">
        <v>10.338166666666664</v>
      </c>
      <c r="N205" s="370">
        <v>0.35520000000000002</v>
      </c>
      <c r="O205" s="125">
        <v>17.286111111111111</v>
      </c>
      <c r="P205" s="425" t="s">
        <v>98</v>
      </c>
      <c r="Q205" s="514"/>
    </row>
    <row r="206" spans="1:17" ht="16" customHeight="1">
      <c r="A206" s="154">
        <v>147</v>
      </c>
      <c r="B206" s="196" t="s">
        <v>1009</v>
      </c>
      <c r="C206" s="516"/>
      <c r="D206" s="492"/>
      <c r="E206" s="507"/>
      <c r="F206" s="360" t="s">
        <v>742</v>
      </c>
      <c r="G206" s="363">
        <f>(4.12+3.99+4.06+5.65)*1000/4</f>
        <v>4455</v>
      </c>
      <c r="H206" s="363">
        <v>150</v>
      </c>
      <c r="I206" s="363"/>
      <c r="J206" s="372">
        <v>7</v>
      </c>
      <c r="K206" s="372">
        <v>22</v>
      </c>
      <c r="L206" s="370">
        <v>0.77380000000000004</v>
      </c>
      <c r="M206" s="366">
        <v>12.801944444444445</v>
      </c>
      <c r="N206" s="370">
        <v>0.50519999999999998</v>
      </c>
      <c r="O206" s="125">
        <v>20.434777777777782</v>
      </c>
      <c r="P206" s="425" t="s">
        <v>98</v>
      </c>
      <c r="Q206" s="514"/>
    </row>
    <row r="207" spans="1:17" ht="16" customHeight="1">
      <c r="A207" s="154">
        <v>148</v>
      </c>
      <c r="B207" s="196" t="s">
        <v>1009</v>
      </c>
      <c r="C207" s="516"/>
      <c r="D207" s="492"/>
      <c r="E207" s="508"/>
      <c r="F207" s="361" t="s">
        <v>742</v>
      </c>
      <c r="G207" s="364">
        <v>4455</v>
      </c>
      <c r="H207" s="364">
        <v>200</v>
      </c>
      <c r="I207" s="364"/>
      <c r="J207" s="358">
        <v>7</v>
      </c>
      <c r="K207" s="358">
        <v>22</v>
      </c>
      <c r="L207" s="371">
        <v>0.91</v>
      </c>
      <c r="M207" s="367">
        <v>16.811583333333335</v>
      </c>
      <c r="N207" s="371">
        <v>0.69</v>
      </c>
      <c r="O207" s="118">
        <v>22.657000000000004</v>
      </c>
      <c r="P207" s="426" t="s">
        <v>98</v>
      </c>
      <c r="Q207" s="513"/>
    </row>
    <row r="208" spans="1:17" ht="16" customHeight="1">
      <c r="A208" s="154">
        <v>149</v>
      </c>
      <c r="B208" s="196" t="s">
        <v>1009</v>
      </c>
      <c r="C208" s="516"/>
      <c r="D208" s="492"/>
      <c r="E208" s="208" t="s">
        <v>858</v>
      </c>
      <c r="F208" s="155" t="s">
        <v>742</v>
      </c>
      <c r="G208" s="190">
        <v>3332</v>
      </c>
      <c r="H208" s="190">
        <v>194</v>
      </c>
      <c r="I208" s="425" t="s">
        <v>98</v>
      </c>
      <c r="J208" s="208">
        <v>7</v>
      </c>
      <c r="K208" s="185" t="s">
        <v>901</v>
      </c>
      <c r="L208" s="226">
        <v>0.90662650602409633</v>
      </c>
      <c r="M208" s="191">
        <v>11.761111111111111</v>
      </c>
      <c r="N208" s="226">
        <v>0.89759036144578319</v>
      </c>
      <c r="O208" s="125">
        <v>21.094444444444445</v>
      </c>
      <c r="P208" s="425" t="s">
        <v>98</v>
      </c>
      <c r="Q208" s="514"/>
    </row>
    <row r="209" spans="1:23" ht="16" customHeight="1">
      <c r="A209" s="154">
        <v>150</v>
      </c>
      <c r="B209" s="196" t="s">
        <v>1009</v>
      </c>
      <c r="C209" s="516"/>
      <c r="D209" s="492"/>
      <c r="E209" s="208" t="s">
        <v>859</v>
      </c>
      <c r="F209" s="155" t="s">
        <v>742</v>
      </c>
      <c r="G209" s="190">
        <v>3460</v>
      </c>
      <c r="H209" s="190">
        <v>194</v>
      </c>
      <c r="I209" s="425" t="s">
        <v>98</v>
      </c>
      <c r="J209" s="208">
        <v>7</v>
      </c>
      <c r="K209" s="185" t="s">
        <v>901</v>
      </c>
      <c r="L209" s="226">
        <v>0.94219653179190743</v>
      </c>
      <c r="M209" s="191">
        <v>14.869444444444444</v>
      </c>
      <c r="N209" s="226">
        <v>0.59537572254335258</v>
      </c>
      <c r="O209" s="125">
        <v>15.602777777777778</v>
      </c>
      <c r="P209" s="425" t="s">
        <v>98</v>
      </c>
      <c r="Q209" s="514"/>
    </row>
    <row r="210" spans="1:23" ht="16" customHeight="1">
      <c r="A210" s="154">
        <v>151</v>
      </c>
      <c r="B210" s="196" t="s">
        <v>1009</v>
      </c>
      <c r="C210" s="516"/>
      <c r="D210" s="492"/>
      <c r="E210" s="208" t="s">
        <v>860</v>
      </c>
      <c r="F210" s="155" t="s">
        <v>742</v>
      </c>
      <c r="G210" s="190">
        <v>5510</v>
      </c>
      <c r="H210" s="190">
        <v>194</v>
      </c>
      <c r="I210" s="425" t="s">
        <v>98</v>
      </c>
      <c r="J210" s="208">
        <v>7</v>
      </c>
      <c r="K210" s="185" t="s">
        <v>901</v>
      </c>
      <c r="L210" s="226">
        <v>0.93284936479128855</v>
      </c>
      <c r="M210" s="191">
        <v>16.783333333333335</v>
      </c>
      <c r="N210" s="226">
        <v>0.52087114337568063</v>
      </c>
      <c r="O210" s="125">
        <v>16.941666666666666</v>
      </c>
      <c r="P210" s="425" t="s">
        <v>98</v>
      </c>
      <c r="Q210" s="514"/>
    </row>
    <row r="211" spans="1:23" ht="16" customHeight="1">
      <c r="A211" s="154">
        <v>152</v>
      </c>
      <c r="B211" s="196" t="s">
        <v>1009</v>
      </c>
      <c r="C211" s="516"/>
      <c r="D211" s="492"/>
      <c r="E211" s="208" t="s">
        <v>861</v>
      </c>
      <c r="F211" s="155" t="s">
        <v>742</v>
      </c>
      <c r="G211" s="190">
        <v>4120</v>
      </c>
      <c r="H211" s="190">
        <v>194</v>
      </c>
      <c r="I211" s="425" t="s">
        <v>98</v>
      </c>
      <c r="J211" s="208">
        <v>2.5</v>
      </c>
      <c r="K211" s="208" t="s">
        <v>863</v>
      </c>
      <c r="L211" s="226">
        <v>0.44444444444444448</v>
      </c>
      <c r="M211" s="150">
        <v>13.53727777777778</v>
      </c>
      <c r="N211" s="226">
        <v>0.15503875968992248</v>
      </c>
      <c r="O211" s="166">
        <v>37.798861111111108</v>
      </c>
      <c r="P211" s="425" t="s">
        <v>98</v>
      </c>
      <c r="Q211" s="514"/>
    </row>
    <row r="212" spans="1:23" ht="16" customHeight="1">
      <c r="A212" s="154">
        <v>153</v>
      </c>
      <c r="B212" s="196" t="s">
        <v>1009</v>
      </c>
      <c r="C212" s="516"/>
      <c r="D212" s="492"/>
      <c r="E212" s="208" t="s">
        <v>862</v>
      </c>
      <c r="F212" s="155" t="s">
        <v>742</v>
      </c>
      <c r="G212" s="190">
        <v>4120</v>
      </c>
      <c r="H212" s="190">
        <v>194</v>
      </c>
      <c r="I212" s="425" t="s">
        <v>98</v>
      </c>
      <c r="J212" s="208">
        <v>2.5</v>
      </c>
      <c r="K212" s="208" t="s">
        <v>863</v>
      </c>
      <c r="L212" s="226">
        <v>0.47088607594936716</v>
      </c>
      <c r="M212" s="150">
        <v>13.009833333333333</v>
      </c>
      <c r="N212" s="226">
        <v>0.19240506329113924</v>
      </c>
      <c r="O212" s="166">
        <v>29.711666666666666</v>
      </c>
      <c r="P212" s="425" t="s">
        <v>98</v>
      </c>
      <c r="Q212" s="514"/>
    </row>
    <row r="213" spans="1:23" ht="16" customHeight="1">
      <c r="A213" s="154">
        <v>154</v>
      </c>
      <c r="B213" s="196" t="s">
        <v>1009</v>
      </c>
      <c r="C213" s="516"/>
      <c r="D213" s="492"/>
      <c r="E213" s="208" t="s">
        <v>864</v>
      </c>
      <c r="F213" s="155" t="s">
        <v>742</v>
      </c>
      <c r="G213" s="190">
        <v>4120</v>
      </c>
      <c r="H213" s="190">
        <v>78</v>
      </c>
      <c r="I213" s="425" t="s">
        <v>98</v>
      </c>
      <c r="J213" s="208">
        <v>2.5</v>
      </c>
      <c r="K213" s="208" t="s">
        <v>863</v>
      </c>
      <c r="L213" s="226">
        <v>0.23958333333333331</v>
      </c>
      <c r="M213" s="150">
        <v>9.317861111111112</v>
      </c>
      <c r="N213" s="226">
        <v>5.9895833333333336E-2</v>
      </c>
      <c r="O213" s="166">
        <v>37.623055555555553</v>
      </c>
      <c r="P213" s="425" t="s">
        <v>98</v>
      </c>
      <c r="Q213" s="514"/>
    </row>
    <row r="214" spans="1:23" ht="16" customHeight="1">
      <c r="A214" s="156">
        <v>155</v>
      </c>
      <c r="B214" s="197" t="s">
        <v>1009</v>
      </c>
      <c r="C214" s="517"/>
      <c r="D214" s="491"/>
      <c r="E214" s="161" t="s">
        <v>865</v>
      </c>
      <c r="F214" s="157" t="s">
        <v>742</v>
      </c>
      <c r="G214" s="147">
        <v>4120</v>
      </c>
      <c r="H214" s="147">
        <v>78</v>
      </c>
      <c r="I214" s="426" t="s">
        <v>98</v>
      </c>
      <c r="J214" s="161">
        <v>2.5</v>
      </c>
      <c r="K214" s="161" t="s">
        <v>863</v>
      </c>
      <c r="L214" s="225">
        <v>0.23958333333333331</v>
      </c>
      <c r="M214" s="151">
        <v>10.021083333333332</v>
      </c>
      <c r="N214" s="225">
        <v>5.9895833333333336E-2</v>
      </c>
      <c r="O214" s="186">
        <v>27.777777777777779</v>
      </c>
      <c r="P214" s="426" t="s">
        <v>98</v>
      </c>
      <c r="Q214" s="513"/>
    </row>
    <row r="215" spans="1:23" ht="16" customHeight="1">
      <c r="A215" s="154">
        <v>156</v>
      </c>
      <c r="B215" s="195" t="s">
        <v>1009</v>
      </c>
      <c r="C215" s="515">
        <v>34</v>
      </c>
      <c r="D215" s="490" t="s">
        <v>212</v>
      </c>
      <c r="E215" s="506" t="s">
        <v>98</v>
      </c>
      <c r="F215" s="155" t="s">
        <v>866</v>
      </c>
      <c r="G215" s="150">
        <f>(760+820)/2</f>
        <v>790</v>
      </c>
      <c r="H215" s="430" t="s">
        <v>98</v>
      </c>
      <c r="I215" s="430" t="s">
        <v>98</v>
      </c>
      <c r="J215" s="155">
        <v>3.5</v>
      </c>
      <c r="K215" s="433" t="s">
        <v>98</v>
      </c>
      <c r="L215" s="192">
        <v>0.98799999999999999</v>
      </c>
      <c r="M215" s="150">
        <v>15.3</v>
      </c>
      <c r="N215" s="430" t="s">
        <v>98</v>
      </c>
      <c r="O215" s="430" t="s">
        <v>98</v>
      </c>
      <c r="P215" s="425" t="s">
        <v>98</v>
      </c>
      <c r="Q215" s="512" t="s">
        <v>1021</v>
      </c>
    </row>
    <row r="216" spans="1:23" ht="16" customHeight="1">
      <c r="A216" s="156">
        <v>157</v>
      </c>
      <c r="B216" s="197" t="s">
        <v>1009</v>
      </c>
      <c r="C216" s="517"/>
      <c r="D216" s="491"/>
      <c r="E216" s="508"/>
      <c r="F216" s="157"/>
      <c r="G216" s="151">
        <v>790</v>
      </c>
      <c r="H216" s="431" t="s">
        <v>98</v>
      </c>
      <c r="I216" s="431" t="s">
        <v>98</v>
      </c>
      <c r="J216" s="157"/>
      <c r="K216" s="434" t="s">
        <v>98</v>
      </c>
      <c r="L216" s="194">
        <v>0.80600000000000005</v>
      </c>
      <c r="M216" s="151">
        <v>10.199999999999999</v>
      </c>
      <c r="N216" s="431" t="s">
        <v>98</v>
      </c>
      <c r="O216" s="431" t="s">
        <v>98</v>
      </c>
      <c r="P216" s="426" t="s">
        <v>98</v>
      </c>
      <c r="Q216" s="513"/>
    </row>
    <row r="217" spans="1:23" ht="16" customHeight="1">
      <c r="A217" s="156">
        <v>158</v>
      </c>
      <c r="B217" s="197" t="s">
        <v>1009</v>
      </c>
      <c r="C217" s="323">
        <v>35</v>
      </c>
      <c r="D217" s="151" t="s">
        <v>193</v>
      </c>
      <c r="E217" s="361" t="s">
        <v>98</v>
      </c>
      <c r="F217" s="157" t="s">
        <v>867</v>
      </c>
      <c r="G217" s="151">
        <v>2681</v>
      </c>
      <c r="H217" s="151">
        <v>200</v>
      </c>
      <c r="I217" s="431" t="s">
        <v>98</v>
      </c>
      <c r="J217" s="157">
        <v>5</v>
      </c>
      <c r="K217" s="157">
        <v>35</v>
      </c>
      <c r="L217" s="137">
        <v>0.91877207280630269</v>
      </c>
      <c r="M217" s="151"/>
      <c r="N217" s="194">
        <v>0.90500000000000003</v>
      </c>
      <c r="O217" s="151">
        <v>11.6</v>
      </c>
      <c r="P217" s="426" t="s">
        <v>98</v>
      </c>
      <c r="Q217" s="142" t="s">
        <v>744</v>
      </c>
    </row>
    <row r="218" spans="1:23" ht="16" customHeight="1">
      <c r="A218" s="88">
        <v>159</v>
      </c>
      <c r="B218" s="89" t="s">
        <v>1009</v>
      </c>
      <c r="C218" s="88">
        <v>36</v>
      </c>
      <c r="D218" s="92" t="s">
        <v>226</v>
      </c>
      <c r="E218" s="132" t="s">
        <v>98</v>
      </c>
      <c r="F218" s="162" t="s">
        <v>868</v>
      </c>
      <c r="G218" s="145">
        <v>24.76</v>
      </c>
      <c r="H218" s="145"/>
      <c r="I218" s="427" t="s">
        <v>98</v>
      </c>
      <c r="J218" s="132">
        <v>4</v>
      </c>
      <c r="K218" s="132"/>
      <c r="L218" s="114">
        <v>0.93</v>
      </c>
      <c r="M218" s="145">
        <v>27.055431062935359</v>
      </c>
      <c r="N218" s="432" t="s">
        <v>98</v>
      </c>
      <c r="O218" s="432" t="s">
        <v>98</v>
      </c>
      <c r="P218" s="432" t="s">
        <v>98</v>
      </c>
      <c r="Q218" s="32" t="s">
        <v>1017</v>
      </c>
    </row>
    <row r="219" spans="1:23" ht="16" customHeight="1">
      <c r="G219" s="357"/>
      <c r="H219" s="357"/>
      <c r="I219" s="357"/>
      <c r="J219" s="357"/>
      <c r="K219" s="357"/>
      <c r="L219" s="357"/>
      <c r="M219" s="357"/>
      <c r="N219" s="357"/>
      <c r="O219" s="357"/>
    </row>
    <row r="220" spans="1:23" ht="16" customHeight="1">
      <c r="G220" s="372"/>
      <c r="H220" s="372"/>
      <c r="I220" s="372"/>
      <c r="J220" s="372"/>
      <c r="K220" s="372"/>
      <c r="L220" s="372"/>
      <c r="M220" s="372"/>
      <c r="N220" s="372"/>
      <c r="O220" s="372"/>
    </row>
    <row r="221" spans="1:23" s="100" customFormat="1" ht="44" customHeight="1">
      <c r="A221" s="143" t="s">
        <v>919</v>
      </c>
      <c r="C221" s="495" t="s">
        <v>1256</v>
      </c>
      <c r="D221" s="495"/>
      <c r="E221" s="495"/>
      <c r="F221" s="495"/>
      <c r="G221" s="495"/>
      <c r="H221" s="495"/>
      <c r="I221" s="495"/>
      <c r="J221" s="495"/>
      <c r="K221" s="495"/>
      <c r="L221" s="495"/>
      <c r="M221" s="495"/>
      <c r="N221" s="495"/>
      <c r="O221" s="495"/>
      <c r="P221" s="495"/>
      <c r="Q221" s="495"/>
      <c r="R221" s="495"/>
      <c r="S221" s="495"/>
      <c r="T221" s="496"/>
      <c r="U221" s="496"/>
      <c r="V221" s="496"/>
      <c r="W221" s="496"/>
    </row>
    <row r="222" spans="1:23" s="146" customFormat="1" ht="16" customHeight="1">
      <c r="A222" s="515" t="s">
        <v>302</v>
      </c>
      <c r="B222" s="522"/>
      <c r="C222" s="134" t="s">
        <v>1249</v>
      </c>
      <c r="D222" s="134" t="s">
        <v>8</v>
      </c>
      <c r="E222" s="187" t="s">
        <v>871</v>
      </c>
      <c r="F222" s="187" t="s">
        <v>946</v>
      </c>
      <c r="G222" s="134" t="s">
        <v>947</v>
      </c>
      <c r="H222" s="134" t="s">
        <v>875</v>
      </c>
      <c r="I222" s="375" t="s">
        <v>876</v>
      </c>
      <c r="J222" s="187" t="s">
        <v>877</v>
      </c>
      <c r="K222" s="187" t="s">
        <v>878</v>
      </c>
      <c r="L222" s="134" t="s">
        <v>920</v>
      </c>
      <c r="M222" s="134" t="s">
        <v>880</v>
      </c>
      <c r="N222" s="134" t="s">
        <v>921</v>
      </c>
      <c r="O222" s="134" t="s">
        <v>881</v>
      </c>
      <c r="P222" s="134" t="s">
        <v>882</v>
      </c>
      <c r="Q222" s="188" t="s">
        <v>922</v>
      </c>
      <c r="R222" s="189" t="s">
        <v>923</v>
      </c>
      <c r="S222" s="135" t="s">
        <v>776</v>
      </c>
      <c r="T222" s="102"/>
      <c r="U222" s="102"/>
    </row>
    <row r="223" spans="1:23" s="146" customFormat="1" ht="16" customHeight="1">
      <c r="A223" s="152">
        <v>1</v>
      </c>
      <c r="B223" s="195" t="s">
        <v>669</v>
      </c>
      <c r="C223" s="493">
        <v>37</v>
      </c>
      <c r="D223" s="490" t="s">
        <v>185</v>
      </c>
      <c r="E223" s="160" t="s">
        <v>993</v>
      </c>
      <c r="F223" s="160" t="s">
        <v>903</v>
      </c>
      <c r="G223" s="149">
        <v>7600</v>
      </c>
      <c r="H223" s="149">
        <v>62.5</v>
      </c>
      <c r="I223" s="372" t="s">
        <v>98</v>
      </c>
      <c r="J223" s="153">
        <v>4</v>
      </c>
      <c r="K223" s="153">
        <v>25</v>
      </c>
      <c r="L223" s="435" t="s">
        <v>98</v>
      </c>
      <c r="M223" s="435" t="s">
        <v>98</v>
      </c>
      <c r="N223" s="149">
        <v>0.75560000000000005</v>
      </c>
      <c r="O223" s="149">
        <v>10.1</v>
      </c>
      <c r="P223" s="435" t="s">
        <v>98</v>
      </c>
      <c r="Q223" s="527" t="s">
        <v>924</v>
      </c>
      <c r="R223" s="530" t="s">
        <v>798</v>
      </c>
      <c r="S223" s="533" t="s">
        <v>798</v>
      </c>
      <c r="T223" s="40"/>
      <c r="U223" s="40"/>
    </row>
    <row r="224" spans="1:23" s="146" customFormat="1" ht="16" customHeight="1">
      <c r="A224" s="154">
        <v>2</v>
      </c>
      <c r="B224" s="196" t="s">
        <v>669</v>
      </c>
      <c r="C224" s="523"/>
      <c r="D224" s="492"/>
      <c r="E224" s="208" t="s">
        <v>993</v>
      </c>
      <c r="F224" s="208" t="s">
        <v>2</v>
      </c>
      <c r="G224" s="150">
        <v>7500</v>
      </c>
      <c r="H224" s="150">
        <v>62.5</v>
      </c>
      <c r="I224" s="372" t="s">
        <v>98</v>
      </c>
      <c r="J224" s="155">
        <v>4</v>
      </c>
      <c r="K224" s="155">
        <v>25</v>
      </c>
      <c r="L224" s="430" t="s">
        <v>98</v>
      </c>
      <c r="M224" s="430" t="s">
        <v>98</v>
      </c>
      <c r="N224" s="150">
        <v>0.69299999999999995</v>
      </c>
      <c r="O224" s="150">
        <v>10.5</v>
      </c>
      <c r="P224" s="430" t="s">
        <v>98</v>
      </c>
      <c r="Q224" s="528"/>
      <c r="R224" s="531"/>
      <c r="S224" s="534"/>
      <c r="T224" s="40"/>
      <c r="U224" s="40"/>
    </row>
    <row r="225" spans="1:21" s="146" customFormat="1" ht="16" customHeight="1">
      <c r="A225" s="154">
        <v>3</v>
      </c>
      <c r="B225" s="196" t="s">
        <v>669</v>
      </c>
      <c r="C225" s="515"/>
      <c r="D225" s="490"/>
      <c r="E225" s="500" t="s">
        <v>98</v>
      </c>
      <c r="F225" s="357" t="s">
        <v>903</v>
      </c>
      <c r="G225" s="354">
        <v>7600</v>
      </c>
      <c r="H225" s="354">
        <v>62.5</v>
      </c>
      <c r="I225" s="357" t="s">
        <v>98</v>
      </c>
      <c r="J225" s="359">
        <v>4</v>
      </c>
      <c r="K225" s="359">
        <v>25</v>
      </c>
      <c r="L225" s="354">
        <v>0.63100000000000001</v>
      </c>
      <c r="M225" s="435" t="s">
        <v>98</v>
      </c>
      <c r="N225" s="354">
        <v>0.61499999999999999</v>
      </c>
      <c r="O225" s="354">
        <v>16.5</v>
      </c>
      <c r="P225" s="436" t="s">
        <v>98</v>
      </c>
      <c r="Q225" s="527"/>
      <c r="R225" s="530"/>
      <c r="S225" s="533"/>
      <c r="T225" s="40"/>
      <c r="U225" s="40"/>
    </row>
    <row r="226" spans="1:21" s="146" customFormat="1" ht="16" customHeight="1">
      <c r="A226" s="154">
        <v>4</v>
      </c>
      <c r="B226" s="196" t="s">
        <v>669</v>
      </c>
      <c r="C226" s="516"/>
      <c r="D226" s="492"/>
      <c r="E226" s="501"/>
      <c r="F226" s="372" t="s">
        <v>903</v>
      </c>
      <c r="G226" s="355">
        <v>7600</v>
      </c>
      <c r="H226" s="355">
        <v>62.5</v>
      </c>
      <c r="I226" s="372" t="s">
        <v>98</v>
      </c>
      <c r="J226" s="360">
        <v>8</v>
      </c>
      <c r="K226" s="360">
        <v>25</v>
      </c>
      <c r="L226" s="355">
        <v>0.85427135678391897</v>
      </c>
      <c r="M226" s="430" t="s">
        <v>98</v>
      </c>
      <c r="N226" s="355">
        <v>0.78726968174204304</v>
      </c>
      <c r="O226" s="355">
        <v>25.55</v>
      </c>
      <c r="P226" s="437" t="s">
        <v>98</v>
      </c>
      <c r="Q226" s="528"/>
      <c r="R226" s="531"/>
      <c r="S226" s="534"/>
      <c r="T226" s="40"/>
      <c r="U226" s="40"/>
    </row>
    <row r="227" spans="1:21" s="146" customFormat="1" ht="16" customHeight="1">
      <c r="A227" s="154">
        <v>5</v>
      </c>
      <c r="B227" s="196" t="s">
        <v>669</v>
      </c>
      <c r="C227" s="516"/>
      <c r="D227" s="492"/>
      <c r="E227" s="501"/>
      <c r="F227" s="372" t="s">
        <v>903</v>
      </c>
      <c r="G227" s="355">
        <v>7600</v>
      </c>
      <c r="H227" s="355">
        <v>62.5</v>
      </c>
      <c r="I227" s="372" t="s">
        <v>98</v>
      </c>
      <c r="J227" s="360">
        <v>12</v>
      </c>
      <c r="K227" s="360">
        <v>25</v>
      </c>
      <c r="L227" s="355">
        <v>0.93132328308207701</v>
      </c>
      <c r="M227" s="430" t="s">
        <v>98</v>
      </c>
      <c r="N227" s="355">
        <v>0.86264656616415403</v>
      </c>
      <c r="O227" s="355">
        <v>42.3</v>
      </c>
      <c r="P227" s="437" t="s">
        <v>98</v>
      </c>
      <c r="Q227" s="528"/>
      <c r="R227" s="531"/>
      <c r="S227" s="534"/>
      <c r="T227" s="40"/>
      <c r="U227" s="40"/>
    </row>
    <row r="228" spans="1:21" s="146" customFormat="1" ht="16" customHeight="1">
      <c r="A228" s="154">
        <v>6</v>
      </c>
      <c r="B228" s="196" t="s">
        <v>669</v>
      </c>
      <c r="C228" s="516"/>
      <c r="D228" s="492"/>
      <c r="E228" s="501"/>
      <c r="F228" s="372" t="s">
        <v>903</v>
      </c>
      <c r="G228" s="355">
        <v>7600</v>
      </c>
      <c r="H228" s="355">
        <v>62.5</v>
      </c>
      <c r="I228" s="372" t="s">
        <v>98</v>
      </c>
      <c r="J228" s="360">
        <v>16</v>
      </c>
      <c r="K228" s="360">
        <v>25</v>
      </c>
      <c r="L228" s="355">
        <v>0.93132328308207701</v>
      </c>
      <c r="M228" s="430" t="s">
        <v>98</v>
      </c>
      <c r="N228" s="355">
        <v>0.90284757118927905</v>
      </c>
      <c r="O228" s="355">
        <v>67.31</v>
      </c>
      <c r="P228" s="437" t="s">
        <v>98</v>
      </c>
      <c r="Q228" s="528"/>
      <c r="R228" s="531"/>
      <c r="S228" s="534"/>
      <c r="T228" s="40"/>
      <c r="U228" s="40"/>
    </row>
    <row r="229" spans="1:21" s="146" customFormat="1" ht="16" customHeight="1">
      <c r="A229" s="154">
        <v>7</v>
      </c>
      <c r="B229" s="196" t="s">
        <v>669</v>
      </c>
      <c r="C229" s="516"/>
      <c r="D229" s="492"/>
      <c r="E229" s="501"/>
      <c r="F229" s="372" t="s">
        <v>903</v>
      </c>
      <c r="G229" s="355">
        <v>7600</v>
      </c>
      <c r="H229" s="355">
        <v>62.5</v>
      </c>
      <c r="I229" s="372" t="s">
        <v>98</v>
      </c>
      <c r="J229" s="360">
        <v>20</v>
      </c>
      <c r="K229" s="360">
        <v>25</v>
      </c>
      <c r="L229" s="355">
        <v>0.95477386934673303</v>
      </c>
      <c r="M229" s="430" t="s">
        <v>98</v>
      </c>
      <c r="N229" s="355">
        <v>0.90954773869346695</v>
      </c>
      <c r="O229" s="355">
        <v>91.98</v>
      </c>
      <c r="P229" s="437" t="s">
        <v>98</v>
      </c>
      <c r="Q229" s="528"/>
      <c r="R229" s="531"/>
      <c r="S229" s="534"/>
      <c r="T229" s="40"/>
      <c r="U229" s="40"/>
    </row>
    <row r="230" spans="1:21" s="146" customFormat="1" ht="16" customHeight="1">
      <c r="A230" s="154">
        <v>8</v>
      </c>
      <c r="B230" s="196" t="s">
        <v>669</v>
      </c>
      <c r="C230" s="517"/>
      <c r="D230" s="491"/>
      <c r="E230" s="502"/>
      <c r="F230" s="358" t="s">
        <v>903</v>
      </c>
      <c r="G230" s="356">
        <v>7600</v>
      </c>
      <c r="H230" s="356">
        <v>62.5</v>
      </c>
      <c r="I230" s="358" t="s">
        <v>98</v>
      </c>
      <c r="J230" s="361">
        <v>24</v>
      </c>
      <c r="K230" s="361">
        <v>25</v>
      </c>
      <c r="L230" s="356">
        <v>0.93100000000000005</v>
      </c>
      <c r="M230" s="431" t="s">
        <v>98</v>
      </c>
      <c r="N230" s="356">
        <v>0.86299999999999999</v>
      </c>
      <c r="O230" s="356">
        <v>116.65</v>
      </c>
      <c r="P230" s="438" t="s">
        <v>98</v>
      </c>
      <c r="Q230" s="529"/>
      <c r="R230" s="532"/>
      <c r="S230" s="535"/>
      <c r="T230" s="40"/>
      <c r="U230" s="40"/>
    </row>
    <row r="231" spans="1:21" s="146" customFormat="1" ht="16" customHeight="1">
      <c r="A231" s="154">
        <v>9</v>
      </c>
      <c r="B231" s="196" t="s">
        <v>669</v>
      </c>
      <c r="C231" s="523"/>
      <c r="D231" s="492"/>
      <c r="E231" s="208" t="s">
        <v>948</v>
      </c>
      <c r="F231" s="208" t="s">
        <v>903</v>
      </c>
      <c r="G231" s="150">
        <v>7600</v>
      </c>
      <c r="H231" s="150">
        <v>62.5</v>
      </c>
      <c r="I231" s="372" t="s">
        <v>98</v>
      </c>
      <c r="J231" s="155">
        <v>4</v>
      </c>
      <c r="K231" s="155">
        <v>25</v>
      </c>
      <c r="L231" s="430" t="s">
        <v>98</v>
      </c>
      <c r="M231" s="430" t="s">
        <v>98</v>
      </c>
      <c r="N231" s="150">
        <v>0.64192439862542905</v>
      </c>
      <c r="O231" s="150">
        <v>16.7</v>
      </c>
      <c r="P231" s="430" t="s">
        <v>98</v>
      </c>
      <c r="Q231" s="528"/>
      <c r="R231" s="531"/>
      <c r="S231" s="534"/>
      <c r="T231" s="40"/>
      <c r="U231" s="40"/>
    </row>
    <row r="232" spans="1:21" s="146" customFormat="1" ht="16" customHeight="1">
      <c r="A232" s="154">
        <v>10</v>
      </c>
      <c r="B232" s="196" t="s">
        <v>669</v>
      </c>
      <c r="C232" s="523"/>
      <c r="D232" s="492"/>
      <c r="E232" s="208" t="s">
        <v>904</v>
      </c>
      <c r="F232" s="208" t="s">
        <v>903</v>
      </c>
      <c r="G232" s="150">
        <v>7600</v>
      </c>
      <c r="H232" s="150">
        <v>62.5</v>
      </c>
      <c r="I232" s="372" t="s">
        <v>98</v>
      </c>
      <c r="J232" s="155">
        <v>4</v>
      </c>
      <c r="K232" s="155">
        <v>25</v>
      </c>
      <c r="L232" s="430" t="s">
        <v>98</v>
      </c>
      <c r="M232" s="430" t="s">
        <v>98</v>
      </c>
      <c r="N232" s="150">
        <v>0.59106529209621905</v>
      </c>
      <c r="O232" s="150">
        <v>16.95</v>
      </c>
      <c r="P232" s="439" t="s">
        <v>98</v>
      </c>
      <c r="Q232" s="528"/>
      <c r="R232" s="531"/>
      <c r="S232" s="534"/>
      <c r="T232" s="40"/>
      <c r="U232" s="40"/>
    </row>
    <row r="233" spans="1:21" s="146" customFormat="1" ht="16" customHeight="1">
      <c r="A233" s="154">
        <v>11</v>
      </c>
      <c r="B233" s="196" t="s">
        <v>669</v>
      </c>
      <c r="C233" s="523"/>
      <c r="D233" s="492"/>
      <c r="E233" s="208" t="s">
        <v>905</v>
      </c>
      <c r="F233" s="208" t="s">
        <v>903</v>
      </c>
      <c r="G233" s="150">
        <v>7600</v>
      </c>
      <c r="H233" s="150">
        <v>62.5</v>
      </c>
      <c r="I233" s="372" t="s">
        <v>98</v>
      </c>
      <c r="J233" s="155">
        <v>4</v>
      </c>
      <c r="K233" s="155">
        <v>25</v>
      </c>
      <c r="L233" s="430" t="s">
        <v>98</v>
      </c>
      <c r="M233" s="430" t="s">
        <v>98</v>
      </c>
      <c r="N233" s="150">
        <v>0.53058419243986199</v>
      </c>
      <c r="O233" s="150">
        <v>18.649999999999999</v>
      </c>
      <c r="P233" s="439" t="s">
        <v>98</v>
      </c>
      <c r="Q233" s="528"/>
      <c r="R233" s="531"/>
      <c r="S233" s="534"/>
      <c r="T233" s="40"/>
      <c r="U233" s="40"/>
    </row>
    <row r="234" spans="1:21" s="146" customFormat="1" ht="16" customHeight="1">
      <c r="A234" s="154">
        <v>12</v>
      </c>
      <c r="B234" s="196" t="s">
        <v>669</v>
      </c>
      <c r="C234" s="523"/>
      <c r="D234" s="492"/>
      <c r="E234" s="208" t="s">
        <v>906</v>
      </c>
      <c r="F234" s="208" t="s">
        <v>903</v>
      </c>
      <c r="G234" s="150">
        <v>7600</v>
      </c>
      <c r="H234" s="150">
        <v>62.5</v>
      </c>
      <c r="I234" s="372" t="s">
        <v>98</v>
      </c>
      <c r="J234" s="155">
        <v>4</v>
      </c>
      <c r="K234" s="155">
        <v>25</v>
      </c>
      <c r="L234" s="430" t="s">
        <v>98</v>
      </c>
      <c r="M234" s="430" t="s">
        <v>98</v>
      </c>
      <c r="N234" s="150">
        <v>0.483848797250859</v>
      </c>
      <c r="O234" s="150">
        <v>18.75</v>
      </c>
      <c r="P234" s="439" t="s">
        <v>98</v>
      </c>
      <c r="Q234" s="528"/>
      <c r="R234" s="531"/>
      <c r="S234" s="534"/>
      <c r="T234" s="40"/>
      <c r="U234" s="40"/>
    </row>
    <row r="235" spans="1:21" s="146" customFormat="1" ht="16" customHeight="1">
      <c r="A235" s="154">
        <v>13</v>
      </c>
      <c r="B235" s="196" t="s">
        <v>669</v>
      </c>
      <c r="C235" s="523"/>
      <c r="D235" s="492"/>
      <c r="E235" s="208" t="s">
        <v>994</v>
      </c>
      <c r="F235" s="208" t="s">
        <v>903</v>
      </c>
      <c r="G235" s="150">
        <v>7600</v>
      </c>
      <c r="H235" s="150">
        <v>62.5</v>
      </c>
      <c r="I235" s="372" t="s">
        <v>98</v>
      </c>
      <c r="J235" s="155">
        <v>4</v>
      </c>
      <c r="K235" s="155">
        <v>25</v>
      </c>
      <c r="L235" s="430" t="s">
        <v>98</v>
      </c>
      <c r="M235" s="430" t="s">
        <v>98</v>
      </c>
      <c r="N235" s="150">
        <v>0.61526479750778795</v>
      </c>
      <c r="O235" s="150">
        <v>16.739999999999998</v>
      </c>
      <c r="P235" s="439" t="s">
        <v>98</v>
      </c>
      <c r="Q235" s="528"/>
      <c r="R235" s="531"/>
      <c r="S235" s="534"/>
      <c r="T235" s="40"/>
      <c r="U235" s="40"/>
    </row>
    <row r="236" spans="1:21" s="146" customFormat="1" ht="16" customHeight="1">
      <c r="A236" s="154">
        <v>14</v>
      </c>
      <c r="B236" s="196" t="s">
        <v>669</v>
      </c>
      <c r="C236" s="523"/>
      <c r="D236" s="492"/>
      <c r="E236" s="208" t="s">
        <v>995</v>
      </c>
      <c r="F236" s="208" t="s">
        <v>903</v>
      </c>
      <c r="G236" s="150">
        <v>7600</v>
      </c>
      <c r="H236" s="150">
        <v>62.5</v>
      </c>
      <c r="I236" s="372" t="s">
        <v>98</v>
      </c>
      <c r="J236" s="155">
        <v>4</v>
      </c>
      <c r="K236" s="155">
        <v>25</v>
      </c>
      <c r="L236" s="430" t="s">
        <v>98</v>
      </c>
      <c r="M236" s="430" t="s">
        <v>98</v>
      </c>
      <c r="N236" s="150">
        <v>0.70716510903426699</v>
      </c>
      <c r="O236" s="150">
        <v>14.48</v>
      </c>
      <c r="P236" s="439" t="s">
        <v>98</v>
      </c>
      <c r="Q236" s="528"/>
      <c r="R236" s="531"/>
      <c r="S236" s="534"/>
      <c r="T236" s="40"/>
      <c r="U236" s="40"/>
    </row>
    <row r="237" spans="1:21" s="146" customFormat="1" ht="16" customHeight="1">
      <c r="A237" s="154">
        <v>15</v>
      </c>
      <c r="B237" s="196" t="s">
        <v>669</v>
      </c>
      <c r="C237" s="523"/>
      <c r="D237" s="492"/>
      <c r="E237" s="208" t="s">
        <v>996</v>
      </c>
      <c r="F237" s="208" t="s">
        <v>903</v>
      </c>
      <c r="G237" s="150">
        <v>7600</v>
      </c>
      <c r="H237" s="150">
        <v>62.5</v>
      </c>
      <c r="I237" s="372" t="s">
        <v>98</v>
      </c>
      <c r="J237" s="155">
        <v>4</v>
      </c>
      <c r="K237" s="155">
        <v>25</v>
      </c>
      <c r="L237" s="430" t="s">
        <v>98</v>
      </c>
      <c r="M237" s="430" t="s">
        <v>98</v>
      </c>
      <c r="N237" s="150">
        <v>0.77258566978193099</v>
      </c>
      <c r="O237" s="150">
        <v>14.19</v>
      </c>
      <c r="P237" s="439" t="s">
        <v>98</v>
      </c>
      <c r="Q237" s="528"/>
      <c r="R237" s="531"/>
      <c r="S237" s="534"/>
      <c r="T237" s="40"/>
      <c r="U237" s="40"/>
    </row>
    <row r="238" spans="1:21" s="146" customFormat="1" ht="16" customHeight="1">
      <c r="A238" s="154">
        <v>16</v>
      </c>
      <c r="B238" s="196" t="s">
        <v>669</v>
      </c>
      <c r="C238" s="523"/>
      <c r="D238" s="492"/>
      <c r="E238" s="208" t="s">
        <v>997</v>
      </c>
      <c r="F238" s="208" t="s">
        <v>903</v>
      </c>
      <c r="G238" s="150">
        <v>7600</v>
      </c>
      <c r="H238" s="150">
        <v>62.5</v>
      </c>
      <c r="I238" s="372" t="s">
        <v>98</v>
      </c>
      <c r="J238" s="155">
        <v>4</v>
      </c>
      <c r="K238" s="155">
        <v>25</v>
      </c>
      <c r="L238" s="430" t="s">
        <v>98</v>
      </c>
      <c r="M238" s="430" t="s">
        <v>98</v>
      </c>
      <c r="N238" s="150">
        <v>0.838006230529595</v>
      </c>
      <c r="O238" s="150">
        <v>13.58</v>
      </c>
      <c r="P238" s="439" t="s">
        <v>98</v>
      </c>
      <c r="Q238" s="528"/>
      <c r="R238" s="531"/>
      <c r="S238" s="534"/>
      <c r="T238" s="40"/>
      <c r="U238" s="40"/>
    </row>
    <row r="239" spans="1:21" s="146" customFormat="1" ht="16" customHeight="1">
      <c r="A239" s="154">
        <v>17</v>
      </c>
      <c r="B239" s="196" t="s">
        <v>669</v>
      </c>
      <c r="C239" s="523"/>
      <c r="D239" s="492"/>
      <c r="E239" s="208" t="s">
        <v>998</v>
      </c>
      <c r="F239" s="208" t="s">
        <v>903</v>
      </c>
      <c r="G239" s="150">
        <v>7600</v>
      </c>
      <c r="H239" s="150">
        <v>62.5</v>
      </c>
      <c r="I239" s="372" t="s">
        <v>98</v>
      </c>
      <c r="J239" s="155">
        <v>4</v>
      </c>
      <c r="K239" s="155">
        <v>25</v>
      </c>
      <c r="L239" s="430" t="s">
        <v>98</v>
      </c>
      <c r="M239" s="430" t="s">
        <v>98</v>
      </c>
      <c r="N239" s="150">
        <v>0.93146417445482799</v>
      </c>
      <c r="O239" s="150">
        <v>12.5</v>
      </c>
      <c r="P239" s="439" t="s">
        <v>98</v>
      </c>
      <c r="Q239" s="528"/>
      <c r="R239" s="531"/>
      <c r="S239" s="534"/>
      <c r="T239" s="40"/>
      <c r="U239" s="40"/>
    </row>
    <row r="240" spans="1:21" s="190" customFormat="1" ht="16" customHeight="1">
      <c r="A240" s="156">
        <v>18</v>
      </c>
      <c r="B240" s="197" t="s">
        <v>669</v>
      </c>
      <c r="C240" s="494"/>
      <c r="D240" s="491"/>
      <c r="E240" s="161" t="s">
        <v>999</v>
      </c>
      <c r="F240" s="161" t="s">
        <v>903</v>
      </c>
      <c r="G240" s="151">
        <v>7600</v>
      </c>
      <c r="H240" s="151">
        <v>62.5</v>
      </c>
      <c r="I240" s="358" t="s">
        <v>98</v>
      </c>
      <c r="J240" s="157">
        <v>4</v>
      </c>
      <c r="K240" s="157">
        <v>25</v>
      </c>
      <c r="L240" s="431" t="s">
        <v>98</v>
      </c>
      <c r="M240" s="431" t="s">
        <v>98</v>
      </c>
      <c r="N240" s="151">
        <v>0.90031152647974999</v>
      </c>
      <c r="O240" s="151">
        <v>13.22</v>
      </c>
      <c r="P240" s="438" t="s">
        <v>98</v>
      </c>
      <c r="Q240" s="529"/>
      <c r="R240" s="532"/>
      <c r="S240" s="535"/>
      <c r="T240" s="150"/>
      <c r="U240" s="150"/>
    </row>
    <row r="241" spans="1:21" s="146" customFormat="1" ht="16" customHeight="1">
      <c r="A241" s="152">
        <v>19</v>
      </c>
      <c r="B241" s="195" t="s">
        <v>669</v>
      </c>
      <c r="C241" s="493">
        <v>38</v>
      </c>
      <c r="D241" s="490" t="s">
        <v>189</v>
      </c>
      <c r="E241" s="160" t="s">
        <v>949</v>
      </c>
      <c r="F241" s="160" t="s">
        <v>903</v>
      </c>
      <c r="G241" s="149">
        <v>484</v>
      </c>
      <c r="H241" s="144">
        <v>50</v>
      </c>
      <c r="I241" s="357" t="s">
        <v>98</v>
      </c>
      <c r="J241" s="153">
        <v>5</v>
      </c>
      <c r="K241" s="443" t="s">
        <v>98</v>
      </c>
      <c r="L241" s="149">
        <v>0.180910425844346</v>
      </c>
      <c r="M241" s="149">
        <v>17.7</v>
      </c>
      <c r="N241" s="435" t="s">
        <v>98</v>
      </c>
      <c r="O241" s="435" t="s">
        <v>98</v>
      </c>
      <c r="P241" s="136">
        <v>144.19999999999999</v>
      </c>
      <c r="Q241" s="524" t="s">
        <v>925</v>
      </c>
      <c r="R241" s="490" t="s">
        <v>798</v>
      </c>
      <c r="S241" s="522" t="s">
        <v>798</v>
      </c>
      <c r="U241" s="40"/>
    </row>
    <row r="242" spans="1:21" s="146" customFormat="1" ht="16" customHeight="1">
      <c r="A242" s="154">
        <v>20</v>
      </c>
      <c r="B242" s="196" t="s">
        <v>669</v>
      </c>
      <c r="C242" s="523"/>
      <c r="D242" s="492"/>
      <c r="E242" s="208" t="s">
        <v>950</v>
      </c>
      <c r="F242" s="208" t="s">
        <v>903</v>
      </c>
      <c r="G242" s="150">
        <v>484</v>
      </c>
      <c r="H242" s="190">
        <v>50</v>
      </c>
      <c r="I242" s="372" t="s">
        <v>98</v>
      </c>
      <c r="J242" s="155">
        <v>5</v>
      </c>
      <c r="K242" s="433" t="s">
        <v>98</v>
      </c>
      <c r="L242" s="150">
        <v>0.34845814977973499</v>
      </c>
      <c r="M242" s="150">
        <v>11.8</v>
      </c>
      <c r="N242" s="430" t="s">
        <v>98</v>
      </c>
      <c r="O242" s="430" t="s">
        <v>98</v>
      </c>
      <c r="P242" s="133">
        <v>178.8</v>
      </c>
      <c r="Q242" s="525"/>
      <c r="R242" s="492"/>
      <c r="S242" s="536"/>
      <c r="T242" s="40"/>
      <c r="U242" s="40"/>
    </row>
    <row r="243" spans="1:21" s="146" customFormat="1" ht="16" customHeight="1">
      <c r="A243" s="154">
        <v>21</v>
      </c>
      <c r="B243" s="196" t="s">
        <v>669</v>
      </c>
      <c r="C243" s="523"/>
      <c r="D243" s="492"/>
      <c r="E243" s="208" t="s">
        <v>951</v>
      </c>
      <c r="F243" s="208" t="s">
        <v>903</v>
      </c>
      <c r="G243" s="150">
        <v>484</v>
      </c>
      <c r="H243" s="190">
        <v>75</v>
      </c>
      <c r="I243" s="372" t="s">
        <v>98</v>
      </c>
      <c r="J243" s="155">
        <v>5</v>
      </c>
      <c r="K243" s="433" t="s">
        <v>98</v>
      </c>
      <c r="L243" s="150">
        <v>0.146989720998531</v>
      </c>
      <c r="M243" s="150">
        <v>35.799999999999997</v>
      </c>
      <c r="N243" s="430" t="s">
        <v>98</v>
      </c>
      <c r="O243" s="425" t="s">
        <v>98</v>
      </c>
      <c r="P243" s="133">
        <v>193.3</v>
      </c>
      <c r="Q243" s="525"/>
      <c r="R243" s="492"/>
      <c r="S243" s="536"/>
      <c r="T243" s="40"/>
      <c r="U243" s="40"/>
    </row>
    <row r="244" spans="1:21" s="146" customFormat="1" ht="16" customHeight="1">
      <c r="A244" s="154">
        <v>22</v>
      </c>
      <c r="B244" s="196" t="s">
        <v>669</v>
      </c>
      <c r="C244" s="523"/>
      <c r="D244" s="492"/>
      <c r="E244" s="208" t="s">
        <v>952</v>
      </c>
      <c r="F244" s="208" t="s">
        <v>903</v>
      </c>
      <c r="G244" s="150">
        <v>484</v>
      </c>
      <c r="H244" s="190">
        <v>75</v>
      </c>
      <c r="I244" s="372" t="s">
        <v>98</v>
      </c>
      <c r="J244" s="155">
        <v>20</v>
      </c>
      <c r="K244" s="433" t="s">
        <v>98</v>
      </c>
      <c r="L244" s="150">
        <v>0.22125340599455001</v>
      </c>
      <c r="M244" s="150">
        <v>6.6</v>
      </c>
      <c r="N244" s="430" t="s">
        <v>98</v>
      </c>
      <c r="O244" s="425" t="s">
        <v>98</v>
      </c>
      <c r="P244" s="133">
        <v>41.9</v>
      </c>
      <c r="Q244" s="525"/>
      <c r="R244" s="492"/>
      <c r="S244" s="536"/>
      <c r="T244" s="40"/>
      <c r="U244" s="40"/>
    </row>
    <row r="245" spans="1:21" s="146" customFormat="1" ht="16" customHeight="1">
      <c r="A245" s="154">
        <v>23</v>
      </c>
      <c r="B245" s="196" t="s">
        <v>669</v>
      </c>
      <c r="C245" s="523"/>
      <c r="D245" s="492"/>
      <c r="E245" s="208" t="s">
        <v>953</v>
      </c>
      <c r="F245" s="208" t="s">
        <v>903</v>
      </c>
      <c r="G245" s="150">
        <v>484</v>
      </c>
      <c r="H245" s="190">
        <v>100</v>
      </c>
      <c r="I245" s="372" t="s">
        <v>98</v>
      </c>
      <c r="J245" s="155">
        <v>20</v>
      </c>
      <c r="K245" s="433" t="s">
        <v>98</v>
      </c>
      <c r="L245" s="150">
        <v>0.28324250681198898</v>
      </c>
      <c r="M245" s="150">
        <v>7.5</v>
      </c>
      <c r="N245" s="430" t="s">
        <v>98</v>
      </c>
      <c r="O245" s="425" t="s">
        <v>98</v>
      </c>
      <c r="P245" s="133">
        <v>41.7</v>
      </c>
      <c r="Q245" s="525"/>
      <c r="R245" s="492"/>
      <c r="S245" s="536"/>
      <c r="T245" s="40"/>
      <c r="U245" s="40"/>
    </row>
    <row r="246" spans="1:21" s="146" customFormat="1" ht="16" customHeight="1">
      <c r="A246" s="154">
        <v>24</v>
      </c>
      <c r="B246" s="196" t="s">
        <v>669</v>
      </c>
      <c r="C246" s="523"/>
      <c r="D246" s="492"/>
      <c r="E246" s="208" t="s">
        <v>954</v>
      </c>
      <c r="F246" s="208" t="s">
        <v>903</v>
      </c>
      <c r="G246" s="150">
        <v>484</v>
      </c>
      <c r="H246" s="190">
        <v>50</v>
      </c>
      <c r="I246" s="372" t="s">
        <v>98</v>
      </c>
      <c r="J246" s="155">
        <v>20</v>
      </c>
      <c r="K246" s="433" t="s">
        <v>98</v>
      </c>
      <c r="L246" s="150">
        <v>0.30994550408719301</v>
      </c>
      <c r="M246" s="150">
        <v>6.5</v>
      </c>
      <c r="N246" s="430" t="s">
        <v>98</v>
      </c>
      <c r="O246" s="425" t="s">
        <v>98</v>
      </c>
      <c r="P246" s="133">
        <v>74.599999999999994</v>
      </c>
      <c r="Q246" s="525"/>
      <c r="R246" s="492"/>
      <c r="S246" s="536"/>
      <c r="T246" s="40"/>
      <c r="U246" s="40"/>
    </row>
    <row r="247" spans="1:21" s="146" customFormat="1" ht="16" customHeight="1">
      <c r="A247" s="154">
        <v>25</v>
      </c>
      <c r="B247" s="196" t="s">
        <v>669</v>
      </c>
      <c r="C247" s="523"/>
      <c r="D247" s="492"/>
      <c r="E247" s="208" t="s">
        <v>955</v>
      </c>
      <c r="F247" s="208" t="s">
        <v>903</v>
      </c>
      <c r="G247" s="150">
        <v>484</v>
      </c>
      <c r="H247" s="190">
        <v>50</v>
      </c>
      <c r="I247" s="372" t="s">
        <v>98</v>
      </c>
      <c r="J247" s="155">
        <v>20</v>
      </c>
      <c r="K247" s="433" t="s">
        <v>98</v>
      </c>
      <c r="L247" s="150">
        <v>0.304223433242506</v>
      </c>
      <c r="M247" s="150">
        <v>6.3</v>
      </c>
      <c r="N247" s="430" t="s">
        <v>98</v>
      </c>
      <c r="O247" s="425" t="s">
        <v>98</v>
      </c>
      <c r="P247" s="133">
        <v>74.900000000000006</v>
      </c>
      <c r="Q247" s="525"/>
      <c r="R247" s="492"/>
      <c r="S247" s="536"/>
      <c r="T247" s="40"/>
      <c r="U247" s="40"/>
    </row>
    <row r="248" spans="1:21" s="190" customFormat="1" ht="16" customHeight="1">
      <c r="A248" s="156">
        <v>26</v>
      </c>
      <c r="B248" s="197" t="s">
        <v>669</v>
      </c>
      <c r="C248" s="494"/>
      <c r="D248" s="491"/>
      <c r="E248" s="161" t="s">
        <v>956</v>
      </c>
      <c r="F248" s="161" t="s">
        <v>903</v>
      </c>
      <c r="G248" s="151">
        <v>484</v>
      </c>
      <c r="H248" s="147">
        <v>75</v>
      </c>
      <c r="I248" s="358" t="s">
        <v>98</v>
      </c>
      <c r="J248" s="157">
        <v>20</v>
      </c>
      <c r="K248" s="434" t="s">
        <v>98</v>
      </c>
      <c r="L248" s="151">
        <v>0.35476839237057201</v>
      </c>
      <c r="M248" s="151">
        <v>13.3</v>
      </c>
      <c r="N248" s="431" t="s">
        <v>98</v>
      </c>
      <c r="O248" s="431" t="s">
        <v>98</v>
      </c>
      <c r="P248" s="137">
        <v>89.7</v>
      </c>
      <c r="Q248" s="526"/>
      <c r="R248" s="491"/>
      <c r="S248" s="537"/>
      <c r="T248" s="150"/>
      <c r="U248" s="150"/>
    </row>
    <row r="249" spans="1:21" s="146" customFormat="1" ht="16" customHeight="1">
      <c r="A249" s="152">
        <v>27</v>
      </c>
      <c r="B249" s="195" t="s">
        <v>669</v>
      </c>
      <c r="C249" s="493">
        <v>39</v>
      </c>
      <c r="D249" s="490" t="s">
        <v>179</v>
      </c>
      <c r="E249" s="160" t="s">
        <v>907</v>
      </c>
      <c r="F249" s="160" t="s">
        <v>903</v>
      </c>
      <c r="G249" s="149">
        <v>700</v>
      </c>
      <c r="H249" s="149">
        <v>40</v>
      </c>
      <c r="I249" s="357" t="s">
        <v>98</v>
      </c>
      <c r="J249" s="153">
        <v>20</v>
      </c>
      <c r="K249" s="153">
        <v>35</v>
      </c>
      <c r="L249" s="149">
        <v>0.88208955223880503</v>
      </c>
      <c r="M249" s="149">
        <v>3.794344042838</v>
      </c>
      <c r="N249" s="435" t="s">
        <v>98</v>
      </c>
      <c r="O249" s="435" t="s">
        <v>98</v>
      </c>
      <c r="P249" s="440" t="s">
        <v>98</v>
      </c>
      <c r="Q249" s="524" t="s">
        <v>926</v>
      </c>
      <c r="R249" s="490" t="s">
        <v>927</v>
      </c>
      <c r="S249" s="533" t="s">
        <v>798</v>
      </c>
      <c r="T249" s="40"/>
      <c r="U249" s="40"/>
    </row>
    <row r="250" spans="1:21" s="146" customFormat="1" ht="16" customHeight="1">
      <c r="A250" s="154">
        <v>28</v>
      </c>
      <c r="B250" s="196" t="s">
        <v>669</v>
      </c>
      <c r="C250" s="523"/>
      <c r="D250" s="492"/>
      <c r="E250" s="208" t="s">
        <v>907</v>
      </c>
      <c r="F250" s="208" t="s">
        <v>903</v>
      </c>
      <c r="G250" s="150">
        <v>700</v>
      </c>
      <c r="H250" s="150">
        <v>40</v>
      </c>
      <c r="I250" s="372" t="s">
        <v>98</v>
      </c>
      <c r="J250" s="155">
        <v>30</v>
      </c>
      <c r="K250" s="155">
        <v>35</v>
      </c>
      <c r="L250" s="150">
        <v>0.85895522388059697</v>
      </c>
      <c r="M250" s="150">
        <v>3.7566934404283607</v>
      </c>
      <c r="N250" s="430" t="s">
        <v>98</v>
      </c>
      <c r="O250" s="430" t="s">
        <v>98</v>
      </c>
      <c r="P250" s="441" t="s">
        <v>98</v>
      </c>
      <c r="Q250" s="525"/>
      <c r="R250" s="492"/>
      <c r="S250" s="534"/>
      <c r="T250" s="40"/>
      <c r="U250" s="40"/>
    </row>
    <row r="251" spans="1:21" s="146" customFormat="1" ht="16" customHeight="1">
      <c r="A251" s="154">
        <v>29</v>
      </c>
      <c r="B251" s="196" t="s">
        <v>669</v>
      </c>
      <c r="C251" s="523"/>
      <c r="D251" s="492"/>
      <c r="E251" s="208" t="s">
        <v>907</v>
      </c>
      <c r="F251" s="208" t="s">
        <v>903</v>
      </c>
      <c r="G251" s="150">
        <v>700</v>
      </c>
      <c r="H251" s="150">
        <v>75</v>
      </c>
      <c r="I251" s="372" t="s">
        <v>98</v>
      </c>
      <c r="J251" s="155">
        <v>20</v>
      </c>
      <c r="K251" s="155">
        <v>35</v>
      </c>
      <c r="L251" s="190">
        <v>0.82014925373134295</v>
      </c>
      <c r="M251" s="150">
        <v>13.922356091030776</v>
      </c>
      <c r="N251" s="430" t="s">
        <v>98</v>
      </c>
      <c r="O251" s="430" t="s">
        <v>98</v>
      </c>
      <c r="P251" s="441" t="s">
        <v>98</v>
      </c>
      <c r="Q251" s="525"/>
      <c r="R251" s="492"/>
      <c r="S251" s="534"/>
      <c r="T251" s="40"/>
      <c r="U251" s="40"/>
    </row>
    <row r="252" spans="1:21" s="146" customFormat="1" ht="16" customHeight="1">
      <c r="A252" s="154">
        <v>30</v>
      </c>
      <c r="B252" s="196" t="s">
        <v>669</v>
      </c>
      <c r="C252" s="523"/>
      <c r="D252" s="492"/>
      <c r="E252" s="208" t="s">
        <v>907</v>
      </c>
      <c r="F252" s="208" t="s">
        <v>903</v>
      </c>
      <c r="G252" s="150">
        <v>700</v>
      </c>
      <c r="H252" s="150">
        <v>75</v>
      </c>
      <c r="I252" s="372" t="s">
        <v>98</v>
      </c>
      <c r="J252" s="155">
        <v>30</v>
      </c>
      <c r="K252" s="155">
        <v>35</v>
      </c>
      <c r="L252" s="190">
        <v>0.79029850746268604</v>
      </c>
      <c r="M252" s="150">
        <v>15.466030789825943</v>
      </c>
      <c r="N252" s="430" t="s">
        <v>98</v>
      </c>
      <c r="O252" s="430" t="s">
        <v>98</v>
      </c>
      <c r="P252" s="441" t="s">
        <v>98</v>
      </c>
      <c r="Q252" s="525"/>
      <c r="R252" s="492"/>
      <c r="S252" s="534"/>
      <c r="T252" s="40"/>
      <c r="U252" s="40"/>
    </row>
    <row r="253" spans="1:21" s="146" customFormat="1" ht="16" customHeight="1">
      <c r="A253" s="154">
        <v>31</v>
      </c>
      <c r="B253" s="196" t="s">
        <v>669</v>
      </c>
      <c r="C253" s="523"/>
      <c r="D253" s="492"/>
      <c r="E253" s="208" t="s">
        <v>907</v>
      </c>
      <c r="F253" s="208" t="s">
        <v>903</v>
      </c>
      <c r="G253" s="150">
        <v>700</v>
      </c>
      <c r="H253" s="150">
        <v>85</v>
      </c>
      <c r="I253" s="372" t="s">
        <v>98</v>
      </c>
      <c r="J253" s="155">
        <v>20</v>
      </c>
      <c r="K253" s="155">
        <v>35</v>
      </c>
      <c r="L253" s="150">
        <v>0.75597014925373096</v>
      </c>
      <c r="M253" s="150">
        <v>14.261211512717528</v>
      </c>
      <c r="N253" s="430" t="s">
        <v>98</v>
      </c>
      <c r="O253" s="430" t="s">
        <v>98</v>
      </c>
      <c r="P253" s="441" t="s">
        <v>98</v>
      </c>
      <c r="Q253" s="525"/>
      <c r="R253" s="492"/>
      <c r="S253" s="534"/>
      <c r="T253" s="40"/>
      <c r="U253" s="40"/>
    </row>
    <row r="254" spans="1:21" s="146" customFormat="1" ht="16" customHeight="1">
      <c r="A254" s="154">
        <v>32</v>
      </c>
      <c r="B254" s="196" t="s">
        <v>669</v>
      </c>
      <c r="C254" s="523"/>
      <c r="D254" s="492"/>
      <c r="E254" s="208" t="s">
        <v>907</v>
      </c>
      <c r="F254" s="208" t="s">
        <v>903</v>
      </c>
      <c r="G254" s="150">
        <v>700</v>
      </c>
      <c r="H254" s="150">
        <v>85</v>
      </c>
      <c r="I254" s="372" t="s">
        <v>98</v>
      </c>
      <c r="J254" s="155">
        <v>30</v>
      </c>
      <c r="K254" s="155">
        <v>35</v>
      </c>
      <c r="L254" s="150">
        <v>0.70970149253731296</v>
      </c>
      <c r="M254" s="150">
        <v>15.578982597054861</v>
      </c>
      <c r="N254" s="430" t="s">
        <v>98</v>
      </c>
      <c r="O254" s="430" t="s">
        <v>98</v>
      </c>
      <c r="P254" s="441" t="s">
        <v>98</v>
      </c>
      <c r="Q254" s="525"/>
      <c r="R254" s="492"/>
      <c r="S254" s="534"/>
      <c r="T254" s="40"/>
      <c r="U254" s="40"/>
    </row>
    <row r="255" spans="1:21" s="146" customFormat="1" ht="16" customHeight="1">
      <c r="A255" s="154">
        <v>33</v>
      </c>
      <c r="B255" s="196" t="s">
        <v>669</v>
      </c>
      <c r="C255" s="523"/>
      <c r="D255" s="492"/>
      <c r="E255" s="208" t="s">
        <v>907</v>
      </c>
      <c r="F255" s="208" t="s">
        <v>903</v>
      </c>
      <c r="G255" s="150">
        <v>700</v>
      </c>
      <c r="H255" s="150">
        <v>120</v>
      </c>
      <c r="I255" s="372" t="s">
        <v>98</v>
      </c>
      <c r="J255" s="155">
        <v>20</v>
      </c>
      <c r="K255" s="155">
        <v>35</v>
      </c>
      <c r="L255" s="150">
        <v>0.72910447761193997</v>
      </c>
      <c r="M255" s="150">
        <v>18.440428380187416</v>
      </c>
      <c r="N255" s="430" t="s">
        <v>98</v>
      </c>
      <c r="O255" s="430" t="s">
        <v>98</v>
      </c>
      <c r="P255" s="441" t="s">
        <v>98</v>
      </c>
      <c r="Q255" s="525"/>
      <c r="R255" s="492"/>
      <c r="S255" s="534"/>
      <c r="T255" s="40"/>
      <c r="U255" s="40"/>
    </row>
    <row r="256" spans="1:21" s="146" customFormat="1" ht="16" customHeight="1">
      <c r="A256" s="154">
        <v>34</v>
      </c>
      <c r="B256" s="196" t="s">
        <v>669</v>
      </c>
      <c r="C256" s="523"/>
      <c r="D256" s="492"/>
      <c r="E256" s="208" t="s">
        <v>907</v>
      </c>
      <c r="F256" s="208" t="s">
        <v>903</v>
      </c>
      <c r="G256" s="150">
        <v>700</v>
      </c>
      <c r="H256" s="150">
        <v>120</v>
      </c>
      <c r="I256" s="372" t="s">
        <v>98</v>
      </c>
      <c r="J256" s="155">
        <v>30</v>
      </c>
      <c r="K256" s="155">
        <v>35</v>
      </c>
      <c r="L256" s="150">
        <v>0.67164179104477595</v>
      </c>
      <c r="M256" s="150">
        <v>21.716030789825947</v>
      </c>
      <c r="N256" s="430" t="s">
        <v>98</v>
      </c>
      <c r="O256" s="430" t="s">
        <v>98</v>
      </c>
      <c r="P256" s="441" t="s">
        <v>98</v>
      </c>
      <c r="Q256" s="525"/>
      <c r="R256" s="492"/>
      <c r="S256" s="534"/>
      <c r="T256" s="40"/>
      <c r="U256" s="40"/>
    </row>
    <row r="257" spans="1:21" s="146" customFormat="1" ht="16" customHeight="1">
      <c r="A257" s="154">
        <v>35</v>
      </c>
      <c r="B257" s="196" t="s">
        <v>669</v>
      </c>
      <c r="C257" s="523"/>
      <c r="D257" s="492"/>
      <c r="E257" s="208" t="s">
        <v>957</v>
      </c>
      <c r="F257" s="208" t="s">
        <v>903</v>
      </c>
      <c r="G257" s="150">
        <v>700</v>
      </c>
      <c r="H257" s="150">
        <v>75</v>
      </c>
      <c r="I257" s="372" t="s">
        <v>98</v>
      </c>
      <c r="J257" s="155">
        <v>20</v>
      </c>
      <c r="K257" s="155">
        <v>35</v>
      </c>
      <c r="L257" s="150">
        <v>0.91821561338289903</v>
      </c>
      <c r="M257" s="150">
        <v>5.6458897922312508</v>
      </c>
      <c r="N257" s="430" t="s">
        <v>98</v>
      </c>
      <c r="O257" s="430" t="s">
        <v>98</v>
      </c>
      <c r="P257" s="441" t="s">
        <v>98</v>
      </c>
      <c r="Q257" s="525"/>
      <c r="R257" s="492"/>
      <c r="S257" s="534"/>
      <c r="T257" s="40"/>
      <c r="U257" s="40"/>
    </row>
    <row r="258" spans="1:21" s="146" customFormat="1" ht="16" customHeight="1">
      <c r="A258" s="154">
        <v>36</v>
      </c>
      <c r="B258" s="196" t="s">
        <v>669</v>
      </c>
      <c r="C258" s="523"/>
      <c r="D258" s="492"/>
      <c r="E258" s="208" t="s">
        <v>957</v>
      </c>
      <c r="F258" s="208" t="s">
        <v>903</v>
      </c>
      <c r="G258" s="150">
        <v>700</v>
      </c>
      <c r="H258" s="150">
        <v>75</v>
      </c>
      <c r="I258" s="372" t="s">
        <v>98</v>
      </c>
      <c r="J258" s="155">
        <v>30</v>
      </c>
      <c r="K258" s="155">
        <v>35</v>
      </c>
      <c r="L258" s="150">
        <v>0.88698884758364305</v>
      </c>
      <c r="M258" s="150">
        <v>7.1890996687744435</v>
      </c>
      <c r="N258" s="430" t="s">
        <v>98</v>
      </c>
      <c r="O258" s="430" t="s">
        <v>98</v>
      </c>
      <c r="P258" s="441" t="s">
        <v>98</v>
      </c>
      <c r="Q258" s="525"/>
      <c r="R258" s="492"/>
      <c r="S258" s="534"/>
      <c r="T258" s="40"/>
      <c r="U258" s="40"/>
    </row>
    <row r="259" spans="1:21" s="146" customFormat="1" ht="16" customHeight="1">
      <c r="A259" s="154">
        <v>37</v>
      </c>
      <c r="B259" s="196" t="s">
        <v>669</v>
      </c>
      <c r="C259" s="523"/>
      <c r="D259" s="492"/>
      <c r="E259" s="208" t="s">
        <v>908</v>
      </c>
      <c r="F259" s="208" t="s">
        <v>903</v>
      </c>
      <c r="G259" s="150">
        <v>700</v>
      </c>
      <c r="H259" s="150">
        <v>75</v>
      </c>
      <c r="I259" s="372" t="s">
        <v>98</v>
      </c>
      <c r="J259" s="155">
        <v>20</v>
      </c>
      <c r="K259" s="155">
        <v>35</v>
      </c>
      <c r="L259" s="150">
        <v>0.79851301115241602</v>
      </c>
      <c r="M259" s="150">
        <v>5.1942186088527498</v>
      </c>
      <c r="N259" s="430" t="s">
        <v>98</v>
      </c>
      <c r="O259" s="430" t="s">
        <v>98</v>
      </c>
      <c r="P259" s="441" t="s">
        <v>98</v>
      </c>
      <c r="Q259" s="525"/>
      <c r="R259" s="492"/>
      <c r="S259" s="534"/>
      <c r="T259" s="40"/>
      <c r="U259" s="40"/>
    </row>
    <row r="260" spans="1:21" s="146" customFormat="1" ht="16" customHeight="1">
      <c r="A260" s="154">
        <v>38</v>
      </c>
      <c r="B260" s="196" t="s">
        <v>669</v>
      </c>
      <c r="C260" s="523"/>
      <c r="D260" s="492"/>
      <c r="E260" s="208" t="s">
        <v>908</v>
      </c>
      <c r="F260" s="208" t="s">
        <v>903</v>
      </c>
      <c r="G260" s="150">
        <v>700</v>
      </c>
      <c r="H260" s="150">
        <v>75</v>
      </c>
      <c r="I260" s="372" t="s">
        <v>98</v>
      </c>
      <c r="J260" s="155">
        <v>30</v>
      </c>
      <c r="K260" s="155">
        <v>35</v>
      </c>
      <c r="L260" s="150">
        <v>0.75167286245353104</v>
      </c>
      <c r="M260" s="150">
        <v>7.3772959951821662</v>
      </c>
      <c r="N260" s="430" t="s">
        <v>98</v>
      </c>
      <c r="O260" s="430" t="s">
        <v>98</v>
      </c>
      <c r="P260" s="441" t="s">
        <v>98</v>
      </c>
      <c r="Q260" s="525"/>
      <c r="R260" s="492"/>
      <c r="S260" s="534"/>
      <c r="T260" s="40"/>
      <c r="U260" s="40"/>
    </row>
    <row r="261" spans="1:21" s="146" customFormat="1" ht="16" customHeight="1">
      <c r="A261" s="154">
        <v>39</v>
      </c>
      <c r="B261" s="196" t="s">
        <v>669</v>
      </c>
      <c r="C261" s="523"/>
      <c r="D261" s="492"/>
      <c r="E261" s="208" t="s">
        <v>958</v>
      </c>
      <c r="F261" s="208" t="s">
        <v>903</v>
      </c>
      <c r="G261" s="150">
        <v>700</v>
      </c>
      <c r="H261" s="150">
        <v>75</v>
      </c>
      <c r="I261" s="372" t="s">
        <v>98</v>
      </c>
      <c r="J261" s="155">
        <v>20</v>
      </c>
      <c r="K261" s="155">
        <v>35</v>
      </c>
      <c r="L261" s="150">
        <v>0.75910780669144895</v>
      </c>
      <c r="M261" s="150">
        <v>6.1728395061728332</v>
      </c>
      <c r="N261" s="430" t="s">
        <v>98</v>
      </c>
      <c r="O261" s="430" t="s">
        <v>98</v>
      </c>
      <c r="P261" s="441" t="s">
        <v>98</v>
      </c>
      <c r="Q261" s="525"/>
      <c r="R261" s="492"/>
      <c r="S261" s="534"/>
      <c r="T261" s="40"/>
      <c r="U261" s="40"/>
    </row>
    <row r="262" spans="1:21" s="146" customFormat="1" ht="16" customHeight="1">
      <c r="A262" s="154">
        <v>40</v>
      </c>
      <c r="B262" s="196" t="s">
        <v>669</v>
      </c>
      <c r="C262" s="523"/>
      <c r="D262" s="492"/>
      <c r="E262" s="208" t="s">
        <v>958</v>
      </c>
      <c r="F262" s="208" t="s">
        <v>903</v>
      </c>
      <c r="G262" s="150">
        <v>700</v>
      </c>
      <c r="H262" s="150">
        <v>75</v>
      </c>
      <c r="I262" s="372" t="s">
        <v>98</v>
      </c>
      <c r="J262" s="155">
        <v>30</v>
      </c>
      <c r="K262" s="155">
        <v>35</v>
      </c>
      <c r="L262" s="150">
        <v>0.68698884758364298</v>
      </c>
      <c r="M262" s="150">
        <v>7.8666064438421941</v>
      </c>
      <c r="N262" s="430" t="s">
        <v>98</v>
      </c>
      <c r="O262" s="430" t="s">
        <v>98</v>
      </c>
      <c r="P262" s="441" t="s">
        <v>98</v>
      </c>
      <c r="Q262" s="525"/>
      <c r="R262" s="492"/>
      <c r="S262" s="534"/>
      <c r="T262" s="40"/>
      <c r="U262" s="40"/>
    </row>
    <row r="263" spans="1:21" s="146" customFormat="1" ht="16" customHeight="1">
      <c r="A263" s="154">
        <v>41</v>
      </c>
      <c r="B263" s="196" t="s">
        <v>669</v>
      </c>
      <c r="C263" s="523"/>
      <c r="D263" s="492"/>
      <c r="E263" s="208" t="s">
        <v>959</v>
      </c>
      <c r="F263" s="208" t="s">
        <v>903</v>
      </c>
      <c r="G263" s="150">
        <v>700</v>
      </c>
      <c r="H263" s="150">
        <v>85</v>
      </c>
      <c r="I263" s="372" t="s">
        <v>98</v>
      </c>
      <c r="J263" s="155">
        <v>20</v>
      </c>
      <c r="K263" s="155">
        <v>35</v>
      </c>
      <c r="L263" s="150">
        <v>0.68847583643122601</v>
      </c>
      <c r="M263" s="150">
        <v>6.0222824450466668</v>
      </c>
      <c r="N263" s="430" t="s">
        <v>98</v>
      </c>
      <c r="O263" s="430" t="s">
        <v>98</v>
      </c>
      <c r="P263" s="441" t="s">
        <v>98</v>
      </c>
      <c r="Q263" s="525"/>
      <c r="R263" s="492"/>
      <c r="S263" s="534"/>
      <c r="T263" s="40"/>
      <c r="U263" s="40"/>
    </row>
    <row r="264" spans="1:21" s="190" customFormat="1" ht="16" customHeight="1">
      <c r="A264" s="156">
        <v>42</v>
      </c>
      <c r="B264" s="197" t="s">
        <v>669</v>
      </c>
      <c r="C264" s="494"/>
      <c r="D264" s="491"/>
      <c r="E264" s="372" t="s">
        <v>959</v>
      </c>
      <c r="F264" s="161" t="s">
        <v>903</v>
      </c>
      <c r="G264" s="151">
        <v>700</v>
      </c>
      <c r="H264" s="151">
        <v>85</v>
      </c>
      <c r="I264" s="358" t="s">
        <v>98</v>
      </c>
      <c r="J264" s="360">
        <v>30</v>
      </c>
      <c r="K264" s="157">
        <v>35</v>
      </c>
      <c r="L264" s="151">
        <v>0.63940520446096605</v>
      </c>
      <c r="M264" s="151">
        <v>9.6732911773561945</v>
      </c>
      <c r="N264" s="431" t="s">
        <v>98</v>
      </c>
      <c r="O264" s="431" t="s">
        <v>98</v>
      </c>
      <c r="P264" s="442" t="s">
        <v>98</v>
      </c>
      <c r="Q264" s="526"/>
      <c r="R264" s="491"/>
      <c r="S264" s="535"/>
      <c r="T264" s="150"/>
      <c r="U264" s="150"/>
    </row>
    <row r="265" spans="1:21" s="190" customFormat="1" ht="16" customHeight="1">
      <c r="A265" s="152">
        <v>43</v>
      </c>
      <c r="B265" s="195" t="s">
        <v>669</v>
      </c>
      <c r="C265" s="515">
        <v>40</v>
      </c>
      <c r="D265" s="490" t="s">
        <v>678</v>
      </c>
      <c r="E265" s="509" t="s">
        <v>98</v>
      </c>
      <c r="F265" s="357" t="s">
        <v>98</v>
      </c>
      <c r="G265" s="149">
        <v>3700</v>
      </c>
      <c r="H265" s="149">
        <v>20</v>
      </c>
      <c r="I265" s="357" t="s">
        <v>98</v>
      </c>
      <c r="J265" s="357" t="s">
        <v>98</v>
      </c>
      <c r="K265" s="153">
        <v>25</v>
      </c>
      <c r="L265" s="149">
        <v>0.745</v>
      </c>
      <c r="M265" s="427" t="s">
        <v>98</v>
      </c>
      <c r="N265" s="144">
        <v>0.81799999999999995</v>
      </c>
      <c r="O265" s="149">
        <v>11.5</v>
      </c>
      <c r="P265" s="127">
        <v>290.39999999999998</v>
      </c>
      <c r="Q265" s="527" t="s">
        <v>928</v>
      </c>
      <c r="R265" s="539" t="s">
        <v>798</v>
      </c>
      <c r="S265" s="533" t="s">
        <v>798</v>
      </c>
      <c r="T265" s="150"/>
      <c r="U265" s="150"/>
    </row>
    <row r="266" spans="1:21" s="146" customFormat="1" ht="16" customHeight="1">
      <c r="A266" s="154">
        <v>44</v>
      </c>
      <c r="B266" s="196" t="s">
        <v>669</v>
      </c>
      <c r="C266" s="516"/>
      <c r="D266" s="492"/>
      <c r="E266" s="510"/>
      <c r="F266" s="372" t="s">
        <v>98</v>
      </c>
      <c r="G266" s="150">
        <v>3700</v>
      </c>
      <c r="H266" s="150">
        <v>40</v>
      </c>
      <c r="I266" s="372" t="s">
        <v>98</v>
      </c>
      <c r="J266" s="372" t="s">
        <v>98</v>
      </c>
      <c r="K266" s="155">
        <v>25</v>
      </c>
      <c r="L266" s="150">
        <v>0.99299999999999999</v>
      </c>
      <c r="M266" s="425" t="s">
        <v>98</v>
      </c>
      <c r="N266" s="190">
        <v>0.82299999999999995</v>
      </c>
      <c r="O266" s="150">
        <v>18.3</v>
      </c>
      <c r="P266" s="103">
        <v>403.20000000000005</v>
      </c>
      <c r="Q266" s="528"/>
      <c r="R266" s="540"/>
      <c r="S266" s="534"/>
      <c r="T266" s="40"/>
      <c r="U266" s="40"/>
    </row>
    <row r="267" spans="1:21" s="146" customFormat="1" ht="16" customHeight="1">
      <c r="A267" s="154">
        <v>45</v>
      </c>
      <c r="B267" s="196" t="s">
        <v>669</v>
      </c>
      <c r="C267" s="516"/>
      <c r="D267" s="492"/>
      <c r="E267" s="510"/>
      <c r="F267" s="372" t="s">
        <v>98</v>
      </c>
      <c r="G267" s="150">
        <v>3700</v>
      </c>
      <c r="H267" s="150">
        <v>60</v>
      </c>
      <c r="I267" s="372" t="s">
        <v>98</v>
      </c>
      <c r="J267" s="372" t="s">
        <v>98</v>
      </c>
      <c r="K267" s="155">
        <v>25</v>
      </c>
      <c r="L267" s="150">
        <v>0.99400000000000011</v>
      </c>
      <c r="M267" s="425" t="s">
        <v>98</v>
      </c>
      <c r="N267" s="190">
        <v>0.82499999999999996</v>
      </c>
      <c r="O267" s="150">
        <v>28</v>
      </c>
      <c r="P267" s="103">
        <v>415.20000000000005</v>
      </c>
      <c r="Q267" s="528"/>
      <c r="R267" s="540"/>
      <c r="S267" s="534"/>
      <c r="T267" s="40"/>
      <c r="U267" s="40"/>
    </row>
    <row r="268" spans="1:21" s="146" customFormat="1" ht="16" customHeight="1">
      <c r="A268" s="154">
        <v>46</v>
      </c>
      <c r="B268" s="196" t="s">
        <v>669</v>
      </c>
      <c r="C268" s="516"/>
      <c r="D268" s="492"/>
      <c r="E268" s="510"/>
      <c r="F268" s="372" t="s">
        <v>98</v>
      </c>
      <c r="G268" s="150">
        <v>3700</v>
      </c>
      <c r="H268" s="150">
        <v>80</v>
      </c>
      <c r="I268" s="372" t="s">
        <v>98</v>
      </c>
      <c r="J268" s="372" t="s">
        <v>98</v>
      </c>
      <c r="K268" s="155">
        <v>25</v>
      </c>
      <c r="L268" s="150">
        <v>0.89200000000000002</v>
      </c>
      <c r="M268" s="425" t="s">
        <v>98</v>
      </c>
      <c r="N268" s="190">
        <v>0.84200000000000008</v>
      </c>
      <c r="O268" s="150">
        <v>19.5</v>
      </c>
      <c r="P268" s="103">
        <v>660</v>
      </c>
      <c r="Q268" s="528"/>
      <c r="R268" s="540"/>
      <c r="S268" s="534"/>
      <c r="T268" s="40"/>
      <c r="U268" s="40"/>
    </row>
    <row r="269" spans="1:21" s="146" customFormat="1" ht="16" customHeight="1">
      <c r="A269" s="154">
        <v>47</v>
      </c>
      <c r="B269" s="196" t="s">
        <v>669</v>
      </c>
      <c r="C269" s="516"/>
      <c r="D269" s="492"/>
      <c r="E269" s="510"/>
      <c r="F269" s="372" t="s">
        <v>98</v>
      </c>
      <c r="G269" s="150">
        <v>3700</v>
      </c>
      <c r="H269" s="150">
        <v>20</v>
      </c>
      <c r="I269" s="372" t="s">
        <v>98</v>
      </c>
      <c r="J269" s="372" t="s">
        <v>98</v>
      </c>
      <c r="K269" s="155">
        <v>25</v>
      </c>
      <c r="L269" s="150">
        <v>0.97900000000000009</v>
      </c>
      <c r="M269" s="425" t="s">
        <v>98</v>
      </c>
      <c r="N269" s="190">
        <v>0.84799999999999998</v>
      </c>
      <c r="O269" s="150">
        <v>9.1999999999999993</v>
      </c>
      <c r="P269" s="103">
        <v>434.40000000000003</v>
      </c>
      <c r="Q269" s="528"/>
      <c r="R269" s="540"/>
      <c r="S269" s="534"/>
      <c r="T269" s="40"/>
      <c r="U269" s="40"/>
    </row>
    <row r="270" spans="1:21" s="146" customFormat="1" ht="16" customHeight="1">
      <c r="A270" s="154">
        <v>48</v>
      </c>
      <c r="B270" s="196" t="s">
        <v>669</v>
      </c>
      <c r="C270" s="516"/>
      <c r="D270" s="492"/>
      <c r="E270" s="510"/>
      <c r="F270" s="372" t="s">
        <v>98</v>
      </c>
      <c r="G270" s="150">
        <v>3700</v>
      </c>
      <c r="H270" s="150">
        <v>40</v>
      </c>
      <c r="I270" s="372" t="s">
        <v>98</v>
      </c>
      <c r="J270" s="372" t="s">
        <v>98</v>
      </c>
      <c r="K270" s="155">
        <v>25</v>
      </c>
      <c r="L270" s="150">
        <v>0.99900000000000011</v>
      </c>
      <c r="M270" s="425" t="s">
        <v>98</v>
      </c>
      <c r="N270" s="190">
        <v>0.879</v>
      </c>
      <c r="O270" s="150">
        <v>19.899999999999999</v>
      </c>
      <c r="P270" s="103">
        <v>518.40000000000009</v>
      </c>
      <c r="Q270" s="528"/>
      <c r="R270" s="540"/>
      <c r="S270" s="534"/>
      <c r="T270" s="40"/>
      <c r="U270" s="40"/>
    </row>
    <row r="271" spans="1:21" s="146" customFormat="1" ht="16" customHeight="1">
      <c r="A271" s="154">
        <v>49</v>
      </c>
      <c r="B271" s="196" t="s">
        <v>669</v>
      </c>
      <c r="C271" s="516"/>
      <c r="D271" s="492"/>
      <c r="E271" s="510"/>
      <c r="F271" s="372" t="s">
        <v>98</v>
      </c>
      <c r="G271" s="150">
        <v>3700</v>
      </c>
      <c r="H271" s="150">
        <v>60</v>
      </c>
      <c r="I271" s="372" t="s">
        <v>98</v>
      </c>
      <c r="J271" s="372" t="s">
        <v>98</v>
      </c>
      <c r="K271" s="155">
        <v>25</v>
      </c>
      <c r="L271" s="150">
        <v>0.997</v>
      </c>
      <c r="M271" s="425" t="s">
        <v>98</v>
      </c>
      <c r="N271" s="190">
        <v>0.89300000000000002</v>
      </c>
      <c r="O271" s="150">
        <v>26.9</v>
      </c>
      <c r="P271" s="103">
        <v>648</v>
      </c>
      <c r="Q271" s="528"/>
      <c r="R271" s="540"/>
      <c r="S271" s="534"/>
      <c r="T271" s="40"/>
      <c r="U271" s="40"/>
    </row>
    <row r="272" spans="1:21" s="146" customFormat="1" ht="16" customHeight="1">
      <c r="A272" s="154">
        <v>50</v>
      </c>
      <c r="B272" s="196" t="s">
        <v>669</v>
      </c>
      <c r="C272" s="516"/>
      <c r="D272" s="492"/>
      <c r="E272" s="510"/>
      <c r="F272" s="372" t="s">
        <v>98</v>
      </c>
      <c r="G272" s="150">
        <v>3700</v>
      </c>
      <c r="H272" s="150">
        <v>80</v>
      </c>
      <c r="I272" s="372" t="s">
        <v>98</v>
      </c>
      <c r="J272" s="372" t="s">
        <v>98</v>
      </c>
      <c r="K272" s="155">
        <v>25</v>
      </c>
      <c r="L272" s="150">
        <v>0.94099999999999995</v>
      </c>
      <c r="M272" s="425" t="s">
        <v>98</v>
      </c>
      <c r="N272" s="190">
        <v>0.77400000000000002</v>
      </c>
      <c r="O272" s="150">
        <v>40.9</v>
      </c>
      <c r="P272" s="103">
        <v>782.40000000000009</v>
      </c>
      <c r="Q272" s="528"/>
      <c r="R272" s="540"/>
      <c r="S272" s="534"/>
      <c r="T272" s="40"/>
      <c r="U272" s="40"/>
    </row>
    <row r="273" spans="1:21" s="146" customFormat="1" ht="16" customHeight="1">
      <c r="A273" s="154">
        <v>51</v>
      </c>
      <c r="B273" s="196" t="s">
        <v>669</v>
      </c>
      <c r="C273" s="516"/>
      <c r="D273" s="492"/>
      <c r="E273" s="510"/>
      <c r="F273" s="372" t="s">
        <v>98</v>
      </c>
      <c r="G273" s="150">
        <v>3700</v>
      </c>
      <c r="H273" s="150">
        <v>20</v>
      </c>
      <c r="I273" s="372" t="s">
        <v>98</v>
      </c>
      <c r="J273" s="372" t="s">
        <v>98</v>
      </c>
      <c r="K273" s="155">
        <v>25</v>
      </c>
      <c r="L273" s="150">
        <v>0.93299999999999994</v>
      </c>
      <c r="M273" s="425" t="s">
        <v>98</v>
      </c>
      <c r="N273" s="190">
        <v>0.72400000000000009</v>
      </c>
      <c r="O273" s="150">
        <v>15.4</v>
      </c>
      <c r="P273" s="103">
        <v>468</v>
      </c>
      <c r="Q273" s="528"/>
      <c r="R273" s="540"/>
      <c r="S273" s="534"/>
      <c r="T273" s="40"/>
      <c r="U273" s="40"/>
    </row>
    <row r="274" spans="1:21" s="146" customFormat="1" ht="16" customHeight="1">
      <c r="A274" s="154">
        <v>52</v>
      </c>
      <c r="B274" s="196" t="s">
        <v>669</v>
      </c>
      <c r="C274" s="516"/>
      <c r="D274" s="492"/>
      <c r="E274" s="510"/>
      <c r="F274" s="372" t="s">
        <v>98</v>
      </c>
      <c r="G274" s="150">
        <v>3700</v>
      </c>
      <c r="H274" s="150">
        <v>40</v>
      </c>
      <c r="I274" s="372" t="s">
        <v>98</v>
      </c>
      <c r="J274" s="372" t="s">
        <v>98</v>
      </c>
      <c r="K274" s="155">
        <v>25</v>
      </c>
      <c r="L274" s="150">
        <v>0.9890000000000001</v>
      </c>
      <c r="M274" s="425" t="s">
        <v>98</v>
      </c>
      <c r="N274" s="190">
        <v>0.85499999999999998</v>
      </c>
      <c r="O274" s="150">
        <v>21.1</v>
      </c>
      <c r="P274" s="103">
        <v>844.80000000000007</v>
      </c>
      <c r="Q274" s="528"/>
      <c r="R274" s="540"/>
      <c r="S274" s="534"/>
      <c r="T274" s="40"/>
      <c r="U274" s="40"/>
    </row>
    <row r="275" spans="1:21" s="146" customFormat="1" ht="16" customHeight="1">
      <c r="A275" s="154">
        <v>53</v>
      </c>
      <c r="B275" s="196" t="s">
        <v>669</v>
      </c>
      <c r="C275" s="516"/>
      <c r="D275" s="492"/>
      <c r="E275" s="510"/>
      <c r="F275" s="372" t="s">
        <v>98</v>
      </c>
      <c r="G275" s="150">
        <v>3700</v>
      </c>
      <c r="H275" s="150">
        <v>60</v>
      </c>
      <c r="I275" s="372" t="s">
        <v>98</v>
      </c>
      <c r="J275" s="372" t="s">
        <v>98</v>
      </c>
      <c r="K275" s="155">
        <v>25</v>
      </c>
      <c r="L275" s="150">
        <v>0.98499999999999999</v>
      </c>
      <c r="M275" s="425" t="s">
        <v>98</v>
      </c>
      <c r="N275" s="190">
        <v>0.871</v>
      </c>
      <c r="O275" s="150">
        <v>23.8</v>
      </c>
      <c r="P275" s="103">
        <v>1128</v>
      </c>
      <c r="Q275" s="528"/>
      <c r="R275" s="540"/>
      <c r="S275" s="534"/>
      <c r="T275" s="40"/>
      <c r="U275" s="40"/>
    </row>
    <row r="276" spans="1:21" s="146" customFormat="1" ht="16" customHeight="1">
      <c r="A276" s="154">
        <v>54</v>
      </c>
      <c r="B276" s="196" t="s">
        <v>669</v>
      </c>
      <c r="C276" s="516"/>
      <c r="D276" s="492"/>
      <c r="E276" s="510"/>
      <c r="F276" s="372" t="s">
        <v>98</v>
      </c>
      <c r="G276" s="150">
        <v>3700</v>
      </c>
      <c r="H276" s="150">
        <v>80</v>
      </c>
      <c r="I276" s="372" t="s">
        <v>98</v>
      </c>
      <c r="J276" s="372" t="s">
        <v>98</v>
      </c>
      <c r="K276" s="155">
        <v>25</v>
      </c>
      <c r="L276" s="150">
        <v>0.97900000000000009</v>
      </c>
      <c r="M276" s="425" t="s">
        <v>98</v>
      </c>
      <c r="N276" s="190">
        <v>0.92700000000000005</v>
      </c>
      <c r="O276" s="150">
        <v>31</v>
      </c>
      <c r="P276" s="103">
        <v>1176</v>
      </c>
      <c r="Q276" s="528"/>
      <c r="R276" s="540"/>
      <c r="S276" s="534"/>
      <c r="T276" s="40"/>
      <c r="U276" s="40"/>
    </row>
    <row r="277" spans="1:21" s="146" customFormat="1" ht="16" customHeight="1">
      <c r="A277" s="154">
        <v>55</v>
      </c>
      <c r="B277" s="196" t="s">
        <v>669</v>
      </c>
      <c r="C277" s="516"/>
      <c r="D277" s="492"/>
      <c r="E277" s="510"/>
      <c r="F277" s="372" t="s">
        <v>98</v>
      </c>
      <c r="G277" s="150">
        <v>3700</v>
      </c>
      <c r="H277" s="150">
        <v>20</v>
      </c>
      <c r="I277" s="372" t="s">
        <v>98</v>
      </c>
      <c r="J277" s="372" t="s">
        <v>98</v>
      </c>
      <c r="K277" s="155">
        <v>25</v>
      </c>
      <c r="L277" s="150">
        <v>0.77</v>
      </c>
      <c r="M277" s="425" t="s">
        <v>98</v>
      </c>
      <c r="N277" s="190">
        <v>0.91099999999999992</v>
      </c>
      <c r="O277" s="150">
        <v>17.3</v>
      </c>
      <c r="P277" s="103">
        <v>516</v>
      </c>
      <c r="Q277" s="528"/>
      <c r="R277" s="540"/>
      <c r="S277" s="534"/>
      <c r="T277" s="40"/>
      <c r="U277" s="40"/>
    </row>
    <row r="278" spans="1:21" s="146" customFormat="1" ht="16" customHeight="1">
      <c r="A278" s="154">
        <v>56</v>
      </c>
      <c r="B278" s="196" t="s">
        <v>669</v>
      </c>
      <c r="C278" s="516"/>
      <c r="D278" s="492"/>
      <c r="E278" s="510"/>
      <c r="F278" s="372" t="s">
        <v>98</v>
      </c>
      <c r="G278" s="150">
        <v>3700</v>
      </c>
      <c r="H278" s="150">
        <v>40</v>
      </c>
      <c r="I278" s="372" t="s">
        <v>98</v>
      </c>
      <c r="J278" s="372" t="s">
        <v>98</v>
      </c>
      <c r="K278" s="155">
        <v>25</v>
      </c>
      <c r="L278" s="150">
        <v>0.98799999999999999</v>
      </c>
      <c r="M278" s="425" t="s">
        <v>98</v>
      </c>
      <c r="N278" s="190">
        <v>0.89599999999999991</v>
      </c>
      <c r="O278" s="150">
        <v>19.8</v>
      </c>
      <c r="P278" s="103">
        <v>883.19999999999993</v>
      </c>
      <c r="Q278" s="528"/>
      <c r="R278" s="540"/>
      <c r="S278" s="534"/>
      <c r="T278" s="40"/>
      <c r="U278" s="40"/>
    </row>
    <row r="279" spans="1:21" s="146" customFormat="1" ht="16" customHeight="1">
      <c r="A279" s="154">
        <v>57</v>
      </c>
      <c r="B279" s="196" t="s">
        <v>669</v>
      </c>
      <c r="C279" s="516"/>
      <c r="D279" s="492"/>
      <c r="E279" s="510"/>
      <c r="F279" s="372" t="s">
        <v>98</v>
      </c>
      <c r="G279" s="150">
        <v>3700</v>
      </c>
      <c r="H279" s="150">
        <v>60</v>
      </c>
      <c r="I279" s="372" t="s">
        <v>98</v>
      </c>
      <c r="J279" s="372" t="s">
        <v>98</v>
      </c>
      <c r="K279" s="155">
        <v>25</v>
      </c>
      <c r="L279" s="150">
        <v>0.97400000000000009</v>
      </c>
      <c r="M279" s="425" t="s">
        <v>98</v>
      </c>
      <c r="N279" s="190">
        <v>0.872</v>
      </c>
      <c r="O279" s="150">
        <v>29.3</v>
      </c>
      <c r="P279" s="103">
        <v>1123.1999999999998</v>
      </c>
      <c r="Q279" s="528"/>
      <c r="R279" s="540"/>
      <c r="S279" s="534"/>
      <c r="T279" s="40"/>
      <c r="U279" s="40"/>
    </row>
    <row r="280" spans="1:21" s="146" customFormat="1" ht="16" customHeight="1">
      <c r="A280" s="154">
        <v>58</v>
      </c>
      <c r="B280" s="196" t="s">
        <v>669</v>
      </c>
      <c r="C280" s="516"/>
      <c r="D280" s="492"/>
      <c r="E280" s="510"/>
      <c r="F280" s="372" t="s">
        <v>98</v>
      </c>
      <c r="G280" s="150">
        <v>3700</v>
      </c>
      <c r="H280" s="150">
        <v>80</v>
      </c>
      <c r="I280" s="372" t="s">
        <v>98</v>
      </c>
      <c r="J280" s="372" t="s">
        <v>98</v>
      </c>
      <c r="K280" s="155">
        <v>25</v>
      </c>
      <c r="L280" s="150">
        <v>0.996</v>
      </c>
      <c r="M280" s="425" t="s">
        <v>98</v>
      </c>
      <c r="N280" s="190">
        <v>0.88300000000000001</v>
      </c>
      <c r="O280" s="150">
        <v>33.9</v>
      </c>
      <c r="P280" s="103">
        <v>1130.4000000000001</v>
      </c>
      <c r="Q280" s="528"/>
      <c r="R280" s="540"/>
      <c r="S280" s="534"/>
      <c r="T280" s="40"/>
      <c r="U280" s="40"/>
    </row>
    <row r="281" spans="1:21" s="146" customFormat="1" ht="16" customHeight="1">
      <c r="A281" s="154">
        <v>59</v>
      </c>
      <c r="B281" s="196" t="s">
        <v>669</v>
      </c>
      <c r="C281" s="516"/>
      <c r="D281" s="492"/>
      <c r="E281" s="510"/>
      <c r="F281" s="372" t="s">
        <v>98</v>
      </c>
      <c r="G281" s="150">
        <v>3700</v>
      </c>
      <c r="H281" s="150">
        <v>80</v>
      </c>
      <c r="I281" s="372" t="s">
        <v>98</v>
      </c>
      <c r="J281" s="372" t="s">
        <v>98</v>
      </c>
      <c r="K281" s="155">
        <v>25</v>
      </c>
      <c r="L281" s="150">
        <v>0.84499999999999997</v>
      </c>
      <c r="M281" s="425" t="s">
        <v>98</v>
      </c>
      <c r="N281" s="190">
        <v>0.79799999999999993</v>
      </c>
      <c r="O281" s="150">
        <v>55.1</v>
      </c>
      <c r="P281" s="103">
        <v>652.79999999999995</v>
      </c>
      <c r="Q281" s="528"/>
      <c r="R281" s="540"/>
      <c r="S281" s="534"/>
      <c r="T281" s="40"/>
      <c r="U281" s="40"/>
    </row>
    <row r="282" spans="1:21" s="146" customFormat="1" ht="16" customHeight="1">
      <c r="A282" s="154">
        <v>60</v>
      </c>
      <c r="B282" s="196" t="s">
        <v>669</v>
      </c>
      <c r="C282" s="516"/>
      <c r="D282" s="492"/>
      <c r="E282" s="510"/>
      <c r="F282" s="372" t="s">
        <v>98</v>
      </c>
      <c r="G282" s="150">
        <v>3700</v>
      </c>
      <c r="H282" s="150">
        <v>80</v>
      </c>
      <c r="I282" s="372" t="s">
        <v>98</v>
      </c>
      <c r="J282" s="372" t="s">
        <v>98</v>
      </c>
      <c r="K282" s="155">
        <v>25</v>
      </c>
      <c r="L282" s="150">
        <v>0.70099999999999996</v>
      </c>
      <c r="M282" s="425" t="s">
        <v>98</v>
      </c>
      <c r="N282" s="190">
        <v>0.83099999999999996</v>
      </c>
      <c r="O282" s="150">
        <v>29.9</v>
      </c>
      <c r="P282" s="103">
        <v>900</v>
      </c>
      <c r="Q282" s="528"/>
      <c r="R282" s="540"/>
      <c r="S282" s="534"/>
      <c r="T282" s="40"/>
      <c r="U282" s="40"/>
    </row>
    <row r="283" spans="1:21" s="146" customFormat="1" ht="16" customHeight="1">
      <c r="A283" s="154">
        <v>61</v>
      </c>
      <c r="B283" s="196" t="s">
        <v>669</v>
      </c>
      <c r="C283" s="516"/>
      <c r="D283" s="492"/>
      <c r="E283" s="510"/>
      <c r="F283" s="372" t="s">
        <v>98</v>
      </c>
      <c r="G283" s="150">
        <v>3700</v>
      </c>
      <c r="H283" s="150">
        <v>80</v>
      </c>
      <c r="I283" s="372" t="s">
        <v>98</v>
      </c>
      <c r="J283" s="372" t="s">
        <v>98</v>
      </c>
      <c r="K283" s="155">
        <v>25</v>
      </c>
      <c r="L283" s="150">
        <v>0.54899999999999993</v>
      </c>
      <c r="M283" s="425" t="s">
        <v>98</v>
      </c>
      <c r="N283" s="190">
        <v>0.69900000000000007</v>
      </c>
      <c r="O283" s="150">
        <v>41.1</v>
      </c>
      <c r="P283" s="103">
        <v>1108.8000000000002</v>
      </c>
      <c r="Q283" s="528"/>
      <c r="R283" s="540"/>
      <c r="S283" s="534"/>
      <c r="T283" s="40"/>
      <c r="U283" s="40"/>
    </row>
    <row r="284" spans="1:21" s="146" customFormat="1" ht="16" customHeight="1">
      <c r="A284" s="154">
        <v>62</v>
      </c>
      <c r="B284" s="196" t="s">
        <v>669</v>
      </c>
      <c r="C284" s="516"/>
      <c r="D284" s="492"/>
      <c r="E284" s="510"/>
      <c r="F284" s="372" t="s">
        <v>98</v>
      </c>
      <c r="G284" s="150">
        <v>3700</v>
      </c>
      <c r="H284" s="150">
        <v>53</v>
      </c>
      <c r="I284" s="372" t="s">
        <v>98</v>
      </c>
      <c r="J284" s="372" t="s">
        <v>98</v>
      </c>
      <c r="K284" s="155">
        <v>25</v>
      </c>
      <c r="L284" s="150">
        <v>0.68400000000000005</v>
      </c>
      <c r="M284" s="425" t="s">
        <v>98</v>
      </c>
      <c r="N284" s="190">
        <v>0.80900000000000005</v>
      </c>
      <c r="O284" s="150">
        <v>20.9</v>
      </c>
      <c r="P284" s="103">
        <v>972</v>
      </c>
      <c r="Q284" s="528"/>
      <c r="R284" s="540"/>
      <c r="S284" s="534"/>
      <c r="T284" s="40"/>
      <c r="U284" s="40"/>
    </row>
    <row r="285" spans="1:21" s="146" customFormat="1" ht="16" customHeight="1">
      <c r="A285" s="154">
        <v>63</v>
      </c>
      <c r="B285" s="196" t="s">
        <v>669</v>
      </c>
      <c r="C285" s="516"/>
      <c r="D285" s="492"/>
      <c r="E285" s="510"/>
      <c r="F285" s="372" t="s">
        <v>98</v>
      </c>
      <c r="G285" s="150">
        <v>3700</v>
      </c>
      <c r="H285" s="150">
        <v>80</v>
      </c>
      <c r="I285" s="372" t="s">
        <v>98</v>
      </c>
      <c r="J285" s="372" t="s">
        <v>98</v>
      </c>
      <c r="K285" s="155">
        <v>25</v>
      </c>
      <c r="L285" s="150">
        <v>0.67700000000000005</v>
      </c>
      <c r="M285" s="425" t="s">
        <v>98</v>
      </c>
      <c r="N285" s="190">
        <v>0.94200000000000006</v>
      </c>
      <c r="O285" s="150">
        <v>22.2</v>
      </c>
      <c r="P285" s="103">
        <v>859.19999999999993</v>
      </c>
      <c r="Q285" s="528"/>
      <c r="R285" s="540"/>
      <c r="S285" s="534"/>
      <c r="T285" s="40"/>
      <c r="U285" s="40"/>
    </row>
    <row r="286" spans="1:21" s="146" customFormat="1" ht="16" customHeight="1">
      <c r="A286" s="154">
        <v>64</v>
      </c>
      <c r="B286" s="196" t="s">
        <v>669</v>
      </c>
      <c r="C286" s="516"/>
      <c r="D286" s="492"/>
      <c r="E286" s="510"/>
      <c r="F286" s="372" t="s">
        <v>98</v>
      </c>
      <c r="G286" s="150">
        <v>3700</v>
      </c>
      <c r="H286" s="150">
        <v>80</v>
      </c>
      <c r="I286" s="372" t="s">
        <v>98</v>
      </c>
      <c r="J286" s="372" t="s">
        <v>98</v>
      </c>
      <c r="K286" s="155">
        <v>25</v>
      </c>
      <c r="L286" s="150">
        <v>0.67099999999999993</v>
      </c>
      <c r="M286" s="425" t="s">
        <v>98</v>
      </c>
      <c r="N286" s="190">
        <v>0.94700000000000006</v>
      </c>
      <c r="O286" s="150">
        <v>19.100000000000001</v>
      </c>
      <c r="P286" s="103">
        <v>924</v>
      </c>
      <c r="Q286" s="528"/>
      <c r="R286" s="540"/>
      <c r="S286" s="534"/>
      <c r="T286" s="40"/>
      <c r="U286" s="40"/>
    </row>
    <row r="287" spans="1:21" s="146" customFormat="1" ht="16" customHeight="1">
      <c r="A287" s="154">
        <v>65</v>
      </c>
      <c r="B287" s="196" t="s">
        <v>669</v>
      </c>
      <c r="C287" s="516"/>
      <c r="D287" s="492"/>
      <c r="E287" s="510"/>
      <c r="F287" s="372" t="s">
        <v>98</v>
      </c>
      <c r="G287" s="150">
        <v>3700</v>
      </c>
      <c r="H287" s="150">
        <v>80</v>
      </c>
      <c r="I287" s="372" t="s">
        <v>98</v>
      </c>
      <c r="J287" s="372" t="s">
        <v>98</v>
      </c>
      <c r="K287" s="155">
        <v>25</v>
      </c>
      <c r="L287" s="150">
        <v>0.57600000000000007</v>
      </c>
      <c r="M287" s="425" t="s">
        <v>98</v>
      </c>
      <c r="N287" s="190">
        <v>0.91099999999999992</v>
      </c>
      <c r="O287" s="150">
        <v>17.5</v>
      </c>
      <c r="P287" s="103">
        <v>724.8</v>
      </c>
      <c r="Q287" s="528"/>
      <c r="R287" s="540"/>
      <c r="S287" s="534"/>
      <c r="T287" s="40"/>
      <c r="U287" s="40"/>
    </row>
    <row r="288" spans="1:21" s="146" customFormat="1" ht="16" customHeight="1">
      <c r="A288" s="154">
        <v>66</v>
      </c>
      <c r="B288" s="196" t="s">
        <v>669</v>
      </c>
      <c r="C288" s="516"/>
      <c r="D288" s="492"/>
      <c r="E288" s="510"/>
      <c r="F288" s="372" t="s">
        <v>98</v>
      </c>
      <c r="G288" s="150">
        <v>3700</v>
      </c>
      <c r="H288" s="150">
        <v>80</v>
      </c>
      <c r="I288" s="372" t="s">
        <v>98</v>
      </c>
      <c r="J288" s="372" t="s">
        <v>98</v>
      </c>
      <c r="K288" s="155">
        <v>25</v>
      </c>
      <c r="L288" s="150">
        <v>0.54</v>
      </c>
      <c r="M288" s="425" t="s">
        <v>98</v>
      </c>
      <c r="N288" s="190">
        <v>0.89900000000000002</v>
      </c>
      <c r="O288" s="150">
        <v>15.5</v>
      </c>
      <c r="P288" s="103">
        <v>751.2</v>
      </c>
      <c r="Q288" s="528"/>
      <c r="R288" s="540"/>
      <c r="S288" s="534"/>
      <c r="T288" s="40"/>
      <c r="U288" s="40"/>
    </row>
    <row r="289" spans="1:21" s="146" customFormat="1" ht="16" customHeight="1">
      <c r="A289" s="154">
        <v>67</v>
      </c>
      <c r="B289" s="196" t="s">
        <v>669</v>
      </c>
      <c r="C289" s="516"/>
      <c r="D289" s="492"/>
      <c r="E289" s="510"/>
      <c r="F289" s="372" t="s">
        <v>98</v>
      </c>
      <c r="G289" s="150">
        <v>3700</v>
      </c>
      <c r="H289" s="150">
        <v>80</v>
      </c>
      <c r="I289" s="372" t="s">
        <v>98</v>
      </c>
      <c r="J289" s="372" t="s">
        <v>98</v>
      </c>
      <c r="K289" s="155">
        <v>25</v>
      </c>
      <c r="L289" s="150">
        <v>0.73099999999999998</v>
      </c>
      <c r="M289" s="425" t="s">
        <v>98</v>
      </c>
      <c r="N289" s="190">
        <v>0.91200000000000003</v>
      </c>
      <c r="O289" s="150">
        <v>25.1</v>
      </c>
      <c r="P289" s="103">
        <v>799.19999999999993</v>
      </c>
      <c r="Q289" s="528"/>
      <c r="R289" s="540"/>
      <c r="S289" s="534"/>
      <c r="T289" s="40"/>
      <c r="U289" s="40"/>
    </row>
    <row r="290" spans="1:21" s="146" customFormat="1" ht="16" customHeight="1">
      <c r="A290" s="154">
        <v>68</v>
      </c>
      <c r="B290" s="196" t="s">
        <v>669</v>
      </c>
      <c r="C290" s="516"/>
      <c r="D290" s="492"/>
      <c r="E290" s="510"/>
      <c r="F290" s="372" t="s">
        <v>98</v>
      </c>
      <c r="G290" s="150">
        <v>3700</v>
      </c>
      <c r="H290" s="150">
        <v>80</v>
      </c>
      <c r="I290" s="372" t="s">
        <v>98</v>
      </c>
      <c r="J290" s="372" t="s">
        <v>98</v>
      </c>
      <c r="K290" s="155">
        <v>25</v>
      </c>
      <c r="L290" s="150">
        <v>0.72</v>
      </c>
      <c r="M290" s="425" t="s">
        <v>98</v>
      </c>
      <c r="N290" s="190">
        <v>0.74299999999999999</v>
      </c>
      <c r="O290" s="150">
        <v>28.9</v>
      </c>
      <c r="P290" s="103">
        <v>842.40000000000009</v>
      </c>
      <c r="Q290" s="528"/>
      <c r="R290" s="540"/>
      <c r="S290" s="534"/>
      <c r="T290" s="40"/>
      <c r="U290" s="40"/>
    </row>
    <row r="291" spans="1:21" s="190" customFormat="1" ht="16" customHeight="1">
      <c r="A291" s="154">
        <v>69</v>
      </c>
      <c r="B291" s="196" t="s">
        <v>669</v>
      </c>
      <c r="C291" s="517"/>
      <c r="D291" s="491"/>
      <c r="E291" s="511"/>
      <c r="F291" s="358" t="s">
        <v>98</v>
      </c>
      <c r="G291" s="150">
        <v>3700</v>
      </c>
      <c r="H291" s="150">
        <v>80</v>
      </c>
      <c r="I291" s="358" t="s">
        <v>98</v>
      </c>
      <c r="J291" s="358" t="s">
        <v>98</v>
      </c>
      <c r="K291" s="155">
        <v>25</v>
      </c>
      <c r="L291" s="150">
        <v>0.76800000000000002</v>
      </c>
      <c r="M291" s="425" t="s">
        <v>98</v>
      </c>
      <c r="N291" s="190">
        <v>0.73499999999999999</v>
      </c>
      <c r="O291" s="150">
        <v>39.9</v>
      </c>
      <c r="P291" s="103">
        <v>669.59999999999991</v>
      </c>
      <c r="Q291" s="528"/>
      <c r="R291" s="540"/>
      <c r="S291" s="534"/>
      <c r="T291" s="150"/>
      <c r="U291" s="150"/>
    </row>
    <row r="292" spans="1:21" s="146" customFormat="1" ht="16" customHeight="1">
      <c r="A292" s="152">
        <v>70</v>
      </c>
      <c r="B292" s="195" t="s">
        <v>669</v>
      </c>
      <c r="C292" s="493">
        <v>41</v>
      </c>
      <c r="D292" s="490" t="s">
        <v>196</v>
      </c>
      <c r="E292" s="372" t="s">
        <v>960</v>
      </c>
      <c r="F292" s="160" t="s">
        <v>2</v>
      </c>
      <c r="G292" s="149">
        <v>3772</v>
      </c>
      <c r="H292" s="149">
        <v>10</v>
      </c>
      <c r="I292" s="372" t="s">
        <v>98</v>
      </c>
      <c r="J292" s="360">
        <v>7</v>
      </c>
      <c r="K292" s="153">
        <v>25</v>
      </c>
      <c r="L292" s="435" t="s">
        <v>98</v>
      </c>
      <c r="M292" s="435" t="s">
        <v>98</v>
      </c>
      <c r="N292" s="149">
        <v>0.371</v>
      </c>
      <c r="O292" s="149">
        <v>24.994098205854556</v>
      </c>
      <c r="P292" s="435" t="s">
        <v>98</v>
      </c>
      <c r="Q292" s="524" t="s">
        <v>929</v>
      </c>
      <c r="R292" s="530" t="s">
        <v>798</v>
      </c>
      <c r="S292" s="533" t="s">
        <v>798</v>
      </c>
      <c r="T292" s="40"/>
      <c r="U292" s="40"/>
    </row>
    <row r="293" spans="1:21" s="146" customFormat="1" ht="16" customHeight="1">
      <c r="A293" s="154">
        <v>71</v>
      </c>
      <c r="B293" s="196" t="s">
        <v>669</v>
      </c>
      <c r="C293" s="523"/>
      <c r="D293" s="492"/>
      <c r="E293" s="208" t="s">
        <v>960</v>
      </c>
      <c r="F293" s="208" t="s">
        <v>2</v>
      </c>
      <c r="G293" s="150">
        <v>3772</v>
      </c>
      <c r="H293" s="150">
        <v>20</v>
      </c>
      <c r="I293" s="372" t="s">
        <v>98</v>
      </c>
      <c r="J293" s="155">
        <v>7</v>
      </c>
      <c r="K293" s="155">
        <v>25</v>
      </c>
      <c r="L293" s="430" t="s">
        <v>98</v>
      </c>
      <c r="M293" s="430" t="s">
        <v>98</v>
      </c>
      <c r="N293" s="150">
        <v>0.67</v>
      </c>
      <c r="O293" s="150">
        <v>25.751495121183503</v>
      </c>
      <c r="P293" s="430" t="s">
        <v>98</v>
      </c>
      <c r="Q293" s="525"/>
      <c r="R293" s="531"/>
      <c r="S293" s="534"/>
      <c r="T293" s="40"/>
      <c r="U293" s="40"/>
    </row>
    <row r="294" spans="1:21" s="146" customFormat="1" ht="16" customHeight="1">
      <c r="A294" s="154">
        <v>72</v>
      </c>
      <c r="B294" s="196" t="s">
        <v>669</v>
      </c>
      <c r="C294" s="523"/>
      <c r="D294" s="492"/>
      <c r="E294" s="208" t="s">
        <v>960</v>
      </c>
      <c r="F294" s="208" t="s">
        <v>2</v>
      </c>
      <c r="G294" s="150">
        <v>3772</v>
      </c>
      <c r="H294" s="150">
        <v>40</v>
      </c>
      <c r="I294" s="372" t="s">
        <v>98</v>
      </c>
      <c r="J294" s="155">
        <v>7</v>
      </c>
      <c r="K294" s="155">
        <v>25</v>
      </c>
      <c r="L294" s="430" t="s">
        <v>98</v>
      </c>
      <c r="M294" s="430" t="s">
        <v>98</v>
      </c>
      <c r="N294" s="150">
        <v>0.71340000000000003</v>
      </c>
      <c r="O294" s="150">
        <v>42.689644318539443</v>
      </c>
      <c r="P294" s="430" t="s">
        <v>98</v>
      </c>
      <c r="Q294" s="525"/>
      <c r="R294" s="531"/>
      <c r="S294" s="534"/>
      <c r="T294" s="40"/>
      <c r="U294" s="40"/>
    </row>
    <row r="295" spans="1:21" s="146" customFormat="1" ht="16" customHeight="1">
      <c r="A295" s="154">
        <v>73</v>
      </c>
      <c r="B295" s="196" t="s">
        <v>669</v>
      </c>
      <c r="C295" s="523"/>
      <c r="D295" s="492"/>
      <c r="E295" s="208" t="s">
        <v>960</v>
      </c>
      <c r="F295" s="208" t="s">
        <v>2</v>
      </c>
      <c r="G295" s="150">
        <v>3772</v>
      </c>
      <c r="H295" s="150">
        <v>60</v>
      </c>
      <c r="I295" s="372" t="s">
        <v>98</v>
      </c>
      <c r="J295" s="155">
        <v>7</v>
      </c>
      <c r="K295" s="155">
        <v>25</v>
      </c>
      <c r="L295" s="430" t="s">
        <v>98</v>
      </c>
      <c r="M295" s="430" t="s">
        <v>98</v>
      </c>
      <c r="N295" s="150">
        <v>0.75851000000000002</v>
      </c>
      <c r="O295" s="150">
        <v>44.342146679256942</v>
      </c>
      <c r="P295" s="430" t="s">
        <v>98</v>
      </c>
      <c r="Q295" s="525"/>
      <c r="R295" s="531"/>
      <c r="S295" s="534"/>
      <c r="T295" s="40"/>
      <c r="U295" s="40"/>
    </row>
    <row r="296" spans="1:21" s="146" customFormat="1" ht="16" customHeight="1">
      <c r="A296" s="154">
        <v>74</v>
      </c>
      <c r="B296" s="196" t="s">
        <v>669</v>
      </c>
      <c r="C296" s="523"/>
      <c r="D296" s="492"/>
      <c r="E296" s="208" t="s">
        <v>961</v>
      </c>
      <c r="F296" s="208" t="s">
        <v>2</v>
      </c>
      <c r="G296" s="150">
        <v>3772</v>
      </c>
      <c r="H296" s="150">
        <v>20</v>
      </c>
      <c r="I296" s="372" t="s">
        <v>98</v>
      </c>
      <c r="J296" s="433" t="s">
        <v>98</v>
      </c>
      <c r="K296" s="155">
        <v>25</v>
      </c>
      <c r="L296" s="430" t="s">
        <v>98</v>
      </c>
      <c r="M296" s="430" t="s">
        <v>98</v>
      </c>
      <c r="N296" s="150">
        <v>0.67500000000000004</v>
      </c>
      <c r="O296" s="150">
        <v>7.166666666666667</v>
      </c>
      <c r="P296" s="430" t="s">
        <v>98</v>
      </c>
      <c r="Q296" s="525"/>
      <c r="R296" s="531"/>
      <c r="S296" s="534"/>
      <c r="T296" s="40"/>
      <c r="U296" s="40"/>
    </row>
    <row r="297" spans="1:21" s="190" customFormat="1" ht="16" customHeight="1">
      <c r="A297" s="156">
        <v>75</v>
      </c>
      <c r="B297" s="197" t="s">
        <v>669</v>
      </c>
      <c r="C297" s="494"/>
      <c r="D297" s="491"/>
      <c r="E297" s="372" t="s">
        <v>962</v>
      </c>
      <c r="F297" s="161" t="s">
        <v>2</v>
      </c>
      <c r="G297" s="151">
        <v>3772</v>
      </c>
      <c r="H297" s="151">
        <v>20</v>
      </c>
      <c r="I297" s="372" t="s">
        <v>98</v>
      </c>
      <c r="J297" s="433" t="s">
        <v>98</v>
      </c>
      <c r="K297" s="157">
        <v>25</v>
      </c>
      <c r="L297" s="431" t="s">
        <v>98</v>
      </c>
      <c r="M297" s="431" t="s">
        <v>98</v>
      </c>
      <c r="N297" s="151">
        <v>0.9</v>
      </c>
      <c r="O297" s="151">
        <v>3.4722222222222223</v>
      </c>
      <c r="P297" s="431" t="s">
        <v>98</v>
      </c>
      <c r="Q297" s="526"/>
      <c r="R297" s="532"/>
      <c r="S297" s="535"/>
      <c r="T297" s="150"/>
      <c r="U297" s="150"/>
    </row>
    <row r="298" spans="1:21" s="190" customFormat="1" ht="16" customHeight="1">
      <c r="A298" s="154">
        <v>76</v>
      </c>
      <c r="B298" s="196" t="s">
        <v>669</v>
      </c>
      <c r="C298" s="320">
        <v>42</v>
      </c>
      <c r="D298" s="150" t="s">
        <v>195</v>
      </c>
      <c r="E298" s="162" t="s">
        <v>98</v>
      </c>
      <c r="F298" s="132" t="s">
        <v>3</v>
      </c>
      <c r="G298" s="432" t="s">
        <v>98</v>
      </c>
      <c r="H298" s="432" t="s">
        <v>98</v>
      </c>
      <c r="I298" s="132" t="s">
        <v>98</v>
      </c>
      <c r="J298" s="132" t="s">
        <v>98</v>
      </c>
      <c r="K298" s="132" t="s">
        <v>98</v>
      </c>
      <c r="L298" s="379">
        <v>0.92100000000000004</v>
      </c>
      <c r="M298" s="379">
        <v>0.6</v>
      </c>
      <c r="N298" s="432" t="s">
        <v>98</v>
      </c>
      <c r="O298" s="432" t="s">
        <v>98</v>
      </c>
      <c r="P298" s="444" t="s">
        <v>98</v>
      </c>
      <c r="Q298" s="423"/>
      <c r="R298" s="379"/>
      <c r="S298" s="89"/>
    </row>
    <row r="299" spans="1:21" s="190" customFormat="1" ht="16" customHeight="1">
      <c r="A299" s="152">
        <v>77</v>
      </c>
      <c r="B299" s="195" t="s">
        <v>669</v>
      </c>
      <c r="C299" s="493">
        <v>43</v>
      </c>
      <c r="D299" s="490" t="s">
        <v>197</v>
      </c>
      <c r="E299" s="506" t="s">
        <v>98</v>
      </c>
      <c r="F299" s="160" t="s">
        <v>2</v>
      </c>
      <c r="G299" s="149">
        <v>700</v>
      </c>
      <c r="H299" s="149">
        <v>84</v>
      </c>
      <c r="I299" s="372" t="s">
        <v>98</v>
      </c>
      <c r="J299" s="372" t="s">
        <v>98</v>
      </c>
      <c r="K299" s="372" t="s">
        <v>98</v>
      </c>
      <c r="L299" s="149">
        <v>0.83</v>
      </c>
      <c r="M299" s="149">
        <v>11.6</v>
      </c>
      <c r="N299" s="435" t="s">
        <v>98</v>
      </c>
      <c r="O299" s="435" t="s">
        <v>98</v>
      </c>
      <c r="P299" s="445" t="s">
        <v>98</v>
      </c>
      <c r="Q299" s="524" t="s">
        <v>929</v>
      </c>
      <c r="R299" s="541" t="s">
        <v>798</v>
      </c>
      <c r="S299" s="533" t="s">
        <v>798</v>
      </c>
      <c r="T299" s="150"/>
      <c r="U299" s="150"/>
    </row>
    <row r="300" spans="1:21" s="146" customFormat="1" ht="16" customHeight="1">
      <c r="A300" s="154">
        <v>78</v>
      </c>
      <c r="B300" s="196" t="s">
        <v>669</v>
      </c>
      <c r="C300" s="523"/>
      <c r="D300" s="492"/>
      <c r="E300" s="507"/>
      <c r="F300" s="208"/>
      <c r="G300" s="150">
        <v>700</v>
      </c>
      <c r="H300" s="150">
        <v>84</v>
      </c>
      <c r="I300" s="372" t="s">
        <v>98</v>
      </c>
      <c r="J300" s="372" t="s">
        <v>98</v>
      </c>
      <c r="K300" s="372" t="s">
        <v>98</v>
      </c>
      <c r="L300" s="150">
        <v>0.74</v>
      </c>
      <c r="M300" s="150">
        <v>8.9</v>
      </c>
      <c r="N300" s="430" t="s">
        <v>98</v>
      </c>
      <c r="O300" s="430" t="s">
        <v>98</v>
      </c>
      <c r="P300" s="446" t="s">
        <v>98</v>
      </c>
      <c r="Q300" s="525"/>
      <c r="R300" s="542"/>
      <c r="S300" s="534"/>
      <c r="T300" s="40"/>
      <c r="U300" s="40"/>
    </row>
    <row r="301" spans="1:21" s="146" customFormat="1" ht="16" customHeight="1">
      <c r="A301" s="154">
        <v>79</v>
      </c>
      <c r="B301" s="196" t="s">
        <v>669</v>
      </c>
      <c r="C301" s="523"/>
      <c r="D301" s="492"/>
      <c r="E301" s="507"/>
      <c r="F301" s="208"/>
      <c r="G301" s="150">
        <v>700</v>
      </c>
      <c r="H301" s="150">
        <v>84</v>
      </c>
      <c r="I301" s="372" t="s">
        <v>98</v>
      </c>
      <c r="J301" s="372" t="s">
        <v>98</v>
      </c>
      <c r="K301" s="372" t="s">
        <v>98</v>
      </c>
      <c r="L301" s="150">
        <v>0.72</v>
      </c>
      <c r="M301" s="150">
        <v>5.7</v>
      </c>
      <c r="N301" s="430" t="s">
        <v>98</v>
      </c>
      <c r="O301" s="430" t="s">
        <v>98</v>
      </c>
      <c r="P301" s="446" t="s">
        <v>98</v>
      </c>
      <c r="Q301" s="525"/>
      <c r="R301" s="542"/>
      <c r="S301" s="534"/>
      <c r="T301" s="40"/>
      <c r="U301" s="40"/>
    </row>
    <row r="302" spans="1:21" s="146" customFormat="1" ht="16" customHeight="1">
      <c r="A302" s="154">
        <v>80</v>
      </c>
      <c r="B302" s="196" t="s">
        <v>669</v>
      </c>
      <c r="C302" s="523"/>
      <c r="D302" s="492"/>
      <c r="E302" s="507"/>
      <c r="F302" s="208"/>
      <c r="G302" s="150">
        <v>700</v>
      </c>
      <c r="H302" s="150">
        <v>51</v>
      </c>
      <c r="I302" s="372" t="s">
        <v>98</v>
      </c>
      <c r="J302" s="372" t="s">
        <v>98</v>
      </c>
      <c r="K302" s="372" t="s">
        <v>98</v>
      </c>
      <c r="L302" s="150">
        <v>0.81</v>
      </c>
      <c r="M302" s="150">
        <v>7</v>
      </c>
      <c r="N302" s="150">
        <v>0.99</v>
      </c>
      <c r="O302" s="430" t="s">
        <v>98</v>
      </c>
      <c r="P302" s="446" t="s">
        <v>98</v>
      </c>
      <c r="Q302" s="525"/>
      <c r="R302" s="542"/>
      <c r="S302" s="534"/>
      <c r="T302" s="40"/>
      <c r="U302" s="40"/>
    </row>
    <row r="303" spans="1:21" s="146" customFormat="1" ht="16" customHeight="1">
      <c r="A303" s="154">
        <v>81</v>
      </c>
      <c r="B303" s="196" t="s">
        <v>669</v>
      </c>
      <c r="C303" s="523"/>
      <c r="D303" s="492"/>
      <c r="E303" s="507"/>
      <c r="F303" s="208"/>
      <c r="G303" s="150">
        <v>700</v>
      </c>
      <c r="H303" s="150">
        <v>51</v>
      </c>
      <c r="I303" s="372" t="s">
        <v>98</v>
      </c>
      <c r="J303" s="372" t="s">
        <v>98</v>
      </c>
      <c r="K303" s="372" t="s">
        <v>98</v>
      </c>
      <c r="L303" s="150">
        <v>0.76</v>
      </c>
      <c r="M303" s="150">
        <v>5.9</v>
      </c>
      <c r="N303" s="150">
        <v>0.98</v>
      </c>
      <c r="O303" s="430" t="s">
        <v>98</v>
      </c>
      <c r="P303" s="446" t="s">
        <v>98</v>
      </c>
      <c r="Q303" s="525"/>
      <c r="R303" s="542"/>
      <c r="S303" s="534"/>
      <c r="T303" s="40"/>
      <c r="U303" s="40"/>
    </row>
    <row r="304" spans="1:21" s="190" customFormat="1" ht="16" customHeight="1">
      <c r="A304" s="156">
        <v>82</v>
      </c>
      <c r="B304" s="197" t="s">
        <v>669</v>
      </c>
      <c r="C304" s="494"/>
      <c r="D304" s="491"/>
      <c r="E304" s="508"/>
      <c r="F304" s="161"/>
      <c r="G304" s="151">
        <v>700</v>
      </c>
      <c r="H304" s="151">
        <v>51</v>
      </c>
      <c r="I304" s="372" t="s">
        <v>98</v>
      </c>
      <c r="J304" s="372" t="s">
        <v>98</v>
      </c>
      <c r="K304" s="372" t="s">
        <v>98</v>
      </c>
      <c r="L304" s="147">
        <v>0.75</v>
      </c>
      <c r="M304" s="151">
        <v>4.5</v>
      </c>
      <c r="N304" s="151">
        <v>0.8</v>
      </c>
      <c r="O304" s="431" t="s">
        <v>98</v>
      </c>
      <c r="P304" s="447" t="s">
        <v>98</v>
      </c>
      <c r="Q304" s="526"/>
      <c r="R304" s="543"/>
      <c r="S304" s="535"/>
      <c r="T304" s="150"/>
      <c r="U304" s="150"/>
    </row>
    <row r="305" spans="1:21" s="190" customFormat="1" ht="16" customHeight="1">
      <c r="A305" s="154">
        <v>83</v>
      </c>
      <c r="B305" s="196" t="s">
        <v>669</v>
      </c>
      <c r="C305" s="523">
        <v>44</v>
      </c>
      <c r="D305" s="492" t="s">
        <v>209</v>
      </c>
      <c r="E305" s="506" t="s">
        <v>98</v>
      </c>
      <c r="F305" s="208" t="s">
        <v>963</v>
      </c>
      <c r="G305" s="150">
        <v>565</v>
      </c>
      <c r="H305" s="150">
        <v>13</v>
      </c>
      <c r="I305" s="357" t="s">
        <v>98</v>
      </c>
      <c r="J305" s="357" t="s">
        <v>98</v>
      </c>
      <c r="K305" s="357" t="s">
        <v>98</v>
      </c>
      <c r="L305" s="357" t="s">
        <v>98</v>
      </c>
      <c r="M305" s="150">
        <v>6.5476190476190483</v>
      </c>
      <c r="N305" s="150">
        <v>0.7</v>
      </c>
      <c r="O305" s="150">
        <v>3.4920634920634916</v>
      </c>
      <c r="P305" s="425" t="s">
        <v>98</v>
      </c>
      <c r="Q305" s="525" t="s">
        <v>930</v>
      </c>
      <c r="R305" s="542" t="s">
        <v>931</v>
      </c>
      <c r="S305" s="534" t="s">
        <v>931</v>
      </c>
      <c r="T305" s="150"/>
    </row>
    <row r="306" spans="1:21" s="146" customFormat="1" ht="16" customHeight="1">
      <c r="A306" s="154">
        <v>84</v>
      </c>
      <c r="B306" s="196" t="s">
        <v>669</v>
      </c>
      <c r="C306" s="523"/>
      <c r="D306" s="492"/>
      <c r="E306" s="507"/>
      <c r="F306" s="208" t="s">
        <v>963</v>
      </c>
      <c r="G306" s="150">
        <v>565</v>
      </c>
      <c r="H306" s="150">
        <v>26</v>
      </c>
      <c r="I306" s="372" t="s">
        <v>98</v>
      </c>
      <c r="J306" s="372" t="s">
        <v>98</v>
      </c>
      <c r="K306" s="372" t="s">
        <v>98</v>
      </c>
      <c r="L306" s="372" t="s">
        <v>98</v>
      </c>
      <c r="M306" s="190">
        <v>6.9246031746031749</v>
      </c>
      <c r="N306" s="190">
        <v>0.7</v>
      </c>
      <c r="O306" s="190">
        <v>2.6388888888888888</v>
      </c>
      <c r="P306" s="425" t="s">
        <v>98</v>
      </c>
      <c r="Q306" s="525"/>
      <c r="R306" s="542"/>
      <c r="S306" s="534"/>
      <c r="T306" s="40"/>
    </row>
    <row r="307" spans="1:21" s="146" customFormat="1" ht="16" customHeight="1">
      <c r="A307" s="154">
        <v>85</v>
      </c>
      <c r="B307" s="196" t="s">
        <v>669</v>
      </c>
      <c r="C307" s="523"/>
      <c r="D307" s="492"/>
      <c r="E307" s="507"/>
      <c r="F307" s="208" t="s">
        <v>963</v>
      </c>
      <c r="G307" s="150">
        <v>565</v>
      </c>
      <c r="H307" s="150">
        <v>52</v>
      </c>
      <c r="I307" s="372" t="s">
        <v>98</v>
      </c>
      <c r="J307" s="372" t="s">
        <v>98</v>
      </c>
      <c r="K307" s="372" t="s">
        <v>98</v>
      </c>
      <c r="L307" s="372" t="s">
        <v>98</v>
      </c>
      <c r="M307" s="150">
        <v>8.1547619047619051</v>
      </c>
      <c r="N307" s="150">
        <v>0.7</v>
      </c>
      <c r="O307" s="150">
        <v>2.5793650793650795</v>
      </c>
      <c r="P307" s="430" t="s">
        <v>98</v>
      </c>
      <c r="Q307" s="525"/>
      <c r="R307" s="542"/>
      <c r="S307" s="534"/>
      <c r="T307" s="40"/>
    </row>
    <row r="308" spans="1:21" s="146" customFormat="1" ht="16" customHeight="1">
      <c r="A308" s="154">
        <v>86</v>
      </c>
      <c r="B308" s="196" t="s">
        <v>669</v>
      </c>
      <c r="C308" s="523"/>
      <c r="D308" s="492"/>
      <c r="E308" s="507"/>
      <c r="F308" s="208" t="s">
        <v>963</v>
      </c>
      <c r="G308" s="150">
        <v>565</v>
      </c>
      <c r="H308" s="150">
        <v>77</v>
      </c>
      <c r="I308" s="372" t="s">
        <v>98</v>
      </c>
      <c r="J308" s="372" t="s">
        <v>98</v>
      </c>
      <c r="K308" s="372" t="s">
        <v>98</v>
      </c>
      <c r="L308" s="372" t="s">
        <v>98</v>
      </c>
      <c r="M308" s="150">
        <v>9.1269841269841265</v>
      </c>
      <c r="N308" s="150">
        <v>0.7</v>
      </c>
      <c r="O308" s="150">
        <v>2.5595238095238098</v>
      </c>
      <c r="P308" s="430" t="s">
        <v>98</v>
      </c>
      <c r="Q308" s="525"/>
      <c r="R308" s="542"/>
      <c r="S308" s="534"/>
      <c r="T308" s="40"/>
    </row>
    <row r="309" spans="1:21" s="146" customFormat="1" ht="16" customHeight="1">
      <c r="A309" s="154">
        <v>87</v>
      </c>
      <c r="B309" s="196" t="s">
        <v>669</v>
      </c>
      <c r="C309" s="523"/>
      <c r="D309" s="492"/>
      <c r="E309" s="507"/>
      <c r="F309" s="208" t="s">
        <v>964</v>
      </c>
      <c r="G309" s="150">
        <v>558</v>
      </c>
      <c r="H309" s="150">
        <v>13</v>
      </c>
      <c r="I309" s="372" t="s">
        <v>98</v>
      </c>
      <c r="J309" s="372" t="s">
        <v>98</v>
      </c>
      <c r="K309" s="372" t="s">
        <v>98</v>
      </c>
      <c r="L309" s="372" t="s">
        <v>98</v>
      </c>
      <c r="M309" s="150">
        <v>6.6269841269841265</v>
      </c>
      <c r="N309" s="150">
        <v>0.7</v>
      </c>
      <c r="O309" s="150">
        <v>3.6111111111111112</v>
      </c>
      <c r="P309" s="430" t="s">
        <v>98</v>
      </c>
      <c r="Q309" s="525"/>
      <c r="R309" s="542"/>
      <c r="S309" s="534"/>
      <c r="T309" s="40"/>
    </row>
    <row r="310" spans="1:21" s="146" customFormat="1" ht="16" customHeight="1">
      <c r="A310" s="154">
        <v>88</v>
      </c>
      <c r="B310" s="196" t="s">
        <v>669</v>
      </c>
      <c r="C310" s="523"/>
      <c r="D310" s="492"/>
      <c r="E310" s="507"/>
      <c r="F310" s="208" t="s">
        <v>964</v>
      </c>
      <c r="G310" s="150">
        <v>558</v>
      </c>
      <c r="H310" s="150">
        <v>26</v>
      </c>
      <c r="I310" s="372" t="s">
        <v>98</v>
      </c>
      <c r="J310" s="372" t="s">
        <v>98</v>
      </c>
      <c r="K310" s="372" t="s">
        <v>98</v>
      </c>
      <c r="L310" s="372" t="s">
        <v>98</v>
      </c>
      <c r="M310" s="150">
        <v>6.8253968253968251</v>
      </c>
      <c r="N310" s="150">
        <v>0.7</v>
      </c>
      <c r="O310" s="150">
        <v>2.8174603174603172</v>
      </c>
      <c r="P310" s="430" t="s">
        <v>98</v>
      </c>
      <c r="Q310" s="525"/>
      <c r="R310" s="542"/>
      <c r="S310" s="534"/>
      <c r="T310" s="40"/>
    </row>
    <row r="311" spans="1:21" s="146" customFormat="1" ht="16" customHeight="1">
      <c r="A311" s="154">
        <v>89</v>
      </c>
      <c r="B311" s="196" t="s">
        <v>669</v>
      </c>
      <c r="C311" s="523"/>
      <c r="D311" s="492"/>
      <c r="E311" s="507"/>
      <c r="F311" s="208" t="s">
        <v>964</v>
      </c>
      <c r="G311" s="150">
        <v>558</v>
      </c>
      <c r="H311" s="150">
        <v>52</v>
      </c>
      <c r="I311" s="372" t="s">
        <v>98</v>
      </c>
      <c r="J311" s="372" t="s">
        <v>98</v>
      </c>
      <c r="K311" s="372" t="s">
        <v>98</v>
      </c>
      <c r="L311" s="372" t="s">
        <v>98</v>
      </c>
      <c r="M311" s="150">
        <v>8.2936507936507944</v>
      </c>
      <c r="N311" s="150">
        <v>0.7</v>
      </c>
      <c r="O311" s="150">
        <v>2.6587301587301586</v>
      </c>
      <c r="P311" s="430" t="s">
        <v>98</v>
      </c>
      <c r="Q311" s="525"/>
      <c r="R311" s="542"/>
      <c r="S311" s="534"/>
      <c r="T311" s="40"/>
    </row>
    <row r="312" spans="1:21" s="146" customFormat="1" ht="16" customHeight="1">
      <c r="A312" s="154">
        <v>90</v>
      </c>
      <c r="B312" s="196" t="s">
        <v>669</v>
      </c>
      <c r="C312" s="523"/>
      <c r="D312" s="492"/>
      <c r="E312" s="507"/>
      <c r="F312" s="208" t="s">
        <v>964</v>
      </c>
      <c r="G312" s="150">
        <v>558</v>
      </c>
      <c r="H312" s="150">
        <v>77</v>
      </c>
      <c r="I312" s="372" t="s">
        <v>98</v>
      </c>
      <c r="J312" s="372" t="s">
        <v>98</v>
      </c>
      <c r="K312" s="372" t="s">
        <v>98</v>
      </c>
      <c r="L312" s="372" t="s">
        <v>98</v>
      </c>
      <c r="M312" s="150">
        <v>9.4642857142857135</v>
      </c>
      <c r="N312" s="150">
        <v>0.7</v>
      </c>
      <c r="O312" s="150">
        <v>2.7182539682539684</v>
      </c>
      <c r="P312" s="430" t="s">
        <v>98</v>
      </c>
      <c r="Q312" s="525"/>
      <c r="R312" s="542"/>
      <c r="S312" s="534"/>
      <c r="T312" s="40"/>
    </row>
    <row r="313" spans="1:21" s="146" customFormat="1" ht="16" customHeight="1">
      <c r="A313" s="154">
        <v>91</v>
      </c>
      <c r="B313" s="196" t="s">
        <v>669</v>
      </c>
      <c r="C313" s="523"/>
      <c r="D313" s="492"/>
      <c r="E313" s="507"/>
      <c r="F313" s="208" t="s">
        <v>965</v>
      </c>
      <c r="G313" s="150">
        <v>407</v>
      </c>
      <c r="H313" s="150">
        <v>52</v>
      </c>
      <c r="I313" s="372" t="s">
        <v>98</v>
      </c>
      <c r="J313" s="372" t="s">
        <v>98</v>
      </c>
      <c r="K313" s="372" t="s">
        <v>98</v>
      </c>
      <c r="L313" s="372" t="s">
        <v>98</v>
      </c>
      <c r="M313" s="150">
        <v>10.297619047619047</v>
      </c>
      <c r="N313" s="150">
        <v>0.7</v>
      </c>
      <c r="O313" s="150">
        <v>2.876984126984127</v>
      </c>
      <c r="P313" s="430" t="s">
        <v>98</v>
      </c>
      <c r="Q313" s="525"/>
      <c r="R313" s="542"/>
      <c r="S313" s="534"/>
      <c r="T313" s="40"/>
    </row>
    <row r="314" spans="1:21" s="190" customFormat="1" ht="16" customHeight="1">
      <c r="A314" s="154">
        <v>92</v>
      </c>
      <c r="B314" s="196" t="s">
        <v>669</v>
      </c>
      <c r="C314" s="523"/>
      <c r="D314" s="492"/>
      <c r="E314" s="508"/>
      <c r="F314" s="208" t="s">
        <v>966</v>
      </c>
      <c r="G314" s="150">
        <v>429</v>
      </c>
      <c r="H314" s="150">
        <v>52</v>
      </c>
      <c r="I314" s="358" t="s">
        <v>98</v>
      </c>
      <c r="J314" s="358" t="s">
        <v>98</v>
      </c>
      <c r="K314" s="358" t="s">
        <v>98</v>
      </c>
      <c r="L314" s="358" t="s">
        <v>98</v>
      </c>
      <c r="M314" s="150">
        <v>9.1269841269841265</v>
      </c>
      <c r="N314" s="150">
        <v>0.7</v>
      </c>
      <c r="O314" s="150">
        <v>2.46031746031746</v>
      </c>
      <c r="P314" s="430" t="s">
        <v>98</v>
      </c>
      <c r="Q314" s="525"/>
      <c r="R314" s="542"/>
      <c r="S314" s="534"/>
      <c r="T314" s="150"/>
    </row>
    <row r="315" spans="1:21" s="190" customFormat="1" ht="16" customHeight="1">
      <c r="A315" s="88">
        <v>93</v>
      </c>
      <c r="B315" s="89" t="s">
        <v>669</v>
      </c>
      <c r="C315" s="347">
        <v>45</v>
      </c>
      <c r="D315" s="92" t="s">
        <v>180</v>
      </c>
      <c r="E315" s="132" t="s">
        <v>98</v>
      </c>
      <c r="F315" s="132" t="s">
        <v>2</v>
      </c>
      <c r="G315" s="92">
        <v>84</v>
      </c>
      <c r="H315" s="92"/>
      <c r="I315" s="92">
        <v>4</v>
      </c>
      <c r="J315" s="162">
        <v>12</v>
      </c>
      <c r="K315" s="162">
        <v>25</v>
      </c>
      <c r="L315" s="92">
        <v>0.95799999999999996</v>
      </c>
      <c r="M315" s="452" t="s">
        <v>98</v>
      </c>
      <c r="N315" s="92">
        <v>0.79200000000000004</v>
      </c>
      <c r="O315" s="92">
        <v>14.6</v>
      </c>
      <c r="P315" s="201">
        <v>47.3</v>
      </c>
      <c r="Q315" s="202" t="s">
        <v>932</v>
      </c>
      <c r="R315" s="201" t="s">
        <v>798</v>
      </c>
      <c r="S315" s="203" t="s">
        <v>798</v>
      </c>
      <c r="T315" s="150"/>
    </row>
    <row r="316" spans="1:21" s="146" customFormat="1" ht="16" customHeight="1">
      <c r="A316" s="154">
        <v>94</v>
      </c>
      <c r="B316" s="196" t="s">
        <v>669</v>
      </c>
      <c r="C316" s="523">
        <v>46</v>
      </c>
      <c r="D316" s="492" t="s">
        <v>200</v>
      </c>
      <c r="E316" s="208" t="s">
        <v>967</v>
      </c>
      <c r="F316" s="208" t="s">
        <v>2</v>
      </c>
      <c r="G316" s="150">
        <v>1000</v>
      </c>
      <c r="H316" s="150" t="s">
        <v>98</v>
      </c>
      <c r="I316" s="355" t="s">
        <v>98</v>
      </c>
      <c r="J316" s="355" t="s">
        <v>98</v>
      </c>
      <c r="K316" s="155">
        <v>25</v>
      </c>
      <c r="L316" s="150">
        <v>0.77070063694267499</v>
      </c>
      <c r="M316" s="430" t="s">
        <v>98</v>
      </c>
      <c r="N316" s="150">
        <v>0.68600000000000005</v>
      </c>
      <c r="O316" s="150">
        <v>45.2</v>
      </c>
      <c r="P316" s="441" t="s">
        <v>98</v>
      </c>
      <c r="Q316" s="528" t="s">
        <v>933</v>
      </c>
      <c r="R316" s="542" t="s">
        <v>798</v>
      </c>
      <c r="S316" s="534" t="s">
        <v>798</v>
      </c>
      <c r="T316" s="40"/>
      <c r="U316" s="40"/>
    </row>
    <row r="317" spans="1:21" s="146" customFormat="1" ht="16" customHeight="1">
      <c r="A317" s="154">
        <v>95</v>
      </c>
      <c r="B317" s="196" t="s">
        <v>669</v>
      </c>
      <c r="C317" s="523"/>
      <c r="D317" s="492"/>
      <c r="E317" s="208" t="s">
        <v>968</v>
      </c>
      <c r="F317" s="208" t="s">
        <v>2</v>
      </c>
      <c r="G317" s="150">
        <v>43</v>
      </c>
      <c r="H317" s="150" t="s">
        <v>98</v>
      </c>
      <c r="I317" s="355" t="s">
        <v>98</v>
      </c>
      <c r="J317" s="355" t="s">
        <v>98</v>
      </c>
      <c r="K317" s="155">
        <v>25</v>
      </c>
      <c r="L317" s="150">
        <v>0.81953290870488305</v>
      </c>
      <c r="M317" s="430" t="s">
        <v>98</v>
      </c>
      <c r="N317" s="150">
        <v>0.69500000000000006</v>
      </c>
      <c r="O317" s="150">
        <v>35.799999999999997</v>
      </c>
      <c r="P317" s="441" t="s">
        <v>98</v>
      </c>
      <c r="Q317" s="528"/>
      <c r="R317" s="542"/>
      <c r="S317" s="534"/>
      <c r="T317" s="40"/>
    </row>
    <row r="318" spans="1:21" s="146" customFormat="1" ht="16" customHeight="1">
      <c r="A318" s="154">
        <v>96</v>
      </c>
      <c r="B318" s="196" t="s">
        <v>669</v>
      </c>
      <c r="C318" s="523"/>
      <c r="D318" s="492"/>
      <c r="E318" s="208" t="s">
        <v>969</v>
      </c>
      <c r="F318" s="208" t="s">
        <v>2</v>
      </c>
      <c r="G318" s="150">
        <v>43</v>
      </c>
      <c r="H318" s="150" t="s">
        <v>98</v>
      </c>
      <c r="I318" s="355" t="s">
        <v>98</v>
      </c>
      <c r="J318" s="355" t="s">
        <v>98</v>
      </c>
      <c r="K318" s="155">
        <v>25</v>
      </c>
      <c r="L318" s="150">
        <v>0.87261146496815201</v>
      </c>
      <c r="M318" s="430" t="s">
        <v>98</v>
      </c>
      <c r="N318" s="150">
        <v>0.66</v>
      </c>
      <c r="O318" s="150">
        <v>24.8</v>
      </c>
      <c r="P318" s="441" t="s">
        <v>98</v>
      </c>
      <c r="Q318" s="528"/>
      <c r="R318" s="542"/>
      <c r="S318" s="534"/>
      <c r="T318" s="40"/>
    </row>
    <row r="319" spans="1:21" s="146" customFormat="1" ht="16" customHeight="1">
      <c r="A319" s="154">
        <v>97</v>
      </c>
      <c r="B319" s="196" t="s">
        <v>669</v>
      </c>
      <c r="C319" s="523"/>
      <c r="D319" s="492"/>
      <c r="E319" s="208" t="s">
        <v>970</v>
      </c>
      <c r="F319" s="208" t="s">
        <v>2</v>
      </c>
      <c r="G319" s="150">
        <v>43</v>
      </c>
      <c r="H319" s="150" t="s">
        <v>98</v>
      </c>
      <c r="I319" s="355" t="s">
        <v>98</v>
      </c>
      <c r="J319" s="355" t="s">
        <v>98</v>
      </c>
      <c r="K319" s="155">
        <v>25</v>
      </c>
      <c r="L319" s="150">
        <v>0.87261146496815201</v>
      </c>
      <c r="M319" s="430" t="s">
        <v>98</v>
      </c>
      <c r="N319" s="150">
        <v>0.53</v>
      </c>
      <c r="O319" s="150">
        <v>21.2</v>
      </c>
      <c r="P319" s="441" t="s">
        <v>98</v>
      </c>
      <c r="Q319" s="528"/>
      <c r="R319" s="542"/>
      <c r="S319" s="534"/>
      <c r="T319" s="40"/>
    </row>
    <row r="320" spans="1:21" s="146" customFormat="1" ht="16" customHeight="1">
      <c r="A320" s="154">
        <v>98</v>
      </c>
      <c r="B320" s="196" t="s">
        <v>669</v>
      </c>
      <c r="C320" s="523"/>
      <c r="D320" s="492"/>
      <c r="E320" s="507" t="s">
        <v>98</v>
      </c>
      <c r="F320" s="208" t="s">
        <v>2</v>
      </c>
      <c r="G320" s="150">
        <v>43</v>
      </c>
      <c r="H320" s="150">
        <v>1.8</v>
      </c>
      <c r="I320" s="355" t="s">
        <v>98</v>
      </c>
      <c r="J320" s="155" t="s">
        <v>934</v>
      </c>
      <c r="K320" s="155">
        <v>25</v>
      </c>
      <c r="L320" s="150">
        <v>0.56678700361010803</v>
      </c>
      <c r="M320" s="430" t="s">
        <v>98</v>
      </c>
      <c r="N320" s="150">
        <v>0.15999999999999992</v>
      </c>
      <c r="O320" s="150">
        <v>9.6</v>
      </c>
      <c r="P320" s="448" t="s">
        <v>98</v>
      </c>
      <c r="Q320" s="528"/>
      <c r="R320" s="542"/>
      <c r="S320" s="534"/>
      <c r="T320" s="40"/>
    </row>
    <row r="321" spans="1:20" s="146" customFormat="1" ht="16" customHeight="1">
      <c r="A321" s="154">
        <v>99</v>
      </c>
      <c r="B321" s="196" t="s">
        <v>669</v>
      </c>
      <c r="C321" s="523"/>
      <c r="D321" s="492"/>
      <c r="E321" s="507"/>
      <c r="F321" s="208" t="s">
        <v>2</v>
      </c>
      <c r="G321" s="150">
        <v>43</v>
      </c>
      <c r="H321" s="150">
        <v>3.4</v>
      </c>
      <c r="I321" s="355" t="s">
        <v>98</v>
      </c>
      <c r="J321" s="155" t="s">
        <v>934</v>
      </c>
      <c r="K321" s="155">
        <v>25</v>
      </c>
      <c r="L321" s="150">
        <v>0.70036101083032398</v>
      </c>
      <c r="M321" s="430" t="s">
        <v>98</v>
      </c>
      <c r="N321" s="150">
        <v>0.38</v>
      </c>
      <c r="O321" s="150">
        <v>13.3</v>
      </c>
      <c r="P321" s="448" t="s">
        <v>98</v>
      </c>
      <c r="Q321" s="528"/>
      <c r="R321" s="542"/>
      <c r="S321" s="534"/>
      <c r="T321" s="40"/>
    </row>
    <row r="322" spans="1:20" s="146" customFormat="1" ht="16" customHeight="1">
      <c r="A322" s="154">
        <v>100</v>
      </c>
      <c r="B322" s="196" t="s">
        <v>669</v>
      </c>
      <c r="C322" s="523"/>
      <c r="D322" s="492"/>
      <c r="E322" s="507"/>
      <c r="F322" s="208" t="s">
        <v>2</v>
      </c>
      <c r="G322" s="150">
        <v>43</v>
      </c>
      <c r="H322" s="150">
        <v>6.8</v>
      </c>
      <c r="I322" s="355" t="s">
        <v>98</v>
      </c>
      <c r="J322" s="155" t="s">
        <v>934</v>
      </c>
      <c r="K322" s="155">
        <v>25</v>
      </c>
      <c r="L322" s="150">
        <v>0.87364620938628101</v>
      </c>
      <c r="M322" s="430" t="s">
        <v>98</v>
      </c>
      <c r="N322" s="150">
        <v>0.66</v>
      </c>
      <c r="O322" s="150">
        <v>24.8</v>
      </c>
      <c r="P322" s="448" t="s">
        <v>98</v>
      </c>
      <c r="Q322" s="528"/>
      <c r="R322" s="542"/>
      <c r="S322" s="534"/>
      <c r="T322" s="40"/>
    </row>
    <row r="323" spans="1:20" s="146" customFormat="1" ht="16" customHeight="1">
      <c r="A323" s="154">
        <v>101</v>
      </c>
      <c r="B323" s="196" t="s">
        <v>669</v>
      </c>
      <c r="C323" s="523"/>
      <c r="D323" s="492"/>
      <c r="E323" s="507"/>
      <c r="F323" s="208" t="s">
        <v>2</v>
      </c>
      <c r="G323" s="150">
        <v>43</v>
      </c>
      <c r="H323" s="150">
        <v>10.4</v>
      </c>
      <c r="I323" s="355" t="s">
        <v>98</v>
      </c>
      <c r="J323" s="155" t="s">
        <v>934</v>
      </c>
      <c r="K323" s="155">
        <v>25</v>
      </c>
      <c r="L323" s="150">
        <v>0.94945848375451203</v>
      </c>
      <c r="M323" s="430" t="s">
        <v>98</v>
      </c>
      <c r="N323" s="150">
        <v>0.78</v>
      </c>
      <c r="O323" s="150">
        <v>48.9</v>
      </c>
      <c r="P323" s="448" t="s">
        <v>98</v>
      </c>
      <c r="Q323" s="528"/>
      <c r="R323" s="542"/>
      <c r="S323" s="534"/>
      <c r="T323" s="40"/>
    </row>
    <row r="324" spans="1:20" s="146" customFormat="1" ht="16" customHeight="1">
      <c r="A324" s="154">
        <v>102</v>
      </c>
      <c r="B324" s="196" t="s">
        <v>669</v>
      </c>
      <c r="C324" s="523"/>
      <c r="D324" s="492"/>
      <c r="E324" s="507"/>
      <c r="F324" s="208" t="s">
        <v>2</v>
      </c>
      <c r="G324" s="150">
        <v>43</v>
      </c>
      <c r="H324" s="150">
        <v>6.8</v>
      </c>
      <c r="I324" s="355" t="s">
        <v>98</v>
      </c>
      <c r="J324" s="155" t="s">
        <v>935</v>
      </c>
      <c r="K324" s="155">
        <v>25</v>
      </c>
      <c r="L324" s="150">
        <v>0.62454873646209297</v>
      </c>
      <c r="M324" s="430" t="s">
        <v>98</v>
      </c>
      <c r="N324" s="150">
        <v>0.52</v>
      </c>
      <c r="O324" s="150">
        <v>18.7</v>
      </c>
      <c r="P324" s="448" t="s">
        <v>98</v>
      </c>
      <c r="Q324" s="528"/>
      <c r="R324" s="542"/>
      <c r="S324" s="534"/>
      <c r="T324" s="40"/>
    </row>
    <row r="325" spans="1:20" s="146" customFormat="1" ht="16" customHeight="1">
      <c r="A325" s="154">
        <v>103</v>
      </c>
      <c r="B325" s="196" t="s">
        <v>669</v>
      </c>
      <c r="C325" s="523"/>
      <c r="D325" s="492"/>
      <c r="E325" s="507"/>
      <c r="F325" s="208" t="s">
        <v>2</v>
      </c>
      <c r="G325" s="150">
        <v>43</v>
      </c>
      <c r="H325" s="150">
        <v>6.8</v>
      </c>
      <c r="I325" s="355" t="s">
        <v>98</v>
      </c>
      <c r="J325" s="155" t="s">
        <v>934</v>
      </c>
      <c r="K325" s="155">
        <v>25</v>
      </c>
      <c r="L325" s="150">
        <v>0.85559566787003605</v>
      </c>
      <c r="M325" s="430" t="s">
        <v>98</v>
      </c>
      <c r="N325" s="150">
        <v>0.65</v>
      </c>
      <c r="O325" s="150">
        <v>24.8</v>
      </c>
      <c r="P325" s="448" t="s">
        <v>98</v>
      </c>
      <c r="Q325" s="528"/>
      <c r="R325" s="542"/>
      <c r="S325" s="534"/>
      <c r="T325" s="40"/>
    </row>
    <row r="326" spans="1:20" s="146" customFormat="1" ht="16" customHeight="1">
      <c r="A326" s="154">
        <v>104</v>
      </c>
      <c r="B326" s="196" t="s">
        <v>669</v>
      </c>
      <c r="C326" s="523"/>
      <c r="D326" s="492"/>
      <c r="E326" s="507"/>
      <c r="F326" s="208" t="s">
        <v>2</v>
      </c>
      <c r="G326" s="150">
        <v>43</v>
      </c>
      <c r="H326" s="150">
        <v>6.8</v>
      </c>
      <c r="I326" s="355" t="s">
        <v>98</v>
      </c>
      <c r="J326" s="155" t="s">
        <v>936</v>
      </c>
      <c r="K326" s="155">
        <v>25</v>
      </c>
      <c r="L326" s="150">
        <v>0.90613718411552302</v>
      </c>
      <c r="M326" s="430" t="s">
        <v>98</v>
      </c>
      <c r="N326" s="150">
        <v>0.7591</v>
      </c>
      <c r="O326" s="150">
        <v>35.79</v>
      </c>
      <c r="P326" s="448" t="s">
        <v>98</v>
      </c>
      <c r="Q326" s="528"/>
      <c r="R326" s="542"/>
      <c r="S326" s="534"/>
      <c r="T326" s="40"/>
    </row>
    <row r="327" spans="1:20" s="146" customFormat="1" ht="16" customHeight="1">
      <c r="A327" s="154">
        <v>105</v>
      </c>
      <c r="B327" s="196" t="s">
        <v>669</v>
      </c>
      <c r="C327" s="523"/>
      <c r="D327" s="492"/>
      <c r="E327" s="507"/>
      <c r="F327" s="208" t="s">
        <v>2</v>
      </c>
      <c r="G327" s="150">
        <v>43</v>
      </c>
      <c r="H327" s="150">
        <v>6.8</v>
      </c>
      <c r="I327" s="355" t="s">
        <v>98</v>
      </c>
      <c r="J327" s="155" t="s">
        <v>937</v>
      </c>
      <c r="K327" s="155">
        <v>25</v>
      </c>
      <c r="L327" s="150">
        <v>0.94584837545126299</v>
      </c>
      <c r="M327" s="430" t="s">
        <v>98</v>
      </c>
      <c r="N327" s="150">
        <v>0.71</v>
      </c>
      <c r="O327" s="150">
        <v>79.099999999999994</v>
      </c>
      <c r="P327" s="448" t="s">
        <v>98</v>
      </c>
      <c r="Q327" s="528"/>
      <c r="R327" s="542"/>
      <c r="S327" s="534"/>
      <c r="T327" s="40"/>
    </row>
    <row r="328" spans="1:20" s="146" customFormat="1" ht="16" customHeight="1">
      <c r="A328" s="154">
        <v>106</v>
      </c>
      <c r="B328" s="196" t="s">
        <v>669</v>
      </c>
      <c r="C328" s="523"/>
      <c r="D328" s="492"/>
      <c r="E328" s="501"/>
      <c r="F328" s="208" t="s">
        <v>2</v>
      </c>
      <c r="G328" s="150">
        <v>43</v>
      </c>
      <c r="H328" s="150">
        <v>6.8</v>
      </c>
      <c r="I328" s="355" t="s">
        <v>98</v>
      </c>
      <c r="J328" s="155" t="s">
        <v>934</v>
      </c>
      <c r="K328" s="155">
        <v>25</v>
      </c>
      <c r="L328" s="150">
        <v>0.87559808612440204</v>
      </c>
      <c r="M328" s="430" t="s">
        <v>98</v>
      </c>
      <c r="N328" s="150">
        <v>0.78</v>
      </c>
      <c r="O328" s="150">
        <v>20.399999999999999</v>
      </c>
      <c r="P328" s="441" t="s">
        <v>98</v>
      </c>
      <c r="Q328" s="528"/>
      <c r="R328" s="542"/>
      <c r="S328" s="534"/>
      <c r="T328" s="40"/>
    </row>
    <row r="329" spans="1:20" s="146" customFormat="1" ht="16" customHeight="1">
      <c r="A329" s="154">
        <v>107</v>
      </c>
      <c r="B329" s="196" t="s">
        <v>669</v>
      </c>
      <c r="C329" s="523"/>
      <c r="D329" s="492"/>
      <c r="E329" s="501"/>
      <c r="F329" s="208" t="s">
        <v>2</v>
      </c>
      <c r="G329" s="150">
        <v>43</v>
      </c>
      <c r="H329" s="150">
        <v>6.8</v>
      </c>
      <c r="I329" s="355" t="s">
        <v>98</v>
      </c>
      <c r="J329" s="155" t="s">
        <v>934</v>
      </c>
      <c r="K329" s="155">
        <v>25</v>
      </c>
      <c r="L329" s="150">
        <v>0.87799043062200999</v>
      </c>
      <c r="M329" s="430" t="s">
        <v>98</v>
      </c>
      <c r="N329" s="150">
        <v>0.67</v>
      </c>
      <c r="O329" s="150">
        <v>11</v>
      </c>
      <c r="P329" s="441" t="s">
        <v>98</v>
      </c>
      <c r="Q329" s="528"/>
      <c r="R329" s="542"/>
      <c r="S329" s="534"/>
      <c r="T329" s="40"/>
    </row>
    <row r="330" spans="1:20" s="146" customFormat="1" ht="16" customHeight="1">
      <c r="A330" s="154">
        <v>108</v>
      </c>
      <c r="B330" s="196" t="s">
        <v>669</v>
      </c>
      <c r="C330" s="523"/>
      <c r="D330" s="492"/>
      <c r="E330" s="501"/>
      <c r="F330" s="208" t="s">
        <v>2</v>
      </c>
      <c r="G330" s="150">
        <v>43</v>
      </c>
      <c r="H330" s="150">
        <v>6.8</v>
      </c>
      <c r="I330" s="355" t="s">
        <v>98</v>
      </c>
      <c r="J330" s="155" t="s">
        <v>934</v>
      </c>
      <c r="K330" s="155">
        <v>25</v>
      </c>
      <c r="L330" s="150">
        <v>0.86124401913875703</v>
      </c>
      <c r="M330" s="430" t="s">
        <v>98</v>
      </c>
      <c r="N330" s="150">
        <v>0.12</v>
      </c>
      <c r="O330" s="150">
        <v>70.400000000000006</v>
      </c>
      <c r="P330" s="441" t="s">
        <v>98</v>
      </c>
      <c r="Q330" s="528"/>
      <c r="R330" s="542"/>
      <c r="S330" s="534"/>
      <c r="T330" s="40"/>
    </row>
    <row r="331" spans="1:20" s="146" customFormat="1" ht="16" customHeight="1">
      <c r="A331" s="154">
        <v>109</v>
      </c>
      <c r="B331" s="196" t="s">
        <v>669</v>
      </c>
      <c r="C331" s="523"/>
      <c r="D331" s="492"/>
      <c r="E331" s="507"/>
      <c r="F331" s="208" t="s">
        <v>971</v>
      </c>
      <c r="G331" s="150">
        <v>42.5</v>
      </c>
      <c r="H331" s="150">
        <v>6.8</v>
      </c>
      <c r="I331" s="355" t="s">
        <v>98</v>
      </c>
      <c r="J331" s="155" t="s">
        <v>934</v>
      </c>
      <c r="K331" s="155">
        <v>25</v>
      </c>
      <c r="L331" s="150">
        <v>0.159</v>
      </c>
      <c r="M331" s="430" t="s">
        <v>98</v>
      </c>
      <c r="N331" s="150">
        <v>0.625</v>
      </c>
      <c r="O331" s="150">
        <v>25.1</v>
      </c>
      <c r="P331" s="449" t="s">
        <v>98</v>
      </c>
      <c r="Q331" s="528"/>
      <c r="R331" s="542"/>
      <c r="S331" s="534"/>
      <c r="T331" s="40"/>
    </row>
    <row r="332" spans="1:20" s="146" customFormat="1" ht="16" customHeight="1">
      <c r="A332" s="154">
        <v>110</v>
      </c>
      <c r="B332" s="196" t="s">
        <v>669</v>
      </c>
      <c r="C332" s="523"/>
      <c r="D332" s="492"/>
      <c r="E332" s="507"/>
      <c r="F332" s="208" t="s">
        <v>972</v>
      </c>
      <c r="G332" s="430" t="s">
        <v>98</v>
      </c>
      <c r="H332" s="150">
        <v>27.2</v>
      </c>
      <c r="I332" s="355" t="s">
        <v>98</v>
      </c>
      <c r="J332" s="155">
        <v>2</v>
      </c>
      <c r="K332" s="155">
        <v>25</v>
      </c>
      <c r="L332" s="150">
        <v>0.76149999999999995</v>
      </c>
      <c r="M332" s="430" t="s">
        <v>98</v>
      </c>
      <c r="N332" s="150">
        <v>0.58299999999999996</v>
      </c>
      <c r="O332" s="150">
        <v>7.8</v>
      </c>
      <c r="P332" s="450" t="s">
        <v>98</v>
      </c>
      <c r="Q332" s="528"/>
      <c r="R332" s="542"/>
      <c r="S332" s="534"/>
      <c r="T332" s="40"/>
    </row>
    <row r="333" spans="1:20" s="190" customFormat="1" ht="16" customHeight="1">
      <c r="A333" s="154">
        <v>111</v>
      </c>
      <c r="B333" s="196" t="s">
        <v>669</v>
      </c>
      <c r="C333" s="523"/>
      <c r="D333" s="492"/>
      <c r="E333" s="508"/>
      <c r="F333" s="208" t="s">
        <v>973</v>
      </c>
      <c r="G333" s="430" t="s">
        <v>98</v>
      </c>
      <c r="H333" s="150">
        <v>6.8</v>
      </c>
      <c r="I333" s="355" t="s">
        <v>98</v>
      </c>
      <c r="J333" s="155"/>
      <c r="K333" s="155">
        <v>25</v>
      </c>
      <c r="L333" s="150">
        <v>0.18690000000000001</v>
      </c>
      <c r="M333" s="425" t="s">
        <v>98</v>
      </c>
      <c r="N333" s="150">
        <v>0.78</v>
      </c>
      <c r="O333" s="150">
        <v>20.6</v>
      </c>
      <c r="P333" s="449" t="s">
        <v>98</v>
      </c>
      <c r="Q333" s="528"/>
      <c r="R333" s="542"/>
      <c r="S333" s="534"/>
      <c r="T333" s="150"/>
    </row>
    <row r="334" spans="1:20" s="190" customFormat="1" ht="16" customHeight="1">
      <c r="A334" s="88">
        <v>112</v>
      </c>
      <c r="B334" s="89" t="s">
        <v>669</v>
      </c>
      <c r="C334" s="347">
        <v>47</v>
      </c>
      <c r="D334" s="92" t="s">
        <v>224</v>
      </c>
      <c r="E334" s="132" t="s">
        <v>98</v>
      </c>
      <c r="F334" s="132" t="s">
        <v>903</v>
      </c>
      <c r="G334" s="92">
        <v>847</v>
      </c>
      <c r="H334" s="92">
        <v>20</v>
      </c>
      <c r="I334" s="92" t="s">
        <v>98</v>
      </c>
      <c r="J334" s="132">
        <v>72</v>
      </c>
      <c r="K334" s="132" t="s">
        <v>98</v>
      </c>
      <c r="L334" s="92">
        <v>0.23300000000000001</v>
      </c>
      <c r="M334" s="92">
        <v>4.9000000000000004</v>
      </c>
      <c r="N334" s="452" t="s">
        <v>98</v>
      </c>
      <c r="O334" s="452" t="s">
        <v>98</v>
      </c>
      <c r="P334" s="451" t="s">
        <v>98</v>
      </c>
      <c r="Q334" s="202" t="s">
        <v>928</v>
      </c>
      <c r="R334" s="115" t="s">
        <v>931</v>
      </c>
      <c r="S334" s="227" t="s">
        <v>931</v>
      </c>
      <c r="T334" s="150"/>
    </row>
    <row r="335" spans="1:20" s="190" customFormat="1" ht="16" customHeight="1">
      <c r="A335" s="154">
        <v>113</v>
      </c>
      <c r="B335" s="196" t="s">
        <v>669</v>
      </c>
      <c r="C335" s="523">
        <v>48</v>
      </c>
      <c r="D335" s="492" t="s">
        <v>201</v>
      </c>
      <c r="E335" s="506" t="s">
        <v>98</v>
      </c>
      <c r="F335" s="208" t="s">
        <v>903</v>
      </c>
      <c r="G335" s="190">
        <v>1000</v>
      </c>
      <c r="H335" s="190">
        <v>10</v>
      </c>
      <c r="I335" s="190" t="s">
        <v>98</v>
      </c>
      <c r="J335" s="363" t="s">
        <v>98</v>
      </c>
      <c r="K335" s="363" t="s">
        <v>98</v>
      </c>
      <c r="L335" s="190">
        <v>0.24360000000000001</v>
      </c>
      <c r="M335" s="190">
        <v>5.8</v>
      </c>
      <c r="N335" s="425" t="s">
        <v>98</v>
      </c>
      <c r="O335" s="425" t="s">
        <v>98</v>
      </c>
      <c r="P335" s="449" t="s">
        <v>98</v>
      </c>
      <c r="Q335" s="191"/>
      <c r="R335" s="542" t="s">
        <v>938</v>
      </c>
      <c r="S335" s="534" t="s">
        <v>798</v>
      </c>
    </row>
    <row r="336" spans="1:20" s="146" customFormat="1" ht="16" customHeight="1">
      <c r="A336" s="154">
        <v>114</v>
      </c>
      <c r="B336" s="196" t="s">
        <v>669</v>
      </c>
      <c r="C336" s="523"/>
      <c r="D336" s="492"/>
      <c r="E336" s="507"/>
      <c r="F336" s="428" t="s">
        <v>98</v>
      </c>
      <c r="G336" s="150">
        <v>1000</v>
      </c>
      <c r="H336" s="150">
        <v>10</v>
      </c>
      <c r="I336" s="150" t="s">
        <v>98</v>
      </c>
      <c r="J336" s="355" t="s">
        <v>98</v>
      </c>
      <c r="K336" s="355" t="s">
        <v>98</v>
      </c>
      <c r="L336" s="190">
        <v>0.72609999999999997</v>
      </c>
      <c r="M336" s="190">
        <v>7.5</v>
      </c>
      <c r="N336" s="425" t="s">
        <v>98</v>
      </c>
      <c r="O336" s="425" t="s">
        <v>98</v>
      </c>
      <c r="P336" s="449" t="s">
        <v>98</v>
      </c>
      <c r="Q336" s="191"/>
      <c r="R336" s="542"/>
      <c r="S336" s="534"/>
      <c r="T336" s="40"/>
    </row>
    <row r="337" spans="1:21" s="146" customFormat="1" ht="16" customHeight="1">
      <c r="A337" s="154">
        <v>115</v>
      </c>
      <c r="B337" s="196" t="s">
        <v>669</v>
      </c>
      <c r="C337" s="523"/>
      <c r="D337" s="492"/>
      <c r="E337" s="507"/>
      <c r="F337" s="428" t="s">
        <v>98</v>
      </c>
      <c r="G337" s="150">
        <v>1000</v>
      </c>
      <c r="H337" s="150">
        <v>10</v>
      </c>
      <c r="I337" s="150" t="s">
        <v>98</v>
      </c>
      <c r="J337" s="355" t="s">
        <v>98</v>
      </c>
      <c r="K337" s="355" t="s">
        <v>98</v>
      </c>
      <c r="L337" s="190">
        <v>0.83809999999999996</v>
      </c>
      <c r="M337" s="190">
        <v>9.6879875195007799</v>
      </c>
      <c r="N337" s="425" t="s">
        <v>98</v>
      </c>
      <c r="O337" s="425" t="s">
        <v>98</v>
      </c>
      <c r="P337" s="449" t="s">
        <v>98</v>
      </c>
      <c r="Q337" s="191"/>
      <c r="R337" s="542"/>
      <c r="S337" s="534"/>
      <c r="T337" s="40"/>
    </row>
    <row r="338" spans="1:21" s="190" customFormat="1" ht="16" customHeight="1">
      <c r="A338" s="154">
        <v>116</v>
      </c>
      <c r="B338" s="196" t="s">
        <v>669</v>
      </c>
      <c r="C338" s="523"/>
      <c r="D338" s="492"/>
      <c r="E338" s="508"/>
      <c r="F338" s="428" t="s">
        <v>98</v>
      </c>
      <c r="G338" s="150">
        <v>1000</v>
      </c>
      <c r="H338" s="190">
        <v>10</v>
      </c>
      <c r="I338" s="190" t="s">
        <v>98</v>
      </c>
      <c r="J338" s="363" t="s">
        <v>98</v>
      </c>
      <c r="K338" s="363" t="s">
        <v>98</v>
      </c>
      <c r="L338" s="190">
        <v>0.85629999999999995</v>
      </c>
      <c r="M338" s="190">
        <v>12.2</v>
      </c>
      <c r="N338" s="425" t="s">
        <v>98</v>
      </c>
      <c r="O338" s="425" t="s">
        <v>98</v>
      </c>
      <c r="P338" s="449" t="s">
        <v>98</v>
      </c>
      <c r="Q338" s="191"/>
      <c r="R338" s="542"/>
      <c r="S338" s="534"/>
      <c r="T338" s="150"/>
    </row>
    <row r="339" spans="1:21" s="146" customFormat="1" ht="16" customHeight="1">
      <c r="A339" s="152">
        <v>117</v>
      </c>
      <c r="B339" s="195" t="s">
        <v>669</v>
      </c>
      <c r="C339" s="493">
        <v>49</v>
      </c>
      <c r="D339" s="490" t="s">
        <v>216</v>
      </c>
      <c r="E339" s="506" t="s">
        <v>98</v>
      </c>
      <c r="F339" s="457" t="s">
        <v>98</v>
      </c>
      <c r="G339" s="149">
        <v>3400</v>
      </c>
      <c r="H339" s="149">
        <v>10</v>
      </c>
      <c r="I339" s="149" t="s">
        <v>98</v>
      </c>
      <c r="J339" s="354" t="s">
        <v>98</v>
      </c>
      <c r="K339" s="354" t="s">
        <v>98</v>
      </c>
      <c r="L339" s="144">
        <v>0.82</v>
      </c>
      <c r="M339" s="144">
        <v>8.4444444444444446</v>
      </c>
      <c r="N339" s="144">
        <v>0.64</v>
      </c>
      <c r="O339" s="427" t="s">
        <v>98</v>
      </c>
      <c r="P339" s="453" t="s">
        <v>98</v>
      </c>
      <c r="Q339" s="527" t="s">
        <v>928</v>
      </c>
      <c r="R339" s="541" t="s">
        <v>938</v>
      </c>
      <c r="S339" s="533" t="s">
        <v>798</v>
      </c>
      <c r="T339" s="40"/>
      <c r="U339" s="40"/>
    </row>
    <row r="340" spans="1:21" s="146" customFormat="1" ht="16" customHeight="1">
      <c r="A340" s="154">
        <v>118</v>
      </c>
      <c r="B340" s="196" t="s">
        <v>669</v>
      </c>
      <c r="C340" s="523"/>
      <c r="D340" s="492"/>
      <c r="E340" s="507"/>
      <c r="F340" s="428" t="s">
        <v>98</v>
      </c>
      <c r="G340" s="150">
        <v>3400</v>
      </c>
      <c r="H340" s="150">
        <v>20</v>
      </c>
      <c r="I340" s="150" t="s">
        <v>98</v>
      </c>
      <c r="J340" s="355" t="s">
        <v>98</v>
      </c>
      <c r="K340" s="355" t="s">
        <v>98</v>
      </c>
      <c r="L340" s="150">
        <v>0.73</v>
      </c>
      <c r="M340" s="150">
        <v>7.25</v>
      </c>
      <c r="N340" s="150">
        <v>0.73</v>
      </c>
      <c r="O340" s="430" t="s">
        <v>98</v>
      </c>
      <c r="P340" s="446" t="s">
        <v>98</v>
      </c>
      <c r="Q340" s="528"/>
      <c r="R340" s="542"/>
      <c r="S340" s="534"/>
      <c r="T340" s="40"/>
    </row>
    <row r="341" spans="1:21" s="190" customFormat="1" ht="16" customHeight="1">
      <c r="A341" s="156">
        <v>119</v>
      </c>
      <c r="B341" s="197" t="s">
        <v>669</v>
      </c>
      <c r="C341" s="494"/>
      <c r="D341" s="491"/>
      <c r="E341" s="508"/>
      <c r="F341" s="429" t="s">
        <v>98</v>
      </c>
      <c r="G341" s="151">
        <v>3400</v>
      </c>
      <c r="H341" s="151">
        <v>50</v>
      </c>
      <c r="I341" s="151" t="s">
        <v>98</v>
      </c>
      <c r="J341" s="356" t="s">
        <v>98</v>
      </c>
      <c r="K341" s="356" t="s">
        <v>98</v>
      </c>
      <c r="L341" s="151">
        <v>0.73</v>
      </c>
      <c r="M341" s="151">
        <v>15.638888888888888</v>
      </c>
      <c r="N341" s="151">
        <v>0.6</v>
      </c>
      <c r="O341" s="431" t="s">
        <v>98</v>
      </c>
      <c r="P341" s="454" t="s">
        <v>98</v>
      </c>
      <c r="Q341" s="529"/>
      <c r="R341" s="543"/>
      <c r="S341" s="535"/>
      <c r="T341" s="150"/>
    </row>
    <row r="342" spans="1:21" s="146" customFormat="1" ht="16" customHeight="1">
      <c r="A342" s="154">
        <v>120</v>
      </c>
      <c r="B342" s="196" t="s">
        <v>669</v>
      </c>
      <c r="C342" s="523">
        <v>50</v>
      </c>
      <c r="D342" s="492" t="s">
        <v>204</v>
      </c>
      <c r="E342" s="208" t="s">
        <v>974</v>
      </c>
      <c r="F342" s="428" t="s">
        <v>98</v>
      </c>
      <c r="G342" s="150">
        <v>921</v>
      </c>
      <c r="H342" s="190">
        <v>50</v>
      </c>
      <c r="I342" s="355" t="s">
        <v>98</v>
      </c>
      <c r="J342" s="355" t="s">
        <v>98</v>
      </c>
      <c r="K342" s="355" t="s">
        <v>98</v>
      </c>
      <c r="L342" s="190">
        <v>0.73</v>
      </c>
      <c r="M342" s="190">
        <v>29.6</v>
      </c>
      <c r="N342" s="425" t="s">
        <v>98</v>
      </c>
      <c r="O342" s="425" t="s">
        <v>98</v>
      </c>
      <c r="P342" s="455" t="s">
        <v>98</v>
      </c>
      <c r="Q342" s="503" t="s">
        <v>669</v>
      </c>
      <c r="R342" s="190"/>
      <c r="S342" s="196"/>
    </row>
    <row r="343" spans="1:21" s="146" customFormat="1" ht="16" customHeight="1">
      <c r="A343" s="154">
        <v>121</v>
      </c>
      <c r="B343" s="196" t="s">
        <v>669</v>
      </c>
      <c r="C343" s="523"/>
      <c r="D343" s="492"/>
      <c r="E343" s="208" t="s">
        <v>974</v>
      </c>
      <c r="F343" s="428" t="s">
        <v>98</v>
      </c>
      <c r="G343" s="150">
        <v>921</v>
      </c>
      <c r="H343" s="150">
        <v>50</v>
      </c>
      <c r="I343" s="355" t="s">
        <v>98</v>
      </c>
      <c r="J343" s="355" t="s">
        <v>98</v>
      </c>
      <c r="K343" s="355" t="s">
        <v>98</v>
      </c>
      <c r="L343" s="150">
        <v>0.72</v>
      </c>
      <c r="M343" s="150">
        <v>6.9</v>
      </c>
      <c r="N343" s="430" t="s">
        <v>98</v>
      </c>
      <c r="O343" s="430" t="s">
        <v>98</v>
      </c>
      <c r="P343" s="441" t="s">
        <v>98</v>
      </c>
      <c r="Q343" s="504"/>
      <c r="R343" s="190"/>
      <c r="S343" s="205"/>
      <c r="T343" s="40"/>
    </row>
    <row r="344" spans="1:21" s="146" customFormat="1" ht="16" customHeight="1">
      <c r="A344" s="154">
        <v>122</v>
      </c>
      <c r="B344" s="196" t="s">
        <v>669</v>
      </c>
      <c r="C344" s="523"/>
      <c r="D344" s="492"/>
      <c r="E344" s="208" t="s">
        <v>975</v>
      </c>
      <c r="F344" s="428" t="s">
        <v>98</v>
      </c>
      <c r="G344" s="150">
        <v>921</v>
      </c>
      <c r="H344" s="150">
        <v>100</v>
      </c>
      <c r="I344" s="355" t="s">
        <v>98</v>
      </c>
      <c r="J344" s="355" t="s">
        <v>98</v>
      </c>
      <c r="K344" s="355" t="s">
        <v>98</v>
      </c>
      <c r="L344" s="150">
        <v>0.64</v>
      </c>
      <c r="M344" s="150">
        <v>9.6</v>
      </c>
      <c r="N344" s="430" t="s">
        <v>98</v>
      </c>
      <c r="O344" s="430" t="s">
        <v>98</v>
      </c>
      <c r="P344" s="441" t="s">
        <v>98</v>
      </c>
      <c r="Q344" s="504"/>
      <c r="R344" s="190"/>
      <c r="S344" s="205"/>
      <c r="T344" s="40"/>
    </row>
    <row r="345" spans="1:21" s="146" customFormat="1" ht="16" customHeight="1">
      <c r="A345" s="154">
        <v>123</v>
      </c>
      <c r="B345" s="196" t="s">
        <v>669</v>
      </c>
      <c r="C345" s="523"/>
      <c r="D345" s="492"/>
      <c r="E345" s="208" t="s">
        <v>975</v>
      </c>
      <c r="F345" s="428" t="s">
        <v>98</v>
      </c>
      <c r="G345" s="150">
        <v>921</v>
      </c>
      <c r="H345" s="150">
        <v>100</v>
      </c>
      <c r="I345" s="355" t="s">
        <v>98</v>
      </c>
      <c r="J345" s="355" t="s">
        <v>98</v>
      </c>
      <c r="K345" s="355" t="s">
        <v>98</v>
      </c>
      <c r="L345" s="150">
        <v>0.42</v>
      </c>
      <c r="M345" s="150">
        <v>11.7</v>
      </c>
      <c r="N345" s="430" t="s">
        <v>98</v>
      </c>
      <c r="O345" s="430" t="s">
        <v>98</v>
      </c>
      <c r="P345" s="441" t="s">
        <v>98</v>
      </c>
      <c r="Q345" s="504"/>
      <c r="R345" s="190"/>
      <c r="S345" s="205"/>
      <c r="T345" s="40"/>
    </row>
    <row r="346" spans="1:21" s="146" customFormat="1" ht="16" customHeight="1">
      <c r="A346" s="154">
        <v>124</v>
      </c>
      <c r="B346" s="196" t="s">
        <v>669</v>
      </c>
      <c r="C346" s="523"/>
      <c r="D346" s="492"/>
      <c r="E346" s="208" t="s">
        <v>974</v>
      </c>
      <c r="F346" s="428" t="s">
        <v>98</v>
      </c>
      <c r="G346" s="150">
        <v>921</v>
      </c>
      <c r="H346" s="150">
        <v>100</v>
      </c>
      <c r="I346" s="355" t="s">
        <v>98</v>
      </c>
      <c r="J346" s="355" t="s">
        <v>98</v>
      </c>
      <c r="K346" s="355" t="s">
        <v>98</v>
      </c>
      <c r="L346" s="150">
        <v>0.57999999999999996</v>
      </c>
      <c r="M346" s="150">
        <v>20.399999999999999</v>
      </c>
      <c r="N346" s="430" t="s">
        <v>98</v>
      </c>
      <c r="O346" s="430" t="s">
        <v>98</v>
      </c>
      <c r="P346" s="441" t="s">
        <v>98</v>
      </c>
      <c r="Q346" s="504"/>
      <c r="R346" s="190"/>
      <c r="S346" s="205"/>
      <c r="T346" s="40"/>
    </row>
    <row r="347" spans="1:21" s="146" customFormat="1" ht="16" customHeight="1">
      <c r="A347" s="154">
        <v>125</v>
      </c>
      <c r="B347" s="196" t="s">
        <v>669</v>
      </c>
      <c r="C347" s="523"/>
      <c r="D347" s="492"/>
      <c r="E347" s="208" t="s">
        <v>974</v>
      </c>
      <c r="F347" s="428" t="s">
        <v>98</v>
      </c>
      <c r="G347" s="150">
        <v>921</v>
      </c>
      <c r="H347" s="150">
        <v>100</v>
      </c>
      <c r="I347" s="355" t="s">
        <v>98</v>
      </c>
      <c r="J347" s="355" t="s">
        <v>98</v>
      </c>
      <c r="K347" s="355" t="s">
        <v>98</v>
      </c>
      <c r="L347" s="150">
        <v>0.59</v>
      </c>
      <c r="M347" s="150">
        <v>19</v>
      </c>
      <c r="N347" s="430" t="s">
        <v>98</v>
      </c>
      <c r="O347" s="430" t="s">
        <v>98</v>
      </c>
      <c r="P347" s="441" t="s">
        <v>98</v>
      </c>
      <c r="Q347" s="504"/>
      <c r="R347" s="190"/>
      <c r="S347" s="205"/>
      <c r="T347" s="40"/>
    </row>
    <row r="348" spans="1:21" s="146" customFormat="1" ht="16" customHeight="1">
      <c r="A348" s="154">
        <v>126</v>
      </c>
      <c r="B348" s="196" t="s">
        <v>669</v>
      </c>
      <c r="C348" s="523"/>
      <c r="D348" s="492"/>
      <c r="E348" s="208" t="s">
        <v>974</v>
      </c>
      <c r="F348" s="428" t="s">
        <v>98</v>
      </c>
      <c r="G348" s="150">
        <v>921</v>
      </c>
      <c r="H348" s="150">
        <v>100</v>
      </c>
      <c r="I348" s="355" t="s">
        <v>98</v>
      </c>
      <c r="J348" s="355" t="s">
        <v>98</v>
      </c>
      <c r="K348" s="355" t="s">
        <v>98</v>
      </c>
      <c r="L348" s="150">
        <v>0.45</v>
      </c>
      <c r="M348" s="150">
        <v>22.6</v>
      </c>
      <c r="N348" s="430" t="s">
        <v>98</v>
      </c>
      <c r="O348" s="430" t="s">
        <v>98</v>
      </c>
      <c r="P348" s="441" t="s">
        <v>98</v>
      </c>
      <c r="Q348" s="504"/>
      <c r="R348" s="190"/>
      <c r="S348" s="205"/>
      <c r="T348" s="40"/>
    </row>
    <row r="349" spans="1:21" s="146" customFormat="1" ht="16" customHeight="1">
      <c r="A349" s="154">
        <v>127</v>
      </c>
      <c r="B349" s="196" t="s">
        <v>669</v>
      </c>
      <c r="C349" s="523"/>
      <c r="D349" s="492"/>
      <c r="E349" s="208" t="s">
        <v>976</v>
      </c>
      <c r="F349" s="428" t="s">
        <v>98</v>
      </c>
      <c r="G349" s="150">
        <v>921</v>
      </c>
      <c r="H349" s="150">
        <v>100</v>
      </c>
      <c r="I349" s="355" t="s">
        <v>98</v>
      </c>
      <c r="J349" s="355" t="s">
        <v>98</v>
      </c>
      <c r="K349" s="355" t="s">
        <v>98</v>
      </c>
      <c r="L349" s="150">
        <v>0.8</v>
      </c>
      <c r="M349" s="150">
        <v>20</v>
      </c>
      <c r="N349" s="430" t="s">
        <v>98</v>
      </c>
      <c r="O349" s="430" t="s">
        <v>98</v>
      </c>
      <c r="P349" s="446" t="s">
        <v>98</v>
      </c>
      <c r="Q349" s="504"/>
      <c r="R349" s="190"/>
      <c r="S349" s="205"/>
      <c r="T349" s="40"/>
    </row>
    <row r="350" spans="1:21" s="146" customFormat="1" ht="16" customHeight="1">
      <c r="A350" s="154">
        <v>128</v>
      </c>
      <c r="B350" s="196" t="s">
        <v>669</v>
      </c>
      <c r="C350" s="523"/>
      <c r="D350" s="492"/>
      <c r="E350" s="208" t="s">
        <v>976</v>
      </c>
      <c r="F350" s="428" t="s">
        <v>98</v>
      </c>
      <c r="G350" s="150">
        <v>921</v>
      </c>
      <c r="H350" s="150">
        <v>200</v>
      </c>
      <c r="I350" s="355" t="s">
        <v>98</v>
      </c>
      <c r="J350" s="355" t="s">
        <v>98</v>
      </c>
      <c r="K350" s="355" t="s">
        <v>98</v>
      </c>
      <c r="L350" s="150">
        <v>0.74</v>
      </c>
      <c r="M350" s="150">
        <v>10.199999999999999</v>
      </c>
      <c r="N350" s="430" t="s">
        <v>98</v>
      </c>
      <c r="O350" s="430" t="s">
        <v>98</v>
      </c>
      <c r="P350" s="446" t="s">
        <v>98</v>
      </c>
      <c r="Q350" s="504"/>
      <c r="R350" s="190"/>
      <c r="S350" s="205"/>
      <c r="T350" s="40"/>
    </row>
    <row r="351" spans="1:21" s="146" customFormat="1" ht="16" customHeight="1">
      <c r="A351" s="154">
        <v>129</v>
      </c>
      <c r="B351" s="196" t="s">
        <v>669</v>
      </c>
      <c r="C351" s="523"/>
      <c r="D351" s="492"/>
      <c r="E351" s="208" t="s">
        <v>974</v>
      </c>
      <c r="F351" s="428" t="s">
        <v>98</v>
      </c>
      <c r="G351" s="150">
        <v>921</v>
      </c>
      <c r="H351" s="190">
        <v>100</v>
      </c>
      <c r="I351" s="355" t="s">
        <v>98</v>
      </c>
      <c r="J351" s="355" t="s">
        <v>98</v>
      </c>
      <c r="K351" s="355" t="s">
        <v>98</v>
      </c>
      <c r="L351" s="150">
        <v>0.68</v>
      </c>
      <c r="M351" s="190">
        <v>49.4</v>
      </c>
      <c r="N351" s="425" t="s">
        <v>98</v>
      </c>
      <c r="O351" s="425" t="s">
        <v>98</v>
      </c>
      <c r="P351" s="455" t="s">
        <v>98</v>
      </c>
      <c r="Q351" s="504"/>
      <c r="R351" s="190"/>
      <c r="S351" s="196"/>
    </row>
    <row r="352" spans="1:21" s="146" customFormat="1" ht="16" customHeight="1">
      <c r="A352" s="154">
        <v>130</v>
      </c>
      <c r="B352" s="196" t="s">
        <v>669</v>
      </c>
      <c r="C352" s="523"/>
      <c r="D352" s="492"/>
      <c r="E352" s="208" t="s">
        <v>974</v>
      </c>
      <c r="F352" s="428" t="s">
        <v>98</v>
      </c>
      <c r="G352" s="150">
        <v>921</v>
      </c>
      <c r="H352" s="190">
        <v>100</v>
      </c>
      <c r="I352" s="355" t="s">
        <v>98</v>
      </c>
      <c r="J352" s="355" t="s">
        <v>98</v>
      </c>
      <c r="K352" s="355" t="s">
        <v>98</v>
      </c>
      <c r="L352" s="150">
        <v>0.52</v>
      </c>
      <c r="M352" s="190">
        <v>9.6999999999999993</v>
      </c>
      <c r="N352" s="425" t="s">
        <v>98</v>
      </c>
      <c r="O352" s="425" t="s">
        <v>98</v>
      </c>
      <c r="P352" s="455" t="s">
        <v>98</v>
      </c>
      <c r="Q352" s="504"/>
      <c r="R352" s="190"/>
      <c r="S352" s="196"/>
    </row>
    <row r="353" spans="1:19" s="146" customFormat="1" ht="16" customHeight="1">
      <c r="A353" s="154">
        <v>131</v>
      </c>
      <c r="B353" s="196" t="s">
        <v>669</v>
      </c>
      <c r="C353" s="523"/>
      <c r="D353" s="492"/>
      <c r="E353" s="208" t="s">
        <v>974</v>
      </c>
      <c r="F353" s="428" t="s">
        <v>98</v>
      </c>
      <c r="G353" s="150">
        <v>921</v>
      </c>
      <c r="H353" s="190">
        <v>100</v>
      </c>
      <c r="I353" s="355" t="s">
        <v>98</v>
      </c>
      <c r="J353" s="355" t="s">
        <v>98</v>
      </c>
      <c r="K353" s="355" t="s">
        <v>98</v>
      </c>
      <c r="L353" s="150">
        <v>0.49</v>
      </c>
      <c r="M353" s="190">
        <v>9.5</v>
      </c>
      <c r="N353" s="425" t="s">
        <v>98</v>
      </c>
      <c r="O353" s="425" t="s">
        <v>98</v>
      </c>
      <c r="P353" s="455" t="s">
        <v>98</v>
      </c>
      <c r="Q353" s="504"/>
      <c r="R353" s="190"/>
      <c r="S353" s="196"/>
    </row>
    <row r="354" spans="1:19" s="146" customFormat="1" ht="16" customHeight="1">
      <c r="A354" s="154">
        <v>132</v>
      </c>
      <c r="B354" s="196" t="s">
        <v>669</v>
      </c>
      <c r="C354" s="523"/>
      <c r="D354" s="492"/>
      <c r="E354" s="208" t="s">
        <v>974</v>
      </c>
      <c r="F354" s="428" t="s">
        <v>98</v>
      </c>
      <c r="G354" s="150">
        <v>921</v>
      </c>
      <c r="H354" s="190">
        <v>100</v>
      </c>
      <c r="I354" s="355" t="s">
        <v>98</v>
      </c>
      <c r="J354" s="355" t="s">
        <v>98</v>
      </c>
      <c r="K354" s="355" t="s">
        <v>98</v>
      </c>
      <c r="L354" s="150">
        <v>0.56999999999999995</v>
      </c>
      <c r="M354" s="190">
        <v>5.4</v>
      </c>
      <c r="N354" s="425" t="s">
        <v>98</v>
      </c>
      <c r="O354" s="425" t="s">
        <v>98</v>
      </c>
      <c r="P354" s="455" t="s">
        <v>98</v>
      </c>
      <c r="Q354" s="504"/>
      <c r="R354" s="190"/>
      <c r="S354" s="196"/>
    </row>
    <row r="355" spans="1:19" s="146" customFormat="1" ht="16" customHeight="1">
      <c r="A355" s="154">
        <v>133</v>
      </c>
      <c r="B355" s="196" t="s">
        <v>669</v>
      </c>
      <c r="C355" s="523"/>
      <c r="D355" s="492"/>
      <c r="E355" s="208" t="s">
        <v>976</v>
      </c>
      <c r="F355" s="428" t="s">
        <v>98</v>
      </c>
      <c r="G355" s="150">
        <v>921</v>
      </c>
      <c r="H355" s="190">
        <v>100</v>
      </c>
      <c r="I355" s="355" t="s">
        <v>98</v>
      </c>
      <c r="J355" s="355" t="s">
        <v>98</v>
      </c>
      <c r="K355" s="355" t="s">
        <v>98</v>
      </c>
      <c r="L355" s="150">
        <v>0.84</v>
      </c>
      <c r="M355" s="190">
        <v>6.1</v>
      </c>
      <c r="N355" s="425" t="s">
        <v>98</v>
      </c>
      <c r="O355" s="425" t="s">
        <v>98</v>
      </c>
      <c r="P355" s="455" t="s">
        <v>98</v>
      </c>
      <c r="Q355" s="504"/>
      <c r="R355" s="190"/>
      <c r="S355" s="196"/>
    </row>
    <row r="356" spans="1:19" s="146" customFormat="1" ht="16" customHeight="1">
      <c r="A356" s="154">
        <v>134</v>
      </c>
      <c r="B356" s="196" t="s">
        <v>669</v>
      </c>
      <c r="C356" s="523"/>
      <c r="D356" s="492"/>
      <c r="E356" s="208" t="s">
        <v>974</v>
      </c>
      <c r="F356" s="428" t="s">
        <v>98</v>
      </c>
      <c r="G356" s="150">
        <v>921</v>
      </c>
      <c r="H356" s="190">
        <v>100</v>
      </c>
      <c r="I356" s="355" t="s">
        <v>98</v>
      </c>
      <c r="J356" s="355" t="s">
        <v>98</v>
      </c>
      <c r="K356" s="355" t="s">
        <v>98</v>
      </c>
      <c r="L356" s="150">
        <v>0.67</v>
      </c>
      <c r="M356" s="190">
        <v>3.7</v>
      </c>
      <c r="N356" s="425" t="s">
        <v>98</v>
      </c>
      <c r="O356" s="425" t="s">
        <v>98</v>
      </c>
      <c r="P356" s="455" t="s">
        <v>98</v>
      </c>
      <c r="Q356" s="504"/>
      <c r="R356" s="190"/>
      <c r="S356" s="196"/>
    </row>
    <row r="357" spans="1:19" s="146" customFormat="1" ht="16" customHeight="1">
      <c r="A357" s="154">
        <v>135</v>
      </c>
      <c r="B357" s="196" t="s">
        <v>669</v>
      </c>
      <c r="C357" s="523"/>
      <c r="D357" s="492"/>
      <c r="E357" s="208" t="s">
        <v>974</v>
      </c>
      <c r="F357" s="428" t="s">
        <v>98</v>
      </c>
      <c r="G357" s="150">
        <v>921</v>
      </c>
      <c r="H357" s="190">
        <v>100</v>
      </c>
      <c r="I357" s="355" t="s">
        <v>98</v>
      </c>
      <c r="J357" s="355" t="s">
        <v>98</v>
      </c>
      <c r="K357" s="355" t="s">
        <v>98</v>
      </c>
      <c r="L357" s="150">
        <v>0.41</v>
      </c>
      <c r="M357" s="190">
        <v>2.1</v>
      </c>
      <c r="N357" s="425" t="s">
        <v>98</v>
      </c>
      <c r="O357" s="425" t="s">
        <v>98</v>
      </c>
      <c r="P357" s="455" t="s">
        <v>98</v>
      </c>
      <c r="Q357" s="504"/>
      <c r="R357" s="190"/>
      <c r="S357" s="196"/>
    </row>
    <row r="358" spans="1:19" s="146" customFormat="1" ht="16" customHeight="1">
      <c r="A358" s="154">
        <v>136</v>
      </c>
      <c r="B358" s="196" t="s">
        <v>669</v>
      </c>
      <c r="C358" s="523"/>
      <c r="D358" s="492"/>
      <c r="E358" s="208" t="s">
        <v>974</v>
      </c>
      <c r="F358" s="428" t="s">
        <v>98</v>
      </c>
      <c r="G358" s="150">
        <v>921</v>
      </c>
      <c r="H358" s="190">
        <v>100</v>
      </c>
      <c r="I358" s="355" t="s">
        <v>98</v>
      </c>
      <c r="J358" s="355" t="s">
        <v>98</v>
      </c>
      <c r="K358" s="355" t="s">
        <v>98</v>
      </c>
      <c r="L358" s="150">
        <v>0.55000000000000004</v>
      </c>
      <c r="M358" s="190">
        <v>1.3</v>
      </c>
      <c r="N358" s="425" t="s">
        <v>98</v>
      </c>
      <c r="O358" s="425" t="s">
        <v>98</v>
      </c>
      <c r="P358" s="455" t="s">
        <v>98</v>
      </c>
      <c r="Q358" s="504"/>
      <c r="R358" s="190"/>
      <c r="S358" s="196"/>
    </row>
    <row r="359" spans="1:19" s="146" customFormat="1" ht="16" customHeight="1">
      <c r="A359" s="154">
        <v>137</v>
      </c>
      <c r="B359" s="196" t="s">
        <v>669</v>
      </c>
      <c r="C359" s="523"/>
      <c r="D359" s="492"/>
      <c r="E359" s="208" t="s">
        <v>98</v>
      </c>
      <c r="F359" s="372" t="s">
        <v>98</v>
      </c>
      <c r="G359" s="190">
        <v>921</v>
      </c>
      <c r="H359" s="190">
        <v>100</v>
      </c>
      <c r="I359" s="355" t="s">
        <v>98</v>
      </c>
      <c r="J359" s="355" t="s">
        <v>98</v>
      </c>
      <c r="K359" s="355" t="s">
        <v>98</v>
      </c>
      <c r="L359" s="150">
        <v>0.8</v>
      </c>
      <c r="M359" s="190">
        <v>13.6</v>
      </c>
      <c r="N359" s="425" t="s">
        <v>98</v>
      </c>
      <c r="O359" s="425" t="s">
        <v>98</v>
      </c>
      <c r="P359" s="455" t="s">
        <v>98</v>
      </c>
      <c r="Q359" s="504"/>
      <c r="R359" s="190"/>
      <c r="S359" s="196"/>
    </row>
    <row r="360" spans="1:19" s="146" customFormat="1" ht="16" customHeight="1">
      <c r="A360" s="154">
        <v>138</v>
      </c>
      <c r="B360" s="196" t="s">
        <v>669</v>
      </c>
      <c r="C360" s="523"/>
      <c r="D360" s="492"/>
      <c r="E360" s="208" t="s">
        <v>98</v>
      </c>
      <c r="F360" s="372" t="s">
        <v>98</v>
      </c>
      <c r="G360" s="190">
        <v>921</v>
      </c>
      <c r="H360" s="190">
        <v>100</v>
      </c>
      <c r="I360" s="355" t="s">
        <v>98</v>
      </c>
      <c r="J360" s="355" t="s">
        <v>98</v>
      </c>
      <c r="K360" s="355" t="s">
        <v>98</v>
      </c>
      <c r="L360" s="150">
        <v>0.88</v>
      </c>
      <c r="M360" s="190">
        <v>13.4</v>
      </c>
      <c r="N360" s="425" t="s">
        <v>98</v>
      </c>
      <c r="O360" s="425" t="s">
        <v>98</v>
      </c>
      <c r="P360" s="455" t="s">
        <v>98</v>
      </c>
      <c r="Q360" s="504"/>
      <c r="R360" s="190"/>
      <c r="S360" s="196"/>
    </row>
    <row r="361" spans="1:19" s="190" customFormat="1" ht="16" customHeight="1">
      <c r="A361" s="154">
        <v>139</v>
      </c>
      <c r="B361" s="196" t="s">
        <v>669</v>
      </c>
      <c r="C361" s="523"/>
      <c r="D361" s="492"/>
      <c r="E361" s="208" t="s">
        <v>98</v>
      </c>
      <c r="F361" s="372" t="s">
        <v>98</v>
      </c>
      <c r="G361" s="190">
        <v>921</v>
      </c>
      <c r="H361" s="190">
        <v>100</v>
      </c>
      <c r="I361" s="364" t="s">
        <v>98</v>
      </c>
      <c r="J361" s="358" t="s">
        <v>98</v>
      </c>
      <c r="K361" s="358" t="s">
        <v>98</v>
      </c>
      <c r="L361" s="150">
        <v>0.83</v>
      </c>
      <c r="M361" s="190">
        <v>12.7</v>
      </c>
      <c r="N361" s="425" t="s">
        <v>98</v>
      </c>
      <c r="O361" s="425" t="s">
        <v>98</v>
      </c>
      <c r="P361" s="455" t="s">
        <v>98</v>
      </c>
      <c r="Q361" s="505"/>
      <c r="S361" s="196"/>
    </row>
    <row r="362" spans="1:19" s="146" customFormat="1" ht="16" customHeight="1">
      <c r="A362" s="152">
        <v>140</v>
      </c>
      <c r="B362" s="195" t="s">
        <v>669</v>
      </c>
      <c r="C362" s="493">
        <v>51</v>
      </c>
      <c r="D362" s="490" t="s">
        <v>214</v>
      </c>
      <c r="E362" s="160" t="s">
        <v>977</v>
      </c>
      <c r="F362" s="160" t="s">
        <v>2</v>
      </c>
      <c r="G362" s="144">
        <v>4000</v>
      </c>
      <c r="H362" s="144">
        <v>20</v>
      </c>
      <c r="I362" s="355" t="s">
        <v>98</v>
      </c>
      <c r="J362" s="355" t="s">
        <v>98</v>
      </c>
      <c r="K362" s="355" t="s">
        <v>98</v>
      </c>
      <c r="L362" s="144">
        <v>0.71461538461538399</v>
      </c>
      <c r="M362" s="144">
        <v>9.6999999999999993</v>
      </c>
      <c r="N362" s="427" t="s">
        <v>98</v>
      </c>
      <c r="O362" s="427" t="s">
        <v>98</v>
      </c>
      <c r="P362" s="456" t="s">
        <v>98</v>
      </c>
      <c r="Q362" s="527" t="s">
        <v>939</v>
      </c>
      <c r="R362" s="493" t="s">
        <v>798</v>
      </c>
      <c r="S362" s="522" t="s">
        <v>798</v>
      </c>
    </row>
    <row r="363" spans="1:19" s="146" customFormat="1" ht="16" customHeight="1">
      <c r="A363" s="154">
        <v>141</v>
      </c>
      <c r="B363" s="196" t="s">
        <v>669</v>
      </c>
      <c r="C363" s="523"/>
      <c r="D363" s="492"/>
      <c r="E363" s="208" t="s">
        <v>978</v>
      </c>
      <c r="F363" s="208" t="s">
        <v>2</v>
      </c>
      <c r="G363" s="190">
        <v>4000</v>
      </c>
      <c r="H363" s="190">
        <v>20</v>
      </c>
      <c r="I363" s="355" t="s">
        <v>98</v>
      </c>
      <c r="J363" s="355" t="s">
        <v>98</v>
      </c>
      <c r="K363" s="355" t="s">
        <v>98</v>
      </c>
      <c r="L363" s="150">
        <v>0.80384615384615299</v>
      </c>
      <c r="M363" s="190">
        <v>11.5</v>
      </c>
      <c r="N363" s="425" t="s">
        <v>98</v>
      </c>
      <c r="O363" s="425" t="s">
        <v>98</v>
      </c>
      <c r="P363" s="448" t="s">
        <v>98</v>
      </c>
      <c r="Q363" s="528"/>
      <c r="R363" s="523"/>
      <c r="S363" s="536"/>
    </row>
    <row r="364" spans="1:19" s="146" customFormat="1" ht="16" customHeight="1">
      <c r="A364" s="154">
        <v>142</v>
      </c>
      <c r="B364" s="196" t="s">
        <v>669</v>
      </c>
      <c r="C364" s="523"/>
      <c r="D364" s="492"/>
      <c r="E364" s="208" t="s">
        <v>979</v>
      </c>
      <c r="F364" s="208" t="s">
        <v>2</v>
      </c>
      <c r="G364" s="190">
        <v>4000</v>
      </c>
      <c r="H364" s="190">
        <v>20</v>
      </c>
      <c r="I364" s="355" t="s">
        <v>98</v>
      </c>
      <c r="J364" s="355" t="s">
        <v>98</v>
      </c>
      <c r="K364" s="355" t="s">
        <v>98</v>
      </c>
      <c r="L364" s="190">
        <v>0.84846153846153805</v>
      </c>
      <c r="M364" s="190">
        <v>13.4</v>
      </c>
      <c r="N364" s="425" t="s">
        <v>98</v>
      </c>
      <c r="O364" s="425" t="s">
        <v>98</v>
      </c>
      <c r="P364" s="448" t="s">
        <v>98</v>
      </c>
      <c r="Q364" s="528"/>
      <c r="R364" s="523"/>
      <c r="S364" s="536"/>
    </row>
    <row r="365" spans="1:19" s="146" customFormat="1" ht="16" customHeight="1">
      <c r="A365" s="154">
        <v>143</v>
      </c>
      <c r="B365" s="196" t="s">
        <v>669</v>
      </c>
      <c r="C365" s="523"/>
      <c r="D365" s="492"/>
      <c r="E365" s="208" t="s">
        <v>980</v>
      </c>
      <c r="F365" s="208" t="s">
        <v>2</v>
      </c>
      <c r="G365" s="190">
        <v>4000</v>
      </c>
      <c r="H365" s="190">
        <v>20</v>
      </c>
      <c r="I365" s="355" t="s">
        <v>98</v>
      </c>
      <c r="J365" s="355" t="s">
        <v>98</v>
      </c>
      <c r="K365" s="355" t="s">
        <v>98</v>
      </c>
      <c r="L365" s="150">
        <v>0.67846153846153801</v>
      </c>
      <c r="M365" s="190">
        <v>10.1</v>
      </c>
      <c r="N365" s="425" t="s">
        <v>98</v>
      </c>
      <c r="O365" s="425" t="s">
        <v>98</v>
      </c>
      <c r="P365" s="448" t="s">
        <v>98</v>
      </c>
      <c r="Q365" s="528"/>
      <c r="R365" s="523"/>
      <c r="S365" s="536"/>
    </row>
    <row r="366" spans="1:19" s="146" customFormat="1" ht="16" customHeight="1">
      <c r="A366" s="154">
        <v>144</v>
      </c>
      <c r="B366" s="196" t="s">
        <v>669</v>
      </c>
      <c r="C366" s="523"/>
      <c r="D366" s="492"/>
      <c r="E366" s="208" t="s">
        <v>978</v>
      </c>
      <c r="F366" s="208" t="s">
        <v>2</v>
      </c>
      <c r="G366" s="190">
        <v>4000</v>
      </c>
      <c r="H366" s="190">
        <v>20</v>
      </c>
      <c r="I366" s="355" t="s">
        <v>98</v>
      </c>
      <c r="J366" s="355" t="s">
        <v>98</v>
      </c>
      <c r="K366" s="355" t="s">
        <v>98</v>
      </c>
      <c r="L366" s="190">
        <v>0.83692307692307699</v>
      </c>
      <c r="M366" s="190">
        <v>11.7</v>
      </c>
      <c r="N366" s="425" t="s">
        <v>98</v>
      </c>
      <c r="O366" s="425" t="s">
        <v>98</v>
      </c>
      <c r="P366" s="448" t="s">
        <v>98</v>
      </c>
      <c r="Q366" s="528"/>
      <c r="R366" s="523"/>
      <c r="S366" s="536"/>
    </row>
    <row r="367" spans="1:19" s="146" customFormat="1" ht="16" customHeight="1">
      <c r="A367" s="154">
        <v>145</v>
      </c>
      <c r="B367" s="196" t="s">
        <v>669</v>
      </c>
      <c r="C367" s="523"/>
      <c r="D367" s="492"/>
      <c r="E367" s="208" t="s">
        <v>979</v>
      </c>
      <c r="F367" s="208" t="s">
        <v>2</v>
      </c>
      <c r="G367" s="190">
        <v>4000</v>
      </c>
      <c r="H367" s="190">
        <v>20</v>
      </c>
      <c r="I367" s="355" t="s">
        <v>98</v>
      </c>
      <c r="J367" s="355" t="s">
        <v>98</v>
      </c>
      <c r="K367" s="355" t="s">
        <v>98</v>
      </c>
      <c r="L367" s="150">
        <v>0.87615384615384595</v>
      </c>
      <c r="M367" s="190">
        <v>14.2</v>
      </c>
      <c r="N367" s="425" t="s">
        <v>98</v>
      </c>
      <c r="O367" s="425" t="s">
        <v>98</v>
      </c>
      <c r="P367" s="448" t="s">
        <v>98</v>
      </c>
      <c r="Q367" s="528"/>
      <c r="R367" s="523"/>
      <c r="S367" s="536"/>
    </row>
    <row r="368" spans="1:19" s="146" customFormat="1" ht="16" customHeight="1">
      <c r="A368" s="154">
        <v>146</v>
      </c>
      <c r="B368" s="196" t="s">
        <v>669</v>
      </c>
      <c r="C368" s="523"/>
      <c r="D368" s="492"/>
      <c r="E368" s="208" t="s">
        <v>981</v>
      </c>
      <c r="F368" s="208" t="s">
        <v>2</v>
      </c>
      <c r="G368" s="190">
        <v>4000</v>
      </c>
      <c r="H368" s="190">
        <v>20</v>
      </c>
      <c r="I368" s="355" t="s">
        <v>98</v>
      </c>
      <c r="J368" s="208">
        <v>96</v>
      </c>
      <c r="K368" s="355" t="s">
        <v>98</v>
      </c>
      <c r="L368" s="190">
        <v>0.60690235690235605</v>
      </c>
      <c r="M368" s="190">
        <v>9.3000000000000007</v>
      </c>
      <c r="N368" s="425" t="s">
        <v>98</v>
      </c>
      <c r="O368" s="425" t="s">
        <v>98</v>
      </c>
      <c r="P368" s="448" t="s">
        <v>98</v>
      </c>
      <c r="Q368" s="528"/>
      <c r="R368" s="523"/>
      <c r="S368" s="536"/>
    </row>
    <row r="369" spans="1:21" s="146" customFormat="1" ht="16" customHeight="1">
      <c r="A369" s="154">
        <v>147</v>
      </c>
      <c r="B369" s="196" t="s">
        <v>669</v>
      </c>
      <c r="C369" s="523"/>
      <c r="D369" s="492"/>
      <c r="E369" s="208" t="s">
        <v>982</v>
      </c>
      <c r="F369" s="208" t="s">
        <v>2</v>
      </c>
      <c r="G369" s="190">
        <v>4000</v>
      </c>
      <c r="H369" s="190">
        <v>20</v>
      </c>
      <c r="I369" s="355" t="s">
        <v>98</v>
      </c>
      <c r="J369" s="208">
        <v>96</v>
      </c>
      <c r="K369" s="355" t="s">
        <v>98</v>
      </c>
      <c r="L369" s="150">
        <v>0.677609427609427</v>
      </c>
      <c r="M369" s="190">
        <v>10.3</v>
      </c>
      <c r="N369" s="425" t="s">
        <v>98</v>
      </c>
      <c r="O369" s="425" t="s">
        <v>98</v>
      </c>
      <c r="P369" s="448" t="s">
        <v>98</v>
      </c>
      <c r="Q369" s="528"/>
      <c r="R369" s="523"/>
      <c r="S369" s="536"/>
    </row>
    <row r="370" spans="1:21" s="146" customFormat="1" ht="16" customHeight="1">
      <c r="A370" s="154">
        <v>148</v>
      </c>
      <c r="B370" s="196" t="s">
        <v>669</v>
      </c>
      <c r="C370" s="523"/>
      <c r="D370" s="492"/>
      <c r="E370" s="208" t="s">
        <v>983</v>
      </c>
      <c r="F370" s="208" t="s">
        <v>2</v>
      </c>
      <c r="G370" s="190">
        <v>4000</v>
      </c>
      <c r="H370" s="190">
        <v>20</v>
      </c>
      <c r="I370" s="355" t="s">
        <v>98</v>
      </c>
      <c r="J370" s="208">
        <v>96</v>
      </c>
      <c r="K370" s="355" t="s">
        <v>98</v>
      </c>
      <c r="L370" s="190">
        <v>0.76851851851851805</v>
      </c>
      <c r="M370" s="190">
        <v>11.1</v>
      </c>
      <c r="N370" s="425" t="s">
        <v>98</v>
      </c>
      <c r="O370" s="425" t="s">
        <v>98</v>
      </c>
      <c r="P370" s="448" t="s">
        <v>98</v>
      </c>
      <c r="Q370" s="528"/>
      <c r="R370" s="523"/>
      <c r="S370" s="536"/>
    </row>
    <row r="371" spans="1:21" s="146" customFormat="1" ht="16" customHeight="1">
      <c r="A371" s="154">
        <v>149</v>
      </c>
      <c r="B371" s="196" t="s">
        <v>669</v>
      </c>
      <c r="C371" s="523"/>
      <c r="D371" s="492"/>
      <c r="E371" s="208" t="s">
        <v>981</v>
      </c>
      <c r="F371" s="208" t="s">
        <v>2</v>
      </c>
      <c r="G371" s="190">
        <v>4000</v>
      </c>
      <c r="H371" s="190">
        <v>20</v>
      </c>
      <c r="I371" s="355" t="s">
        <v>98</v>
      </c>
      <c r="J371" s="208">
        <v>96</v>
      </c>
      <c r="K371" s="355" t="s">
        <v>98</v>
      </c>
      <c r="L371" s="150">
        <v>0.72811447811447805</v>
      </c>
      <c r="M371" s="190">
        <v>7.8</v>
      </c>
      <c r="N371" s="425" t="s">
        <v>98</v>
      </c>
      <c r="O371" s="425" t="s">
        <v>98</v>
      </c>
      <c r="P371" s="448" t="s">
        <v>98</v>
      </c>
      <c r="Q371" s="528"/>
      <c r="R371" s="523"/>
      <c r="S371" s="536"/>
    </row>
    <row r="372" spans="1:21" s="146" customFormat="1" ht="16" customHeight="1">
      <c r="A372" s="154">
        <v>150</v>
      </c>
      <c r="B372" s="196" t="s">
        <v>669</v>
      </c>
      <c r="C372" s="523"/>
      <c r="D372" s="492"/>
      <c r="E372" s="208" t="s">
        <v>982</v>
      </c>
      <c r="F372" s="208" t="s">
        <v>2</v>
      </c>
      <c r="G372" s="190">
        <v>4000</v>
      </c>
      <c r="H372" s="190">
        <v>20</v>
      </c>
      <c r="I372" s="355" t="s">
        <v>98</v>
      </c>
      <c r="J372" s="208">
        <v>96</v>
      </c>
      <c r="K372" s="355" t="s">
        <v>98</v>
      </c>
      <c r="L372" s="190">
        <v>0.78367003367003296</v>
      </c>
      <c r="M372" s="190">
        <v>9</v>
      </c>
      <c r="N372" s="425" t="s">
        <v>98</v>
      </c>
      <c r="O372" s="425" t="s">
        <v>98</v>
      </c>
      <c r="P372" s="448" t="s">
        <v>98</v>
      </c>
      <c r="Q372" s="528"/>
      <c r="R372" s="523"/>
      <c r="S372" s="536"/>
    </row>
    <row r="373" spans="1:21" s="190" customFormat="1" ht="16" customHeight="1">
      <c r="A373" s="154">
        <v>151</v>
      </c>
      <c r="B373" s="196" t="s">
        <v>669</v>
      </c>
      <c r="C373" s="523"/>
      <c r="D373" s="492"/>
      <c r="E373" s="208" t="s">
        <v>983</v>
      </c>
      <c r="F373" s="208" t="s">
        <v>2</v>
      </c>
      <c r="G373" s="190">
        <v>4000</v>
      </c>
      <c r="H373" s="190">
        <v>20</v>
      </c>
      <c r="I373" s="355" t="s">
        <v>98</v>
      </c>
      <c r="J373" s="208">
        <v>96</v>
      </c>
      <c r="K373" s="355" t="s">
        <v>98</v>
      </c>
      <c r="L373" s="150">
        <v>0.85101010101010099</v>
      </c>
      <c r="M373" s="190">
        <v>10.1</v>
      </c>
      <c r="N373" s="425" t="s">
        <v>98</v>
      </c>
      <c r="O373" s="425" t="s">
        <v>98</v>
      </c>
      <c r="P373" s="448" t="s">
        <v>98</v>
      </c>
      <c r="Q373" s="528"/>
      <c r="R373" s="523"/>
      <c r="S373" s="536"/>
    </row>
    <row r="374" spans="1:21" s="190" customFormat="1" ht="16" customHeight="1">
      <c r="A374" s="152">
        <v>152</v>
      </c>
      <c r="B374" s="195" t="s">
        <v>669</v>
      </c>
      <c r="C374" s="493">
        <v>52</v>
      </c>
      <c r="D374" s="490" t="s">
        <v>184</v>
      </c>
      <c r="E374" s="506" t="s">
        <v>98</v>
      </c>
      <c r="F374" s="160" t="s">
        <v>2</v>
      </c>
      <c r="G374" s="149">
        <v>30</v>
      </c>
      <c r="H374" s="149">
        <v>2.14</v>
      </c>
      <c r="I374" s="354" t="s">
        <v>98</v>
      </c>
      <c r="J374" s="354" t="s">
        <v>98</v>
      </c>
      <c r="K374" s="354" t="s">
        <v>98</v>
      </c>
      <c r="L374" s="149">
        <v>0.99</v>
      </c>
      <c r="M374" s="149"/>
      <c r="N374" s="149">
        <v>0.82</v>
      </c>
      <c r="O374" s="149">
        <v>7.15</v>
      </c>
      <c r="P374" s="445" t="s">
        <v>98</v>
      </c>
      <c r="Q374" s="524" t="s">
        <v>930</v>
      </c>
      <c r="R374" s="541" t="s">
        <v>798</v>
      </c>
      <c r="S374" s="533" t="s">
        <v>798</v>
      </c>
      <c r="T374" s="150"/>
    </row>
    <row r="375" spans="1:21" s="190" customFormat="1" ht="16" customHeight="1">
      <c r="A375" s="154">
        <v>153</v>
      </c>
      <c r="B375" s="196" t="s">
        <v>669</v>
      </c>
      <c r="C375" s="523"/>
      <c r="D375" s="492"/>
      <c r="E375" s="507"/>
      <c r="F375" s="428" t="s">
        <v>98</v>
      </c>
      <c r="G375" s="190">
        <v>50</v>
      </c>
      <c r="H375" s="190">
        <v>2.71</v>
      </c>
      <c r="I375" s="355" t="s">
        <v>98</v>
      </c>
      <c r="J375" s="355" t="s">
        <v>98</v>
      </c>
      <c r="K375" s="355" t="s">
        <v>98</v>
      </c>
      <c r="L375" s="190">
        <v>0.98</v>
      </c>
      <c r="N375" s="190">
        <v>0.76</v>
      </c>
      <c r="O375" s="190">
        <v>6.69</v>
      </c>
      <c r="P375" s="455" t="s">
        <v>98</v>
      </c>
      <c r="Q375" s="525"/>
      <c r="R375" s="542"/>
      <c r="S375" s="534"/>
    </row>
    <row r="376" spans="1:21" s="190" customFormat="1" ht="16" customHeight="1">
      <c r="A376" s="156">
        <v>154</v>
      </c>
      <c r="B376" s="197" t="s">
        <v>669</v>
      </c>
      <c r="C376" s="494"/>
      <c r="D376" s="491"/>
      <c r="E376" s="508"/>
      <c r="F376" s="429" t="s">
        <v>98</v>
      </c>
      <c r="G376" s="147">
        <v>100</v>
      </c>
      <c r="H376" s="147">
        <v>3.86</v>
      </c>
      <c r="I376" s="356" t="s">
        <v>98</v>
      </c>
      <c r="J376" s="356" t="s">
        <v>98</v>
      </c>
      <c r="K376" s="356" t="s">
        <v>98</v>
      </c>
      <c r="L376" s="151">
        <v>0.99</v>
      </c>
      <c r="M376" s="147"/>
      <c r="N376" s="147">
        <v>0.83</v>
      </c>
      <c r="O376" s="147">
        <v>5.47</v>
      </c>
      <c r="P376" s="458" t="s">
        <v>98</v>
      </c>
      <c r="Q376" s="526"/>
      <c r="R376" s="543"/>
      <c r="S376" s="535"/>
    </row>
    <row r="377" spans="1:21" s="190" customFormat="1" ht="16" customHeight="1">
      <c r="A377" s="152">
        <v>155</v>
      </c>
      <c r="B377" s="195" t="s">
        <v>669</v>
      </c>
      <c r="C377" s="493">
        <v>53</v>
      </c>
      <c r="D377" s="490" t="s">
        <v>223</v>
      </c>
      <c r="E377" s="506" t="s">
        <v>98</v>
      </c>
      <c r="F377" s="160" t="s">
        <v>984</v>
      </c>
      <c r="G377" s="149">
        <v>3200</v>
      </c>
      <c r="H377" s="149">
        <v>400</v>
      </c>
      <c r="I377" s="149">
        <v>17.5</v>
      </c>
      <c r="J377" s="160"/>
      <c r="K377" s="457" t="s">
        <v>98</v>
      </c>
      <c r="L377" s="149">
        <v>0.59</v>
      </c>
      <c r="M377" s="149">
        <v>5.9516666666666671</v>
      </c>
      <c r="N377" s="149">
        <v>2.2000000000000001E-3</v>
      </c>
      <c r="O377" s="435" t="s">
        <v>98</v>
      </c>
      <c r="P377" s="453" t="s">
        <v>98</v>
      </c>
      <c r="Q377" s="524" t="s">
        <v>928</v>
      </c>
      <c r="R377" s="544" t="s">
        <v>940</v>
      </c>
      <c r="S377" s="546" t="s">
        <v>941</v>
      </c>
      <c r="T377" s="150"/>
      <c r="U377" s="150"/>
    </row>
    <row r="378" spans="1:21" s="190" customFormat="1" ht="16" customHeight="1">
      <c r="A378" s="156">
        <v>156</v>
      </c>
      <c r="B378" s="197" t="s">
        <v>669</v>
      </c>
      <c r="C378" s="494"/>
      <c r="D378" s="491"/>
      <c r="E378" s="508"/>
      <c r="F378" s="161" t="s">
        <v>984</v>
      </c>
      <c r="G378" s="147">
        <v>3200</v>
      </c>
      <c r="H378" s="147">
        <v>400</v>
      </c>
      <c r="I378" s="147">
        <v>17.5</v>
      </c>
      <c r="J378" s="161"/>
      <c r="K378" s="429" t="s">
        <v>98</v>
      </c>
      <c r="L378" s="151">
        <v>0.7</v>
      </c>
      <c r="M378" s="147">
        <v>4.9400000000000004</v>
      </c>
      <c r="N378" s="147">
        <v>4.5999999999999999E-3</v>
      </c>
      <c r="O378" s="426" t="s">
        <v>98</v>
      </c>
      <c r="P378" s="458" t="s">
        <v>98</v>
      </c>
      <c r="Q378" s="526"/>
      <c r="R378" s="545"/>
      <c r="S378" s="547"/>
    </row>
    <row r="379" spans="1:21" s="190" customFormat="1" ht="16" customHeight="1">
      <c r="A379" s="154">
        <v>157</v>
      </c>
      <c r="B379" s="196" t="s">
        <v>669</v>
      </c>
      <c r="C379" s="523">
        <v>54</v>
      </c>
      <c r="D379" s="492" t="s">
        <v>192</v>
      </c>
      <c r="E379" s="208" t="s">
        <v>985</v>
      </c>
      <c r="F379" s="208" t="s">
        <v>2</v>
      </c>
      <c r="G379" s="150">
        <v>43</v>
      </c>
      <c r="H379" s="150">
        <v>9</v>
      </c>
      <c r="I379" s="430" t="s">
        <v>98</v>
      </c>
      <c r="J379" s="155">
        <v>3</v>
      </c>
      <c r="K379" s="433" t="s">
        <v>98</v>
      </c>
      <c r="L379" s="150">
        <v>0</v>
      </c>
      <c r="M379" s="190">
        <v>94.4</v>
      </c>
      <c r="N379" s="430" t="s">
        <v>98</v>
      </c>
      <c r="O379" s="430" t="s">
        <v>98</v>
      </c>
      <c r="P379" s="430" t="s">
        <v>98</v>
      </c>
      <c r="Q379" s="525" t="s">
        <v>942</v>
      </c>
      <c r="R379" s="492" t="s">
        <v>931</v>
      </c>
      <c r="S379" s="534" t="s">
        <v>931</v>
      </c>
      <c r="T379" s="150"/>
      <c r="U379" s="150"/>
    </row>
    <row r="380" spans="1:21" s="146" customFormat="1" ht="16" customHeight="1">
      <c r="A380" s="154">
        <v>158</v>
      </c>
      <c r="B380" s="196" t="s">
        <v>669</v>
      </c>
      <c r="C380" s="523"/>
      <c r="D380" s="492"/>
      <c r="E380" s="208" t="s">
        <v>986</v>
      </c>
      <c r="F380" s="208" t="s">
        <v>2</v>
      </c>
      <c r="G380" s="150">
        <v>43</v>
      </c>
      <c r="H380" s="150">
        <v>9</v>
      </c>
      <c r="I380" s="425" t="s">
        <v>98</v>
      </c>
      <c r="J380" s="208">
        <v>3</v>
      </c>
      <c r="K380" s="428" t="s">
        <v>98</v>
      </c>
      <c r="L380" s="190">
        <v>0</v>
      </c>
      <c r="M380" s="190">
        <v>79.5</v>
      </c>
      <c r="N380" s="425" t="s">
        <v>98</v>
      </c>
      <c r="O380" s="425" t="s">
        <v>98</v>
      </c>
      <c r="P380" s="425" t="s">
        <v>98</v>
      </c>
      <c r="Q380" s="525"/>
      <c r="R380" s="492"/>
      <c r="S380" s="534"/>
    </row>
    <row r="381" spans="1:21" s="146" customFormat="1" ht="16" customHeight="1">
      <c r="A381" s="154">
        <v>159</v>
      </c>
      <c r="B381" s="196" t="s">
        <v>669</v>
      </c>
      <c r="C381" s="523"/>
      <c r="D381" s="492"/>
      <c r="E381" s="208" t="s">
        <v>987</v>
      </c>
      <c r="F381" s="208" t="s">
        <v>2</v>
      </c>
      <c r="G381" s="150">
        <v>43</v>
      </c>
      <c r="H381" s="150">
        <v>9</v>
      </c>
      <c r="I381" s="425" t="s">
        <v>98</v>
      </c>
      <c r="J381" s="208">
        <v>3</v>
      </c>
      <c r="K381" s="428" t="s">
        <v>98</v>
      </c>
      <c r="L381" s="190">
        <v>0.1293023255813954</v>
      </c>
      <c r="M381" s="190">
        <v>38.5</v>
      </c>
      <c r="N381" s="425" t="s">
        <v>98</v>
      </c>
      <c r="O381" s="425" t="s">
        <v>98</v>
      </c>
      <c r="P381" s="459" t="s">
        <v>98</v>
      </c>
      <c r="Q381" s="525"/>
      <c r="R381" s="492"/>
      <c r="S381" s="534"/>
    </row>
    <row r="382" spans="1:21" s="190" customFormat="1" ht="16" customHeight="1">
      <c r="A382" s="154">
        <v>160</v>
      </c>
      <c r="B382" s="196" t="s">
        <v>669</v>
      </c>
      <c r="C382" s="523"/>
      <c r="D382" s="492"/>
      <c r="E382" s="208" t="s">
        <v>988</v>
      </c>
      <c r="F382" s="208" t="s">
        <v>2</v>
      </c>
      <c r="G382" s="150">
        <v>43</v>
      </c>
      <c r="H382" s="150">
        <v>9</v>
      </c>
      <c r="I382" s="425" t="s">
        <v>98</v>
      </c>
      <c r="J382" s="208">
        <v>3</v>
      </c>
      <c r="K382" s="428" t="s">
        <v>98</v>
      </c>
      <c r="L382" s="190">
        <v>0.18674418604651166</v>
      </c>
      <c r="M382" s="190">
        <v>35.4</v>
      </c>
      <c r="N382" s="425" t="s">
        <v>98</v>
      </c>
      <c r="O382" s="425" t="s">
        <v>98</v>
      </c>
      <c r="P382" s="459" t="s">
        <v>98</v>
      </c>
      <c r="Q382" s="525"/>
      <c r="R382" s="492"/>
      <c r="S382" s="534"/>
    </row>
    <row r="383" spans="1:21" s="146" customFormat="1" ht="16" customHeight="1">
      <c r="A383" s="152">
        <v>161</v>
      </c>
      <c r="B383" s="195" t="s">
        <v>669</v>
      </c>
      <c r="C383" s="493">
        <v>55</v>
      </c>
      <c r="D383" s="490" t="s">
        <v>213</v>
      </c>
      <c r="E383" s="160" t="s">
        <v>989</v>
      </c>
      <c r="F383" s="160" t="s">
        <v>2</v>
      </c>
      <c r="G383" s="144">
        <v>5000</v>
      </c>
      <c r="H383" s="355" t="s">
        <v>98</v>
      </c>
      <c r="I383" s="144">
        <v>15</v>
      </c>
      <c r="J383" s="153">
        <v>0.5</v>
      </c>
      <c r="K383" s="443" t="s">
        <v>98</v>
      </c>
      <c r="L383" s="144">
        <v>0.16899999999999993</v>
      </c>
      <c r="M383" s="144">
        <v>1.6969696969696899</v>
      </c>
      <c r="N383" s="427" t="s">
        <v>98</v>
      </c>
      <c r="O383" s="427" t="s">
        <v>98</v>
      </c>
      <c r="P383" s="460" t="s">
        <v>98</v>
      </c>
      <c r="Q383" s="493" t="s">
        <v>929</v>
      </c>
      <c r="R383" s="493" t="s">
        <v>931</v>
      </c>
      <c r="S383" s="522" t="s">
        <v>931</v>
      </c>
    </row>
    <row r="384" spans="1:21" s="146" customFormat="1" ht="16" customHeight="1">
      <c r="A384" s="154">
        <v>162</v>
      </c>
      <c r="B384" s="196" t="s">
        <v>669</v>
      </c>
      <c r="C384" s="523"/>
      <c r="D384" s="492"/>
      <c r="E384" s="208" t="s">
        <v>989</v>
      </c>
      <c r="F384" s="208" t="s">
        <v>2</v>
      </c>
      <c r="G384" s="190">
        <v>5000</v>
      </c>
      <c r="H384" s="355" t="s">
        <v>98</v>
      </c>
      <c r="I384" s="190">
        <v>20</v>
      </c>
      <c r="J384" s="155">
        <v>0.5</v>
      </c>
      <c r="K384" s="433" t="s">
        <v>98</v>
      </c>
      <c r="L384" s="190">
        <v>0.30800000000000005</v>
      </c>
      <c r="M384" s="190">
        <v>1.8047138047138001</v>
      </c>
      <c r="N384" s="425" t="s">
        <v>98</v>
      </c>
      <c r="O384" s="425" t="s">
        <v>98</v>
      </c>
      <c r="P384" s="437" t="s">
        <v>98</v>
      </c>
      <c r="Q384" s="523"/>
      <c r="R384" s="523"/>
      <c r="S384" s="536"/>
    </row>
    <row r="385" spans="1:19" s="146" customFormat="1" ht="16" customHeight="1">
      <c r="A385" s="154">
        <v>163</v>
      </c>
      <c r="B385" s="196" t="s">
        <v>669</v>
      </c>
      <c r="C385" s="523"/>
      <c r="D385" s="492"/>
      <c r="E385" s="208" t="s">
        <v>989</v>
      </c>
      <c r="F385" s="208" t="s">
        <v>2</v>
      </c>
      <c r="G385" s="190">
        <v>5000</v>
      </c>
      <c r="H385" s="355" t="s">
        <v>98</v>
      </c>
      <c r="I385" s="190">
        <v>25</v>
      </c>
      <c r="J385" s="155">
        <v>0.5</v>
      </c>
      <c r="K385" s="433" t="s">
        <v>98</v>
      </c>
      <c r="L385" s="190">
        <v>0.39059999999999995</v>
      </c>
      <c r="M385" s="190">
        <v>2.3434343434343399</v>
      </c>
      <c r="N385" s="425" t="s">
        <v>98</v>
      </c>
      <c r="O385" s="425" t="s">
        <v>98</v>
      </c>
      <c r="P385" s="437" t="s">
        <v>98</v>
      </c>
      <c r="Q385" s="523"/>
      <c r="R385" s="523"/>
      <c r="S385" s="536"/>
    </row>
    <row r="386" spans="1:19" s="146" customFormat="1" ht="16" customHeight="1">
      <c r="A386" s="154">
        <v>164</v>
      </c>
      <c r="B386" s="196" t="s">
        <v>669</v>
      </c>
      <c r="C386" s="523"/>
      <c r="D386" s="492"/>
      <c r="E386" s="208" t="s">
        <v>989</v>
      </c>
      <c r="F386" s="208" t="s">
        <v>2</v>
      </c>
      <c r="G386" s="190">
        <v>5000</v>
      </c>
      <c r="H386" s="355" t="s">
        <v>98</v>
      </c>
      <c r="I386" s="190">
        <v>30</v>
      </c>
      <c r="J386" s="155">
        <v>0.5</v>
      </c>
      <c r="K386" s="433" t="s">
        <v>98</v>
      </c>
      <c r="L386" s="190">
        <v>0.47399999999999998</v>
      </c>
      <c r="M386" s="190">
        <v>3.0168350168350102</v>
      </c>
      <c r="N386" s="425" t="s">
        <v>98</v>
      </c>
      <c r="O386" s="425" t="s">
        <v>98</v>
      </c>
      <c r="P386" s="437" t="s">
        <v>98</v>
      </c>
      <c r="Q386" s="523"/>
      <c r="R386" s="523"/>
      <c r="S386" s="536"/>
    </row>
    <row r="387" spans="1:19" s="146" customFormat="1" ht="16" customHeight="1">
      <c r="A387" s="154">
        <v>165</v>
      </c>
      <c r="B387" s="196" t="s">
        <v>669</v>
      </c>
      <c r="C387" s="523"/>
      <c r="D387" s="492"/>
      <c r="E387" s="208" t="s">
        <v>989</v>
      </c>
      <c r="F387" s="208" t="s">
        <v>2</v>
      </c>
      <c r="G387" s="190">
        <v>5000</v>
      </c>
      <c r="H387" s="355" t="s">
        <v>98</v>
      </c>
      <c r="I387" s="190">
        <v>35</v>
      </c>
      <c r="J387" s="155">
        <v>0.5</v>
      </c>
      <c r="K387" s="433" t="s">
        <v>98</v>
      </c>
      <c r="L387" s="190">
        <v>0.45999999999999996</v>
      </c>
      <c r="M387" s="190">
        <v>3.8249158249158199</v>
      </c>
      <c r="N387" s="425" t="s">
        <v>98</v>
      </c>
      <c r="O387" s="425" t="s">
        <v>98</v>
      </c>
      <c r="P387" s="437" t="s">
        <v>98</v>
      </c>
      <c r="Q387" s="523"/>
      <c r="R387" s="523"/>
      <c r="S387" s="536"/>
    </row>
    <row r="388" spans="1:19" s="146" customFormat="1" ht="16" customHeight="1">
      <c r="A388" s="154">
        <v>166</v>
      </c>
      <c r="B388" s="196" t="s">
        <v>669</v>
      </c>
      <c r="C388" s="523"/>
      <c r="D388" s="492"/>
      <c r="E388" s="208" t="s">
        <v>989</v>
      </c>
      <c r="F388" s="208" t="s">
        <v>2</v>
      </c>
      <c r="G388" s="190">
        <v>5000</v>
      </c>
      <c r="H388" s="355" t="s">
        <v>98</v>
      </c>
      <c r="I388" s="190">
        <v>15</v>
      </c>
      <c r="J388" s="155">
        <v>1</v>
      </c>
      <c r="K388" s="433" t="s">
        <v>98</v>
      </c>
      <c r="L388" s="190">
        <v>0.27980000000000005</v>
      </c>
      <c r="M388" s="190">
        <v>1.88552188552188</v>
      </c>
      <c r="N388" s="425" t="s">
        <v>98</v>
      </c>
      <c r="O388" s="425" t="s">
        <v>98</v>
      </c>
      <c r="P388" s="437" t="s">
        <v>98</v>
      </c>
      <c r="Q388" s="523"/>
      <c r="R388" s="523"/>
      <c r="S388" s="536"/>
    </row>
    <row r="389" spans="1:19" s="146" customFormat="1" ht="16" customHeight="1">
      <c r="A389" s="154">
        <v>167</v>
      </c>
      <c r="B389" s="196" t="s">
        <v>669</v>
      </c>
      <c r="C389" s="523"/>
      <c r="D389" s="492"/>
      <c r="E389" s="208" t="s">
        <v>989</v>
      </c>
      <c r="F389" s="208" t="s">
        <v>2</v>
      </c>
      <c r="G389" s="190">
        <v>5000</v>
      </c>
      <c r="H389" s="355" t="s">
        <v>98</v>
      </c>
      <c r="I389" s="190">
        <v>20</v>
      </c>
      <c r="J389" s="155">
        <v>1</v>
      </c>
      <c r="K389" s="433" t="s">
        <v>98</v>
      </c>
      <c r="L389" s="190">
        <v>0.41820000000000002</v>
      </c>
      <c r="M389" s="190">
        <v>2.6666666666666599</v>
      </c>
      <c r="N389" s="425" t="s">
        <v>98</v>
      </c>
      <c r="O389" s="425" t="s">
        <v>98</v>
      </c>
      <c r="P389" s="437" t="s">
        <v>98</v>
      </c>
      <c r="Q389" s="523"/>
      <c r="R389" s="523"/>
      <c r="S389" s="536"/>
    </row>
    <row r="390" spans="1:19" s="146" customFormat="1" ht="16" customHeight="1">
      <c r="A390" s="154">
        <v>168</v>
      </c>
      <c r="B390" s="196" t="s">
        <v>669</v>
      </c>
      <c r="C390" s="523"/>
      <c r="D390" s="492"/>
      <c r="E390" s="208" t="s">
        <v>989</v>
      </c>
      <c r="F390" s="208" t="s">
        <v>2</v>
      </c>
      <c r="G390" s="190">
        <v>5000</v>
      </c>
      <c r="H390" s="355" t="s">
        <v>98</v>
      </c>
      <c r="I390" s="190">
        <v>25</v>
      </c>
      <c r="J390" s="155">
        <v>1</v>
      </c>
      <c r="K390" s="433" t="s">
        <v>98</v>
      </c>
      <c r="L390" s="190">
        <v>0.48799999999999999</v>
      </c>
      <c r="M390" s="190">
        <v>3.6902356902356899</v>
      </c>
      <c r="N390" s="425" t="s">
        <v>98</v>
      </c>
      <c r="O390" s="425" t="s">
        <v>98</v>
      </c>
      <c r="P390" s="437" t="s">
        <v>98</v>
      </c>
      <c r="Q390" s="523"/>
      <c r="R390" s="523"/>
      <c r="S390" s="536"/>
    </row>
    <row r="391" spans="1:19" s="146" customFormat="1" ht="16" customHeight="1">
      <c r="A391" s="154">
        <v>169</v>
      </c>
      <c r="B391" s="196" t="s">
        <v>669</v>
      </c>
      <c r="C391" s="523"/>
      <c r="D391" s="492"/>
      <c r="E391" s="208" t="s">
        <v>989</v>
      </c>
      <c r="F391" s="208" t="s">
        <v>2</v>
      </c>
      <c r="G391" s="190">
        <v>5000</v>
      </c>
      <c r="H391" s="355" t="s">
        <v>98</v>
      </c>
      <c r="I391" s="190">
        <v>30</v>
      </c>
      <c r="J391" s="155">
        <v>1</v>
      </c>
      <c r="K391" s="433" t="s">
        <v>98</v>
      </c>
      <c r="L391" s="190">
        <v>0.59840000000000004</v>
      </c>
      <c r="M391" s="190">
        <v>4.3367003367003303</v>
      </c>
      <c r="N391" s="425" t="s">
        <v>98</v>
      </c>
      <c r="O391" s="425" t="s">
        <v>98</v>
      </c>
      <c r="P391" s="437" t="s">
        <v>98</v>
      </c>
      <c r="Q391" s="523"/>
      <c r="R391" s="523"/>
      <c r="S391" s="536"/>
    </row>
    <row r="392" spans="1:19" s="146" customFormat="1" ht="16" customHeight="1">
      <c r="A392" s="154">
        <v>170</v>
      </c>
      <c r="B392" s="196" t="s">
        <v>669</v>
      </c>
      <c r="C392" s="523"/>
      <c r="D392" s="492"/>
      <c r="E392" s="208" t="s">
        <v>989</v>
      </c>
      <c r="F392" s="208" t="s">
        <v>2</v>
      </c>
      <c r="G392" s="190">
        <v>5000</v>
      </c>
      <c r="H392" s="355" t="s">
        <v>98</v>
      </c>
      <c r="I392" s="190">
        <v>35</v>
      </c>
      <c r="J392" s="155">
        <v>1</v>
      </c>
      <c r="K392" s="433" t="s">
        <v>98</v>
      </c>
      <c r="L392" s="190">
        <v>0.68140000000000001</v>
      </c>
      <c r="M392" s="190">
        <v>5.0370370370370301</v>
      </c>
      <c r="N392" s="425" t="s">
        <v>98</v>
      </c>
      <c r="O392" s="425" t="s">
        <v>98</v>
      </c>
      <c r="P392" s="437" t="s">
        <v>98</v>
      </c>
      <c r="Q392" s="523"/>
      <c r="R392" s="523"/>
      <c r="S392" s="536"/>
    </row>
    <row r="393" spans="1:19" s="146" customFormat="1" ht="16" customHeight="1">
      <c r="A393" s="154">
        <v>171</v>
      </c>
      <c r="B393" s="196" t="s">
        <v>669</v>
      </c>
      <c r="C393" s="523"/>
      <c r="D393" s="492"/>
      <c r="E393" s="208" t="s">
        <v>989</v>
      </c>
      <c r="F393" s="208" t="s">
        <v>2</v>
      </c>
      <c r="G393" s="190">
        <v>5000</v>
      </c>
      <c r="H393" s="355" t="s">
        <v>98</v>
      </c>
      <c r="I393" s="190">
        <v>15</v>
      </c>
      <c r="J393" s="155">
        <v>1.5</v>
      </c>
      <c r="K393" s="433" t="s">
        <v>98</v>
      </c>
      <c r="L393" s="190">
        <v>0.33520000000000005</v>
      </c>
      <c r="M393" s="190">
        <v>2.3703703703703698</v>
      </c>
      <c r="N393" s="425" t="s">
        <v>98</v>
      </c>
      <c r="O393" s="425" t="s">
        <v>98</v>
      </c>
      <c r="P393" s="437" t="s">
        <v>98</v>
      </c>
      <c r="Q393" s="523"/>
      <c r="R393" s="523"/>
      <c r="S393" s="536"/>
    </row>
    <row r="394" spans="1:19" s="146" customFormat="1" ht="16" customHeight="1">
      <c r="A394" s="154">
        <v>172</v>
      </c>
      <c r="B394" s="196" t="s">
        <v>669</v>
      </c>
      <c r="C394" s="523"/>
      <c r="D394" s="492"/>
      <c r="E394" s="208" t="s">
        <v>989</v>
      </c>
      <c r="F394" s="208" t="s">
        <v>2</v>
      </c>
      <c r="G394" s="190">
        <v>5000</v>
      </c>
      <c r="H394" s="355" t="s">
        <v>98</v>
      </c>
      <c r="I394" s="190">
        <v>20</v>
      </c>
      <c r="J394" s="155">
        <v>1.5</v>
      </c>
      <c r="K394" s="433" t="s">
        <v>98</v>
      </c>
      <c r="L394" s="190">
        <v>0.51519999999999999</v>
      </c>
      <c r="M394" s="190">
        <v>3.34006734006734</v>
      </c>
      <c r="N394" s="425" t="s">
        <v>98</v>
      </c>
      <c r="O394" s="425" t="s">
        <v>98</v>
      </c>
      <c r="P394" s="437" t="s">
        <v>98</v>
      </c>
      <c r="Q394" s="523"/>
      <c r="R394" s="523"/>
      <c r="S394" s="536"/>
    </row>
    <row r="395" spans="1:19" s="146" customFormat="1" ht="16" customHeight="1">
      <c r="A395" s="154">
        <v>173</v>
      </c>
      <c r="B395" s="196" t="s">
        <v>669</v>
      </c>
      <c r="C395" s="523"/>
      <c r="D395" s="492"/>
      <c r="E395" s="208" t="s">
        <v>989</v>
      </c>
      <c r="F395" s="208" t="s">
        <v>2</v>
      </c>
      <c r="G395" s="190">
        <v>5000</v>
      </c>
      <c r="H395" s="355" t="s">
        <v>98</v>
      </c>
      <c r="I395" s="190">
        <v>25</v>
      </c>
      <c r="J395" s="155">
        <v>1.5</v>
      </c>
      <c r="K395" s="433" t="s">
        <v>98</v>
      </c>
      <c r="L395" s="190">
        <v>0.626</v>
      </c>
      <c r="M395" s="190">
        <v>4.4175084175084098</v>
      </c>
      <c r="N395" s="425" t="s">
        <v>98</v>
      </c>
      <c r="O395" s="425" t="s">
        <v>98</v>
      </c>
      <c r="P395" s="437" t="s">
        <v>98</v>
      </c>
      <c r="Q395" s="523"/>
      <c r="R395" s="523"/>
      <c r="S395" s="536"/>
    </row>
    <row r="396" spans="1:19" s="146" customFormat="1" ht="16" customHeight="1">
      <c r="A396" s="154">
        <v>174</v>
      </c>
      <c r="B396" s="196" t="s">
        <v>669</v>
      </c>
      <c r="C396" s="523"/>
      <c r="D396" s="492"/>
      <c r="E396" s="208" t="s">
        <v>989</v>
      </c>
      <c r="F396" s="208" t="s">
        <v>2</v>
      </c>
      <c r="G396" s="190">
        <v>5000</v>
      </c>
      <c r="H396" s="355" t="s">
        <v>98</v>
      </c>
      <c r="I396" s="190">
        <v>30</v>
      </c>
      <c r="J396" s="155">
        <v>1.5</v>
      </c>
      <c r="K396" s="433" t="s">
        <v>98</v>
      </c>
      <c r="L396" s="190">
        <v>0.73680000000000001</v>
      </c>
      <c r="M396" s="190">
        <v>5.5218855218855198</v>
      </c>
      <c r="N396" s="425" t="s">
        <v>98</v>
      </c>
      <c r="O396" s="425" t="s">
        <v>98</v>
      </c>
      <c r="P396" s="437" t="s">
        <v>98</v>
      </c>
      <c r="Q396" s="523"/>
      <c r="R396" s="523"/>
      <c r="S396" s="536"/>
    </row>
    <row r="397" spans="1:19" s="146" customFormat="1" ht="16" customHeight="1">
      <c r="A397" s="154">
        <v>175</v>
      </c>
      <c r="B397" s="196" t="s">
        <v>669</v>
      </c>
      <c r="C397" s="523"/>
      <c r="D397" s="492"/>
      <c r="E397" s="208" t="s">
        <v>990</v>
      </c>
      <c r="F397" s="208" t="s">
        <v>2</v>
      </c>
      <c r="G397" s="190">
        <v>5000</v>
      </c>
      <c r="H397" s="355" t="s">
        <v>98</v>
      </c>
      <c r="I397" s="190">
        <v>35</v>
      </c>
      <c r="J397" s="155">
        <v>1.5</v>
      </c>
      <c r="K397" s="433" t="s">
        <v>98</v>
      </c>
      <c r="L397" s="190">
        <v>0.77835999999999994</v>
      </c>
      <c r="M397" s="190">
        <v>6.8148148148148104</v>
      </c>
      <c r="N397" s="425" t="s">
        <v>98</v>
      </c>
      <c r="O397" s="425" t="s">
        <v>98</v>
      </c>
      <c r="P397" s="437" t="s">
        <v>98</v>
      </c>
      <c r="Q397" s="523"/>
      <c r="R397" s="523"/>
      <c r="S397" s="536"/>
    </row>
    <row r="398" spans="1:19" s="146" customFormat="1" ht="16" customHeight="1">
      <c r="A398" s="154">
        <v>176</v>
      </c>
      <c r="B398" s="196" t="s">
        <v>669</v>
      </c>
      <c r="C398" s="523"/>
      <c r="D398" s="492"/>
      <c r="E398" s="208" t="s">
        <v>990</v>
      </c>
      <c r="F398" s="208" t="s">
        <v>2</v>
      </c>
      <c r="G398" s="190">
        <v>5000</v>
      </c>
      <c r="H398" s="355" t="s">
        <v>98</v>
      </c>
      <c r="I398" s="190">
        <v>15</v>
      </c>
      <c r="J398" s="155">
        <v>0.5</v>
      </c>
      <c r="K398" s="433" t="s">
        <v>98</v>
      </c>
      <c r="L398" s="190">
        <v>0.25195999999999996</v>
      </c>
      <c r="M398" s="190">
        <v>1.2390572390572301</v>
      </c>
      <c r="N398" s="425" t="s">
        <v>98</v>
      </c>
      <c r="O398" s="425" t="s">
        <v>98</v>
      </c>
      <c r="P398" s="437" t="s">
        <v>98</v>
      </c>
      <c r="Q398" s="523"/>
      <c r="R398" s="523"/>
      <c r="S398" s="536"/>
    </row>
    <row r="399" spans="1:19" s="146" customFormat="1" ht="16" customHeight="1">
      <c r="A399" s="154">
        <v>177</v>
      </c>
      <c r="B399" s="196" t="s">
        <v>669</v>
      </c>
      <c r="C399" s="523"/>
      <c r="D399" s="492"/>
      <c r="E399" s="208" t="s">
        <v>990</v>
      </c>
      <c r="F399" s="208" t="s">
        <v>2</v>
      </c>
      <c r="G399" s="190">
        <v>5000</v>
      </c>
      <c r="H399" s="355" t="s">
        <v>98</v>
      </c>
      <c r="I399" s="190">
        <v>20</v>
      </c>
      <c r="J399" s="155">
        <v>0.5</v>
      </c>
      <c r="K399" s="433" t="s">
        <v>98</v>
      </c>
      <c r="L399" s="190">
        <v>0.39047999999999994</v>
      </c>
      <c r="M399" s="190">
        <v>1.6969696969696899</v>
      </c>
      <c r="N399" s="425" t="s">
        <v>98</v>
      </c>
      <c r="O399" s="425" t="s">
        <v>98</v>
      </c>
      <c r="P399" s="437" t="s">
        <v>98</v>
      </c>
      <c r="Q399" s="523"/>
      <c r="R399" s="523"/>
      <c r="S399" s="536"/>
    </row>
    <row r="400" spans="1:19" s="146" customFormat="1" ht="16" customHeight="1">
      <c r="A400" s="154">
        <v>178</v>
      </c>
      <c r="B400" s="196" t="s">
        <v>669</v>
      </c>
      <c r="C400" s="523"/>
      <c r="D400" s="492"/>
      <c r="E400" s="208" t="s">
        <v>990</v>
      </c>
      <c r="F400" s="208" t="s">
        <v>2</v>
      </c>
      <c r="G400" s="190">
        <v>5000</v>
      </c>
      <c r="H400" s="355" t="s">
        <v>98</v>
      </c>
      <c r="I400" s="190">
        <v>25</v>
      </c>
      <c r="J400" s="155">
        <v>0.5</v>
      </c>
      <c r="K400" s="433" t="s">
        <v>98</v>
      </c>
      <c r="L400" s="190">
        <v>0.45979999999999999</v>
      </c>
      <c r="M400" s="190">
        <v>2.2087542087542</v>
      </c>
      <c r="N400" s="425" t="s">
        <v>98</v>
      </c>
      <c r="O400" s="425" t="s">
        <v>98</v>
      </c>
      <c r="P400" s="437" t="s">
        <v>98</v>
      </c>
      <c r="Q400" s="523"/>
      <c r="R400" s="523"/>
      <c r="S400" s="536"/>
    </row>
    <row r="401" spans="1:19" s="146" customFormat="1" ht="16" customHeight="1">
      <c r="A401" s="154">
        <v>179</v>
      </c>
      <c r="B401" s="196" t="s">
        <v>669</v>
      </c>
      <c r="C401" s="523"/>
      <c r="D401" s="492"/>
      <c r="E401" s="208" t="s">
        <v>990</v>
      </c>
      <c r="F401" s="208" t="s">
        <v>2</v>
      </c>
      <c r="G401" s="190">
        <v>5000</v>
      </c>
      <c r="H401" s="355" t="s">
        <v>98</v>
      </c>
      <c r="I401" s="190">
        <v>30</v>
      </c>
      <c r="J401" s="155">
        <v>0.5</v>
      </c>
      <c r="K401" s="433" t="s">
        <v>98</v>
      </c>
      <c r="L401" s="190">
        <v>0.50140000000000007</v>
      </c>
      <c r="M401" s="190">
        <v>3.0976430976430902</v>
      </c>
      <c r="N401" s="425" t="s">
        <v>98</v>
      </c>
      <c r="O401" s="425" t="s">
        <v>98</v>
      </c>
      <c r="P401" s="437" t="s">
        <v>98</v>
      </c>
      <c r="Q401" s="523"/>
      <c r="R401" s="523"/>
      <c r="S401" s="536"/>
    </row>
    <row r="402" spans="1:19" s="146" customFormat="1" ht="16" customHeight="1">
      <c r="A402" s="154">
        <v>180</v>
      </c>
      <c r="B402" s="196" t="s">
        <v>669</v>
      </c>
      <c r="C402" s="523"/>
      <c r="D402" s="492"/>
      <c r="E402" s="208" t="s">
        <v>990</v>
      </c>
      <c r="F402" s="208" t="s">
        <v>2</v>
      </c>
      <c r="G402" s="190">
        <v>5000</v>
      </c>
      <c r="H402" s="355" t="s">
        <v>98</v>
      </c>
      <c r="I402" s="190">
        <v>35</v>
      </c>
      <c r="J402" s="155">
        <v>0.5</v>
      </c>
      <c r="K402" s="433" t="s">
        <v>98</v>
      </c>
      <c r="L402" s="190">
        <v>0.50140000000000007</v>
      </c>
      <c r="M402" s="190">
        <v>3.71717171717171</v>
      </c>
      <c r="N402" s="425" t="s">
        <v>98</v>
      </c>
      <c r="O402" s="425" t="s">
        <v>98</v>
      </c>
      <c r="P402" s="437" t="s">
        <v>98</v>
      </c>
      <c r="Q402" s="523"/>
      <c r="R402" s="523"/>
      <c r="S402" s="536"/>
    </row>
    <row r="403" spans="1:19" s="146" customFormat="1" ht="16" customHeight="1">
      <c r="A403" s="154">
        <v>181</v>
      </c>
      <c r="B403" s="196" t="s">
        <v>669</v>
      </c>
      <c r="C403" s="523"/>
      <c r="D403" s="492"/>
      <c r="E403" s="208" t="s">
        <v>1251</v>
      </c>
      <c r="F403" s="208" t="s">
        <v>2</v>
      </c>
      <c r="G403" s="190">
        <v>5000</v>
      </c>
      <c r="H403" s="355" t="s">
        <v>98</v>
      </c>
      <c r="I403" s="190">
        <v>15</v>
      </c>
      <c r="J403" s="155">
        <v>1</v>
      </c>
      <c r="K403" s="433" t="s">
        <v>98</v>
      </c>
      <c r="L403" s="190">
        <v>0.37680000000000002</v>
      </c>
      <c r="M403" s="190">
        <v>1.6969696969696899</v>
      </c>
      <c r="N403" s="425" t="s">
        <v>98</v>
      </c>
      <c r="O403" s="425" t="s">
        <v>98</v>
      </c>
      <c r="P403" s="437" t="s">
        <v>98</v>
      </c>
      <c r="Q403" s="523"/>
      <c r="R403" s="523"/>
      <c r="S403" s="536"/>
    </row>
    <row r="404" spans="1:19" s="146" customFormat="1" ht="16" customHeight="1">
      <c r="A404" s="154">
        <v>182</v>
      </c>
      <c r="B404" s="196" t="s">
        <v>669</v>
      </c>
      <c r="C404" s="523"/>
      <c r="D404" s="492"/>
      <c r="E404" s="208" t="s">
        <v>990</v>
      </c>
      <c r="F404" s="208" t="s">
        <v>2</v>
      </c>
      <c r="G404" s="190">
        <v>5000</v>
      </c>
      <c r="H404" s="355" t="s">
        <v>98</v>
      </c>
      <c r="I404" s="190">
        <v>20</v>
      </c>
      <c r="J404" s="155">
        <v>1</v>
      </c>
      <c r="K404" s="433" t="s">
        <v>98</v>
      </c>
      <c r="L404" s="190">
        <v>0.52901999999999993</v>
      </c>
      <c r="M404" s="190">
        <v>2.6127946127946098</v>
      </c>
      <c r="N404" s="425" t="s">
        <v>98</v>
      </c>
      <c r="O404" s="425" t="s">
        <v>98</v>
      </c>
      <c r="P404" s="437" t="s">
        <v>98</v>
      </c>
      <c r="Q404" s="523"/>
      <c r="R404" s="523"/>
      <c r="S404" s="536"/>
    </row>
    <row r="405" spans="1:19" s="146" customFormat="1" ht="16" customHeight="1">
      <c r="A405" s="154">
        <v>183</v>
      </c>
      <c r="B405" s="196" t="s">
        <v>669</v>
      </c>
      <c r="C405" s="523"/>
      <c r="D405" s="492"/>
      <c r="E405" s="208" t="s">
        <v>990</v>
      </c>
      <c r="F405" s="208" t="s">
        <v>2</v>
      </c>
      <c r="G405" s="190">
        <v>5000</v>
      </c>
      <c r="H405" s="355" t="s">
        <v>98</v>
      </c>
      <c r="I405" s="190">
        <v>25</v>
      </c>
      <c r="J405" s="155">
        <v>1</v>
      </c>
      <c r="K405" s="433" t="s">
        <v>98</v>
      </c>
      <c r="L405" s="190">
        <v>0.626</v>
      </c>
      <c r="M405" s="190">
        <v>3.34006734006734</v>
      </c>
      <c r="N405" s="425" t="s">
        <v>98</v>
      </c>
      <c r="O405" s="425" t="s">
        <v>98</v>
      </c>
      <c r="P405" s="437" t="s">
        <v>98</v>
      </c>
      <c r="Q405" s="523"/>
      <c r="R405" s="523"/>
      <c r="S405" s="536"/>
    </row>
    <row r="406" spans="1:19" s="146" customFormat="1" ht="16" customHeight="1">
      <c r="A406" s="154">
        <v>184</v>
      </c>
      <c r="B406" s="196" t="s">
        <v>669</v>
      </c>
      <c r="C406" s="523"/>
      <c r="D406" s="492"/>
      <c r="E406" s="208" t="s">
        <v>990</v>
      </c>
      <c r="F406" s="208" t="s">
        <v>2</v>
      </c>
      <c r="G406" s="190">
        <v>5000</v>
      </c>
      <c r="H406" s="355" t="s">
        <v>98</v>
      </c>
      <c r="I406" s="190">
        <v>30</v>
      </c>
      <c r="J406" s="155">
        <v>1</v>
      </c>
      <c r="K406" s="433" t="s">
        <v>98</v>
      </c>
      <c r="L406" s="190">
        <v>0.70910000000000006</v>
      </c>
      <c r="M406" s="190">
        <v>4.3905723905723901</v>
      </c>
      <c r="N406" s="425" t="s">
        <v>98</v>
      </c>
      <c r="O406" s="425" t="s">
        <v>98</v>
      </c>
      <c r="P406" s="437" t="s">
        <v>98</v>
      </c>
      <c r="Q406" s="523"/>
      <c r="R406" s="523"/>
      <c r="S406" s="536"/>
    </row>
    <row r="407" spans="1:19" s="146" customFormat="1" ht="16" customHeight="1">
      <c r="A407" s="154">
        <v>185</v>
      </c>
      <c r="B407" s="196" t="s">
        <v>669</v>
      </c>
      <c r="C407" s="523"/>
      <c r="D407" s="492"/>
      <c r="E407" s="208" t="s">
        <v>990</v>
      </c>
      <c r="F407" s="208" t="s">
        <v>2</v>
      </c>
      <c r="G407" s="190">
        <v>5000</v>
      </c>
      <c r="H407" s="355" t="s">
        <v>98</v>
      </c>
      <c r="I407" s="190">
        <v>35</v>
      </c>
      <c r="J407" s="155">
        <v>1</v>
      </c>
      <c r="K407" s="433" t="s">
        <v>98</v>
      </c>
      <c r="L407" s="190">
        <v>0.76459999999999995</v>
      </c>
      <c r="M407" s="190">
        <v>5.2794612794612696</v>
      </c>
      <c r="N407" s="425" t="s">
        <v>98</v>
      </c>
      <c r="O407" s="425" t="s">
        <v>98</v>
      </c>
      <c r="P407" s="437" t="s">
        <v>98</v>
      </c>
      <c r="Q407" s="523"/>
      <c r="R407" s="523"/>
      <c r="S407" s="536"/>
    </row>
    <row r="408" spans="1:19" s="146" customFormat="1" ht="16" customHeight="1">
      <c r="A408" s="154">
        <v>186</v>
      </c>
      <c r="B408" s="196" t="s">
        <v>669</v>
      </c>
      <c r="C408" s="523"/>
      <c r="D408" s="492"/>
      <c r="E408" s="208" t="s">
        <v>990</v>
      </c>
      <c r="F408" s="208" t="s">
        <v>2</v>
      </c>
      <c r="G408" s="190">
        <v>5000</v>
      </c>
      <c r="H408" s="355" t="s">
        <v>98</v>
      </c>
      <c r="I408" s="190">
        <v>15</v>
      </c>
      <c r="J408" s="155">
        <v>1.5</v>
      </c>
      <c r="K408" s="433" t="s">
        <v>98</v>
      </c>
      <c r="L408" s="190">
        <v>0.48746</v>
      </c>
      <c r="M408" s="190">
        <v>2.1010101010100999</v>
      </c>
      <c r="N408" s="425" t="s">
        <v>98</v>
      </c>
      <c r="O408" s="425" t="s">
        <v>98</v>
      </c>
      <c r="P408" s="437" t="s">
        <v>98</v>
      </c>
      <c r="Q408" s="523"/>
      <c r="R408" s="523"/>
      <c r="S408" s="536"/>
    </row>
    <row r="409" spans="1:19" s="146" customFormat="1" ht="16" customHeight="1">
      <c r="A409" s="154">
        <v>187</v>
      </c>
      <c r="B409" s="196" t="s">
        <v>669</v>
      </c>
      <c r="C409" s="523"/>
      <c r="D409" s="492"/>
      <c r="E409" s="208" t="s">
        <v>990</v>
      </c>
      <c r="F409" s="208" t="s">
        <v>2</v>
      </c>
      <c r="G409" s="190">
        <v>5000</v>
      </c>
      <c r="H409" s="355" t="s">
        <v>98</v>
      </c>
      <c r="I409" s="190">
        <v>20</v>
      </c>
      <c r="J409" s="155">
        <v>1.5</v>
      </c>
      <c r="K409" s="433" t="s">
        <v>98</v>
      </c>
      <c r="L409" s="190">
        <v>0.63983999999999996</v>
      </c>
      <c r="M409" s="190">
        <v>3.1784511784511702</v>
      </c>
      <c r="N409" s="425" t="s">
        <v>98</v>
      </c>
      <c r="O409" s="425" t="s">
        <v>98</v>
      </c>
      <c r="P409" s="437" t="s">
        <v>98</v>
      </c>
      <c r="Q409" s="523"/>
      <c r="R409" s="523"/>
      <c r="S409" s="536"/>
    </row>
    <row r="410" spans="1:19" s="146" customFormat="1" ht="16" customHeight="1">
      <c r="A410" s="154">
        <v>188</v>
      </c>
      <c r="B410" s="196" t="s">
        <v>669</v>
      </c>
      <c r="C410" s="523"/>
      <c r="D410" s="492"/>
      <c r="E410" s="208" t="s">
        <v>990</v>
      </c>
      <c r="F410" s="208" t="s">
        <v>2</v>
      </c>
      <c r="G410" s="190">
        <v>5000</v>
      </c>
      <c r="H410" s="355" t="s">
        <v>98</v>
      </c>
      <c r="I410" s="190">
        <v>25</v>
      </c>
      <c r="J410" s="155">
        <v>1.5</v>
      </c>
      <c r="K410" s="433" t="s">
        <v>98</v>
      </c>
      <c r="L410" s="190">
        <v>0.69523999999999997</v>
      </c>
      <c r="M410" s="190">
        <v>4.3905723905723901</v>
      </c>
      <c r="N410" s="425" t="s">
        <v>98</v>
      </c>
      <c r="O410" s="425" t="s">
        <v>98</v>
      </c>
      <c r="P410" s="437" t="s">
        <v>98</v>
      </c>
      <c r="Q410" s="523"/>
      <c r="R410" s="523"/>
      <c r="S410" s="536"/>
    </row>
    <row r="411" spans="1:19" s="146" customFormat="1" ht="16" customHeight="1">
      <c r="A411" s="154">
        <v>189</v>
      </c>
      <c r="B411" s="196" t="s">
        <v>669</v>
      </c>
      <c r="C411" s="523"/>
      <c r="D411" s="492"/>
      <c r="E411" s="208" t="s">
        <v>990</v>
      </c>
      <c r="F411" s="208" t="s">
        <v>2</v>
      </c>
      <c r="G411" s="190">
        <v>5000</v>
      </c>
      <c r="H411" s="355" t="s">
        <v>98</v>
      </c>
      <c r="I411" s="190">
        <v>30</v>
      </c>
      <c r="J411" s="155">
        <v>1.5</v>
      </c>
      <c r="K411" s="433" t="s">
        <v>98</v>
      </c>
      <c r="L411" s="190">
        <v>0.77835999999999994</v>
      </c>
      <c r="M411" s="190">
        <v>5.5757575757575699</v>
      </c>
      <c r="N411" s="425" t="s">
        <v>98</v>
      </c>
      <c r="O411" s="425" t="s">
        <v>98</v>
      </c>
      <c r="P411" s="437" t="s">
        <v>98</v>
      </c>
      <c r="Q411" s="523"/>
      <c r="R411" s="523"/>
      <c r="S411" s="536"/>
    </row>
    <row r="412" spans="1:19" s="146" customFormat="1" ht="16" customHeight="1">
      <c r="A412" s="154">
        <v>190</v>
      </c>
      <c r="B412" s="196" t="s">
        <v>669</v>
      </c>
      <c r="C412" s="523"/>
      <c r="D412" s="492"/>
      <c r="E412" s="208" t="s">
        <v>990</v>
      </c>
      <c r="F412" s="208" t="s">
        <v>2</v>
      </c>
      <c r="G412" s="190">
        <v>5000</v>
      </c>
      <c r="H412" s="355" t="s">
        <v>98</v>
      </c>
      <c r="I412" s="190">
        <v>35</v>
      </c>
      <c r="J412" s="155">
        <v>1.5</v>
      </c>
      <c r="K412" s="433" t="s">
        <v>98</v>
      </c>
      <c r="L412" s="190">
        <v>0.81299999999999994</v>
      </c>
      <c r="M412" s="190">
        <v>7.05723905723905</v>
      </c>
      <c r="N412" s="425" t="s">
        <v>98</v>
      </c>
      <c r="O412" s="425" t="s">
        <v>98</v>
      </c>
      <c r="P412" s="437" t="s">
        <v>98</v>
      </c>
      <c r="Q412" s="523"/>
      <c r="R412" s="523"/>
      <c r="S412" s="536"/>
    </row>
    <row r="413" spans="1:19" s="146" customFormat="1" ht="16" customHeight="1">
      <c r="A413" s="154">
        <v>191</v>
      </c>
      <c r="B413" s="196" t="s">
        <v>669</v>
      </c>
      <c r="C413" s="523"/>
      <c r="D413" s="492"/>
      <c r="E413" s="208" t="s">
        <v>991</v>
      </c>
      <c r="F413" s="208" t="s">
        <v>2</v>
      </c>
      <c r="G413" s="190">
        <v>5000</v>
      </c>
      <c r="H413" s="355" t="s">
        <v>98</v>
      </c>
      <c r="I413" s="190">
        <v>15</v>
      </c>
      <c r="J413" s="155">
        <v>0.5</v>
      </c>
      <c r="K413" s="433" t="s">
        <v>98</v>
      </c>
      <c r="L413" s="190">
        <v>0.16899999999999993</v>
      </c>
      <c r="M413" s="190">
        <v>1.5622895622895601</v>
      </c>
      <c r="N413" s="425" t="s">
        <v>98</v>
      </c>
      <c r="O413" s="425" t="s">
        <v>98</v>
      </c>
      <c r="P413" s="437" t="s">
        <v>98</v>
      </c>
      <c r="Q413" s="523"/>
      <c r="R413" s="523"/>
      <c r="S413" s="536"/>
    </row>
    <row r="414" spans="1:19" s="146" customFormat="1" ht="16" customHeight="1">
      <c r="A414" s="154">
        <v>192</v>
      </c>
      <c r="B414" s="196" t="s">
        <v>669</v>
      </c>
      <c r="C414" s="523"/>
      <c r="D414" s="492"/>
      <c r="E414" s="208" t="s">
        <v>991</v>
      </c>
      <c r="F414" s="208" t="s">
        <v>2</v>
      </c>
      <c r="G414" s="190">
        <v>5000</v>
      </c>
      <c r="H414" s="355" t="s">
        <v>98</v>
      </c>
      <c r="I414" s="190">
        <v>20</v>
      </c>
      <c r="J414" s="155">
        <v>0.5</v>
      </c>
      <c r="K414" s="433" t="s">
        <v>98</v>
      </c>
      <c r="L414" s="190">
        <v>0.33520000000000005</v>
      </c>
      <c r="M414" s="190">
        <v>1.6161616161616099</v>
      </c>
      <c r="N414" s="425" t="s">
        <v>98</v>
      </c>
      <c r="O414" s="425" t="s">
        <v>98</v>
      </c>
      <c r="P414" s="437" t="s">
        <v>98</v>
      </c>
      <c r="Q414" s="523"/>
      <c r="R414" s="523"/>
      <c r="S414" s="536"/>
    </row>
    <row r="415" spans="1:19" s="146" customFormat="1" ht="16" customHeight="1">
      <c r="A415" s="154">
        <v>193</v>
      </c>
      <c r="B415" s="196" t="s">
        <v>669</v>
      </c>
      <c r="C415" s="523"/>
      <c r="D415" s="492"/>
      <c r="E415" s="208" t="s">
        <v>991</v>
      </c>
      <c r="F415" s="208" t="s">
        <v>2</v>
      </c>
      <c r="G415" s="190">
        <v>5000</v>
      </c>
      <c r="H415" s="355" t="s">
        <v>98</v>
      </c>
      <c r="I415" s="190">
        <v>25</v>
      </c>
      <c r="J415" s="155">
        <v>0.5</v>
      </c>
      <c r="K415" s="433" t="s">
        <v>98</v>
      </c>
      <c r="L415" s="190">
        <v>0.40439999999999998</v>
      </c>
      <c r="M415" s="190">
        <v>2.2087542087542</v>
      </c>
      <c r="N415" s="425" t="s">
        <v>98</v>
      </c>
      <c r="O415" s="425" t="s">
        <v>98</v>
      </c>
      <c r="P415" s="437" t="s">
        <v>98</v>
      </c>
      <c r="Q415" s="523"/>
      <c r="R415" s="523"/>
      <c r="S415" s="536"/>
    </row>
    <row r="416" spans="1:19" s="146" customFormat="1" ht="16" customHeight="1">
      <c r="A416" s="154">
        <v>194</v>
      </c>
      <c r="B416" s="196" t="s">
        <v>669</v>
      </c>
      <c r="C416" s="523"/>
      <c r="D416" s="492"/>
      <c r="E416" s="208" t="s">
        <v>991</v>
      </c>
      <c r="F416" s="208" t="s">
        <v>2</v>
      </c>
      <c r="G416" s="190">
        <v>5000</v>
      </c>
      <c r="H416" s="355" t="s">
        <v>98</v>
      </c>
      <c r="I416" s="190">
        <v>30</v>
      </c>
      <c r="J416" s="155">
        <v>0.5</v>
      </c>
      <c r="K416" s="433" t="s">
        <v>98</v>
      </c>
      <c r="L416" s="190">
        <v>0.45979999999999999</v>
      </c>
      <c r="M416" s="190">
        <v>2.7474747474747399</v>
      </c>
      <c r="N416" s="425" t="s">
        <v>98</v>
      </c>
      <c r="O416" s="425" t="s">
        <v>98</v>
      </c>
      <c r="P416" s="437" t="s">
        <v>98</v>
      </c>
      <c r="Q416" s="523"/>
      <c r="R416" s="523"/>
      <c r="S416" s="536"/>
    </row>
    <row r="417" spans="1:19" s="146" customFormat="1" ht="16" customHeight="1">
      <c r="A417" s="154">
        <v>195</v>
      </c>
      <c r="B417" s="196" t="s">
        <v>669</v>
      </c>
      <c r="C417" s="523"/>
      <c r="D417" s="492"/>
      <c r="E417" s="208" t="s">
        <v>991</v>
      </c>
      <c r="F417" s="208" t="s">
        <v>2</v>
      </c>
      <c r="G417" s="190">
        <v>5000</v>
      </c>
      <c r="H417" s="355" t="s">
        <v>98</v>
      </c>
      <c r="I417" s="190">
        <v>35</v>
      </c>
      <c r="J417" s="155">
        <v>0.5</v>
      </c>
      <c r="K417" s="433" t="s">
        <v>98</v>
      </c>
      <c r="L417" s="190">
        <v>0.51516000000000006</v>
      </c>
      <c r="M417" s="190">
        <v>3.15151515151515</v>
      </c>
      <c r="N417" s="425" t="s">
        <v>98</v>
      </c>
      <c r="O417" s="425" t="s">
        <v>98</v>
      </c>
      <c r="P417" s="437" t="s">
        <v>98</v>
      </c>
      <c r="Q417" s="523"/>
      <c r="R417" s="523"/>
      <c r="S417" s="536"/>
    </row>
    <row r="418" spans="1:19" s="146" customFormat="1" ht="16" customHeight="1">
      <c r="A418" s="154">
        <v>196</v>
      </c>
      <c r="B418" s="196" t="s">
        <v>669</v>
      </c>
      <c r="C418" s="523"/>
      <c r="D418" s="492"/>
      <c r="E418" s="208" t="s">
        <v>991</v>
      </c>
      <c r="F418" s="208" t="s">
        <v>2</v>
      </c>
      <c r="G418" s="190">
        <v>5000</v>
      </c>
      <c r="H418" s="355" t="s">
        <v>98</v>
      </c>
      <c r="I418" s="190">
        <v>15</v>
      </c>
      <c r="J418" s="155">
        <v>1</v>
      </c>
      <c r="K418" s="433" t="s">
        <v>98</v>
      </c>
      <c r="L418" s="190">
        <v>0.32122000000000006</v>
      </c>
      <c r="M418" s="190">
        <v>1.6430976430976401</v>
      </c>
      <c r="N418" s="425" t="s">
        <v>98</v>
      </c>
      <c r="O418" s="425" t="s">
        <v>98</v>
      </c>
      <c r="P418" s="437" t="s">
        <v>98</v>
      </c>
      <c r="Q418" s="523"/>
      <c r="R418" s="523"/>
      <c r="S418" s="536"/>
    </row>
    <row r="419" spans="1:19" s="146" customFormat="1" ht="16" customHeight="1">
      <c r="A419" s="154">
        <v>197</v>
      </c>
      <c r="B419" s="196" t="s">
        <v>669</v>
      </c>
      <c r="C419" s="523"/>
      <c r="D419" s="492"/>
      <c r="E419" s="208" t="s">
        <v>991</v>
      </c>
      <c r="F419" s="208" t="s">
        <v>2</v>
      </c>
      <c r="G419" s="190">
        <v>5000</v>
      </c>
      <c r="H419" s="355" t="s">
        <v>98</v>
      </c>
      <c r="I419" s="190">
        <v>20</v>
      </c>
      <c r="J419" s="155">
        <v>1</v>
      </c>
      <c r="K419" s="433" t="s">
        <v>98</v>
      </c>
      <c r="L419" s="190">
        <v>0.43203999999999998</v>
      </c>
      <c r="M419" s="190">
        <v>2.2895622895622898</v>
      </c>
      <c r="N419" s="425" t="s">
        <v>98</v>
      </c>
      <c r="O419" s="425" t="s">
        <v>98</v>
      </c>
      <c r="P419" s="437" t="s">
        <v>98</v>
      </c>
      <c r="Q419" s="523"/>
      <c r="R419" s="523"/>
      <c r="S419" s="536"/>
    </row>
    <row r="420" spans="1:19" s="146" customFormat="1" ht="16" customHeight="1">
      <c r="A420" s="154">
        <v>198</v>
      </c>
      <c r="B420" s="196" t="s">
        <v>669</v>
      </c>
      <c r="C420" s="523"/>
      <c r="D420" s="492"/>
      <c r="E420" s="208" t="s">
        <v>991</v>
      </c>
      <c r="F420" s="208" t="s">
        <v>2</v>
      </c>
      <c r="G420" s="190">
        <v>5000</v>
      </c>
      <c r="H420" s="355" t="s">
        <v>98</v>
      </c>
      <c r="I420" s="190">
        <v>25</v>
      </c>
      <c r="J420" s="155">
        <v>1</v>
      </c>
      <c r="K420" s="433" t="s">
        <v>98</v>
      </c>
      <c r="L420" s="190">
        <v>0.50129999999999997</v>
      </c>
      <c r="M420" s="190">
        <v>3.2861952861952801</v>
      </c>
      <c r="N420" s="425" t="s">
        <v>98</v>
      </c>
      <c r="O420" s="425" t="s">
        <v>98</v>
      </c>
      <c r="P420" s="437" t="s">
        <v>98</v>
      </c>
      <c r="Q420" s="523"/>
      <c r="R420" s="523"/>
      <c r="S420" s="536"/>
    </row>
    <row r="421" spans="1:19" s="146" customFormat="1" ht="16" customHeight="1">
      <c r="A421" s="154">
        <v>199</v>
      </c>
      <c r="B421" s="196" t="s">
        <v>669</v>
      </c>
      <c r="C421" s="523"/>
      <c r="D421" s="492"/>
      <c r="E421" s="208" t="s">
        <v>991</v>
      </c>
      <c r="F421" s="208" t="s">
        <v>2</v>
      </c>
      <c r="G421" s="190">
        <v>5000</v>
      </c>
      <c r="H421" s="355" t="s">
        <v>98</v>
      </c>
      <c r="I421" s="190">
        <v>30</v>
      </c>
      <c r="J421" s="155">
        <v>1</v>
      </c>
      <c r="K421" s="433" t="s">
        <v>98</v>
      </c>
      <c r="L421" s="190">
        <v>0.62597999999999998</v>
      </c>
      <c r="M421" s="190">
        <v>3.87878787878787</v>
      </c>
      <c r="N421" s="425" t="s">
        <v>98</v>
      </c>
      <c r="O421" s="425" t="s">
        <v>98</v>
      </c>
      <c r="P421" s="437" t="s">
        <v>98</v>
      </c>
      <c r="Q421" s="523"/>
      <c r="R421" s="523"/>
      <c r="S421" s="536"/>
    </row>
    <row r="422" spans="1:19" s="146" customFormat="1" ht="16" customHeight="1">
      <c r="A422" s="154">
        <v>200</v>
      </c>
      <c r="B422" s="196" t="s">
        <v>669</v>
      </c>
      <c r="C422" s="523"/>
      <c r="D422" s="492"/>
      <c r="E422" s="208" t="s">
        <v>991</v>
      </c>
      <c r="F422" s="208" t="s">
        <v>2</v>
      </c>
      <c r="G422" s="190">
        <v>5000</v>
      </c>
      <c r="H422" s="355" t="s">
        <v>98</v>
      </c>
      <c r="I422" s="190">
        <v>35</v>
      </c>
      <c r="J422" s="155">
        <v>1</v>
      </c>
      <c r="K422" s="433" t="s">
        <v>98</v>
      </c>
      <c r="L422" s="190">
        <v>0.626</v>
      </c>
      <c r="M422" s="190">
        <v>4.6060606060606002</v>
      </c>
      <c r="N422" s="425" t="s">
        <v>98</v>
      </c>
      <c r="O422" s="425" t="s">
        <v>98</v>
      </c>
      <c r="P422" s="437" t="s">
        <v>98</v>
      </c>
      <c r="Q422" s="523"/>
      <c r="R422" s="523"/>
      <c r="S422" s="536"/>
    </row>
    <row r="423" spans="1:19" s="146" customFormat="1" ht="16" customHeight="1">
      <c r="A423" s="154">
        <v>201</v>
      </c>
      <c r="B423" s="196" t="s">
        <v>669</v>
      </c>
      <c r="C423" s="523"/>
      <c r="D423" s="492"/>
      <c r="E423" s="208" t="s">
        <v>991</v>
      </c>
      <c r="F423" s="208" t="s">
        <v>2</v>
      </c>
      <c r="G423" s="190">
        <v>5000</v>
      </c>
      <c r="H423" s="355" t="s">
        <v>98</v>
      </c>
      <c r="I423" s="190">
        <v>15</v>
      </c>
      <c r="J423" s="155">
        <v>1.5</v>
      </c>
      <c r="K423" s="433" t="s">
        <v>98</v>
      </c>
      <c r="L423" s="190">
        <v>0.33507999999999993</v>
      </c>
      <c r="M423" s="190">
        <v>2.23569023569023</v>
      </c>
      <c r="N423" s="425" t="s">
        <v>98</v>
      </c>
      <c r="O423" s="425" t="s">
        <v>98</v>
      </c>
      <c r="P423" s="437" t="s">
        <v>98</v>
      </c>
      <c r="Q423" s="523"/>
      <c r="R423" s="523"/>
      <c r="S423" s="536"/>
    </row>
    <row r="424" spans="1:19" s="146" customFormat="1" ht="16" customHeight="1">
      <c r="A424" s="154">
        <v>202</v>
      </c>
      <c r="B424" s="196" t="s">
        <v>669</v>
      </c>
      <c r="C424" s="523"/>
      <c r="D424" s="492"/>
      <c r="E424" s="208" t="s">
        <v>991</v>
      </c>
      <c r="F424" s="208" t="s">
        <v>2</v>
      </c>
      <c r="G424" s="190">
        <v>5000</v>
      </c>
      <c r="H424" s="355" t="s">
        <v>98</v>
      </c>
      <c r="I424" s="190">
        <v>20</v>
      </c>
      <c r="J424" s="208">
        <v>1.5</v>
      </c>
      <c r="K424" s="428" t="s">
        <v>98</v>
      </c>
      <c r="L424" s="190">
        <v>0.52901999999999993</v>
      </c>
      <c r="M424" s="190">
        <v>2.8552188552188502</v>
      </c>
      <c r="N424" s="425" t="s">
        <v>98</v>
      </c>
      <c r="O424" s="425" t="s">
        <v>98</v>
      </c>
      <c r="P424" s="437" t="s">
        <v>98</v>
      </c>
      <c r="Q424" s="523"/>
      <c r="R424" s="523"/>
      <c r="S424" s="536"/>
    </row>
    <row r="425" spans="1:19" s="146" customFormat="1" ht="16" customHeight="1">
      <c r="A425" s="154">
        <v>203</v>
      </c>
      <c r="B425" s="196" t="s">
        <v>669</v>
      </c>
      <c r="C425" s="523"/>
      <c r="D425" s="492"/>
      <c r="E425" s="208" t="s">
        <v>991</v>
      </c>
      <c r="F425" s="208" t="s">
        <v>2</v>
      </c>
      <c r="G425" s="190">
        <v>5000</v>
      </c>
      <c r="H425" s="355" t="s">
        <v>98</v>
      </c>
      <c r="I425" s="190">
        <v>25</v>
      </c>
      <c r="J425" s="208">
        <v>1.5</v>
      </c>
      <c r="K425" s="428" t="s">
        <v>98</v>
      </c>
      <c r="L425" s="150">
        <v>0.55679999999999996</v>
      </c>
      <c r="M425" s="190">
        <v>4.4983164983164903</v>
      </c>
      <c r="N425" s="425" t="s">
        <v>98</v>
      </c>
      <c r="O425" s="425" t="s">
        <v>98</v>
      </c>
      <c r="P425" s="437" t="s">
        <v>98</v>
      </c>
      <c r="Q425" s="523"/>
      <c r="R425" s="523"/>
      <c r="S425" s="536"/>
    </row>
    <row r="426" spans="1:19" s="146" customFormat="1" ht="16" customHeight="1">
      <c r="A426" s="154">
        <v>204</v>
      </c>
      <c r="B426" s="196" t="s">
        <v>669</v>
      </c>
      <c r="C426" s="523"/>
      <c r="D426" s="492"/>
      <c r="E426" s="208" t="s">
        <v>991</v>
      </c>
      <c r="F426" s="208" t="s">
        <v>2</v>
      </c>
      <c r="G426" s="190">
        <v>5000</v>
      </c>
      <c r="H426" s="355" t="s">
        <v>98</v>
      </c>
      <c r="I426" s="190">
        <v>30</v>
      </c>
      <c r="J426" s="208">
        <v>1.5</v>
      </c>
      <c r="K426" s="428" t="s">
        <v>98</v>
      </c>
      <c r="L426" s="150">
        <v>0.68199999999999994</v>
      </c>
      <c r="M426" s="190">
        <v>5.3063973063973</v>
      </c>
      <c r="N426" s="425" t="s">
        <v>98</v>
      </c>
      <c r="O426" s="425" t="s">
        <v>98</v>
      </c>
      <c r="P426" s="437" t="s">
        <v>98</v>
      </c>
      <c r="Q426" s="523"/>
      <c r="R426" s="523"/>
      <c r="S426" s="536"/>
    </row>
    <row r="427" spans="1:19" s="190" customFormat="1" ht="16" customHeight="1">
      <c r="A427" s="156">
        <v>205</v>
      </c>
      <c r="B427" s="197" t="s">
        <v>669</v>
      </c>
      <c r="C427" s="494"/>
      <c r="D427" s="491"/>
      <c r="E427" s="161" t="s">
        <v>991</v>
      </c>
      <c r="F427" s="161" t="s">
        <v>2</v>
      </c>
      <c r="G427" s="147">
        <v>5000</v>
      </c>
      <c r="H427" s="356" t="s">
        <v>98</v>
      </c>
      <c r="I427" s="147">
        <v>35</v>
      </c>
      <c r="J427" s="161">
        <v>1.5</v>
      </c>
      <c r="K427" s="429" t="s">
        <v>98</v>
      </c>
      <c r="L427" s="151">
        <v>0.752</v>
      </c>
      <c r="M427" s="147">
        <v>6.9764309764309704</v>
      </c>
      <c r="N427" s="426" t="s">
        <v>98</v>
      </c>
      <c r="O427" s="426" t="s">
        <v>98</v>
      </c>
      <c r="P427" s="461" t="s">
        <v>98</v>
      </c>
      <c r="Q427" s="494"/>
      <c r="R427" s="494"/>
      <c r="S427" s="537"/>
    </row>
    <row r="428" spans="1:19" s="146" customFormat="1" ht="16" customHeight="1">
      <c r="A428" s="154">
        <v>206</v>
      </c>
      <c r="B428" s="196" t="s">
        <v>669</v>
      </c>
      <c r="C428" s="507">
        <v>56</v>
      </c>
      <c r="D428" s="492" t="s">
        <v>229</v>
      </c>
      <c r="E428" s="146" t="s">
        <v>910</v>
      </c>
      <c r="F428" s="146" t="s">
        <v>1</v>
      </c>
      <c r="G428" s="146">
        <v>10000</v>
      </c>
      <c r="H428" s="355" t="s">
        <v>98</v>
      </c>
      <c r="I428" s="146">
        <v>6</v>
      </c>
      <c r="J428" s="146">
        <v>6</v>
      </c>
      <c r="K428" s="146">
        <v>20</v>
      </c>
      <c r="L428" s="428" t="s">
        <v>98</v>
      </c>
      <c r="M428" s="428" t="s">
        <v>98</v>
      </c>
      <c r="N428" s="209">
        <v>0.53100000000000003</v>
      </c>
      <c r="O428" s="146">
        <v>51.1</v>
      </c>
      <c r="P428" s="428" t="s">
        <v>98</v>
      </c>
      <c r="Q428" s="500" t="s">
        <v>1257</v>
      </c>
      <c r="R428" s="548" t="s">
        <v>798</v>
      </c>
      <c r="S428" s="536" t="s">
        <v>798</v>
      </c>
    </row>
    <row r="429" spans="1:19" s="146" customFormat="1" ht="16" customHeight="1">
      <c r="A429" s="154">
        <v>207</v>
      </c>
      <c r="B429" s="196" t="s">
        <v>669</v>
      </c>
      <c r="C429" s="507"/>
      <c r="D429" s="492"/>
      <c r="E429" s="146" t="s">
        <v>911</v>
      </c>
      <c r="G429" s="146">
        <v>10000</v>
      </c>
      <c r="H429" s="355" t="s">
        <v>98</v>
      </c>
      <c r="I429" s="146">
        <v>6</v>
      </c>
      <c r="J429" s="146">
        <v>6</v>
      </c>
      <c r="K429" s="146">
        <v>20</v>
      </c>
      <c r="L429" s="428" t="s">
        <v>98</v>
      </c>
      <c r="M429" s="428" t="s">
        <v>98</v>
      </c>
      <c r="N429" s="209">
        <v>0.67500000000000004</v>
      </c>
      <c r="O429" s="146">
        <v>58.5</v>
      </c>
      <c r="P429" s="428" t="s">
        <v>98</v>
      </c>
      <c r="Q429" s="501"/>
      <c r="R429" s="548"/>
      <c r="S429" s="536"/>
    </row>
    <row r="430" spans="1:19" s="146" customFormat="1" ht="16" customHeight="1">
      <c r="A430" s="154">
        <v>208</v>
      </c>
      <c r="B430" s="196" t="s">
        <v>669</v>
      </c>
      <c r="C430" s="507"/>
      <c r="D430" s="492"/>
      <c r="E430" s="146" t="s">
        <v>912</v>
      </c>
      <c r="G430" s="146">
        <v>10000</v>
      </c>
      <c r="H430" s="355" t="s">
        <v>98</v>
      </c>
      <c r="I430" s="146">
        <v>6</v>
      </c>
      <c r="J430" s="146">
        <v>6</v>
      </c>
      <c r="K430" s="146">
        <v>20</v>
      </c>
      <c r="L430" s="428" t="s">
        <v>98</v>
      </c>
      <c r="M430" s="428" t="s">
        <v>98</v>
      </c>
      <c r="N430" s="209">
        <v>0.80900000000000005</v>
      </c>
      <c r="O430" s="146">
        <v>77.400000000000006</v>
      </c>
      <c r="P430" s="428" t="s">
        <v>98</v>
      </c>
      <c r="Q430" s="501"/>
      <c r="R430" s="548"/>
      <c r="S430" s="536"/>
    </row>
    <row r="431" spans="1:19" s="146" customFormat="1" ht="16" customHeight="1">
      <c r="A431" s="154">
        <v>209</v>
      </c>
      <c r="B431" s="196" t="s">
        <v>669</v>
      </c>
      <c r="C431" s="507"/>
      <c r="D431" s="492"/>
      <c r="E431" s="146" t="s">
        <v>910</v>
      </c>
      <c r="G431" s="146">
        <v>10000</v>
      </c>
      <c r="H431" s="355" t="s">
        <v>98</v>
      </c>
      <c r="I431" s="146">
        <v>6</v>
      </c>
      <c r="J431" s="146">
        <v>6</v>
      </c>
      <c r="K431" s="146">
        <v>20</v>
      </c>
      <c r="L431" s="428" t="s">
        <v>98</v>
      </c>
      <c r="M431" s="428" t="s">
        <v>98</v>
      </c>
      <c r="N431" s="209">
        <v>0.8</v>
      </c>
      <c r="O431" s="146">
        <v>124.93300000000001</v>
      </c>
      <c r="P431" s="428" t="s">
        <v>98</v>
      </c>
      <c r="Q431" s="501"/>
      <c r="R431" s="548"/>
      <c r="S431" s="536"/>
    </row>
    <row r="432" spans="1:19" s="146" customFormat="1" ht="16" customHeight="1">
      <c r="A432" s="154">
        <v>210</v>
      </c>
      <c r="B432" s="196" t="s">
        <v>669</v>
      </c>
      <c r="C432" s="507"/>
      <c r="D432" s="492"/>
      <c r="E432" s="146" t="s">
        <v>911</v>
      </c>
      <c r="G432" s="146">
        <v>10000</v>
      </c>
      <c r="H432" s="355" t="s">
        <v>98</v>
      </c>
      <c r="I432" s="146">
        <v>6</v>
      </c>
      <c r="J432" s="146">
        <v>6</v>
      </c>
      <c r="K432" s="146">
        <v>20</v>
      </c>
      <c r="L432" s="428" t="s">
        <v>98</v>
      </c>
      <c r="M432" s="428" t="s">
        <v>98</v>
      </c>
      <c r="N432" s="209">
        <v>0.8</v>
      </c>
      <c r="O432" s="146">
        <v>66.805999999999997</v>
      </c>
      <c r="P432" s="428" t="s">
        <v>98</v>
      </c>
      <c r="Q432" s="501"/>
      <c r="R432" s="548"/>
      <c r="S432" s="536"/>
    </row>
    <row r="433" spans="1:19" s="146" customFormat="1" ht="16" customHeight="1">
      <c r="A433" s="154">
        <v>211</v>
      </c>
      <c r="B433" s="196" t="s">
        <v>669</v>
      </c>
      <c r="C433" s="507"/>
      <c r="D433" s="492"/>
      <c r="E433" s="146" t="s">
        <v>912</v>
      </c>
      <c r="G433" s="146">
        <v>10000</v>
      </c>
      <c r="H433" s="355" t="s">
        <v>98</v>
      </c>
      <c r="I433" s="146">
        <v>6</v>
      </c>
      <c r="J433" s="146">
        <v>6</v>
      </c>
      <c r="K433" s="146">
        <v>20</v>
      </c>
      <c r="L433" s="428" t="s">
        <v>98</v>
      </c>
      <c r="M433" s="428" t="s">
        <v>98</v>
      </c>
      <c r="N433" s="209">
        <v>0.8</v>
      </c>
      <c r="O433" s="146">
        <v>83.013999999999996</v>
      </c>
      <c r="P433" s="428" t="s">
        <v>98</v>
      </c>
      <c r="Q433" s="501"/>
      <c r="R433" s="548"/>
      <c r="S433" s="536"/>
    </row>
    <row r="434" spans="1:19" s="146" customFormat="1" ht="16" customHeight="1">
      <c r="A434" s="154">
        <v>212</v>
      </c>
      <c r="B434" s="196" t="s">
        <v>669</v>
      </c>
      <c r="C434" s="507"/>
      <c r="D434" s="492"/>
      <c r="E434" s="146" t="s">
        <v>913</v>
      </c>
      <c r="G434" s="146">
        <v>10000</v>
      </c>
      <c r="H434" s="355" t="s">
        <v>98</v>
      </c>
      <c r="I434" s="146">
        <v>6</v>
      </c>
      <c r="J434" s="146">
        <v>6</v>
      </c>
      <c r="K434" s="146">
        <v>20</v>
      </c>
      <c r="L434" s="428" t="s">
        <v>98</v>
      </c>
      <c r="M434" s="428" t="s">
        <v>98</v>
      </c>
      <c r="N434" s="209">
        <v>0.33700000000000002</v>
      </c>
      <c r="O434" s="146">
        <v>72.5</v>
      </c>
      <c r="P434" s="428" t="s">
        <v>98</v>
      </c>
      <c r="Q434" s="501"/>
      <c r="R434" s="548"/>
      <c r="S434" s="536"/>
    </row>
    <row r="435" spans="1:19" s="146" customFormat="1" ht="16" customHeight="1">
      <c r="A435" s="154">
        <v>213</v>
      </c>
      <c r="B435" s="196" t="s">
        <v>669</v>
      </c>
      <c r="C435" s="507"/>
      <c r="D435" s="492"/>
      <c r="E435" s="146" t="s">
        <v>914</v>
      </c>
      <c r="G435" s="146">
        <v>10000</v>
      </c>
      <c r="H435" s="355" t="s">
        <v>98</v>
      </c>
      <c r="I435" s="146">
        <v>6</v>
      </c>
      <c r="J435" s="146">
        <v>6</v>
      </c>
      <c r="K435" s="146">
        <v>20</v>
      </c>
      <c r="L435" s="428" t="s">
        <v>98</v>
      </c>
      <c r="M435" s="428" t="s">
        <v>98</v>
      </c>
      <c r="N435" s="209">
        <v>0.48499999999999999</v>
      </c>
      <c r="O435" s="146">
        <v>59.5</v>
      </c>
      <c r="P435" s="428" t="s">
        <v>98</v>
      </c>
      <c r="Q435" s="501"/>
      <c r="R435" s="548"/>
      <c r="S435" s="536"/>
    </row>
    <row r="436" spans="1:19" s="146" customFormat="1" ht="16" customHeight="1">
      <c r="A436" s="154">
        <v>214</v>
      </c>
      <c r="B436" s="196" t="s">
        <v>669</v>
      </c>
      <c r="C436" s="507"/>
      <c r="D436" s="492"/>
      <c r="E436" s="146" t="s">
        <v>915</v>
      </c>
      <c r="G436" s="146">
        <v>10000</v>
      </c>
      <c r="H436" s="355" t="s">
        <v>98</v>
      </c>
      <c r="I436" s="146">
        <v>6</v>
      </c>
      <c r="J436" s="146">
        <v>6</v>
      </c>
      <c r="K436" s="146">
        <v>20</v>
      </c>
      <c r="L436" s="428" t="s">
        <v>98</v>
      </c>
      <c r="M436" s="428" t="s">
        <v>98</v>
      </c>
      <c r="N436" s="209">
        <v>0.66800000000000004</v>
      </c>
      <c r="O436" s="146">
        <v>54.2</v>
      </c>
      <c r="P436" s="428" t="s">
        <v>98</v>
      </c>
      <c r="Q436" s="501"/>
      <c r="R436" s="548"/>
      <c r="S436" s="536"/>
    </row>
    <row r="437" spans="1:19" s="146" customFormat="1" ht="16" customHeight="1">
      <c r="A437" s="154">
        <v>215</v>
      </c>
      <c r="B437" s="196" t="s">
        <v>669</v>
      </c>
      <c r="C437" s="507"/>
      <c r="D437" s="492"/>
      <c r="E437" s="146" t="s">
        <v>913</v>
      </c>
      <c r="G437" s="146">
        <v>10000</v>
      </c>
      <c r="H437" s="355" t="s">
        <v>98</v>
      </c>
      <c r="I437" s="146">
        <v>6</v>
      </c>
      <c r="J437" s="146">
        <v>6</v>
      </c>
      <c r="K437" s="146">
        <v>20</v>
      </c>
      <c r="L437" s="428" t="s">
        <v>98</v>
      </c>
      <c r="M437" s="428" t="s">
        <v>98</v>
      </c>
      <c r="N437" s="209">
        <v>0.8</v>
      </c>
      <c r="O437" s="146">
        <v>144.881</v>
      </c>
      <c r="P437" s="428" t="s">
        <v>98</v>
      </c>
      <c r="Q437" s="501"/>
      <c r="R437" s="548"/>
      <c r="S437" s="536"/>
    </row>
    <row r="438" spans="1:19" s="146" customFormat="1" ht="16" customHeight="1">
      <c r="A438" s="154">
        <v>216</v>
      </c>
      <c r="B438" s="196" t="s">
        <v>669</v>
      </c>
      <c r="C438" s="507"/>
      <c r="D438" s="492"/>
      <c r="E438" s="146" t="s">
        <v>914</v>
      </c>
      <c r="G438" s="146">
        <v>10000</v>
      </c>
      <c r="H438" s="355" t="s">
        <v>98</v>
      </c>
      <c r="I438" s="146">
        <v>6</v>
      </c>
      <c r="J438" s="146">
        <v>6</v>
      </c>
      <c r="K438" s="146">
        <v>20</v>
      </c>
      <c r="L438" s="428" t="s">
        <v>98</v>
      </c>
      <c r="M438" s="428" t="s">
        <v>98</v>
      </c>
      <c r="N438" s="209">
        <v>0.8</v>
      </c>
      <c r="O438" s="146">
        <v>97.037999999999997</v>
      </c>
      <c r="P438" s="428" t="s">
        <v>98</v>
      </c>
      <c r="Q438" s="501"/>
      <c r="R438" s="548"/>
      <c r="S438" s="536"/>
    </row>
    <row r="439" spans="1:19" s="146" customFormat="1" ht="16" customHeight="1">
      <c r="A439" s="154">
        <v>217</v>
      </c>
      <c r="B439" s="196" t="s">
        <v>669</v>
      </c>
      <c r="C439" s="507"/>
      <c r="D439" s="492"/>
      <c r="E439" s="146" t="s">
        <v>915</v>
      </c>
      <c r="G439" s="146">
        <v>10000</v>
      </c>
      <c r="H439" s="355" t="s">
        <v>98</v>
      </c>
      <c r="I439" s="146">
        <v>6</v>
      </c>
      <c r="J439" s="146">
        <v>6</v>
      </c>
      <c r="K439" s="146">
        <v>20</v>
      </c>
      <c r="L439" s="428" t="s">
        <v>98</v>
      </c>
      <c r="M439" s="428" t="s">
        <v>98</v>
      </c>
      <c r="N439" s="209">
        <v>0.8</v>
      </c>
      <c r="O439" s="146">
        <v>55.277000000000001</v>
      </c>
      <c r="P439" s="428" t="s">
        <v>98</v>
      </c>
      <c r="Q439" s="501"/>
      <c r="R439" s="548"/>
      <c r="S439" s="536"/>
    </row>
    <row r="440" spans="1:19" s="146" customFormat="1" ht="16" customHeight="1">
      <c r="A440" s="154">
        <v>218</v>
      </c>
      <c r="B440" s="196" t="s">
        <v>669</v>
      </c>
      <c r="C440" s="507"/>
      <c r="D440" s="492"/>
      <c r="E440" s="146" t="s">
        <v>916</v>
      </c>
      <c r="G440" s="146">
        <v>10000</v>
      </c>
      <c r="H440" s="355" t="s">
        <v>98</v>
      </c>
      <c r="I440" s="146">
        <v>6</v>
      </c>
      <c r="J440" s="146">
        <v>6</v>
      </c>
      <c r="K440" s="146">
        <v>20</v>
      </c>
      <c r="L440" s="428" t="s">
        <v>98</v>
      </c>
      <c r="M440" s="428" t="s">
        <v>98</v>
      </c>
      <c r="N440" s="209">
        <v>0.28799999999999998</v>
      </c>
      <c r="O440" s="146">
        <v>74.599999999999994</v>
      </c>
      <c r="P440" s="428" t="s">
        <v>98</v>
      </c>
      <c r="Q440" s="501"/>
      <c r="R440" s="548"/>
      <c r="S440" s="536"/>
    </row>
    <row r="441" spans="1:19" s="146" customFormat="1" ht="16" customHeight="1">
      <c r="A441" s="154">
        <v>219</v>
      </c>
      <c r="B441" s="196" t="s">
        <v>669</v>
      </c>
      <c r="C441" s="507"/>
      <c r="D441" s="492"/>
      <c r="E441" s="146" t="s">
        <v>917</v>
      </c>
      <c r="G441" s="146">
        <v>10000</v>
      </c>
      <c r="H441" s="355" t="s">
        <v>98</v>
      </c>
      <c r="I441" s="146">
        <v>6</v>
      </c>
      <c r="J441" s="146">
        <v>6</v>
      </c>
      <c r="K441" s="146">
        <v>20</v>
      </c>
      <c r="L441" s="428" t="s">
        <v>98</v>
      </c>
      <c r="M441" s="428" t="s">
        <v>98</v>
      </c>
      <c r="N441" s="209">
        <v>0.374</v>
      </c>
      <c r="O441" s="146">
        <v>80.2</v>
      </c>
      <c r="P441" s="428" t="s">
        <v>98</v>
      </c>
      <c r="Q441" s="501"/>
      <c r="R441" s="548"/>
      <c r="S441" s="536"/>
    </row>
    <row r="442" spans="1:19" s="146" customFormat="1" ht="16" customHeight="1">
      <c r="A442" s="154">
        <v>220</v>
      </c>
      <c r="B442" s="196" t="s">
        <v>669</v>
      </c>
      <c r="C442" s="507"/>
      <c r="D442" s="492"/>
      <c r="E442" s="146" t="s">
        <v>918</v>
      </c>
      <c r="G442" s="146">
        <v>10000</v>
      </c>
      <c r="H442" s="355" t="s">
        <v>98</v>
      </c>
      <c r="I442" s="146">
        <v>6</v>
      </c>
      <c r="J442" s="146">
        <v>6</v>
      </c>
      <c r="K442" s="146">
        <v>20</v>
      </c>
      <c r="L442" s="428" t="s">
        <v>98</v>
      </c>
      <c r="M442" s="428" t="s">
        <v>98</v>
      </c>
      <c r="N442" s="209">
        <v>0.80900000000000005</v>
      </c>
      <c r="O442" s="146">
        <v>76.7</v>
      </c>
      <c r="P442" s="428" t="s">
        <v>98</v>
      </c>
      <c r="Q442" s="501"/>
      <c r="R442" s="548"/>
      <c r="S442" s="536"/>
    </row>
    <row r="443" spans="1:19" s="146" customFormat="1" ht="16" customHeight="1">
      <c r="A443" s="154">
        <v>221</v>
      </c>
      <c r="B443" s="196" t="s">
        <v>669</v>
      </c>
      <c r="C443" s="507"/>
      <c r="D443" s="492"/>
      <c r="E443" s="146" t="s">
        <v>916</v>
      </c>
      <c r="G443" s="146">
        <v>10000</v>
      </c>
      <c r="H443" s="355" t="s">
        <v>98</v>
      </c>
      <c r="I443" s="146">
        <v>6</v>
      </c>
      <c r="J443" s="146">
        <v>6</v>
      </c>
      <c r="K443" s="146">
        <v>20</v>
      </c>
      <c r="L443" s="428" t="s">
        <v>98</v>
      </c>
      <c r="M443" s="428" t="s">
        <v>98</v>
      </c>
      <c r="N443" s="209">
        <v>0.8</v>
      </c>
      <c r="O443" s="146">
        <v>144.25800000000001</v>
      </c>
      <c r="P443" s="428" t="s">
        <v>98</v>
      </c>
      <c r="Q443" s="501"/>
      <c r="R443" s="548"/>
      <c r="S443" s="536"/>
    </row>
    <row r="444" spans="1:19" s="146" customFormat="1" ht="16" customHeight="1">
      <c r="A444" s="154">
        <v>222</v>
      </c>
      <c r="B444" s="196" t="s">
        <v>669</v>
      </c>
      <c r="C444" s="507"/>
      <c r="D444" s="492"/>
      <c r="E444" s="146" t="s">
        <v>917</v>
      </c>
      <c r="G444" s="146">
        <v>10000</v>
      </c>
      <c r="H444" s="355" t="s">
        <v>98</v>
      </c>
      <c r="I444" s="146">
        <v>6</v>
      </c>
      <c r="J444" s="146">
        <v>6</v>
      </c>
      <c r="K444" s="146">
        <v>20</v>
      </c>
      <c r="L444" s="428" t="s">
        <v>98</v>
      </c>
      <c r="M444" s="428" t="s">
        <v>98</v>
      </c>
      <c r="N444" s="209">
        <v>0.8</v>
      </c>
      <c r="O444" s="146">
        <v>127.583</v>
      </c>
      <c r="P444" s="428" t="s">
        <v>98</v>
      </c>
      <c r="Q444" s="501"/>
      <c r="R444" s="548"/>
      <c r="S444" s="536"/>
    </row>
    <row r="445" spans="1:19" s="190" customFormat="1" ht="16" customHeight="1">
      <c r="A445" s="154">
        <v>223</v>
      </c>
      <c r="B445" s="196" t="s">
        <v>669</v>
      </c>
      <c r="C445" s="507"/>
      <c r="D445" s="492"/>
      <c r="E445" s="147" t="s">
        <v>918</v>
      </c>
      <c r="F445" s="147"/>
      <c r="G445" s="147">
        <v>10000</v>
      </c>
      <c r="H445" s="355" t="s">
        <v>98</v>
      </c>
      <c r="I445" s="147">
        <v>6</v>
      </c>
      <c r="J445" s="147">
        <v>6</v>
      </c>
      <c r="K445" s="147">
        <v>20</v>
      </c>
      <c r="L445" s="428" t="s">
        <v>98</v>
      </c>
      <c r="M445" s="428" t="s">
        <v>98</v>
      </c>
      <c r="N445" s="207">
        <v>0.8</v>
      </c>
      <c r="O445" s="147">
        <v>99.844999999999999</v>
      </c>
      <c r="P445" s="428" t="s">
        <v>98</v>
      </c>
      <c r="Q445" s="502"/>
      <c r="R445" s="548"/>
      <c r="S445" s="536"/>
    </row>
    <row r="446" spans="1:19" s="146" customFormat="1" ht="16" customHeight="1">
      <c r="A446" s="152">
        <v>224</v>
      </c>
      <c r="B446" s="195" t="s">
        <v>669</v>
      </c>
      <c r="C446" s="493">
        <v>57</v>
      </c>
      <c r="D446" s="490" t="s">
        <v>230</v>
      </c>
      <c r="E446" s="506" t="s">
        <v>98</v>
      </c>
      <c r="F446" s="160" t="s">
        <v>2</v>
      </c>
      <c r="G446" s="144">
        <v>50</v>
      </c>
      <c r="H446" s="144">
        <v>0.5</v>
      </c>
      <c r="I446" s="427" t="s">
        <v>98</v>
      </c>
      <c r="J446" s="160">
        <v>24</v>
      </c>
      <c r="K446" s="457" t="s">
        <v>98</v>
      </c>
      <c r="L446" s="427" t="s">
        <v>98</v>
      </c>
      <c r="M446" s="427" t="s">
        <v>98</v>
      </c>
      <c r="N446" s="144">
        <v>9.0999999999999998E-2</v>
      </c>
      <c r="O446" s="144">
        <v>11.823</v>
      </c>
      <c r="P446" s="144">
        <v>134.56399999999999</v>
      </c>
      <c r="Q446" s="493" t="s">
        <v>943</v>
      </c>
      <c r="R446" s="549" t="s">
        <v>798</v>
      </c>
      <c r="S446" s="522" t="s">
        <v>798</v>
      </c>
    </row>
    <row r="447" spans="1:19" s="146" customFormat="1" ht="16" customHeight="1">
      <c r="A447" s="154">
        <v>225</v>
      </c>
      <c r="B447" s="196" t="s">
        <v>669</v>
      </c>
      <c r="C447" s="523"/>
      <c r="D447" s="492"/>
      <c r="E447" s="507"/>
      <c r="F447" s="208" t="s">
        <v>2</v>
      </c>
      <c r="G447" s="190">
        <v>50</v>
      </c>
      <c r="H447" s="190">
        <v>1</v>
      </c>
      <c r="I447" s="425" t="s">
        <v>98</v>
      </c>
      <c r="J447" s="208">
        <v>24</v>
      </c>
      <c r="K447" s="428" t="s">
        <v>98</v>
      </c>
      <c r="L447" s="425" t="s">
        <v>98</v>
      </c>
      <c r="M447" s="425" t="s">
        <v>98</v>
      </c>
      <c r="N447" s="190">
        <v>0.309</v>
      </c>
      <c r="O447" s="190">
        <v>8.0719999999999992</v>
      </c>
      <c r="P447" s="190">
        <v>157.047</v>
      </c>
      <c r="Q447" s="523"/>
      <c r="R447" s="550"/>
      <c r="S447" s="536"/>
    </row>
    <row r="448" spans="1:19" s="146" customFormat="1" ht="16" customHeight="1">
      <c r="A448" s="154">
        <v>226</v>
      </c>
      <c r="B448" s="196" t="s">
        <v>669</v>
      </c>
      <c r="C448" s="523"/>
      <c r="D448" s="492"/>
      <c r="E448" s="507"/>
      <c r="F448" s="208" t="s">
        <v>2</v>
      </c>
      <c r="G448" s="190">
        <v>50</v>
      </c>
      <c r="H448" s="190">
        <v>1.5</v>
      </c>
      <c r="I448" s="425" t="s">
        <v>98</v>
      </c>
      <c r="J448" s="208">
        <v>24</v>
      </c>
      <c r="K448" s="428" t="s">
        <v>98</v>
      </c>
      <c r="L448" s="425" t="s">
        <v>98</v>
      </c>
      <c r="M448" s="425" t="s">
        <v>98</v>
      </c>
      <c r="N448" s="190">
        <v>0.56200000000000006</v>
      </c>
      <c r="O448" s="190">
        <v>8.1050000000000004</v>
      </c>
      <c r="P448" s="190">
        <v>176.51</v>
      </c>
      <c r="Q448" s="523"/>
      <c r="R448" s="550"/>
      <c r="S448" s="536"/>
    </row>
    <row r="449" spans="1:19" s="146" customFormat="1" ht="16" customHeight="1">
      <c r="A449" s="154">
        <v>227</v>
      </c>
      <c r="B449" s="196" t="s">
        <v>669</v>
      </c>
      <c r="C449" s="523"/>
      <c r="D449" s="492"/>
      <c r="E449" s="507"/>
      <c r="F449" s="208" t="s">
        <v>2</v>
      </c>
      <c r="G449" s="190">
        <v>50</v>
      </c>
      <c r="H449" s="190">
        <v>2</v>
      </c>
      <c r="I449" s="425" t="s">
        <v>98</v>
      </c>
      <c r="J449" s="208">
        <v>24</v>
      </c>
      <c r="K449" s="428" t="s">
        <v>98</v>
      </c>
      <c r="L449" s="425" t="s">
        <v>98</v>
      </c>
      <c r="M449" s="425" t="s">
        <v>98</v>
      </c>
      <c r="N449" s="190">
        <v>0.70799999999999996</v>
      </c>
      <c r="O449" s="190">
        <v>8.4740000000000002</v>
      </c>
      <c r="P449" s="190">
        <v>190.60400000000001</v>
      </c>
      <c r="Q449" s="523"/>
      <c r="R449" s="550"/>
      <c r="S449" s="536"/>
    </row>
    <row r="450" spans="1:19" s="190" customFormat="1" ht="16" customHeight="1">
      <c r="A450" s="156">
        <v>228</v>
      </c>
      <c r="B450" s="197" t="s">
        <v>669</v>
      </c>
      <c r="C450" s="494"/>
      <c r="D450" s="491"/>
      <c r="E450" s="508"/>
      <c r="F450" s="161" t="s">
        <v>2</v>
      </c>
      <c r="G450" s="147">
        <v>50</v>
      </c>
      <c r="H450" s="147">
        <v>2.5</v>
      </c>
      <c r="I450" s="426" t="s">
        <v>98</v>
      </c>
      <c r="J450" s="161">
        <v>24</v>
      </c>
      <c r="K450" s="429" t="s">
        <v>98</v>
      </c>
      <c r="L450" s="426" t="s">
        <v>98</v>
      </c>
      <c r="M450" s="426" t="s">
        <v>98</v>
      </c>
      <c r="N450" s="147">
        <v>0.73899999999999999</v>
      </c>
      <c r="O450" s="147">
        <v>10.986000000000001</v>
      </c>
      <c r="P450" s="147">
        <v>198.99299999999999</v>
      </c>
      <c r="Q450" s="494"/>
      <c r="R450" s="551"/>
      <c r="S450" s="537"/>
    </row>
    <row r="451" spans="1:19" s="146" customFormat="1" ht="16" customHeight="1">
      <c r="A451" s="152">
        <v>229</v>
      </c>
      <c r="B451" s="195" t="s">
        <v>669</v>
      </c>
      <c r="C451" s="493">
        <v>58</v>
      </c>
      <c r="D451" s="490" t="s">
        <v>231</v>
      </c>
      <c r="E451" s="506" t="s">
        <v>98</v>
      </c>
      <c r="F451" s="160" t="s">
        <v>2</v>
      </c>
      <c r="G451" s="144"/>
      <c r="H451" s="144">
        <v>35</v>
      </c>
      <c r="I451" s="427" t="s">
        <v>98</v>
      </c>
      <c r="J451" s="160">
        <v>2.2000000000000002</v>
      </c>
      <c r="K451" s="160">
        <v>22</v>
      </c>
      <c r="L451" s="144">
        <v>0.97217928902627515</v>
      </c>
      <c r="M451" s="144">
        <v>91</v>
      </c>
      <c r="N451" s="144">
        <v>0.876</v>
      </c>
      <c r="O451" s="144"/>
      <c r="P451" s="111"/>
      <c r="Q451" s="493" t="s">
        <v>944</v>
      </c>
      <c r="R451" s="544" t="s">
        <v>945</v>
      </c>
      <c r="S451" s="522" t="s">
        <v>945</v>
      </c>
    </row>
    <row r="452" spans="1:19" s="190" customFormat="1" ht="16" customHeight="1">
      <c r="A452" s="156">
        <v>230</v>
      </c>
      <c r="B452" s="197" t="s">
        <v>669</v>
      </c>
      <c r="C452" s="494"/>
      <c r="D452" s="491"/>
      <c r="E452" s="508"/>
      <c r="F452" s="161" t="s">
        <v>992</v>
      </c>
      <c r="G452" s="147">
        <v>983</v>
      </c>
      <c r="H452" s="147">
        <v>35</v>
      </c>
      <c r="I452" s="426" t="s">
        <v>98</v>
      </c>
      <c r="J452" s="161">
        <v>2.2000000000000002</v>
      </c>
      <c r="K452" s="161">
        <v>22</v>
      </c>
      <c r="L452" s="147">
        <v>0.79902912621359223</v>
      </c>
      <c r="M452" s="147">
        <v>71</v>
      </c>
      <c r="N452" s="147">
        <v>0.74099999999999999</v>
      </c>
      <c r="O452" s="147"/>
      <c r="P452" s="112"/>
      <c r="Q452" s="494"/>
      <c r="R452" s="545"/>
      <c r="S452" s="537"/>
    </row>
    <row r="455" spans="1:19" ht="35">
      <c r="A455" s="143"/>
      <c r="C455" s="368"/>
    </row>
    <row r="456" spans="1:19" s="190" customFormat="1" ht="16" customHeight="1">
      <c r="A456" s="152" t="s">
        <v>1000</v>
      </c>
      <c r="B456" s="195" t="s">
        <v>1001</v>
      </c>
      <c r="C456" s="134" t="s">
        <v>1249</v>
      </c>
      <c r="D456" s="134" t="s">
        <v>8</v>
      </c>
      <c r="E456" s="134" t="s">
        <v>872</v>
      </c>
      <c r="F456" s="134" t="s">
        <v>1010</v>
      </c>
      <c r="G456" s="134" t="s">
        <v>723</v>
      </c>
      <c r="H456" s="134" t="s">
        <v>777</v>
      </c>
      <c r="I456" s="134" t="s">
        <v>778</v>
      </c>
      <c r="J456" s="134" t="s">
        <v>726</v>
      </c>
      <c r="K456" s="134" t="s">
        <v>727</v>
      </c>
      <c r="L456" s="134" t="s">
        <v>902</v>
      </c>
      <c r="M456" s="134" t="s">
        <v>729</v>
      </c>
      <c r="N456" s="189" t="s">
        <v>779</v>
      </c>
      <c r="O456" s="134" t="s">
        <v>731</v>
      </c>
      <c r="P456" s="134" t="s">
        <v>780</v>
      </c>
      <c r="Q456" s="134" t="s">
        <v>734</v>
      </c>
      <c r="R456" s="134" t="s">
        <v>735</v>
      </c>
      <c r="S456" s="135" t="s">
        <v>781</v>
      </c>
    </row>
    <row r="457" spans="1:19" s="190" customFormat="1" ht="16" customHeight="1">
      <c r="A457" s="152">
        <v>1</v>
      </c>
      <c r="B457" s="195" t="s">
        <v>7</v>
      </c>
      <c r="C457" s="493">
        <v>59</v>
      </c>
      <c r="D457" s="490" t="s">
        <v>202</v>
      </c>
      <c r="E457" s="490" t="s">
        <v>98</v>
      </c>
      <c r="F457" s="497" t="s">
        <v>1</v>
      </c>
      <c r="G457" s="149">
        <f>5*14</f>
        <v>70</v>
      </c>
      <c r="H457" s="149">
        <v>0</v>
      </c>
      <c r="I457" s="149" t="s">
        <v>98</v>
      </c>
      <c r="J457" s="354" t="s">
        <v>98</v>
      </c>
      <c r="K457" s="354" t="s">
        <v>98</v>
      </c>
      <c r="L457" s="198">
        <v>0.95</v>
      </c>
      <c r="M457" s="149">
        <v>8.3800000000000008</v>
      </c>
      <c r="N457" s="354" t="s">
        <v>98</v>
      </c>
      <c r="O457" s="354" t="s">
        <v>98</v>
      </c>
      <c r="P457" s="354" t="s">
        <v>98</v>
      </c>
      <c r="Q457" s="493" t="s">
        <v>1002</v>
      </c>
      <c r="R457" s="493" t="s">
        <v>744</v>
      </c>
      <c r="S457" s="522" t="s">
        <v>744</v>
      </c>
    </row>
    <row r="458" spans="1:19" s="190" customFormat="1" ht="16" customHeight="1">
      <c r="A458" s="156">
        <v>2</v>
      </c>
      <c r="B458" s="197" t="s">
        <v>7</v>
      </c>
      <c r="C458" s="494"/>
      <c r="D458" s="491"/>
      <c r="E458" s="491"/>
      <c r="F458" s="499"/>
      <c r="G458" s="151">
        <f>50*14</f>
        <v>700</v>
      </c>
      <c r="H458" s="151">
        <v>0</v>
      </c>
      <c r="I458" s="151" t="s">
        <v>98</v>
      </c>
      <c r="J458" s="356" t="s">
        <v>98</v>
      </c>
      <c r="K458" s="356" t="s">
        <v>98</v>
      </c>
      <c r="L458" s="200">
        <v>0.97</v>
      </c>
      <c r="M458" s="151">
        <v>2.06</v>
      </c>
      <c r="N458" s="356" t="s">
        <v>98</v>
      </c>
      <c r="O458" s="356" t="s">
        <v>98</v>
      </c>
      <c r="P458" s="356" t="s">
        <v>98</v>
      </c>
      <c r="Q458" s="494"/>
      <c r="R458" s="494"/>
      <c r="S458" s="537"/>
    </row>
    <row r="459" spans="1:19" s="190" customFormat="1" ht="16" customHeight="1">
      <c r="A459" s="152">
        <v>3</v>
      </c>
      <c r="B459" s="195" t="s">
        <v>7</v>
      </c>
      <c r="C459" s="493">
        <v>60</v>
      </c>
      <c r="D459" s="490" t="s">
        <v>203</v>
      </c>
      <c r="E459" s="149" t="s">
        <v>1003</v>
      </c>
      <c r="F459" s="497" t="s">
        <v>1</v>
      </c>
      <c r="G459" s="149" t="s">
        <v>98</v>
      </c>
      <c r="H459" s="149">
        <v>4.7</v>
      </c>
      <c r="I459" s="149" t="s">
        <v>98</v>
      </c>
      <c r="J459" s="149">
        <v>6</v>
      </c>
      <c r="K459" s="354" t="s">
        <v>98</v>
      </c>
      <c r="L459" s="198">
        <v>0.35</v>
      </c>
      <c r="M459" s="149">
        <v>3.66</v>
      </c>
      <c r="N459" s="136">
        <f>L459*0.65</f>
        <v>0.22749999999999998</v>
      </c>
      <c r="O459" s="149">
        <v>7</v>
      </c>
      <c r="P459" s="354" t="s">
        <v>98</v>
      </c>
      <c r="Q459" s="144" t="s">
        <v>1004</v>
      </c>
      <c r="R459" s="493" t="s">
        <v>1005</v>
      </c>
      <c r="S459" s="522" t="s">
        <v>909</v>
      </c>
    </row>
    <row r="460" spans="1:19" s="190" customFormat="1" ht="16" customHeight="1">
      <c r="A460" s="156">
        <v>4</v>
      </c>
      <c r="B460" s="197" t="s">
        <v>7</v>
      </c>
      <c r="C460" s="494"/>
      <c r="D460" s="491"/>
      <c r="E460" s="151" t="s">
        <v>1006</v>
      </c>
      <c r="F460" s="499"/>
      <c r="G460" s="151" t="s">
        <v>98</v>
      </c>
      <c r="H460" s="151">
        <v>24.5</v>
      </c>
      <c r="I460" s="151" t="s">
        <v>98</v>
      </c>
      <c r="J460" s="151">
        <v>24</v>
      </c>
      <c r="K460" s="356" t="s">
        <v>98</v>
      </c>
      <c r="L460" s="200">
        <v>0.74</v>
      </c>
      <c r="M460" s="151">
        <v>5.28</v>
      </c>
      <c r="N460" s="204">
        <f>L460*0.21</f>
        <v>0.15539999999999998</v>
      </c>
      <c r="O460" s="151">
        <v>20.45</v>
      </c>
      <c r="P460" s="356" t="s">
        <v>98</v>
      </c>
      <c r="Q460" s="147"/>
      <c r="R460" s="494"/>
      <c r="S460" s="537"/>
    </row>
    <row r="461" spans="1:19" s="190" customFormat="1" ht="16" customHeight="1">
      <c r="A461" s="152">
        <v>5</v>
      </c>
      <c r="B461" s="195" t="s">
        <v>5</v>
      </c>
      <c r="C461" s="493">
        <v>61</v>
      </c>
      <c r="D461" s="490" t="s">
        <v>183</v>
      </c>
      <c r="E461" s="490" t="s">
        <v>98</v>
      </c>
      <c r="F461" s="497" t="s">
        <v>1</v>
      </c>
      <c r="G461" s="149">
        <f>(136.4+119.5+166.9)/3</f>
        <v>140.93333333333334</v>
      </c>
      <c r="H461" s="149">
        <v>15.6</v>
      </c>
      <c r="I461" s="149" t="s">
        <v>98</v>
      </c>
      <c r="J461" s="149">
        <v>1</v>
      </c>
      <c r="K461" s="354" t="s">
        <v>98</v>
      </c>
      <c r="L461" s="136">
        <f>(780-768.4)/780</f>
        <v>1.4871794871794901E-2</v>
      </c>
      <c r="M461" s="354" t="s">
        <v>98</v>
      </c>
      <c r="N461" s="136">
        <f>(780-768.4)/780*0.7899</f>
        <v>1.1747230769230793E-2</v>
      </c>
      <c r="O461" s="149">
        <v>22.24</v>
      </c>
      <c r="P461" s="354" t="s">
        <v>98</v>
      </c>
      <c r="Q461" s="493" t="s">
        <v>1007</v>
      </c>
      <c r="R461" s="493" t="s">
        <v>753</v>
      </c>
      <c r="S461" s="522" t="s">
        <v>753</v>
      </c>
    </row>
    <row r="462" spans="1:19" s="190" customFormat="1" ht="16" customHeight="1">
      <c r="A462" s="154">
        <v>6</v>
      </c>
      <c r="B462" s="196" t="s">
        <v>7</v>
      </c>
      <c r="C462" s="523"/>
      <c r="D462" s="492"/>
      <c r="E462" s="492"/>
      <c r="F462" s="498"/>
      <c r="G462" s="150">
        <f>(136.4+119.5+166.9)/3</f>
        <v>140.93333333333334</v>
      </c>
      <c r="H462" s="150">
        <v>31.3</v>
      </c>
      <c r="I462" s="150" t="s">
        <v>98</v>
      </c>
      <c r="J462" s="150">
        <v>1</v>
      </c>
      <c r="K462" s="355" t="s">
        <v>98</v>
      </c>
      <c r="L462" s="133">
        <f>(780-760.5)/780</f>
        <v>2.5000000000000001E-2</v>
      </c>
      <c r="M462" s="355" t="s">
        <v>98</v>
      </c>
      <c r="N462" s="133">
        <f>(780-760.5)/780*0.6568</f>
        <v>1.6420000000000001E-2</v>
      </c>
      <c r="O462" s="150">
        <v>44.02</v>
      </c>
      <c r="P462" s="355" t="s">
        <v>98</v>
      </c>
      <c r="Q462" s="523"/>
      <c r="R462" s="523"/>
      <c r="S462" s="536"/>
    </row>
    <row r="463" spans="1:19" s="190" customFormat="1" ht="16" customHeight="1">
      <c r="A463" s="154">
        <v>7</v>
      </c>
      <c r="B463" s="196" t="s">
        <v>7</v>
      </c>
      <c r="C463" s="523"/>
      <c r="D463" s="492"/>
      <c r="E463" s="492"/>
      <c r="F463" s="498"/>
      <c r="G463" s="150">
        <f>(136.4+119.5+166.9)/3</f>
        <v>140.93333333333334</v>
      </c>
      <c r="H463" s="150">
        <v>46.9</v>
      </c>
      <c r="I463" s="150" t="s">
        <v>98</v>
      </c>
      <c r="J463" s="150">
        <v>1</v>
      </c>
      <c r="K463" s="355" t="s">
        <v>98</v>
      </c>
      <c r="L463" s="133">
        <f>(780-755.62)/780</f>
        <v>3.1256410256410253E-2</v>
      </c>
      <c r="M463" s="355" t="s">
        <v>98</v>
      </c>
      <c r="N463" s="133">
        <f>(780-755.62)/780*0.5592</f>
        <v>1.7478584615384613E-2</v>
      </c>
      <c r="O463" s="150">
        <v>64.989999999999995</v>
      </c>
      <c r="P463" s="355" t="s">
        <v>98</v>
      </c>
      <c r="Q463" s="523"/>
      <c r="R463" s="523"/>
      <c r="S463" s="536"/>
    </row>
    <row r="464" spans="1:19" s="190" customFormat="1" ht="16" customHeight="1">
      <c r="A464" s="156">
        <v>8</v>
      </c>
      <c r="B464" s="197" t="s">
        <v>7</v>
      </c>
      <c r="C464" s="494"/>
      <c r="D464" s="491"/>
      <c r="E464" s="491"/>
      <c r="F464" s="499"/>
      <c r="G464" s="151">
        <f>(136.4+119.5+166.9)/3</f>
        <v>140.93333333333334</v>
      </c>
      <c r="H464" s="151">
        <v>62.5</v>
      </c>
      <c r="I464" s="151" t="s">
        <v>98</v>
      </c>
      <c r="J464" s="151">
        <v>1</v>
      </c>
      <c r="K464" s="356" t="s">
        <v>98</v>
      </c>
      <c r="L464" s="137">
        <f>(780-749.58)/780</f>
        <v>3.8999999999999944E-2</v>
      </c>
      <c r="M464" s="356" t="s">
        <v>98</v>
      </c>
      <c r="N464" s="137">
        <f>(780-749.58)/780*0.6629</f>
        <v>2.5853099999999966E-2</v>
      </c>
      <c r="O464" s="151">
        <v>69.78</v>
      </c>
      <c r="P464" s="356" t="s">
        <v>98</v>
      </c>
      <c r="Q464" s="494"/>
      <c r="R464" s="494"/>
      <c r="S464" s="537"/>
    </row>
    <row r="465" spans="1:19" s="190" customFormat="1" ht="16" customHeight="1">
      <c r="A465" s="88">
        <v>9</v>
      </c>
      <c r="B465" s="89" t="s">
        <v>7</v>
      </c>
      <c r="C465" s="347">
        <v>62</v>
      </c>
      <c r="D465" s="92" t="s">
        <v>227</v>
      </c>
      <c r="E465" s="92" t="s">
        <v>98</v>
      </c>
      <c r="F465" s="145" t="s">
        <v>1</v>
      </c>
      <c r="G465" s="92">
        <v>60</v>
      </c>
      <c r="H465" s="92">
        <v>1</v>
      </c>
      <c r="I465" s="92" t="s">
        <v>98</v>
      </c>
      <c r="J465" s="92"/>
      <c r="K465" s="92" t="s">
        <v>98</v>
      </c>
      <c r="L465" s="92" t="s">
        <v>98</v>
      </c>
      <c r="M465" s="92" t="s">
        <v>98</v>
      </c>
      <c r="N465" s="138">
        <v>0.88</v>
      </c>
      <c r="O465" s="92">
        <v>2</v>
      </c>
      <c r="P465" s="92" t="s">
        <v>98</v>
      </c>
      <c r="Q465" s="145" t="s">
        <v>1008</v>
      </c>
      <c r="R465" s="145" t="s">
        <v>753</v>
      </c>
      <c r="S465" s="89" t="s">
        <v>753</v>
      </c>
    </row>
    <row r="466" spans="1:19" s="190" customFormat="1" ht="16" customHeight="1">
      <c r="A466" s="152">
        <v>10</v>
      </c>
      <c r="B466" s="195" t="s">
        <v>7</v>
      </c>
      <c r="C466" s="493">
        <v>63</v>
      </c>
      <c r="D466" s="490" t="s">
        <v>228</v>
      </c>
      <c r="E466" s="493" t="s">
        <v>98</v>
      </c>
      <c r="F466" s="144" t="s">
        <v>1</v>
      </c>
      <c r="G466" s="144">
        <v>300</v>
      </c>
      <c r="H466" s="144">
        <v>40</v>
      </c>
      <c r="I466" s="144" t="s">
        <v>98</v>
      </c>
      <c r="J466" s="144">
        <v>1</v>
      </c>
      <c r="K466" s="362" t="s">
        <v>98</v>
      </c>
      <c r="L466" s="362" t="s">
        <v>98</v>
      </c>
      <c r="M466" s="362" t="s">
        <v>98</v>
      </c>
      <c r="N466" s="206">
        <v>0.68600000000000005</v>
      </c>
      <c r="O466" s="214">
        <v>5.87</v>
      </c>
      <c r="P466" s="144">
        <v>1.1299999999999999</v>
      </c>
      <c r="Q466" s="493" t="s">
        <v>1007</v>
      </c>
      <c r="R466" s="493" t="s">
        <v>744</v>
      </c>
      <c r="S466" s="522" t="s">
        <v>744</v>
      </c>
    </row>
    <row r="467" spans="1:19" s="190" customFormat="1" ht="16" customHeight="1">
      <c r="A467" s="156">
        <v>11</v>
      </c>
      <c r="B467" s="197" t="s">
        <v>7</v>
      </c>
      <c r="C467" s="494"/>
      <c r="D467" s="491"/>
      <c r="E467" s="494"/>
      <c r="F467" s="147" t="s">
        <v>1</v>
      </c>
      <c r="G467" s="147">
        <v>300</v>
      </c>
      <c r="H467" s="147">
        <v>40</v>
      </c>
      <c r="I467" s="147" t="s">
        <v>98</v>
      </c>
      <c r="J467" s="147">
        <v>1</v>
      </c>
      <c r="K467" s="364" t="s">
        <v>98</v>
      </c>
      <c r="L467" s="364" t="s">
        <v>98</v>
      </c>
      <c r="M467" s="364" t="s">
        <v>98</v>
      </c>
      <c r="N467" s="207">
        <v>0.68600000000000005</v>
      </c>
      <c r="O467" s="229">
        <v>7.93</v>
      </c>
      <c r="P467" s="147">
        <v>1.5</v>
      </c>
      <c r="Q467" s="494"/>
      <c r="R467" s="494"/>
      <c r="S467" s="537"/>
    </row>
  </sheetData>
  <mergeCells count="240">
    <mergeCell ref="C3:C7"/>
    <mergeCell ref="R466:R467"/>
    <mergeCell ref="S466:S467"/>
    <mergeCell ref="Q466:Q467"/>
    <mergeCell ref="Q457:Q458"/>
    <mergeCell ref="R457:R458"/>
    <mergeCell ref="S457:S458"/>
    <mergeCell ref="Q461:Q464"/>
    <mergeCell ref="R461:R464"/>
    <mergeCell ref="S461:S464"/>
    <mergeCell ref="R459:R460"/>
    <mergeCell ref="S459:S460"/>
    <mergeCell ref="C457:C458"/>
    <mergeCell ref="C459:C460"/>
    <mergeCell ref="C461:C464"/>
    <mergeCell ref="C466:C467"/>
    <mergeCell ref="D461:D464"/>
    <mergeCell ref="D459:D460"/>
    <mergeCell ref="D457:D458"/>
    <mergeCell ref="D466:D467"/>
    <mergeCell ref="D446:D450"/>
    <mergeCell ref="C446:C450"/>
    <mergeCell ref="Q446:Q450"/>
    <mergeCell ref="R446:R450"/>
    <mergeCell ref="S446:S450"/>
    <mergeCell ref="C451:C452"/>
    <mergeCell ref="D451:D452"/>
    <mergeCell ref="Q451:Q452"/>
    <mergeCell ref="R451:R452"/>
    <mergeCell ref="S451:S452"/>
    <mergeCell ref="C383:C427"/>
    <mergeCell ref="D383:D427"/>
    <mergeCell ref="Q383:Q427"/>
    <mergeCell ref="R383:R427"/>
    <mergeCell ref="S383:S427"/>
    <mergeCell ref="C428:C445"/>
    <mergeCell ref="D428:D445"/>
    <mergeCell ref="R428:R445"/>
    <mergeCell ref="S428:S445"/>
    <mergeCell ref="E446:E450"/>
    <mergeCell ref="E451:E452"/>
    <mergeCell ref="D377:D378"/>
    <mergeCell ref="C377:C378"/>
    <mergeCell ref="Q377:Q378"/>
    <mergeCell ref="R377:R378"/>
    <mergeCell ref="S377:S378"/>
    <mergeCell ref="C379:C382"/>
    <mergeCell ref="D379:D382"/>
    <mergeCell ref="Q379:Q382"/>
    <mergeCell ref="R379:R382"/>
    <mergeCell ref="S379:S382"/>
    <mergeCell ref="E377:E378"/>
    <mergeCell ref="R339:R341"/>
    <mergeCell ref="S339:S341"/>
    <mergeCell ref="D339:D341"/>
    <mergeCell ref="Q339:Q341"/>
    <mergeCell ref="C339:C341"/>
    <mergeCell ref="S362:S373"/>
    <mergeCell ref="C374:C376"/>
    <mergeCell ref="D374:D376"/>
    <mergeCell ref="Q374:Q376"/>
    <mergeCell ref="R374:R376"/>
    <mergeCell ref="S374:S376"/>
    <mergeCell ref="C342:C361"/>
    <mergeCell ref="D342:D361"/>
    <mergeCell ref="C362:C373"/>
    <mergeCell ref="D362:D373"/>
    <mergeCell ref="Q362:Q373"/>
    <mergeCell ref="R362:R373"/>
    <mergeCell ref="E374:E376"/>
    <mergeCell ref="C316:C333"/>
    <mergeCell ref="D316:D333"/>
    <mergeCell ref="Q316:Q333"/>
    <mergeCell ref="R316:R333"/>
    <mergeCell ref="S316:S333"/>
    <mergeCell ref="C335:C338"/>
    <mergeCell ref="D335:D338"/>
    <mergeCell ref="R335:R338"/>
    <mergeCell ref="S335:S338"/>
    <mergeCell ref="C299:C304"/>
    <mergeCell ref="D299:D304"/>
    <mergeCell ref="Q299:Q304"/>
    <mergeCell ref="R299:R304"/>
    <mergeCell ref="S299:S304"/>
    <mergeCell ref="C305:C314"/>
    <mergeCell ref="D305:D314"/>
    <mergeCell ref="Q305:Q314"/>
    <mergeCell ref="R305:R314"/>
    <mergeCell ref="S305:S314"/>
    <mergeCell ref="C249:C264"/>
    <mergeCell ref="D265:D291"/>
    <mergeCell ref="C265:C291"/>
    <mergeCell ref="Q265:Q291"/>
    <mergeCell ref="R265:R291"/>
    <mergeCell ref="S265:S291"/>
    <mergeCell ref="D292:D297"/>
    <mergeCell ref="Q292:Q297"/>
    <mergeCell ref="R292:R297"/>
    <mergeCell ref="S292:S297"/>
    <mergeCell ref="C292:C297"/>
    <mergeCell ref="C38:C40"/>
    <mergeCell ref="C35:C37"/>
    <mergeCell ref="C33:C34"/>
    <mergeCell ref="D215:D216"/>
    <mergeCell ref="C84:C93"/>
    <mergeCell ref="C94:C98"/>
    <mergeCell ref="C118:C155"/>
    <mergeCell ref="C156:C157"/>
    <mergeCell ref="C158:C159"/>
    <mergeCell ref="C162:C166"/>
    <mergeCell ref="D156:D157"/>
    <mergeCell ref="D158:D159"/>
    <mergeCell ref="D160:D161"/>
    <mergeCell ref="D162:D166"/>
    <mergeCell ref="D167:D170"/>
    <mergeCell ref="D171:D179"/>
    <mergeCell ref="A58:V58"/>
    <mergeCell ref="D60:D77"/>
    <mergeCell ref="C160:C161"/>
    <mergeCell ref="C167:C170"/>
    <mergeCell ref="C171:C179"/>
    <mergeCell ref="C180:C200"/>
    <mergeCell ref="C204:C214"/>
    <mergeCell ref="C201:C203"/>
    <mergeCell ref="D180:D200"/>
    <mergeCell ref="D201:D203"/>
    <mergeCell ref="D204:D214"/>
    <mergeCell ref="C18:C28"/>
    <mergeCell ref="C14:C17"/>
    <mergeCell ref="R48:R54"/>
    <mergeCell ref="R43:R44"/>
    <mergeCell ref="R41:R42"/>
    <mergeCell ref="R35:R37"/>
    <mergeCell ref="C215:C216"/>
    <mergeCell ref="A222:B222"/>
    <mergeCell ref="C60:C77"/>
    <mergeCell ref="C78:C80"/>
    <mergeCell ref="C81:C83"/>
    <mergeCell ref="C99:C101"/>
    <mergeCell ref="C103:C114"/>
    <mergeCell ref="C115:C117"/>
    <mergeCell ref="D78:D80"/>
    <mergeCell ref="D81:D83"/>
    <mergeCell ref="D84:D93"/>
    <mergeCell ref="D94:D98"/>
    <mergeCell ref="D99:D101"/>
    <mergeCell ref="D103:D114"/>
    <mergeCell ref="D115:D117"/>
    <mergeCell ref="D118:D155"/>
    <mergeCell ref="R18:R28"/>
    <mergeCell ref="D33:D34"/>
    <mergeCell ref="D38:D40"/>
    <mergeCell ref="D41:D42"/>
    <mergeCell ref="D43:D44"/>
    <mergeCell ref="D48:D54"/>
    <mergeCell ref="A1:U1"/>
    <mergeCell ref="C48:C54"/>
    <mergeCell ref="C43:C44"/>
    <mergeCell ref="C41:C42"/>
    <mergeCell ref="D35:D37"/>
    <mergeCell ref="E41:E42"/>
    <mergeCell ref="D3:D7"/>
    <mergeCell ref="D8:D13"/>
    <mergeCell ref="D14:D17"/>
    <mergeCell ref="D18:D28"/>
    <mergeCell ref="D29:D32"/>
    <mergeCell ref="A2:B2"/>
    <mergeCell ref="E2:F2"/>
    <mergeCell ref="F3:F6"/>
    <mergeCell ref="E8:E13"/>
    <mergeCell ref="E18:E28"/>
    <mergeCell ref="C8:C13"/>
    <mergeCell ref="R8:R13"/>
    <mergeCell ref="C29:C32"/>
    <mergeCell ref="R3:R7"/>
    <mergeCell ref="R33:R34"/>
    <mergeCell ref="R29:R32"/>
    <mergeCell ref="R14:R17"/>
    <mergeCell ref="R38:R40"/>
    <mergeCell ref="Q215:Q216"/>
    <mergeCell ref="Q204:Q214"/>
    <mergeCell ref="Q201:Q203"/>
    <mergeCell ref="Q180:Q200"/>
    <mergeCell ref="Q171:Q179"/>
    <mergeCell ref="Q167:Q170"/>
    <mergeCell ref="Q162:Q166"/>
    <mergeCell ref="Q160:Q161"/>
    <mergeCell ref="Q158:Q159"/>
    <mergeCell ref="Q156:Q157"/>
    <mergeCell ref="Q118:Q155"/>
    <mergeCell ref="Q115:Q117"/>
    <mergeCell ref="Q103:Q114"/>
    <mergeCell ref="Q99:Q101"/>
    <mergeCell ref="Q94:Q98"/>
    <mergeCell ref="Q84:Q93"/>
    <mergeCell ref="Q81:Q83"/>
    <mergeCell ref="Q78:Q80"/>
    <mergeCell ref="Q60:Q77"/>
    <mergeCell ref="E14:E17"/>
    <mergeCell ref="E30:E32"/>
    <mergeCell ref="E35:E37"/>
    <mergeCell ref="E38:E40"/>
    <mergeCell ref="E43:E44"/>
    <mergeCell ref="E48:E54"/>
    <mergeCell ref="E78:E80"/>
    <mergeCell ref="E82:E83"/>
    <mergeCell ref="E119:E141"/>
    <mergeCell ref="E167:E170"/>
    <mergeCell ref="E204:E207"/>
    <mergeCell ref="E215:E216"/>
    <mergeCell ref="E265:E291"/>
    <mergeCell ref="E299:E304"/>
    <mergeCell ref="E305:E314"/>
    <mergeCell ref="E320:E333"/>
    <mergeCell ref="E335:E338"/>
    <mergeCell ref="E339:E341"/>
    <mergeCell ref="E457:E458"/>
    <mergeCell ref="E461:E464"/>
    <mergeCell ref="E466:E467"/>
    <mergeCell ref="C221:W221"/>
    <mergeCell ref="F461:F464"/>
    <mergeCell ref="F459:F460"/>
    <mergeCell ref="F457:F458"/>
    <mergeCell ref="E225:E230"/>
    <mergeCell ref="Q342:Q361"/>
    <mergeCell ref="Q428:Q445"/>
    <mergeCell ref="D223:D240"/>
    <mergeCell ref="C223:C240"/>
    <mergeCell ref="D241:D248"/>
    <mergeCell ref="C241:C248"/>
    <mergeCell ref="Q241:Q248"/>
    <mergeCell ref="Q223:Q240"/>
    <mergeCell ref="R223:R240"/>
    <mergeCell ref="S223:S240"/>
    <mergeCell ref="R241:R248"/>
    <mergeCell ref="S241:S248"/>
    <mergeCell ref="Q249:Q264"/>
    <mergeCell ref="R249:R264"/>
    <mergeCell ref="S249:S264"/>
    <mergeCell ref="D249:D264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30F38-105B-AF48-82E3-465DB14DAFBC}">
  <dimension ref="A1:AC19"/>
  <sheetViews>
    <sheetView zoomScale="75" workbookViewId="0">
      <selection activeCell="B5" sqref="B5"/>
    </sheetView>
  </sheetViews>
  <sheetFormatPr baseColWidth="10" defaultRowHeight="16"/>
  <cols>
    <col min="2" max="2" width="26.33203125" customWidth="1"/>
    <col min="3" max="3" width="47.1640625" customWidth="1"/>
    <col min="4" max="4" width="16.6640625" customWidth="1"/>
    <col min="5" max="5" width="37" customWidth="1"/>
    <col min="6" max="6" width="22.33203125" customWidth="1"/>
    <col min="8" max="8" width="8.6640625" customWidth="1"/>
    <col min="9" max="9" width="7.1640625" customWidth="1"/>
    <col min="12" max="12" width="15.83203125" customWidth="1"/>
    <col min="13" max="13" width="29.1640625" customWidth="1"/>
  </cols>
  <sheetData>
    <row r="1" spans="1:29" ht="16" customHeight="1">
      <c r="A1" s="553" t="s">
        <v>1249</v>
      </c>
      <c r="B1" s="658" t="s">
        <v>1171</v>
      </c>
      <c r="C1" s="651" t="s">
        <v>314</v>
      </c>
      <c r="D1" s="651" t="s">
        <v>315</v>
      </c>
      <c r="E1" s="651"/>
      <c r="F1" s="651"/>
      <c r="G1" s="651"/>
      <c r="H1" s="651" t="s">
        <v>1172</v>
      </c>
      <c r="I1" s="651"/>
      <c r="J1" s="652" t="s">
        <v>1173</v>
      </c>
      <c r="K1" s="652"/>
      <c r="L1" s="652"/>
      <c r="M1" s="652" t="s">
        <v>1174</v>
      </c>
      <c r="N1" s="280"/>
      <c r="O1" s="280"/>
      <c r="P1" s="281"/>
      <c r="Q1" s="280"/>
      <c r="R1" s="280"/>
      <c r="S1" s="280"/>
      <c r="T1" s="280"/>
      <c r="U1" s="280"/>
      <c r="V1" s="282"/>
      <c r="W1" s="280"/>
      <c r="X1" s="280"/>
      <c r="Y1" s="283"/>
      <c r="Z1" s="284"/>
      <c r="AA1" s="280"/>
      <c r="AB1" s="280"/>
      <c r="AC1" s="280"/>
    </row>
    <row r="2" spans="1:29" s="304" customFormat="1" ht="17">
      <c r="A2" s="553"/>
      <c r="B2" s="658"/>
      <c r="C2" s="651"/>
      <c r="D2" s="307" t="s">
        <v>1175</v>
      </c>
      <c r="E2" s="307" t="s">
        <v>1207</v>
      </c>
      <c r="F2" s="307" t="s">
        <v>1176</v>
      </c>
      <c r="G2" s="308" t="s">
        <v>5</v>
      </c>
      <c r="H2" s="651"/>
      <c r="I2" s="651"/>
      <c r="J2" s="307" t="s">
        <v>1177</v>
      </c>
      <c r="K2" s="307" t="s">
        <v>1178</v>
      </c>
      <c r="L2" s="307" t="s">
        <v>1179</v>
      </c>
      <c r="M2" s="652"/>
      <c r="N2" s="299"/>
      <c r="O2" s="299"/>
      <c r="P2" s="300"/>
      <c r="Q2" s="299"/>
      <c r="R2" s="299"/>
      <c r="S2" s="299"/>
      <c r="T2" s="299"/>
      <c r="U2" s="299"/>
      <c r="V2" s="301"/>
      <c r="W2" s="299"/>
      <c r="X2" s="299"/>
      <c r="Y2" s="302"/>
      <c r="Z2" s="303"/>
      <c r="AA2" s="299"/>
      <c r="AB2" s="299"/>
      <c r="AC2" s="299"/>
    </row>
    <row r="3" spans="1:29" s="304" customFormat="1" ht="51">
      <c r="A3" s="324">
        <v>1</v>
      </c>
      <c r="B3" s="287" t="s">
        <v>1180</v>
      </c>
      <c r="C3" s="287" t="s">
        <v>607</v>
      </c>
      <c r="D3" s="656" t="s">
        <v>1181</v>
      </c>
      <c r="E3" s="656"/>
      <c r="F3" s="656"/>
      <c r="G3" s="656"/>
      <c r="H3" s="656" t="s">
        <v>607</v>
      </c>
      <c r="I3" s="656"/>
      <c r="J3" s="289" t="s">
        <v>607</v>
      </c>
      <c r="K3" s="289" t="s">
        <v>607</v>
      </c>
      <c r="L3" s="289" t="s">
        <v>607</v>
      </c>
      <c r="M3" s="306" t="s">
        <v>607</v>
      </c>
      <c r="N3" s="305"/>
      <c r="O3" s="305"/>
      <c r="P3" s="305"/>
      <c r="Q3" s="305"/>
      <c r="R3" s="305"/>
      <c r="S3" s="305"/>
      <c r="T3" s="305"/>
      <c r="U3" s="305"/>
      <c r="V3" s="305"/>
      <c r="W3" s="305"/>
      <c r="X3" s="305"/>
      <c r="Y3" s="305"/>
      <c r="Z3" s="305"/>
      <c r="AA3" s="305"/>
      <c r="AB3" s="305"/>
      <c r="AC3" s="305"/>
    </row>
    <row r="4" spans="1:29" ht="68">
      <c r="A4" s="324">
        <v>2</v>
      </c>
      <c r="B4" s="350" t="s">
        <v>1182</v>
      </c>
      <c r="C4" s="285" t="s">
        <v>1183</v>
      </c>
      <c r="D4" s="657" t="s">
        <v>1184</v>
      </c>
      <c r="E4" s="657"/>
      <c r="F4" s="657"/>
      <c r="G4" s="657"/>
      <c r="H4" s="657" t="s">
        <v>607</v>
      </c>
      <c r="I4" s="657"/>
      <c r="J4" s="288" t="s">
        <v>1185</v>
      </c>
      <c r="K4" s="288" t="s">
        <v>1186</v>
      </c>
      <c r="L4" s="288" t="s">
        <v>1187</v>
      </c>
      <c r="M4" s="290" t="s">
        <v>1188</v>
      </c>
      <c r="N4" s="291"/>
      <c r="O4" s="291"/>
      <c r="P4" s="291"/>
      <c r="Q4" s="291"/>
      <c r="R4" s="291"/>
      <c r="S4" s="291"/>
      <c r="T4" s="291"/>
      <c r="U4" s="291"/>
      <c r="V4" s="291"/>
      <c r="W4" s="291"/>
      <c r="X4" s="291"/>
      <c r="Y4" s="291"/>
      <c r="Z4" s="291"/>
      <c r="AA4" s="291"/>
      <c r="AB4" s="291"/>
      <c r="AC4" s="291"/>
    </row>
    <row r="5" spans="1:29" ht="85">
      <c r="A5" s="324">
        <v>3</v>
      </c>
      <c r="B5" s="350" t="s">
        <v>1189</v>
      </c>
      <c r="C5" s="285" t="s">
        <v>1190</v>
      </c>
      <c r="D5" s="656" t="s">
        <v>1191</v>
      </c>
      <c r="E5" s="656"/>
      <c r="F5" s="656"/>
      <c r="G5" s="656"/>
      <c r="H5" s="656" t="s">
        <v>607</v>
      </c>
      <c r="I5" s="656"/>
      <c r="J5" s="288" t="s">
        <v>607</v>
      </c>
      <c r="K5" s="288" t="s">
        <v>607</v>
      </c>
      <c r="L5" s="288" t="s">
        <v>607</v>
      </c>
      <c r="M5" s="290" t="s">
        <v>607</v>
      </c>
      <c r="N5" s="291"/>
      <c r="O5" s="291"/>
      <c r="P5" s="291"/>
      <c r="Q5" s="291"/>
      <c r="R5" s="291"/>
      <c r="S5" s="291"/>
      <c r="T5" s="291"/>
      <c r="U5" s="291"/>
      <c r="V5" s="291"/>
      <c r="W5" s="291"/>
      <c r="X5" s="291"/>
      <c r="Y5" s="291"/>
      <c r="Z5" s="291"/>
      <c r="AA5" s="291"/>
      <c r="AB5" s="291"/>
      <c r="AC5" s="291"/>
    </row>
    <row r="6" spans="1:29" ht="34">
      <c r="A6" s="553">
        <v>4</v>
      </c>
      <c r="B6" s="653" t="s">
        <v>1192</v>
      </c>
      <c r="C6" s="653" t="s">
        <v>1193</v>
      </c>
      <c r="D6" s="298" t="s">
        <v>1194</v>
      </c>
      <c r="E6" s="298" t="s">
        <v>1195</v>
      </c>
      <c r="F6" s="298" t="s">
        <v>607</v>
      </c>
      <c r="G6" s="298" t="s">
        <v>607</v>
      </c>
      <c r="H6" s="298" t="s">
        <v>607</v>
      </c>
      <c r="I6" s="298" t="s">
        <v>607</v>
      </c>
      <c r="J6" s="298" t="s">
        <v>607</v>
      </c>
      <c r="K6" s="298" t="s">
        <v>607</v>
      </c>
      <c r="L6" s="298" t="s">
        <v>607</v>
      </c>
      <c r="M6" s="293" t="s">
        <v>607</v>
      </c>
      <c r="N6" s="292"/>
      <c r="O6" s="291"/>
      <c r="P6" s="291"/>
      <c r="Q6" s="291"/>
      <c r="R6" s="291"/>
      <c r="S6" s="291"/>
      <c r="T6" s="291"/>
      <c r="U6" s="291"/>
      <c r="V6" s="291"/>
      <c r="W6" s="291"/>
      <c r="X6" s="291"/>
      <c r="Y6" s="291"/>
      <c r="Z6" s="291"/>
      <c r="AA6" s="291"/>
      <c r="AB6" s="291"/>
      <c r="AC6" s="291"/>
    </row>
    <row r="7" spans="1:29" ht="34">
      <c r="A7" s="553"/>
      <c r="B7" s="654"/>
      <c r="C7" s="654"/>
      <c r="D7" s="298" t="s">
        <v>1196</v>
      </c>
      <c r="E7" s="298" t="s">
        <v>1197</v>
      </c>
      <c r="F7" s="298" t="s">
        <v>607</v>
      </c>
      <c r="G7" s="298" t="s">
        <v>607</v>
      </c>
      <c r="H7" s="298" t="s">
        <v>607</v>
      </c>
      <c r="I7" s="298" t="s">
        <v>607</v>
      </c>
      <c r="J7" s="298" t="s">
        <v>607</v>
      </c>
      <c r="K7" s="298" t="s">
        <v>607</v>
      </c>
      <c r="L7" s="298" t="s">
        <v>607</v>
      </c>
      <c r="M7" s="293" t="s">
        <v>607</v>
      </c>
      <c r="N7" s="292"/>
      <c r="O7" s="291"/>
      <c r="P7" s="291"/>
      <c r="Q7" s="291"/>
      <c r="R7" s="291"/>
      <c r="S7" s="291"/>
      <c r="T7" s="291"/>
      <c r="U7" s="291"/>
      <c r="V7" s="291"/>
      <c r="W7" s="291"/>
      <c r="X7" s="291"/>
      <c r="Y7" s="291"/>
      <c r="Z7" s="291"/>
      <c r="AA7" s="291"/>
      <c r="AB7" s="291"/>
      <c r="AC7" s="291"/>
    </row>
    <row r="8" spans="1:29" ht="34">
      <c r="A8" s="553"/>
      <c r="B8" s="654"/>
      <c r="C8" s="654"/>
      <c r="D8" s="298" t="s">
        <v>1198</v>
      </c>
      <c r="E8" s="298" t="s">
        <v>1199</v>
      </c>
      <c r="F8" s="298" t="s">
        <v>607</v>
      </c>
      <c r="G8" s="298" t="s">
        <v>607</v>
      </c>
      <c r="H8" s="298" t="s">
        <v>607</v>
      </c>
      <c r="I8" s="298" t="s">
        <v>607</v>
      </c>
      <c r="J8" s="298" t="s">
        <v>607</v>
      </c>
      <c r="K8" s="298" t="s">
        <v>607</v>
      </c>
      <c r="L8" s="298" t="s">
        <v>607</v>
      </c>
      <c r="M8" s="293" t="s">
        <v>607</v>
      </c>
      <c r="N8" s="292"/>
      <c r="O8" s="291"/>
      <c r="P8" s="291"/>
      <c r="Q8" s="291"/>
      <c r="R8" s="291"/>
      <c r="S8" s="291"/>
      <c r="T8" s="291"/>
      <c r="U8" s="291"/>
      <c r="V8" s="291"/>
      <c r="W8" s="291"/>
      <c r="X8" s="291"/>
      <c r="Y8" s="291"/>
      <c r="Z8" s="291"/>
      <c r="AA8" s="291"/>
      <c r="AB8" s="291"/>
      <c r="AC8" s="291"/>
    </row>
    <row r="9" spans="1:29" ht="34">
      <c r="A9" s="553"/>
      <c r="B9" s="654"/>
      <c r="C9" s="654"/>
      <c r="D9" s="298" t="s">
        <v>1200</v>
      </c>
      <c r="E9" s="298" t="s">
        <v>1201</v>
      </c>
      <c r="F9" s="298" t="s">
        <v>607</v>
      </c>
      <c r="G9" s="298" t="s">
        <v>607</v>
      </c>
      <c r="H9" s="298" t="s">
        <v>607</v>
      </c>
      <c r="I9" s="298" t="s">
        <v>607</v>
      </c>
      <c r="J9" s="298" t="s">
        <v>607</v>
      </c>
      <c r="K9" s="298" t="s">
        <v>607</v>
      </c>
      <c r="L9" s="298" t="s">
        <v>607</v>
      </c>
      <c r="M9" s="293" t="s">
        <v>607</v>
      </c>
      <c r="N9" s="292"/>
      <c r="O9" s="291"/>
      <c r="P9" s="291"/>
      <c r="Q9" s="291"/>
      <c r="R9" s="291"/>
      <c r="S9" s="291"/>
      <c r="T9" s="291"/>
      <c r="U9" s="291"/>
      <c r="V9" s="291"/>
      <c r="W9" s="291"/>
      <c r="X9" s="291"/>
      <c r="Y9" s="291"/>
      <c r="Z9" s="291"/>
      <c r="AA9" s="291"/>
      <c r="AB9" s="291"/>
      <c r="AC9" s="291"/>
    </row>
    <row r="10" spans="1:29" ht="34">
      <c r="A10" s="553"/>
      <c r="B10" s="655"/>
      <c r="C10" s="655"/>
      <c r="D10" s="294" t="s">
        <v>1202</v>
      </c>
      <c r="E10" s="294" t="s">
        <v>1203</v>
      </c>
      <c r="F10" s="294" t="s">
        <v>607</v>
      </c>
      <c r="G10" s="294" t="s">
        <v>607</v>
      </c>
      <c r="H10" s="294" t="s">
        <v>607</v>
      </c>
      <c r="I10" s="294" t="s">
        <v>607</v>
      </c>
      <c r="J10" s="294" t="s">
        <v>607</v>
      </c>
      <c r="K10" s="294" t="s">
        <v>607</v>
      </c>
      <c r="L10" s="294" t="s">
        <v>607</v>
      </c>
      <c r="M10" s="295" t="s">
        <v>607</v>
      </c>
      <c r="N10" s="292"/>
      <c r="O10" s="291"/>
      <c r="P10" s="291"/>
      <c r="Q10" s="291"/>
      <c r="R10" s="291"/>
      <c r="S10" s="291"/>
      <c r="T10" s="291"/>
      <c r="U10" s="291"/>
      <c r="V10" s="291"/>
      <c r="W10" s="291"/>
      <c r="X10" s="291"/>
      <c r="Y10" s="291"/>
      <c r="Z10" s="291"/>
      <c r="AA10" s="291"/>
      <c r="AB10" s="291"/>
      <c r="AC10" s="291"/>
    </row>
    <row r="11" spans="1:29" ht="102">
      <c r="A11" s="324">
        <v>5</v>
      </c>
      <c r="B11" s="350" t="s">
        <v>1204</v>
      </c>
      <c r="C11" s="285" t="s">
        <v>1205</v>
      </c>
      <c r="D11" s="285" t="s">
        <v>607</v>
      </c>
      <c r="E11" s="285" t="s">
        <v>1206</v>
      </c>
      <c r="F11" s="285" t="s">
        <v>607</v>
      </c>
      <c r="G11" s="285" t="s">
        <v>607</v>
      </c>
      <c r="H11" s="285" t="s">
        <v>607</v>
      </c>
      <c r="I11" s="288" t="s">
        <v>607</v>
      </c>
      <c r="J11" s="288" t="s">
        <v>607</v>
      </c>
      <c r="K11" s="288" t="s">
        <v>607</v>
      </c>
      <c r="L11" s="288" t="s">
        <v>607</v>
      </c>
      <c r="M11" s="290" t="s">
        <v>607</v>
      </c>
      <c r="N11" s="291"/>
      <c r="O11" s="291"/>
      <c r="P11" s="291"/>
      <c r="Q11" s="291"/>
      <c r="R11" s="291"/>
      <c r="S11" s="291"/>
      <c r="T11" s="291"/>
      <c r="U11" s="291"/>
      <c r="V11" s="291"/>
      <c r="W11" s="291"/>
      <c r="X11" s="291"/>
      <c r="Y11" s="291"/>
      <c r="Z11" s="291"/>
      <c r="AA11" s="291"/>
      <c r="AB11" s="291"/>
      <c r="AC11" s="291"/>
    </row>
    <row r="12" spans="1:29">
      <c r="B12" s="286"/>
      <c r="C12" s="286"/>
      <c r="D12" s="286"/>
      <c r="E12" s="286"/>
      <c r="F12" s="286"/>
      <c r="G12" s="286"/>
      <c r="H12" s="286"/>
      <c r="I12" s="291"/>
      <c r="J12" s="291"/>
      <c r="K12" s="291"/>
      <c r="L12" s="291"/>
      <c r="M12" s="291"/>
      <c r="N12" s="291"/>
      <c r="O12" s="291"/>
      <c r="P12" s="291"/>
      <c r="Q12" s="291"/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</row>
    <row r="13" spans="1:29">
      <c r="B13" s="286"/>
      <c r="C13" s="286"/>
      <c r="D13" s="286"/>
      <c r="E13" s="286"/>
      <c r="F13" s="286"/>
      <c r="G13" s="286"/>
      <c r="H13" s="286"/>
      <c r="I13" s="291"/>
      <c r="J13" s="291"/>
      <c r="K13" s="291"/>
      <c r="L13" s="291"/>
      <c r="M13" s="291"/>
      <c r="N13" s="291"/>
      <c r="O13" s="291"/>
      <c r="P13" s="291"/>
      <c r="Q13" s="291"/>
      <c r="R13" s="291"/>
      <c r="S13" s="291"/>
      <c r="T13" s="291"/>
      <c r="U13" s="291"/>
      <c r="V13" s="291"/>
      <c r="W13" s="291"/>
      <c r="X13" s="291"/>
      <c r="Y13" s="291"/>
      <c r="Z13" s="291"/>
      <c r="AA13" s="291"/>
      <c r="AB13" s="291"/>
      <c r="AC13" s="291"/>
    </row>
    <row r="14" spans="1:29">
      <c r="B14" s="286"/>
      <c r="C14" s="286"/>
      <c r="D14" s="291"/>
      <c r="E14" s="286"/>
      <c r="F14" s="286"/>
      <c r="G14" s="286"/>
      <c r="H14" s="286"/>
      <c r="I14" s="291"/>
      <c r="J14" s="291"/>
      <c r="K14" s="291"/>
      <c r="L14" s="291"/>
      <c r="M14" s="291"/>
      <c r="N14" s="291"/>
      <c r="O14" s="291"/>
      <c r="P14" s="291"/>
      <c r="Q14" s="291"/>
      <c r="R14" s="291"/>
      <c r="S14" s="291"/>
      <c r="T14" s="291"/>
      <c r="U14" s="291"/>
      <c r="V14" s="291"/>
      <c r="W14" s="291"/>
      <c r="X14" s="291"/>
      <c r="Y14" s="291"/>
      <c r="Z14" s="291"/>
      <c r="AA14" s="291"/>
      <c r="AB14" s="291"/>
      <c r="AC14" s="291"/>
    </row>
    <row r="15" spans="1:29">
      <c r="B15" s="286"/>
      <c r="C15" s="286"/>
      <c r="D15" s="291"/>
      <c r="E15" s="286"/>
      <c r="F15" s="286"/>
      <c r="G15" s="286"/>
      <c r="H15" s="286"/>
      <c r="I15" s="291"/>
      <c r="J15" s="291"/>
      <c r="K15" s="291"/>
      <c r="L15" s="291"/>
      <c r="M15" s="291"/>
      <c r="N15" s="291"/>
      <c r="O15" s="291"/>
      <c r="P15" s="291"/>
      <c r="Q15" s="291"/>
      <c r="R15" s="291"/>
      <c r="S15" s="291"/>
      <c r="T15" s="291"/>
      <c r="U15" s="291"/>
      <c r="V15" s="291"/>
      <c r="W15" s="291"/>
      <c r="X15" s="291"/>
      <c r="Y15" s="291"/>
      <c r="Z15" s="291"/>
      <c r="AA15" s="291"/>
      <c r="AB15" s="291"/>
      <c r="AC15" s="291"/>
    </row>
    <row r="16" spans="1:29">
      <c r="B16" s="286"/>
      <c r="C16" s="286"/>
      <c r="D16" s="291"/>
      <c r="E16" s="286"/>
      <c r="F16" s="286"/>
      <c r="G16" s="286"/>
      <c r="H16" s="286"/>
      <c r="I16" s="291"/>
      <c r="J16" s="291"/>
      <c r="K16" s="291"/>
      <c r="L16" s="291"/>
      <c r="M16" s="291"/>
      <c r="N16" s="291"/>
      <c r="O16" s="291"/>
      <c r="P16" s="291"/>
      <c r="Q16" s="291"/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</row>
    <row r="17" spans="2:29">
      <c r="B17" s="286"/>
      <c r="C17" s="286"/>
      <c r="D17" s="291"/>
      <c r="E17" s="286"/>
      <c r="F17" s="286"/>
      <c r="G17" s="286"/>
      <c r="H17" s="286"/>
      <c r="I17" s="291"/>
      <c r="J17" s="291"/>
      <c r="K17" s="291"/>
      <c r="L17" s="291"/>
      <c r="M17" s="291"/>
      <c r="N17" s="291"/>
      <c r="O17" s="291"/>
      <c r="P17" s="291"/>
      <c r="Q17" s="291"/>
      <c r="R17" s="291"/>
      <c r="S17" s="291"/>
      <c r="T17" s="291"/>
      <c r="U17" s="291"/>
      <c r="V17" s="291"/>
      <c r="W17" s="291"/>
      <c r="X17" s="291"/>
      <c r="Y17" s="291"/>
      <c r="Z17" s="291"/>
      <c r="AA17" s="291"/>
      <c r="AB17" s="291"/>
      <c r="AC17" s="291"/>
    </row>
    <row r="18" spans="2:29">
      <c r="B18" s="286"/>
      <c r="C18" s="286"/>
      <c r="D18" s="296"/>
      <c r="E18" s="297"/>
      <c r="F18" s="286"/>
      <c r="G18" s="286"/>
      <c r="H18" s="286"/>
      <c r="I18" s="291"/>
      <c r="J18" s="291"/>
      <c r="K18" s="291"/>
      <c r="L18" s="291"/>
      <c r="M18" s="291"/>
      <c r="N18" s="291"/>
      <c r="O18" s="291"/>
      <c r="P18" s="291"/>
      <c r="Q18" s="29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B18" s="291"/>
      <c r="AC18" s="291"/>
    </row>
    <row r="19" spans="2:29">
      <c r="B19" s="286"/>
      <c r="C19" s="286"/>
      <c r="D19" s="286"/>
      <c r="E19" s="286"/>
      <c r="F19" s="286"/>
      <c r="G19" s="286"/>
      <c r="H19" s="286"/>
      <c r="I19" s="291"/>
      <c r="J19" s="291"/>
      <c r="K19" s="291"/>
      <c r="L19" s="291"/>
      <c r="M19" s="291"/>
      <c r="N19" s="291"/>
      <c r="O19" s="291"/>
      <c r="P19" s="291"/>
      <c r="Q19" s="291"/>
      <c r="R19" s="291"/>
      <c r="S19" s="291"/>
      <c r="T19" s="291"/>
      <c r="U19" s="291"/>
      <c r="V19" s="291"/>
      <c r="W19" s="291"/>
      <c r="X19" s="291"/>
      <c r="Y19" s="291"/>
      <c r="Z19" s="291"/>
      <c r="AA19" s="291"/>
      <c r="AB19" s="291"/>
      <c r="AC19" s="291"/>
    </row>
  </sheetData>
  <mergeCells count="17">
    <mergeCell ref="D1:G1"/>
    <mergeCell ref="H1:I1"/>
    <mergeCell ref="A6:A10"/>
    <mergeCell ref="A1:A2"/>
    <mergeCell ref="J1:L1"/>
    <mergeCell ref="M1:M2"/>
    <mergeCell ref="B6:B10"/>
    <mergeCell ref="C6:C10"/>
    <mergeCell ref="H2:I2"/>
    <mergeCell ref="D3:G3"/>
    <mergeCell ref="H3:I3"/>
    <mergeCell ref="D4:G4"/>
    <mergeCell ref="H4:I4"/>
    <mergeCell ref="D5:G5"/>
    <mergeCell ref="H5:I5"/>
    <mergeCell ref="B1:B2"/>
    <mergeCell ref="C1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6846F-542B-8545-8DBB-A0DD97003419}">
  <dimension ref="A1:O10"/>
  <sheetViews>
    <sheetView workbookViewId="0">
      <selection activeCell="H25" sqref="H25"/>
    </sheetView>
  </sheetViews>
  <sheetFormatPr baseColWidth="10" defaultRowHeight="16"/>
  <cols>
    <col min="1" max="1" width="10.83203125" style="325"/>
    <col min="2" max="2" width="27.83203125" style="40" customWidth="1"/>
    <col min="3" max="3" width="30.33203125" style="60" bestFit="1" customWidth="1"/>
    <col min="4" max="4" width="18.5" style="60" bestFit="1" customWidth="1"/>
    <col min="5" max="5" width="10.1640625" style="60" customWidth="1"/>
    <col min="6" max="6" width="13.1640625" style="60" bestFit="1" customWidth="1"/>
    <col min="7" max="7" width="12.33203125" style="60" bestFit="1" customWidth="1"/>
    <col min="8" max="8" width="23.83203125" style="60" bestFit="1" customWidth="1"/>
    <col min="9" max="9" width="31.83203125" style="60" bestFit="1" customWidth="1"/>
    <col min="10" max="10" width="17.33203125" style="60" bestFit="1" customWidth="1"/>
    <col min="11" max="11" width="29.83203125" style="60" bestFit="1" customWidth="1"/>
    <col min="12" max="12" width="30.1640625" style="60" bestFit="1" customWidth="1"/>
    <col min="13" max="13" width="27.6640625" style="60" bestFit="1" customWidth="1"/>
    <col min="14" max="14" width="28.33203125" style="60" bestFit="1" customWidth="1"/>
    <col min="15" max="15" width="36" style="60" customWidth="1"/>
    <col min="16" max="16384" width="10.83203125" style="60"/>
  </cols>
  <sheetData>
    <row r="1" spans="1:15" s="230" customFormat="1" ht="17" customHeight="1">
      <c r="A1" s="552" t="s">
        <v>1249</v>
      </c>
      <c r="B1" s="558" t="s">
        <v>8</v>
      </c>
      <c r="C1" s="553" t="s">
        <v>1149</v>
      </c>
      <c r="D1" s="553" t="s">
        <v>1150</v>
      </c>
      <c r="E1" s="553"/>
      <c r="F1" s="553"/>
      <c r="G1" s="272"/>
      <c r="H1" s="553" t="s">
        <v>1151</v>
      </c>
      <c r="I1" s="553"/>
      <c r="J1" s="553"/>
      <c r="K1" s="553" t="s">
        <v>47</v>
      </c>
      <c r="L1" s="553" t="s">
        <v>1152</v>
      </c>
      <c r="M1" s="553" t="s">
        <v>728</v>
      </c>
      <c r="N1" s="553" t="s">
        <v>730</v>
      </c>
    </row>
    <row r="2" spans="1:15" ht="16" customHeight="1">
      <c r="A2" s="552"/>
      <c r="B2" s="558"/>
      <c r="C2" s="553"/>
      <c r="D2" s="272" t="s">
        <v>303</v>
      </c>
      <c r="E2" s="272" t="s">
        <v>1153</v>
      </c>
      <c r="F2" s="272" t="s">
        <v>1154</v>
      </c>
      <c r="G2" s="272" t="s">
        <v>1155</v>
      </c>
      <c r="H2" s="553"/>
      <c r="I2" s="553"/>
      <c r="J2" s="553"/>
      <c r="K2" s="553"/>
      <c r="L2" s="553"/>
      <c r="M2" s="553"/>
      <c r="N2" s="553"/>
    </row>
    <row r="3" spans="1:15" ht="51">
      <c r="A3" s="325">
        <v>1</v>
      </c>
      <c r="B3" s="93" t="s">
        <v>634</v>
      </c>
      <c r="C3" s="273" t="s">
        <v>1156</v>
      </c>
      <c r="D3" s="270">
        <v>2500</v>
      </c>
      <c r="E3" s="270">
        <v>11</v>
      </c>
      <c r="F3" s="270">
        <v>60</v>
      </c>
      <c r="G3" s="270" t="s">
        <v>1157</v>
      </c>
      <c r="H3" s="270" t="s">
        <v>1158</v>
      </c>
      <c r="I3" s="270" t="s">
        <v>1159</v>
      </c>
      <c r="J3" s="270" t="s">
        <v>1160</v>
      </c>
      <c r="K3" s="274">
        <v>1.05</v>
      </c>
      <c r="L3" s="270" t="s">
        <v>98</v>
      </c>
      <c r="M3" s="275">
        <f>(2500-18)/2500</f>
        <v>0.99280000000000002</v>
      </c>
      <c r="N3" s="268" t="s">
        <v>98</v>
      </c>
      <c r="O3" s="5"/>
    </row>
    <row r="4" spans="1:15" ht="51">
      <c r="A4" s="325">
        <v>2</v>
      </c>
      <c r="B4" s="90" t="s">
        <v>635</v>
      </c>
      <c r="C4" s="26" t="s">
        <v>1161</v>
      </c>
      <c r="D4" s="26" t="s">
        <v>1162</v>
      </c>
      <c r="E4" s="26">
        <v>11</v>
      </c>
      <c r="F4" s="26">
        <v>90</v>
      </c>
      <c r="G4" s="26" t="s">
        <v>98</v>
      </c>
      <c r="H4" s="26" t="s">
        <v>98</v>
      </c>
      <c r="I4" s="26" t="s">
        <v>98</v>
      </c>
      <c r="J4" s="26" t="s">
        <v>98</v>
      </c>
      <c r="K4" s="26" t="s">
        <v>1163</v>
      </c>
      <c r="L4" s="26" t="s">
        <v>98</v>
      </c>
      <c r="M4" s="26" t="s">
        <v>1164</v>
      </c>
      <c r="N4" s="32" t="s">
        <v>98</v>
      </c>
    </row>
    <row r="5" spans="1:15" ht="85">
      <c r="A5" s="325">
        <v>3</v>
      </c>
      <c r="B5" s="90" t="s">
        <v>636</v>
      </c>
      <c r="C5" s="26" t="s">
        <v>1165</v>
      </c>
      <c r="D5" s="26">
        <v>1395</v>
      </c>
      <c r="E5" s="26" t="s">
        <v>98</v>
      </c>
      <c r="F5" s="26" t="s">
        <v>1166</v>
      </c>
      <c r="G5" s="26" t="s">
        <v>1167</v>
      </c>
      <c r="H5" s="26" t="s">
        <v>1168</v>
      </c>
      <c r="I5" s="26" t="s">
        <v>98</v>
      </c>
      <c r="J5" s="26" t="s">
        <v>98</v>
      </c>
      <c r="K5" s="271">
        <f>16/(3.48/2.76)</f>
        <v>12.689655172413792</v>
      </c>
      <c r="L5" s="26" t="s">
        <v>98</v>
      </c>
      <c r="M5" s="68">
        <v>0.9</v>
      </c>
      <c r="N5" s="32" t="s">
        <v>98</v>
      </c>
    </row>
    <row r="6" spans="1:15">
      <c r="A6" s="514">
        <v>4</v>
      </c>
      <c r="B6" s="554" t="s">
        <v>633</v>
      </c>
      <c r="C6" s="497" t="s">
        <v>1169</v>
      </c>
      <c r="D6" s="269">
        <v>610</v>
      </c>
      <c r="E6" s="269">
        <v>11</v>
      </c>
      <c r="F6" s="269">
        <v>25</v>
      </c>
      <c r="G6" s="276">
        <v>12400</v>
      </c>
      <c r="H6" s="269" t="s">
        <v>1170</v>
      </c>
      <c r="I6" s="269" t="s">
        <v>98</v>
      </c>
      <c r="J6" s="269" t="s">
        <v>98</v>
      </c>
      <c r="K6" s="277">
        <v>11.82</v>
      </c>
      <c r="L6" s="269" t="s">
        <v>98</v>
      </c>
      <c r="M6" s="250">
        <v>0.87450000000000006</v>
      </c>
      <c r="N6" s="266" t="s">
        <v>98</v>
      </c>
    </row>
    <row r="7" spans="1:15">
      <c r="A7" s="514"/>
      <c r="B7" s="555"/>
      <c r="C7" s="557"/>
      <c r="D7" s="60">
        <v>582</v>
      </c>
      <c r="E7" s="60">
        <v>11</v>
      </c>
      <c r="F7" s="60">
        <v>25</v>
      </c>
      <c r="G7" s="278">
        <v>25800</v>
      </c>
      <c r="H7" s="60" t="s">
        <v>1170</v>
      </c>
      <c r="I7" s="60" t="s">
        <v>98</v>
      </c>
      <c r="J7" s="60" t="s">
        <v>98</v>
      </c>
      <c r="K7" s="18">
        <v>25.19</v>
      </c>
      <c r="L7" s="60" t="s">
        <v>98</v>
      </c>
      <c r="M7" s="72">
        <v>0.89039999999999997</v>
      </c>
      <c r="N7" s="267" t="s">
        <v>98</v>
      </c>
    </row>
    <row r="8" spans="1:15">
      <c r="A8" s="514"/>
      <c r="B8" s="555"/>
      <c r="C8" s="557"/>
      <c r="D8" s="60">
        <v>590</v>
      </c>
      <c r="E8" s="60">
        <v>11</v>
      </c>
      <c r="F8" s="60">
        <v>25</v>
      </c>
      <c r="G8" s="278">
        <v>32600</v>
      </c>
      <c r="H8" s="60" t="s">
        <v>1170</v>
      </c>
      <c r="I8" s="60" t="s">
        <v>98</v>
      </c>
      <c r="J8" s="60" t="s">
        <v>98</v>
      </c>
      <c r="K8" s="18">
        <v>30</v>
      </c>
      <c r="L8" s="60" t="s">
        <v>98</v>
      </c>
      <c r="M8" s="246">
        <v>0.91310000000000002</v>
      </c>
      <c r="N8" s="267" t="s">
        <v>98</v>
      </c>
    </row>
    <row r="9" spans="1:15">
      <c r="A9" s="514"/>
      <c r="B9" s="555"/>
      <c r="C9" s="557"/>
      <c r="D9" s="60">
        <v>601</v>
      </c>
      <c r="E9" s="60">
        <v>11</v>
      </c>
      <c r="F9" s="60">
        <v>20</v>
      </c>
      <c r="G9" s="278">
        <v>25800</v>
      </c>
      <c r="H9" s="60" t="s">
        <v>1170</v>
      </c>
      <c r="I9" s="60" t="s">
        <v>98</v>
      </c>
      <c r="J9" s="60" t="s">
        <v>98</v>
      </c>
      <c r="K9" s="18">
        <v>24.81</v>
      </c>
      <c r="L9" s="60" t="s">
        <v>98</v>
      </c>
      <c r="M9" s="72">
        <v>0.878</v>
      </c>
      <c r="N9" s="267" t="s">
        <v>98</v>
      </c>
    </row>
    <row r="10" spans="1:15">
      <c r="A10" s="514"/>
      <c r="B10" s="556"/>
      <c r="C10" s="499"/>
      <c r="D10" s="270">
        <v>551</v>
      </c>
      <c r="E10" s="270">
        <v>11</v>
      </c>
      <c r="F10" s="270">
        <v>30</v>
      </c>
      <c r="G10" s="279">
        <v>25800</v>
      </c>
      <c r="H10" s="270" t="s">
        <v>1170</v>
      </c>
      <c r="I10" s="270" t="s">
        <v>98</v>
      </c>
      <c r="J10" s="270" t="s">
        <v>98</v>
      </c>
      <c r="K10" s="23">
        <v>25.54</v>
      </c>
      <c r="L10" s="270" t="s">
        <v>98</v>
      </c>
      <c r="M10" s="247">
        <v>0.93059999999999998</v>
      </c>
      <c r="N10" s="268" t="s">
        <v>98</v>
      </c>
    </row>
  </sheetData>
  <mergeCells count="12">
    <mergeCell ref="A6:A10"/>
    <mergeCell ref="A1:A2"/>
    <mergeCell ref="M1:M2"/>
    <mergeCell ref="N1:N2"/>
    <mergeCell ref="B6:B10"/>
    <mergeCell ref="C6:C10"/>
    <mergeCell ref="B1:B2"/>
    <mergeCell ref="C1:C2"/>
    <mergeCell ref="D1:F1"/>
    <mergeCell ref="H1:J2"/>
    <mergeCell ref="K1:K2"/>
    <mergeCell ref="L1:L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3638E-9657-2E4E-B7B7-DC307FC01BF0}">
  <dimension ref="A1:V43"/>
  <sheetViews>
    <sheetView topLeftCell="R1" zoomScaleNormal="100" workbookViewId="0">
      <selection activeCell="Y24" sqref="Y24"/>
    </sheetView>
  </sheetViews>
  <sheetFormatPr baseColWidth="10" defaultColWidth="11.33203125" defaultRowHeight="16"/>
  <cols>
    <col min="1" max="2" width="0" style="60" hidden="1" customWidth="1"/>
    <col min="3" max="3" width="11.33203125" style="311"/>
    <col min="4" max="4" width="143.83203125" style="315" bestFit="1" customWidth="1"/>
    <col min="5" max="5" width="11.33203125" style="60"/>
    <col min="6" max="6" width="27" style="60" bestFit="1" customWidth="1"/>
    <col min="7" max="7" width="14.5" style="60" bestFit="1" customWidth="1"/>
    <col min="8" max="8" width="21.1640625" style="60" bestFit="1" customWidth="1"/>
    <col min="9" max="9" width="57" style="60" customWidth="1"/>
    <col min="10" max="10" width="17" style="60" customWidth="1"/>
    <col min="11" max="11" width="17.1640625" style="60" customWidth="1"/>
    <col min="12" max="12" width="29.1640625" style="60" customWidth="1"/>
    <col min="13" max="13" width="14.1640625" style="60" customWidth="1"/>
    <col min="14" max="14" width="14.5" style="60" customWidth="1"/>
    <col min="15" max="15" width="21.5" style="60" customWidth="1"/>
    <col min="16" max="16" width="30.33203125" style="250" customWidth="1"/>
    <col min="17" max="17" width="29.6640625" style="250" customWidth="1"/>
    <col min="18" max="20" width="31.33203125" style="60" customWidth="1"/>
    <col min="21" max="21" width="37.33203125" style="60" bestFit="1" customWidth="1"/>
    <col min="22" max="22" width="26.5" style="60" customWidth="1"/>
    <col min="23" max="16384" width="11.33203125" style="60"/>
  </cols>
  <sheetData>
    <row r="1" spans="1:22" s="2" customFormat="1" ht="30" customHeight="1">
      <c r="A1" s="236"/>
      <c r="B1" s="236"/>
      <c r="C1" s="564" t="s">
        <v>1249</v>
      </c>
      <c r="D1" s="562" t="s">
        <v>8</v>
      </c>
      <c r="E1" s="236"/>
      <c r="F1" s="566" t="s">
        <v>1130</v>
      </c>
      <c r="G1" s="566"/>
      <c r="H1" s="566"/>
      <c r="I1" s="566"/>
      <c r="J1" s="559" t="s">
        <v>1022</v>
      </c>
      <c r="K1" s="560"/>
      <c r="L1" s="560"/>
      <c r="M1" s="560"/>
      <c r="N1" s="560"/>
      <c r="O1" s="561"/>
      <c r="P1" s="559" t="s">
        <v>1146</v>
      </c>
      <c r="Q1" s="561"/>
      <c r="R1" s="566" t="s">
        <v>1024</v>
      </c>
      <c r="S1" s="566"/>
      <c r="T1" s="566"/>
      <c r="U1" s="566"/>
      <c r="V1" s="566"/>
    </row>
    <row r="2" spans="1:22" s="1" customFormat="1" ht="60" customHeight="1">
      <c r="A2" s="234" t="s">
        <v>781</v>
      </c>
      <c r="B2" s="234" t="s">
        <v>1131</v>
      </c>
      <c r="C2" s="565"/>
      <c r="D2" s="563"/>
      <c r="E2" s="234" t="s">
        <v>1138</v>
      </c>
      <c r="F2" s="234" t="s">
        <v>1132</v>
      </c>
      <c r="G2" s="234" t="s">
        <v>1140</v>
      </c>
      <c r="H2" s="234" t="s">
        <v>1141</v>
      </c>
      <c r="I2" s="234" t="s">
        <v>1133</v>
      </c>
      <c r="J2" s="237" t="s">
        <v>1081</v>
      </c>
      <c r="K2" s="234" t="s">
        <v>35</v>
      </c>
      <c r="L2" s="234" t="s">
        <v>1142</v>
      </c>
      <c r="M2" s="238" t="s">
        <v>1082</v>
      </c>
      <c r="N2" s="239" t="s">
        <v>39</v>
      </c>
      <c r="O2" s="234" t="s">
        <v>1139</v>
      </c>
      <c r="P2" s="232" t="s">
        <v>728</v>
      </c>
      <c r="Q2" s="232" t="s">
        <v>730</v>
      </c>
      <c r="R2" s="235" t="s">
        <v>1134</v>
      </c>
      <c r="S2" s="235" t="s">
        <v>1135</v>
      </c>
      <c r="T2" s="235" t="s">
        <v>1136</v>
      </c>
      <c r="U2" s="236" t="s">
        <v>1137</v>
      </c>
      <c r="V2" s="235" t="s">
        <v>1083</v>
      </c>
    </row>
    <row r="3" spans="1:22" s="39" customFormat="1">
      <c r="A3" s="240" t="s">
        <v>1084</v>
      </c>
      <c r="B3" s="87">
        <v>1</v>
      </c>
      <c r="C3" s="500">
        <v>1</v>
      </c>
      <c r="D3" s="506" t="s">
        <v>322</v>
      </c>
      <c r="E3" s="500">
        <v>2024</v>
      </c>
      <c r="F3" s="87" t="s">
        <v>1085</v>
      </c>
      <c r="G3" s="87" t="s">
        <v>6</v>
      </c>
      <c r="H3" s="87" t="s">
        <v>960</v>
      </c>
      <c r="I3" s="87" t="s">
        <v>1086</v>
      </c>
      <c r="J3" s="87">
        <v>2970</v>
      </c>
      <c r="K3" s="87" t="s">
        <v>1087</v>
      </c>
      <c r="L3" s="87" t="s">
        <v>607</v>
      </c>
      <c r="M3" s="87">
        <v>360</v>
      </c>
      <c r="N3" s="87">
        <v>7.8</v>
      </c>
      <c r="O3" s="87">
        <v>36.799999999999997</v>
      </c>
      <c r="P3" s="80">
        <v>0.5</v>
      </c>
      <c r="Q3" s="80" t="s">
        <v>607</v>
      </c>
      <c r="R3" s="87">
        <v>2.04</v>
      </c>
      <c r="S3" s="87" t="s">
        <v>98</v>
      </c>
      <c r="T3" s="87">
        <v>3.04</v>
      </c>
      <c r="U3" s="87">
        <v>5.08</v>
      </c>
      <c r="V3" s="241" t="s">
        <v>607</v>
      </c>
    </row>
    <row r="4" spans="1:22" s="39" customFormat="1">
      <c r="A4" s="242" t="s">
        <v>1084</v>
      </c>
      <c r="B4" s="86">
        <v>2</v>
      </c>
      <c r="C4" s="502"/>
      <c r="D4" s="508"/>
      <c r="E4" s="502"/>
      <c r="F4" s="86"/>
      <c r="G4" s="86" t="s">
        <v>6</v>
      </c>
      <c r="H4" s="86" t="s">
        <v>960</v>
      </c>
      <c r="I4" s="86" t="s">
        <v>1088</v>
      </c>
      <c r="J4" s="86">
        <v>930</v>
      </c>
      <c r="K4" s="86" t="s">
        <v>1087</v>
      </c>
      <c r="L4" s="86" t="s">
        <v>607</v>
      </c>
      <c r="M4" s="86">
        <v>744</v>
      </c>
      <c r="N4" s="86">
        <v>7.7</v>
      </c>
      <c r="O4" s="86">
        <v>36.1</v>
      </c>
      <c r="P4" s="81">
        <v>0.63</v>
      </c>
      <c r="Q4" s="81" t="s">
        <v>607</v>
      </c>
      <c r="R4" s="86">
        <v>10.210000000000001</v>
      </c>
      <c r="S4" s="86" t="s">
        <v>98</v>
      </c>
      <c r="T4" s="86">
        <v>58.31</v>
      </c>
      <c r="U4" s="86">
        <v>68.52000000000001</v>
      </c>
      <c r="V4" s="243" t="s">
        <v>607</v>
      </c>
    </row>
    <row r="5" spans="1:22" s="39" customFormat="1">
      <c r="A5" s="244" t="s">
        <v>1084</v>
      </c>
      <c r="B5" s="4">
        <v>3</v>
      </c>
      <c r="C5" s="500">
        <v>2</v>
      </c>
      <c r="D5" s="507" t="s">
        <v>312</v>
      </c>
      <c r="E5" s="501">
        <v>2011</v>
      </c>
      <c r="F5" s="4" t="s">
        <v>1089</v>
      </c>
      <c r="G5" s="4" t="s">
        <v>6</v>
      </c>
      <c r="H5" s="4" t="s">
        <v>960</v>
      </c>
      <c r="I5" s="4" t="s">
        <v>1090</v>
      </c>
      <c r="J5" s="4"/>
      <c r="K5" s="4" t="s">
        <v>1087</v>
      </c>
      <c r="L5" s="4" t="s">
        <v>1091</v>
      </c>
      <c r="M5" s="4">
        <v>5</v>
      </c>
      <c r="N5" s="4">
        <v>10</v>
      </c>
      <c r="O5" s="4">
        <v>40</v>
      </c>
      <c r="P5" s="20">
        <v>0.91</v>
      </c>
      <c r="Q5" s="20">
        <v>0.76</v>
      </c>
      <c r="R5" s="377" t="s">
        <v>98</v>
      </c>
      <c r="S5" s="4" t="s">
        <v>98</v>
      </c>
      <c r="T5" s="377" t="s">
        <v>98</v>
      </c>
      <c r="U5" s="4">
        <v>9.5</v>
      </c>
      <c r="V5" s="245" t="s">
        <v>607</v>
      </c>
    </row>
    <row r="6" spans="1:22">
      <c r="A6" s="5" t="s">
        <v>1084</v>
      </c>
      <c r="B6" s="63">
        <v>4</v>
      </c>
      <c r="C6" s="501"/>
      <c r="D6" s="507"/>
      <c r="E6" s="501"/>
      <c r="F6" s="63"/>
      <c r="G6" s="63" t="s">
        <v>6</v>
      </c>
      <c r="H6" s="63" t="s">
        <v>960</v>
      </c>
      <c r="I6" s="63" t="s">
        <v>1090</v>
      </c>
      <c r="J6" s="63"/>
      <c r="K6" s="63" t="s">
        <v>1087</v>
      </c>
      <c r="L6" s="63" t="s">
        <v>1091</v>
      </c>
      <c r="M6" s="63">
        <v>0.75</v>
      </c>
      <c r="N6" s="63">
        <v>10</v>
      </c>
      <c r="O6" s="63">
        <v>40</v>
      </c>
      <c r="P6" s="246">
        <v>0.66500000000000004</v>
      </c>
      <c r="Q6" s="246">
        <v>0.37</v>
      </c>
      <c r="R6" s="376" t="s">
        <v>98</v>
      </c>
      <c r="S6" s="63" t="s">
        <v>98</v>
      </c>
      <c r="T6" s="376" t="s">
        <v>98</v>
      </c>
      <c r="U6" s="63">
        <v>2.5</v>
      </c>
      <c r="V6" s="141" t="s">
        <v>607</v>
      </c>
    </row>
    <row r="7" spans="1:22">
      <c r="A7" s="5" t="s">
        <v>1084</v>
      </c>
      <c r="B7" s="63">
        <v>5</v>
      </c>
      <c r="C7" s="502"/>
      <c r="D7" s="508"/>
      <c r="E7" s="502"/>
      <c r="F7" s="61"/>
      <c r="G7" s="61" t="s">
        <v>6</v>
      </c>
      <c r="H7" s="61" t="s">
        <v>960</v>
      </c>
      <c r="I7" s="61" t="s">
        <v>1090</v>
      </c>
      <c r="J7" s="61"/>
      <c r="K7" s="61" t="s">
        <v>1087</v>
      </c>
      <c r="L7" s="61" t="s">
        <v>1092</v>
      </c>
      <c r="M7" s="61">
        <v>3.5</v>
      </c>
      <c r="N7" s="61">
        <v>10</v>
      </c>
      <c r="O7" s="61">
        <v>40</v>
      </c>
      <c r="P7" s="247">
        <v>0.93769999999999998</v>
      </c>
      <c r="Q7" s="247">
        <v>1</v>
      </c>
      <c r="R7" s="374" t="s">
        <v>98</v>
      </c>
      <c r="S7" s="61" t="s">
        <v>98</v>
      </c>
      <c r="T7" s="374" t="s">
        <v>98</v>
      </c>
      <c r="U7" s="61">
        <v>5</v>
      </c>
      <c r="V7" s="142" t="s">
        <v>607</v>
      </c>
    </row>
    <row r="8" spans="1:22">
      <c r="A8" s="139" t="s">
        <v>1084</v>
      </c>
      <c r="B8" s="59">
        <v>6</v>
      </c>
      <c r="C8" s="497">
        <v>3</v>
      </c>
      <c r="D8" s="493" t="s">
        <v>1096</v>
      </c>
      <c r="E8" s="497">
        <v>2014</v>
      </c>
      <c r="F8" s="59" t="s">
        <v>1093</v>
      </c>
      <c r="G8" s="59" t="s">
        <v>81</v>
      </c>
      <c r="H8" s="59" t="s">
        <v>960</v>
      </c>
      <c r="I8" s="59" t="s">
        <v>1094</v>
      </c>
      <c r="J8" s="59">
        <v>3810</v>
      </c>
      <c r="K8" s="59" t="s">
        <v>1087</v>
      </c>
      <c r="L8" s="59" t="s">
        <v>1095</v>
      </c>
      <c r="M8" s="59">
        <v>3</v>
      </c>
      <c r="N8" s="59">
        <v>10</v>
      </c>
      <c r="O8" s="59">
        <v>29.85</v>
      </c>
      <c r="P8" s="248">
        <v>0.83499999999999996</v>
      </c>
      <c r="Q8" s="248">
        <v>0.75</v>
      </c>
      <c r="R8" s="373" t="s">
        <v>98</v>
      </c>
      <c r="S8" s="59" t="s">
        <v>98</v>
      </c>
      <c r="T8" s="59">
        <v>69.784400760938496</v>
      </c>
      <c r="U8" s="59">
        <v>69.784400760938496</v>
      </c>
      <c r="V8" s="218" t="s">
        <v>607</v>
      </c>
    </row>
    <row r="9" spans="1:22">
      <c r="A9" s="5" t="s">
        <v>1084</v>
      </c>
      <c r="B9" s="63">
        <v>7</v>
      </c>
      <c r="C9" s="498"/>
      <c r="D9" s="523"/>
      <c r="E9" s="498"/>
      <c r="F9" s="63"/>
      <c r="G9" s="63" t="s">
        <v>81</v>
      </c>
      <c r="H9" s="63" t="s">
        <v>960</v>
      </c>
      <c r="I9" s="376" t="s">
        <v>1094</v>
      </c>
      <c r="J9" s="63">
        <v>3810</v>
      </c>
      <c r="K9" s="63" t="s">
        <v>1087</v>
      </c>
      <c r="L9" s="63" t="s">
        <v>1095</v>
      </c>
      <c r="M9" s="63">
        <v>3</v>
      </c>
      <c r="N9" s="63">
        <v>10</v>
      </c>
      <c r="O9" s="63">
        <v>39.85</v>
      </c>
      <c r="P9" s="246">
        <v>0.93700000000000006</v>
      </c>
      <c r="Q9" s="246">
        <v>0.88500000000000001</v>
      </c>
      <c r="R9" s="376" t="s">
        <v>98</v>
      </c>
      <c r="S9" s="63" t="s">
        <v>98</v>
      </c>
      <c r="T9" s="63">
        <v>104.98019241652518</v>
      </c>
      <c r="U9" s="63">
        <v>104.98019241652518</v>
      </c>
      <c r="V9" s="141" t="s">
        <v>607</v>
      </c>
    </row>
    <row r="10" spans="1:22">
      <c r="A10" s="5" t="s">
        <v>1084</v>
      </c>
      <c r="B10" s="63">
        <v>8</v>
      </c>
      <c r="C10" s="498"/>
      <c r="D10" s="523"/>
      <c r="E10" s="498"/>
      <c r="F10" s="63"/>
      <c r="G10" s="63" t="s">
        <v>81</v>
      </c>
      <c r="H10" s="63" t="s">
        <v>960</v>
      </c>
      <c r="I10" s="63" t="s">
        <v>1094</v>
      </c>
      <c r="J10" s="63">
        <v>3810</v>
      </c>
      <c r="K10" s="63" t="s">
        <v>1087</v>
      </c>
      <c r="L10" s="63" t="s">
        <v>1095</v>
      </c>
      <c r="M10" s="63">
        <v>3</v>
      </c>
      <c r="N10" s="63">
        <v>10</v>
      </c>
      <c r="O10" s="63">
        <v>49.85</v>
      </c>
      <c r="P10" s="246">
        <v>0.97</v>
      </c>
      <c r="Q10" s="246">
        <v>0.88200000000000001</v>
      </c>
      <c r="R10" s="376" t="s">
        <v>98</v>
      </c>
      <c r="S10" s="63" t="s">
        <v>98</v>
      </c>
      <c r="T10" s="63">
        <v>149.95805936629057</v>
      </c>
      <c r="U10" s="63">
        <v>149.95805936629057</v>
      </c>
      <c r="V10" s="141" t="s">
        <v>607</v>
      </c>
    </row>
    <row r="11" spans="1:22">
      <c r="A11" s="140" t="s">
        <v>1084</v>
      </c>
      <c r="B11" s="61">
        <v>9</v>
      </c>
      <c r="C11" s="499"/>
      <c r="D11" s="494"/>
      <c r="E11" s="499"/>
      <c r="F11" s="61"/>
      <c r="G11" s="61" t="s">
        <v>81</v>
      </c>
      <c r="H11" s="61" t="s">
        <v>960</v>
      </c>
      <c r="I11" s="63" t="s">
        <v>1094</v>
      </c>
      <c r="J11" s="61">
        <v>3810</v>
      </c>
      <c r="K11" s="61" t="s">
        <v>1087</v>
      </c>
      <c r="L11" s="61" t="s">
        <v>1095</v>
      </c>
      <c r="M11" s="61">
        <v>3</v>
      </c>
      <c r="N11" s="61">
        <v>10</v>
      </c>
      <c r="O11" s="61">
        <v>59.85</v>
      </c>
      <c r="P11" s="247">
        <v>0.996</v>
      </c>
      <c r="Q11" s="247">
        <v>0.90300000000000002</v>
      </c>
      <c r="R11" s="374" t="s">
        <v>98</v>
      </c>
      <c r="S11" s="61" t="s">
        <v>98</v>
      </c>
      <c r="T11" s="61">
        <v>252.1635096817717</v>
      </c>
      <c r="U11" s="61">
        <v>252.1635096817717</v>
      </c>
      <c r="V11" s="142" t="s">
        <v>607</v>
      </c>
    </row>
    <row r="12" spans="1:22">
      <c r="A12" s="139" t="s">
        <v>1084</v>
      </c>
      <c r="B12" s="59">
        <v>10</v>
      </c>
      <c r="C12" s="497">
        <v>4</v>
      </c>
      <c r="D12" s="493" t="s">
        <v>1101</v>
      </c>
      <c r="E12" s="497">
        <v>2023</v>
      </c>
      <c r="F12" s="59" t="s">
        <v>1097</v>
      </c>
      <c r="G12" s="59" t="s">
        <v>1098</v>
      </c>
      <c r="H12" s="59" t="s">
        <v>1099</v>
      </c>
      <c r="I12" s="59" t="s">
        <v>1100</v>
      </c>
      <c r="J12" s="59">
        <v>625</v>
      </c>
      <c r="K12" s="59" t="s">
        <v>1087</v>
      </c>
      <c r="L12" s="59" t="s">
        <v>607</v>
      </c>
      <c r="M12" s="59" t="s">
        <v>607</v>
      </c>
      <c r="N12" s="59" t="s">
        <v>607</v>
      </c>
      <c r="O12" s="59" t="s">
        <v>1145</v>
      </c>
      <c r="P12" s="248">
        <v>0.91520000000000001</v>
      </c>
      <c r="Q12" s="373" t="s">
        <v>98</v>
      </c>
      <c r="R12" s="59">
        <v>0.25600000000000001</v>
      </c>
      <c r="S12" s="59" t="s">
        <v>98</v>
      </c>
      <c r="T12" s="59">
        <v>0.33600000000000002</v>
      </c>
      <c r="U12" s="59">
        <v>0.59200000000000008</v>
      </c>
      <c r="V12" s="218" t="s">
        <v>98</v>
      </c>
    </row>
    <row r="13" spans="1:22">
      <c r="A13" s="5" t="s">
        <v>1084</v>
      </c>
      <c r="B13" s="63">
        <v>11</v>
      </c>
      <c r="C13" s="498"/>
      <c r="D13" s="523"/>
      <c r="E13" s="498"/>
      <c r="F13" s="63"/>
      <c r="G13" s="63" t="s">
        <v>1098</v>
      </c>
      <c r="H13" s="63"/>
      <c r="I13" s="63" t="s">
        <v>1100</v>
      </c>
      <c r="J13" s="63">
        <v>1437</v>
      </c>
      <c r="K13" s="63" t="s">
        <v>1087</v>
      </c>
      <c r="L13" s="63" t="s">
        <v>607</v>
      </c>
      <c r="M13" s="63" t="s">
        <v>607</v>
      </c>
      <c r="N13" s="63" t="s">
        <v>607</v>
      </c>
      <c r="O13" s="63" t="s">
        <v>607</v>
      </c>
      <c r="P13" s="246">
        <v>0.80027835768963118</v>
      </c>
      <c r="Q13" s="376" t="s">
        <v>98</v>
      </c>
      <c r="R13" s="63">
        <v>0.111</v>
      </c>
      <c r="S13" s="63" t="s">
        <v>98</v>
      </c>
      <c r="T13" s="63">
        <v>0.14599999999999999</v>
      </c>
      <c r="U13" s="63">
        <v>0.25700000000000001</v>
      </c>
      <c r="V13" s="141" t="s">
        <v>98</v>
      </c>
    </row>
    <row r="14" spans="1:22">
      <c r="A14" s="5" t="s">
        <v>1084</v>
      </c>
      <c r="B14" s="63">
        <v>12</v>
      </c>
      <c r="C14" s="498"/>
      <c r="D14" s="523"/>
      <c r="E14" s="498"/>
      <c r="F14" s="63"/>
      <c r="G14" s="63" t="s">
        <v>1098</v>
      </c>
      <c r="H14" s="63"/>
      <c r="I14" s="63" t="s">
        <v>1100</v>
      </c>
      <c r="J14" s="63">
        <v>535</v>
      </c>
      <c r="K14" s="63" t="s">
        <v>1087</v>
      </c>
      <c r="L14" s="63" t="s">
        <v>607</v>
      </c>
      <c r="M14" s="63" t="s">
        <v>607</v>
      </c>
      <c r="N14" s="63" t="s">
        <v>607</v>
      </c>
      <c r="O14" s="63" t="s">
        <v>607</v>
      </c>
      <c r="P14" s="246">
        <v>0.8</v>
      </c>
      <c r="Q14" s="376" t="s">
        <v>98</v>
      </c>
      <c r="R14" s="63">
        <v>0.29899999999999999</v>
      </c>
      <c r="S14" s="63" t="s">
        <v>98</v>
      </c>
      <c r="T14" s="63">
        <v>0.39200000000000002</v>
      </c>
      <c r="U14" s="63">
        <v>0.69100000000000006</v>
      </c>
      <c r="V14" s="141" t="s">
        <v>98</v>
      </c>
    </row>
    <row r="15" spans="1:22">
      <c r="A15" s="5" t="s">
        <v>1084</v>
      </c>
      <c r="B15" s="63">
        <v>13</v>
      </c>
      <c r="C15" s="498"/>
      <c r="D15" s="523"/>
      <c r="E15" s="498"/>
      <c r="F15" s="63"/>
      <c r="G15" s="63" t="s">
        <v>1098</v>
      </c>
      <c r="H15" s="63"/>
      <c r="I15" s="63" t="s">
        <v>1100</v>
      </c>
      <c r="J15" s="63">
        <v>700</v>
      </c>
      <c r="K15" s="63" t="s">
        <v>1087</v>
      </c>
      <c r="L15" s="63" t="s">
        <v>607</v>
      </c>
      <c r="M15" s="63" t="s">
        <v>607</v>
      </c>
      <c r="N15" s="63" t="s">
        <v>607</v>
      </c>
      <c r="O15" s="63" t="s">
        <v>607</v>
      </c>
      <c r="P15" s="246">
        <v>0.8</v>
      </c>
      <c r="Q15" s="376" t="s">
        <v>98</v>
      </c>
      <c r="R15" s="63">
        <v>0.29899999999999999</v>
      </c>
      <c r="S15" s="63" t="s">
        <v>98</v>
      </c>
      <c r="T15" s="63">
        <v>0.3</v>
      </c>
      <c r="U15" s="63">
        <v>0.59899999999999998</v>
      </c>
      <c r="V15" s="141" t="s">
        <v>98</v>
      </c>
    </row>
    <row r="16" spans="1:22">
      <c r="A16" s="5" t="s">
        <v>1084</v>
      </c>
      <c r="B16" s="63">
        <v>14</v>
      </c>
      <c r="C16" s="498"/>
      <c r="D16" s="523"/>
      <c r="E16" s="498"/>
      <c r="F16" s="63"/>
      <c r="G16" s="63" t="s">
        <v>1098</v>
      </c>
      <c r="H16" s="63"/>
      <c r="I16" s="63" t="s">
        <v>1100</v>
      </c>
      <c r="J16" s="63">
        <v>886</v>
      </c>
      <c r="K16" s="63" t="s">
        <v>1087</v>
      </c>
      <c r="L16" s="63" t="s">
        <v>607</v>
      </c>
      <c r="M16" s="63" t="s">
        <v>607</v>
      </c>
      <c r="N16" s="63" t="s">
        <v>607</v>
      </c>
      <c r="O16" s="63" t="s">
        <v>607</v>
      </c>
      <c r="P16" s="246">
        <v>0.80022573363431149</v>
      </c>
      <c r="Q16" s="376" t="s">
        <v>98</v>
      </c>
      <c r="R16" s="63">
        <v>0.18099999999999999</v>
      </c>
      <c r="S16" s="63" t="s">
        <v>98</v>
      </c>
      <c r="T16" s="63">
        <v>0.23699999999999999</v>
      </c>
      <c r="U16" s="63">
        <v>0.41799999999999998</v>
      </c>
      <c r="V16" s="141" t="s">
        <v>98</v>
      </c>
    </row>
    <row r="17" spans="1:22">
      <c r="A17" s="5" t="s">
        <v>1084</v>
      </c>
      <c r="B17" s="63">
        <v>15</v>
      </c>
      <c r="C17" s="498"/>
      <c r="D17" s="523"/>
      <c r="E17" s="498"/>
      <c r="F17" s="63"/>
      <c r="G17" s="63" t="s">
        <v>1098</v>
      </c>
      <c r="H17" s="63"/>
      <c r="I17" s="63" t="s">
        <v>1100</v>
      </c>
      <c r="J17" s="63">
        <v>950</v>
      </c>
      <c r="K17" s="63" t="s">
        <v>1087</v>
      </c>
      <c r="L17" s="63" t="s">
        <v>607</v>
      </c>
      <c r="M17" s="63" t="s">
        <v>607</v>
      </c>
      <c r="N17" s="63" t="s">
        <v>607</v>
      </c>
      <c r="O17" s="63" t="s">
        <v>607</v>
      </c>
      <c r="P17" s="246">
        <v>0.8</v>
      </c>
      <c r="Q17" s="376" t="s">
        <v>98</v>
      </c>
      <c r="R17" s="63">
        <v>0.16900000000000001</v>
      </c>
      <c r="S17" s="63" t="s">
        <v>98</v>
      </c>
      <c r="T17" s="63">
        <v>0.221</v>
      </c>
      <c r="U17" s="63">
        <v>0.39</v>
      </c>
      <c r="V17" s="141" t="s">
        <v>98</v>
      </c>
    </row>
    <row r="18" spans="1:22">
      <c r="A18" s="140" t="s">
        <v>1084</v>
      </c>
      <c r="B18" s="61">
        <v>16</v>
      </c>
      <c r="C18" s="499"/>
      <c r="D18" s="494"/>
      <c r="E18" s="499"/>
      <c r="F18" s="61"/>
      <c r="G18" s="61" t="s">
        <v>1098</v>
      </c>
      <c r="H18" s="61"/>
      <c r="I18" s="61" t="s">
        <v>1100</v>
      </c>
      <c r="J18" s="61">
        <v>1038</v>
      </c>
      <c r="K18" s="61" t="s">
        <v>1087</v>
      </c>
      <c r="L18" s="61" t="s">
        <v>607</v>
      </c>
      <c r="M18" s="61" t="s">
        <v>607</v>
      </c>
      <c r="N18" s="61" t="s">
        <v>607</v>
      </c>
      <c r="O18" s="61" t="s">
        <v>607</v>
      </c>
      <c r="P18" s="247">
        <v>0.79961464354527934</v>
      </c>
      <c r="Q18" s="374" t="s">
        <v>98</v>
      </c>
      <c r="R18" s="61">
        <v>0.154</v>
      </c>
      <c r="S18" s="61" t="s">
        <v>98</v>
      </c>
      <c r="T18" s="61">
        <v>0.20200000000000001</v>
      </c>
      <c r="U18" s="61">
        <v>0.35599999999999998</v>
      </c>
      <c r="V18" s="142" t="s">
        <v>98</v>
      </c>
    </row>
    <row r="19" spans="1:22">
      <c r="A19" s="5" t="s">
        <v>1084</v>
      </c>
      <c r="B19" s="63">
        <v>17</v>
      </c>
      <c r="C19" s="313">
        <v>5</v>
      </c>
      <c r="D19" s="309" t="s">
        <v>10</v>
      </c>
      <c r="E19" s="63">
        <v>2022</v>
      </c>
      <c r="F19" s="63" t="s">
        <v>1093</v>
      </c>
      <c r="G19" s="63" t="s">
        <v>0</v>
      </c>
      <c r="H19" s="63" t="s">
        <v>960</v>
      </c>
      <c r="I19" s="63" t="s">
        <v>1102</v>
      </c>
      <c r="J19" s="63" t="s">
        <v>607</v>
      </c>
      <c r="K19" s="63" t="s">
        <v>1087</v>
      </c>
      <c r="L19" s="63" t="s">
        <v>1103</v>
      </c>
      <c r="M19" s="63">
        <v>24</v>
      </c>
      <c r="N19" s="63" t="s">
        <v>1104</v>
      </c>
      <c r="O19" s="63">
        <v>30</v>
      </c>
      <c r="P19" s="246">
        <v>0.60499999999999998</v>
      </c>
      <c r="Q19" s="246">
        <v>0.875</v>
      </c>
      <c r="R19" s="63"/>
      <c r="S19" s="63" t="s">
        <v>98</v>
      </c>
      <c r="T19" s="63"/>
      <c r="U19" s="63">
        <v>30.833333333333332</v>
      </c>
      <c r="V19" s="141">
        <v>30.85</v>
      </c>
    </row>
    <row r="20" spans="1:22">
      <c r="A20" s="24" t="s">
        <v>1084</v>
      </c>
      <c r="B20" s="26">
        <v>18</v>
      </c>
      <c r="C20" s="26">
        <v>6</v>
      </c>
      <c r="D20" s="314" t="s">
        <v>1109</v>
      </c>
      <c r="E20" s="26">
        <v>2016</v>
      </c>
      <c r="F20" s="26" t="s">
        <v>1105</v>
      </c>
      <c r="G20" s="26" t="s">
        <v>1106</v>
      </c>
      <c r="H20" s="26"/>
      <c r="I20" s="26" t="s">
        <v>1107</v>
      </c>
      <c r="J20" s="26"/>
      <c r="K20" s="26" t="s">
        <v>607</v>
      </c>
      <c r="L20" s="26" t="s">
        <v>607</v>
      </c>
      <c r="M20" s="26"/>
      <c r="N20" s="26" t="s">
        <v>1108</v>
      </c>
      <c r="O20" s="26">
        <v>80</v>
      </c>
      <c r="P20" s="249">
        <v>0.94859813084112155</v>
      </c>
      <c r="Q20" s="249">
        <v>0.94859813084112155</v>
      </c>
      <c r="R20" s="26"/>
      <c r="S20" s="26" t="s">
        <v>98</v>
      </c>
      <c r="T20" s="26"/>
      <c r="U20" s="26">
        <v>203</v>
      </c>
      <c r="V20" s="32">
        <v>203</v>
      </c>
    </row>
    <row r="21" spans="1:22">
      <c r="A21" s="5" t="s">
        <v>1084</v>
      </c>
      <c r="B21" s="63">
        <v>19</v>
      </c>
      <c r="C21" s="497">
        <v>7</v>
      </c>
      <c r="D21" s="523" t="s">
        <v>1113</v>
      </c>
      <c r="E21" s="498">
        <v>2024</v>
      </c>
      <c r="F21" s="63" t="s">
        <v>1110</v>
      </c>
      <c r="G21" s="63" t="s">
        <v>0</v>
      </c>
      <c r="H21" s="63" t="s">
        <v>960</v>
      </c>
      <c r="I21" s="63" t="s">
        <v>1111</v>
      </c>
      <c r="J21" s="63">
        <v>3800</v>
      </c>
      <c r="K21" s="63" t="s">
        <v>1087</v>
      </c>
      <c r="L21" s="63" t="s">
        <v>1112</v>
      </c>
      <c r="M21" s="63">
        <v>1</v>
      </c>
      <c r="N21" s="63">
        <v>11</v>
      </c>
      <c r="O21" s="63">
        <v>40</v>
      </c>
      <c r="P21" s="246">
        <v>0.36840000000000001</v>
      </c>
      <c r="Q21" s="376" t="s">
        <v>607</v>
      </c>
      <c r="R21" s="63">
        <v>2.5793650793650796E-2</v>
      </c>
      <c r="S21" s="376" t="s">
        <v>607</v>
      </c>
      <c r="T21" s="63">
        <v>2.4801587301587298</v>
      </c>
      <c r="U21" s="63">
        <v>2.4700000000000002</v>
      </c>
      <c r="V21" s="141" t="s">
        <v>607</v>
      </c>
    </row>
    <row r="22" spans="1:22">
      <c r="A22" s="5" t="s">
        <v>1084</v>
      </c>
      <c r="B22" s="63">
        <v>20</v>
      </c>
      <c r="C22" s="498"/>
      <c r="D22" s="523"/>
      <c r="E22" s="498"/>
      <c r="F22" s="63"/>
      <c r="G22" s="63" t="s">
        <v>0</v>
      </c>
      <c r="H22" s="63" t="s">
        <v>960</v>
      </c>
      <c r="I22" s="63" t="s">
        <v>1111</v>
      </c>
      <c r="J22" s="63">
        <v>6700</v>
      </c>
      <c r="K22" s="63" t="s">
        <v>1087</v>
      </c>
      <c r="L22" s="63" t="s">
        <v>1112</v>
      </c>
      <c r="M22" s="63">
        <v>1</v>
      </c>
      <c r="N22" s="63">
        <v>11</v>
      </c>
      <c r="O22" s="63">
        <v>40</v>
      </c>
      <c r="P22" s="246">
        <v>0.40300000000000002</v>
      </c>
      <c r="Q22" s="376" t="s">
        <v>607</v>
      </c>
      <c r="R22" s="63">
        <v>1.3374485596707819E-2</v>
      </c>
      <c r="S22" s="376" t="s">
        <v>607</v>
      </c>
      <c r="T22" s="63">
        <v>1.286008230452675</v>
      </c>
      <c r="U22" s="63">
        <v>1.28</v>
      </c>
      <c r="V22" s="141" t="s">
        <v>607</v>
      </c>
    </row>
    <row r="23" spans="1:22">
      <c r="A23" s="5" t="s">
        <v>1084</v>
      </c>
      <c r="B23" s="63">
        <v>21</v>
      </c>
      <c r="C23" s="498"/>
      <c r="D23" s="523"/>
      <c r="E23" s="498"/>
      <c r="F23" s="63"/>
      <c r="G23" s="63" t="s">
        <v>0</v>
      </c>
      <c r="H23" s="63" t="s">
        <v>960</v>
      </c>
      <c r="I23" s="63" t="s">
        <v>1111</v>
      </c>
      <c r="J23" s="63">
        <v>12000</v>
      </c>
      <c r="K23" s="63" t="s">
        <v>1087</v>
      </c>
      <c r="L23" s="63" t="s">
        <v>1112</v>
      </c>
      <c r="M23" s="63">
        <v>1</v>
      </c>
      <c r="N23" s="63">
        <v>11</v>
      </c>
      <c r="O23" s="63">
        <v>40</v>
      </c>
      <c r="P23" s="246">
        <v>0.39169999999999999</v>
      </c>
      <c r="Q23" s="376" t="s">
        <v>607</v>
      </c>
      <c r="R23" s="63">
        <v>7.6832151300236413E-3</v>
      </c>
      <c r="S23" s="376" t="s">
        <v>607</v>
      </c>
      <c r="T23" s="63">
        <v>0.73877068557919612</v>
      </c>
      <c r="U23" s="63">
        <v>0.75</v>
      </c>
      <c r="V23" s="141" t="s">
        <v>607</v>
      </c>
    </row>
    <row r="24" spans="1:22">
      <c r="A24" s="5" t="s">
        <v>1084</v>
      </c>
      <c r="B24" s="63">
        <v>22</v>
      </c>
      <c r="C24" s="498"/>
      <c r="D24" s="523"/>
      <c r="E24" s="498"/>
      <c r="F24" s="63"/>
      <c r="G24" s="63" t="s">
        <v>0</v>
      </c>
      <c r="H24" s="63" t="s">
        <v>960</v>
      </c>
      <c r="I24" s="63" t="s">
        <v>1111</v>
      </c>
      <c r="J24" s="63">
        <v>3800</v>
      </c>
      <c r="K24" s="63" t="s">
        <v>1087</v>
      </c>
      <c r="L24" s="63" t="s">
        <v>1112</v>
      </c>
      <c r="M24" s="63">
        <v>1</v>
      </c>
      <c r="N24" s="63">
        <v>11</v>
      </c>
      <c r="O24" s="63">
        <v>60</v>
      </c>
      <c r="P24" s="246">
        <v>0.55259999999999998</v>
      </c>
      <c r="Q24" s="376" t="s">
        <v>607</v>
      </c>
      <c r="R24" s="63">
        <v>1.7195767195767195E-2</v>
      </c>
      <c r="S24" s="376" t="s">
        <v>607</v>
      </c>
      <c r="T24" s="63">
        <v>12.711640211640212</v>
      </c>
      <c r="U24" s="63">
        <v>12.73</v>
      </c>
      <c r="V24" s="141" t="s">
        <v>607</v>
      </c>
    </row>
    <row r="25" spans="1:22">
      <c r="A25" s="5" t="s">
        <v>1084</v>
      </c>
      <c r="B25" s="63">
        <v>23</v>
      </c>
      <c r="C25" s="498"/>
      <c r="D25" s="523"/>
      <c r="E25" s="498"/>
      <c r="F25" s="63"/>
      <c r="G25" s="63" t="s">
        <v>0</v>
      </c>
      <c r="H25" s="63" t="s">
        <v>960</v>
      </c>
      <c r="I25" s="63" t="s">
        <v>1111</v>
      </c>
      <c r="J25" s="63">
        <v>6700</v>
      </c>
      <c r="K25" s="63" t="s">
        <v>1087</v>
      </c>
      <c r="L25" s="63" t="s">
        <v>1112</v>
      </c>
      <c r="M25" s="63">
        <v>1</v>
      </c>
      <c r="N25" s="63">
        <v>11</v>
      </c>
      <c r="O25" s="63">
        <v>60</v>
      </c>
      <c r="P25" s="246">
        <v>0.58209999999999995</v>
      </c>
      <c r="Q25" s="376" t="s">
        <v>607</v>
      </c>
      <c r="R25" s="63">
        <v>9.2592592592592605E-3</v>
      </c>
      <c r="S25" s="376" t="s">
        <v>607</v>
      </c>
      <c r="T25" s="63">
        <v>6.8447293447293447</v>
      </c>
      <c r="U25" s="63">
        <v>6.84</v>
      </c>
      <c r="V25" s="141" t="s">
        <v>607</v>
      </c>
    </row>
    <row r="26" spans="1:22">
      <c r="A26" s="5" t="s">
        <v>1084</v>
      </c>
      <c r="B26" s="63">
        <v>24</v>
      </c>
      <c r="C26" s="498"/>
      <c r="D26" s="523"/>
      <c r="E26" s="498"/>
      <c r="F26" s="63"/>
      <c r="G26" s="63" t="s">
        <v>0</v>
      </c>
      <c r="H26" s="63" t="s">
        <v>960</v>
      </c>
      <c r="I26" s="63" t="s">
        <v>1111</v>
      </c>
      <c r="J26" s="63">
        <v>12000</v>
      </c>
      <c r="K26" s="63" t="s">
        <v>1087</v>
      </c>
      <c r="L26" s="63" t="s">
        <v>1112</v>
      </c>
      <c r="M26" s="63">
        <v>1</v>
      </c>
      <c r="N26" s="63">
        <v>11</v>
      </c>
      <c r="O26" s="63">
        <v>60</v>
      </c>
      <c r="P26" s="246">
        <v>0.55830000000000002</v>
      </c>
      <c r="Q26" s="376" t="s">
        <v>607</v>
      </c>
      <c r="R26" s="63">
        <v>5.3897180762852402E-3</v>
      </c>
      <c r="S26" s="376" t="s">
        <v>607</v>
      </c>
      <c r="T26" s="63">
        <v>3.9842454394693201</v>
      </c>
      <c r="U26" s="63">
        <v>3.97</v>
      </c>
      <c r="V26" s="141" t="s">
        <v>607</v>
      </c>
    </row>
    <row r="27" spans="1:22">
      <c r="A27" s="5" t="s">
        <v>1084</v>
      </c>
      <c r="B27" s="63">
        <v>25</v>
      </c>
      <c r="C27" s="498"/>
      <c r="D27" s="523"/>
      <c r="E27" s="498"/>
      <c r="F27" s="63"/>
      <c r="G27" s="63" t="s">
        <v>0</v>
      </c>
      <c r="H27" s="63" t="s">
        <v>960</v>
      </c>
      <c r="I27" s="63" t="s">
        <v>1111</v>
      </c>
      <c r="J27" s="63">
        <v>3800</v>
      </c>
      <c r="K27" s="63" t="s">
        <v>1087</v>
      </c>
      <c r="L27" s="63" t="s">
        <v>1112</v>
      </c>
      <c r="M27" s="63">
        <v>1</v>
      </c>
      <c r="N27" s="63">
        <v>11</v>
      </c>
      <c r="O27" s="63">
        <v>80</v>
      </c>
      <c r="P27" s="246">
        <v>0.76319999999999999</v>
      </c>
      <c r="Q27" s="376" t="s">
        <v>607</v>
      </c>
      <c r="R27" s="63">
        <v>1.2452107279693486E-2</v>
      </c>
      <c r="S27" s="376" t="s">
        <v>607</v>
      </c>
      <c r="T27" s="63">
        <v>17.212643678160919</v>
      </c>
      <c r="U27" s="63">
        <v>17.22</v>
      </c>
      <c r="V27" s="141" t="s">
        <v>607</v>
      </c>
    </row>
    <row r="28" spans="1:22">
      <c r="A28" s="5" t="s">
        <v>1084</v>
      </c>
      <c r="B28" s="63">
        <v>26</v>
      </c>
      <c r="C28" s="498"/>
      <c r="D28" s="523"/>
      <c r="E28" s="498"/>
      <c r="F28" s="63"/>
      <c r="G28" s="63" t="s">
        <v>0</v>
      </c>
      <c r="H28" s="63" t="s">
        <v>960</v>
      </c>
      <c r="I28" s="63" t="s">
        <v>1111</v>
      </c>
      <c r="J28" s="63">
        <v>6700</v>
      </c>
      <c r="K28" s="63" t="s">
        <v>1087</v>
      </c>
      <c r="L28" s="63" t="s">
        <v>1112</v>
      </c>
      <c r="M28" s="63">
        <v>1</v>
      </c>
      <c r="N28" s="63">
        <v>11</v>
      </c>
      <c r="O28" s="63">
        <v>80</v>
      </c>
      <c r="P28" s="246">
        <v>0.77610000000000001</v>
      </c>
      <c r="Q28" s="376" t="s">
        <v>607</v>
      </c>
      <c r="R28" s="63">
        <v>6.9444444444444441E-3</v>
      </c>
      <c r="S28" s="376" t="s">
        <v>607</v>
      </c>
      <c r="T28" s="63">
        <v>9.5993589743589745</v>
      </c>
      <c r="U28" s="63">
        <v>9.6199999999999992</v>
      </c>
      <c r="V28" s="141" t="s">
        <v>607</v>
      </c>
    </row>
    <row r="29" spans="1:22">
      <c r="A29" s="5" t="s">
        <v>1084</v>
      </c>
      <c r="B29" s="63">
        <v>27</v>
      </c>
      <c r="C29" s="499"/>
      <c r="D29" s="523"/>
      <c r="E29" s="498"/>
      <c r="F29" s="63"/>
      <c r="G29" s="63" t="s">
        <v>0</v>
      </c>
      <c r="H29" s="63" t="s">
        <v>960</v>
      </c>
      <c r="I29" s="63" t="s">
        <v>1111</v>
      </c>
      <c r="J29" s="63">
        <v>12000</v>
      </c>
      <c r="K29" s="63" t="s">
        <v>1087</v>
      </c>
      <c r="L29" s="63" t="s">
        <v>1112</v>
      </c>
      <c r="M29" s="63">
        <v>1</v>
      </c>
      <c r="N29" s="63">
        <v>11</v>
      </c>
      <c r="O29" s="63">
        <v>80</v>
      </c>
      <c r="P29" s="246">
        <v>0.74170000000000003</v>
      </c>
      <c r="Q29" s="376" t="s">
        <v>607</v>
      </c>
      <c r="R29" s="63">
        <v>4.0574282147315859E-3</v>
      </c>
      <c r="S29" s="376" t="s">
        <v>607</v>
      </c>
      <c r="T29" s="63">
        <v>5.6086142322097379</v>
      </c>
      <c r="U29" s="63">
        <v>5.61</v>
      </c>
      <c r="V29" s="141" t="s">
        <v>607</v>
      </c>
    </row>
    <row r="30" spans="1:22">
      <c r="A30" s="139" t="s">
        <v>1084</v>
      </c>
      <c r="B30" s="59">
        <v>28</v>
      </c>
      <c r="C30" s="497">
        <v>8</v>
      </c>
      <c r="D30" s="493" t="s">
        <v>1119</v>
      </c>
      <c r="E30" s="497">
        <v>2024</v>
      </c>
      <c r="F30" s="59" t="s">
        <v>1114</v>
      </c>
      <c r="G30" s="59" t="s">
        <v>1098</v>
      </c>
      <c r="H30" s="59" t="s">
        <v>1115</v>
      </c>
      <c r="I30" s="59" t="s">
        <v>1116</v>
      </c>
      <c r="J30" s="59"/>
      <c r="K30" s="59" t="s">
        <v>1087</v>
      </c>
      <c r="L30" s="59" t="s">
        <v>1117</v>
      </c>
      <c r="M30" s="59" t="s">
        <v>607</v>
      </c>
      <c r="N30" s="59">
        <v>8.5</v>
      </c>
      <c r="O30" s="59">
        <v>50</v>
      </c>
      <c r="P30" s="248">
        <v>0.56287425149700598</v>
      </c>
      <c r="Q30" s="248" t="s">
        <v>98</v>
      </c>
      <c r="R30" s="59">
        <v>0.69148936170212771</v>
      </c>
      <c r="S30" s="248" t="s">
        <v>98</v>
      </c>
      <c r="T30" s="59">
        <v>0.9042553191489362</v>
      </c>
      <c r="U30" s="59">
        <v>1.595744680851064</v>
      </c>
      <c r="V30" s="218" t="s">
        <v>1118</v>
      </c>
    </row>
    <row r="31" spans="1:22">
      <c r="A31" s="140" t="s">
        <v>1084</v>
      </c>
      <c r="B31" s="61">
        <v>29</v>
      </c>
      <c r="C31" s="499"/>
      <c r="D31" s="494"/>
      <c r="E31" s="499"/>
      <c r="F31" s="61"/>
      <c r="G31" s="61" t="s">
        <v>1098</v>
      </c>
      <c r="H31" s="61" t="s">
        <v>1120</v>
      </c>
      <c r="I31" s="61" t="s">
        <v>1116</v>
      </c>
      <c r="J31" s="61"/>
      <c r="K31" s="61"/>
      <c r="L31" s="61"/>
      <c r="M31" s="61"/>
      <c r="N31" s="61"/>
      <c r="O31" s="61"/>
      <c r="P31" s="247">
        <v>0.56836461126005366</v>
      </c>
      <c r="Q31" s="247" t="s">
        <v>98</v>
      </c>
      <c r="R31" s="61">
        <v>0.74468085106382975</v>
      </c>
      <c r="S31" s="247" t="s">
        <v>98</v>
      </c>
      <c r="T31" s="61">
        <v>0.9042553191489362</v>
      </c>
      <c r="U31" s="61">
        <v>1.6489361702127661</v>
      </c>
      <c r="V31" s="142" t="s">
        <v>1118</v>
      </c>
    </row>
    <row r="32" spans="1:22">
      <c r="A32" s="5" t="s">
        <v>1084</v>
      </c>
      <c r="B32" s="63">
        <v>30</v>
      </c>
      <c r="C32" s="313">
        <v>9</v>
      </c>
      <c r="D32" s="309" t="s">
        <v>1122</v>
      </c>
      <c r="E32" s="63">
        <v>2024</v>
      </c>
      <c r="F32" s="63" t="s">
        <v>1114</v>
      </c>
      <c r="G32" s="63" t="s">
        <v>6</v>
      </c>
      <c r="H32" s="63" t="s">
        <v>960</v>
      </c>
      <c r="I32" s="63" t="s">
        <v>1121</v>
      </c>
      <c r="J32" s="63">
        <v>3234</v>
      </c>
      <c r="K32" s="63" t="s">
        <v>1087</v>
      </c>
      <c r="L32" s="63" t="s">
        <v>607</v>
      </c>
      <c r="M32" s="63">
        <v>1</v>
      </c>
      <c r="N32" s="63">
        <v>8.5</v>
      </c>
      <c r="O32" s="63">
        <v>25</v>
      </c>
      <c r="P32" s="246"/>
      <c r="Q32" s="246">
        <v>0.32</v>
      </c>
      <c r="R32" s="63"/>
      <c r="S32" s="63"/>
      <c r="T32" s="63">
        <v>0</v>
      </c>
      <c r="U32" s="63">
        <v>12.7</v>
      </c>
      <c r="V32" s="141"/>
    </row>
    <row r="33" spans="1:22">
      <c r="A33" s="24" t="s">
        <v>1084</v>
      </c>
      <c r="B33" s="26">
        <v>31</v>
      </c>
      <c r="C33" s="26">
        <v>10</v>
      </c>
      <c r="D33" s="314" t="s">
        <v>25</v>
      </c>
      <c r="E33" s="26">
        <v>2022</v>
      </c>
      <c r="F33" s="26" t="s">
        <v>1123</v>
      </c>
      <c r="G33" s="26" t="s">
        <v>1098</v>
      </c>
      <c r="H33" s="26" t="s">
        <v>1124</v>
      </c>
      <c r="I33" s="26" t="s">
        <v>1125</v>
      </c>
      <c r="J33" s="26" t="s">
        <v>1126</v>
      </c>
      <c r="K33" s="26" t="s">
        <v>1087</v>
      </c>
      <c r="L33" s="26" t="s">
        <v>607</v>
      </c>
      <c r="M33" s="26"/>
      <c r="N33" s="26">
        <v>11</v>
      </c>
      <c r="O33" s="26">
        <v>25</v>
      </c>
      <c r="P33" s="249">
        <v>0.92800000000000005</v>
      </c>
      <c r="Q33" s="249">
        <v>0.93</v>
      </c>
      <c r="R33" s="26"/>
      <c r="S33" s="26"/>
      <c r="T33" s="26">
        <v>0</v>
      </c>
      <c r="U33" s="26">
        <v>2.95</v>
      </c>
      <c r="V33" s="32"/>
    </row>
    <row r="34" spans="1:22">
      <c r="A34" s="5" t="s">
        <v>1084</v>
      </c>
      <c r="B34" s="63">
        <v>32</v>
      </c>
      <c r="C34" s="497">
        <v>11</v>
      </c>
      <c r="D34" s="523" t="s">
        <v>26</v>
      </c>
      <c r="E34" s="498">
        <v>2022</v>
      </c>
      <c r="F34" s="63" t="s">
        <v>1123</v>
      </c>
      <c r="G34" s="63" t="s">
        <v>6</v>
      </c>
      <c r="H34" s="63" t="s">
        <v>1124</v>
      </c>
      <c r="I34" s="63" t="s">
        <v>1127</v>
      </c>
      <c r="J34" s="63" t="s">
        <v>98</v>
      </c>
      <c r="K34" s="63" t="s">
        <v>98</v>
      </c>
      <c r="L34" s="63" t="s">
        <v>98</v>
      </c>
      <c r="M34" s="63" t="s">
        <v>98</v>
      </c>
      <c r="N34" s="63">
        <v>10</v>
      </c>
      <c r="O34" s="63">
        <v>20</v>
      </c>
      <c r="P34" s="246">
        <v>0.95</v>
      </c>
      <c r="Q34" s="246">
        <v>0.95</v>
      </c>
      <c r="R34" s="63">
        <v>15.990643274853802</v>
      </c>
      <c r="S34" s="63">
        <v>0.14035087719298245</v>
      </c>
      <c r="T34" s="63">
        <v>0</v>
      </c>
      <c r="U34" s="63">
        <v>15.990643274853802</v>
      </c>
      <c r="V34" s="141">
        <v>14.2</v>
      </c>
    </row>
    <row r="35" spans="1:22">
      <c r="A35" s="5" t="s">
        <v>1084</v>
      </c>
      <c r="B35" s="63">
        <v>33</v>
      </c>
      <c r="C35" s="498"/>
      <c r="D35" s="523"/>
      <c r="E35" s="498"/>
      <c r="F35" s="63"/>
      <c r="G35" s="63" t="s">
        <v>6</v>
      </c>
      <c r="H35" s="63" t="s">
        <v>1124</v>
      </c>
      <c r="I35" s="63" t="s">
        <v>1127</v>
      </c>
      <c r="J35" s="63" t="s">
        <v>98</v>
      </c>
      <c r="K35" s="63" t="s">
        <v>98</v>
      </c>
      <c r="L35" s="63" t="s">
        <v>98</v>
      </c>
      <c r="M35" s="63" t="s">
        <v>98</v>
      </c>
      <c r="N35" s="63">
        <v>10</v>
      </c>
      <c r="O35" s="63">
        <v>25</v>
      </c>
      <c r="P35" s="246">
        <v>0.95</v>
      </c>
      <c r="Q35" s="246">
        <v>0.95</v>
      </c>
      <c r="R35" s="63">
        <v>9.1695906432748533</v>
      </c>
      <c r="S35" s="63">
        <v>0.14035087719298245</v>
      </c>
      <c r="T35" s="63">
        <v>9.4269005847953231</v>
      </c>
      <c r="U35" s="63">
        <v>18.89122807017544</v>
      </c>
      <c r="V35" s="141">
        <v>16.8</v>
      </c>
    </row>
    <row r="36" spans="1:22">
      <c r="A36" s="5" t="s">
        <v>1084</v>
      </c>
      <c r="B36" s="63">
        <v>34</v>
      </c>
      <c r="C36" s="498"/>
      <c r="D36" s="523"/>
      <c r="E36" s="498"/>
      <c r="F36" s="63"/>
      <c r="G36" s="63" t="s">
        <v>6</v>
      </c>
      <c r="H36" s="63" t="s">
        <v>1124</v>
      </c>
      <c r="I36" s="63" t="s">
        <v>1127</v>
      </c>
      <c r="J36" s="63" t="s">
        <v>98</v>
      </c>
      <c r="K36" s="63" t="s">
        <v>98</v>
      </c>
      <c r="L36" s="63" t="s">
        <v>98</v>
      </c>
      <c r="M36" s="63" t="s">
        <v>98</v>
      </c>
      <c r="N36" s="63">
        <v>10</v>
      </c>
      <c r="O36" s="63">
        <v>28</v>
      </c>
      <c r="P36" s="246">
        <v>0.95</v>
      </c>
      <c r="Q36" s="246">
        <v>0.95</v>
      </c>
      <c r="R36" s="63">
        <v>6.8304093567251458</v>
      </c>
      <c r="S36" s="63">
        <v>0.14035087719298245</v>
      </c>
      <c r="T36" s="63">
        <v>15.43859649122807</v>
      </c>
      <c r="U36" s="63">
        <v>22.4093567251462</v>
      </c>
      <c r="V36" s="141">
        <v>19.899999999999999</v>
      </c>
    </row>
    <row r="37" spans="1:22">
      <c r="A37" s="5" t="s">
        <v>1084</v>
      </c>
      <c r="B37" s="63">
        <v>35</v>
      </c>
      <c r="C37" s="498"/>
      <c r="D37" s="523"/>
      <c r="E37" s="498"/>
      <c r="F37" s="63"/>
      <c r="G37" s="63" t="s">
        <v>6</v>
      </c>
      <c r="H37" s="63" t="s">
        <v>1124</v>
      </c>
      <c r="I37" s="63" t="s">
        <v>1127</v>
      </c>
      <c r="J37" s="63" t="s">
        <v>98</v>
      </c>
      <c r="K37" s="63" t="s">
        <v>98</v>
      </c>
      <c r="L37" s="63" t="s">
        <v>98</v>
      </c>
      <c r="M37" s="63" t="s">
        <v>98</v>
      </c>
      <c r="N37" s="63">
        <v>10</v>
      </c>
      <c r="O37" s="63">
        <v>30</v>
      </c>
      <c r="P37" s="246">
        <v>0.95</v>
      </c>
      <c r="Q37" s="246">
        <v>0.95</v>
      </c>
      <c r="R37" s="63">
        <v>5.033918128654971</v>
      </c>
      <c r="S37" s="63">
        <v>0.14035087719298245</v>
      </c>
      <c r="T37" s="63">
        <v>19.485380116959064</v>
      </c>
      <c r="U37" s="63">
        <v>25.118128654970761</v>
      </c>
      <c r="V37" s="141">
        <v>22.3</v>
      </c>
    </row>
    <row r="38" spans="1:22">
      <c r="A38" s="5" t="s">
        <v>1084</v>
      </c>
      <c r="B38" s="63">
        <v>36</v>
      </c>
      <c r="C38" s="498"/>
      <c r="D38" s="523"/>
      <c r="E38" s="498"/>
      <c r="F38" s="63"/>
      <c r="G38" s="63" t="s">
        <v>6</v>
      </c>
      <c r="H38" s="63" t="s">
        <v>1124</v>
      </c>
      <c r="I38" s="63" t="s">
        <v>1127</v>
      </c>
      <c r="J38" s="63" t="s">
        <v>98</v>
      </c>
      <c r="K38" s="63" t="s">
        <v>98</v>
      </c>
      <c r="L38" s="63" t="s">
        <v>98</v>
      </c>
      <c r="M38" s="63" t="s">
        <v>98</v>
      </c>
      <c r="N38" s="63">
        <v>10</v>
      </c>
      <c r="O38" s="63">
        <v>35</v>
      </c>
      <c r="P38" s="246">
        <v>0.95</v>
      </c>
      <c r="Q38" s="246">
        <v>0.95</v>
      </c>
      <c r="R38" s="63">
        <v>2.9426900584795321</v>
      </c>
      <c r="S38" s="63">
        <v>0.14035087719298245</v>
      </c>
      <c r="T38" s="63">
        <v>28.785964912280701</v>
      </c>
      <c r="U38" s="63">
        <v>33.25847953216374</v>
      </c>
      <c r="V38" s="141">
        <v>29.6</v>
      </c>
    </row>
    <row r="39" spans="1:22">
      <c r="A39" s="5" t="s">
        <v>1084</v>
      </c>
      <c r="B39" s="63">
        <v>37</v>
      </c>
      <c r="C39" s="498"/>
      <c r="D39" s="523"/>
      <c r="E39" s="498"/>
      <c r="F39" s="63"/>
      <c r="G39" s="63" t="s">
        <v>6</v>
      </c>
      <c r="H39" s="63" t="s">
        <v>1124</v>
      </c>
      <c r="I39" s="63" t="s">
        <v>1127</v>
      </c>
      <c r="J39" s="63" t="s">
        <v>98</v>
      </c>
      <c r="K39" s="63" t="s">
        <v>98</v>
      </c>
      <c r="L39" s="63" t="s">
        <v>98</v>
      </c>
      <c r="M39" s="63" t="s">
        <v>98</v>
      </c>
      <c r="N39" s="63">
        <v>10</v>
      </c>
      <c r="O39" s="63">
        <v>40</v>
      </c>
      <c r="P39" s="246">
        <v>0.95</v>
      </c>
      <c r="Q39" s="246">
        <v>0.95</v>
      </c>
      <c r="R39" s="63">
        <v>1.6187134502923977</v>
      </c>
      <c r="S39" s="63">
        <v>0.14035087719298245</v>
      </c>
      <c r="T39" s="63">
        <v>39.101754385964917</v>
      </c>
      <c r="U39" s="63">
        <v>42.044444444444444</v>
      </c>
      <c r="V39" s="141">
        <v>37.4</v>
      </c>
    </row>
    <row r="40" spans="1:22">
      <c r="A40" s="5" t="s">
        <v>1084</v>
      </c>
      <c r="B40" s="63">
        <v>38</v>
      </c>
      <c r="C40" s="498"/>
      <c r="D40" s="523"/>
      <c r="E40" s="498"/>
      <c r="F40" s="63"/>
      <c r="G40" s="63" t="s">
        <v>6</v>
      </c>
      <c r="H40" s="63" t="s">
        <v>1124</v>
      </c>
      <c r="I40" s="63" t="s">
        <v>1127</v>
      </c>
      <c r="J40" s="63" t="s">
        <v>98</v>
      </c>
      <c r="K40" s="63" t="s">
        <v>98</v>
      </c>
      <c r="L40" s="63" t="s">
        <v>98</v>
      </c>
      <c r="M40" s="63" t="s">
        <v>98</v>
      </c>
      <c r="N40" s="63">
        <v>10</v>
      </c>
      <c r="O40" s="63">
        <v>45</v>
      </c>
      <c r="P40" s="246">
        <v>0.95</v>
      </c>
      <c r="Q40" s="246">
        <v>0.95</v>
      </c>
      <c r="R40" s="63">
        <v>1.0666666666666667</v>
      </c>
      <c r="S40" s="63">
        <v>0.14035087719298245</v>
      </c>
      <c r="T40" s="63">
        <v>50.058479532163737</v>
      </c>
      <c r="U40" s="63">
        <v>51.59766081871345</v>
      </c>
      <c r="V40" s="141">
        <v>45.9</v>
      </c>
    </row>
    <row r="41" spans="1:22">
      <c r="A41" s="5" t="s">
        <v>1084</v>
      </c>
      <c r="B41" s="63">
        <v>39</v>
      </c>
      <c r="C41" s="499"/>
      <c r="D41" s="523"/>
      <c r="E41" s="498"/>
      <c r="F41" s="63"/>
      <c r="G41" s="63" t="s">
        <v>6</v>
      </c>
      <c r="H41" s="63" t="s">
        <v>1124</v>
      </c>
      <c r="I41" s="63" t="s">
        <v>1127</v>
      </c>
      <c r="J41" s="63" t="s">
        <v>98</v>
      </c>
      <c r="K41" s="63" t="s">
        <v>98</v>
      </c>
      <c r="L41" s="63" t="s">
        <v>98</v>
      </c>
      <c r="M41" s="63" t="s">
        <v>98</v>
      </c>
      <c r="N41" s="63">
        <v>10</v>
      </c>
      <c r="O41" s="63">
        <v>50</v>
      </c>
      <c r="P41" s="246">
        <v>0.95</v>
      </c>
      <c r="Q41" s="246">
        <v>0.95</v>
      </c>
      <c r="R41" s="63">
        <v>0.89824561403508774</v>
      </c>
      <c r="S41" s="63">
        <v>0.14035087719298245</v>
      </c>
      <c r="T41" s="63">
        <v>59.228070175438596</v>
      </c>
      <c r="U41" s="63">
        <v>60.378947368421059</v>
      </c>
      <c r="V41" s="141">
        <v>53.7</v>
      </c>
    </row>
    <row r="42" spans="1:22">
      <c r="A42" s="24" t="s">
        <v>1084</v>
      </c>
      <c r="B42" s="26">
        <v>40</v>
      </c>
      <c r="C42" s="26">
        <v>12</v>
      </c>
      <c r="D42" s="314" t="s">
        <v>11</v>
      </c>
      <c r="E42" s="26">
        <v>2017</v>
      </c>
      <c r="F42" s="26"/>
      <c r="G42" s="26" t="s">
        <v>0</v>
      </c>
      <c r="H42" s="26" t="s">
        <v>960</v>
      </c>
      <c r="I42" s="26" t="s">
        <v>1128</v>
      </c>
      <c r="J42" s="26">
        <v>4500</v>
      </c>
      <c r="K42" s="26"/>
      <c r="L42" s="26"/>
      <c r="M42" s="26"/>
      <c r="N42" s="26"/>
      <c r="O42" s="26"/>
      <c r="P42" s="249"/>
      <c r="Q42" s="249">
        <v>0.93333333333333335</v>
      </c>
      <c r="R42" s="26">
        <v>0.3306878306878307</v>
      </c>
      <c r="S42" s="374" t="s">
        <v>98</v>
      </c>
      <c r="T42" s="374" t="s">
        <v>98</v>
      </c>
      <c r="U42" s="26">
        <v>0.3306878306878307</v>
      </c>
      <c r="V42" s="32" t="s">
        <v>607</v>
      </c>
    </row>
    <row r="43" spans="1:22">
      <c r="A43" s="140" t="s">
        <v>1084</v>
      </c>
      <c r="B43" s="61">
        <v>41</v>
      </c>
      <c r="C43" s="312">
        <v>13</v>
      </c>
      <c r="D43" s="310" t="s">
        <v>1129</v>
      </c>
      <c r="E43" s="61">
        <v>1996</v>
      </c>
      <c r="F43" s="61" t="s">
        <v>1105</v>
      </c>
      <c r="G43" s="61" t="s">
        <v>6</v>
      </c>
      <c r="H43" s="61" t="s">
        <v>1124</v>
      </c>
      <c r="I43" s="61" t="s">
        <v>607</v>
      </c>
      <c r="J43" s="61" t="s">
        <v>607</v>
      </c>
      <c r="K43" s="61" t="s">
        <v>1087</v>
      </c>
      <c r="L43" s="61" t="s">
        <v>607</v>
      </c>
      <c r="M43" s="61" t="s">
        <v>607</v>
      </c>
      <c r="N43" s="61" t="s">
        <v>1144</v>
      </c>
      <c r="O43" s="61" t="s">
        <v>1143</v>
      </c>
      <c r="P43" s="247">
        <v>0.95</v>
      </c>
      <c r="Q43" s="247" t="s">
        <v>607</v>
      </c>
      <c r="R43" s="61" t="s">
        <v>98</v>
      </c>
      <c r="S43" s="61" t="s">
        <v>98</v>
      </c>
      <c r="T43" s="61" t="s">
        <v>98</v>
      </c>
      <c r="U43" s="61">
        <v>7.3684210526315796</v>
      </c>
      <c r="V43" s="142" t="s">
        <v>607</v>
      </c>
    </row>
  </sheetData>
  <mergeCells count="27">
    <mergeCell ref="P1:Q1"/>
    <mergeCell ref="F1:I1"/>
    <mergeCell ref="R1:V1"/>
    <mergeCell ref="D34:D41"/>
    <mergeCell ref="E34:E41"/>
    <mergeCell ref="D30:D31"/>
    <mergeCell ref="E30:E31"/>
    <mergeCell ref="D21:D29"/>
    <mergeCell ref="E21:E29"/>
    <mergeCell ref="D3:D4"/>
    <mergeCell ref="E3:E4"/>
    <mergeCell ref="D12:D18"/>
    <mergeCell ref="D5:D7"/>
    <mergeCell ref="E5:E7"/>
    <mergeCell ref="D8:D11"/>
    <mergeCell ref="E8:E11"/>
    <mergeCell ref="C21:C29"/>
    <mergeCell ref="C30:C31"/>
    <mergeCell ref="C34:C41"/>
    <mergeCell ref="E12:E18"/>
    <mergeCell ref="J1:O1"/>
    <mergeCell ref="D1:D2"/>
    <mergeCell ref="C1:C2"/>
    <mergeCell ref="C3:C4"/>
    <mergeCell ref="C5:C7"/>
    <mergeCell ref="C8:C11"/>
    <mergeCell ref="C12:C18"/>
  </mergeCells>
  <phoneticPr fontId="1" type="noConversion"/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0345C-A036-3649-9BF5-4F81CF05206F}">
  <dimension ref="A1:V45"/>
  <sheetViews>
    <sheetView topLeftCell="C1" zoomScale="90" workbookViewId="0">
      <selection activeCell="Q10" sqref="Q10:S10"/>
    </sheetView>
  </sheetViews>
  <sheetFormatPr baseColWidth="10" defaultRowHeight="16"/>
  <cols>
    <col min="1" max="2" width="0" style="35" hidden="1" customWidth="1"/>
    <col min="3" max="3" width="10.83203125" style="35"/>
    <col min="4" max="4" width="166.33203125" style="35" bestFit="1" customWidth="1"/>
    <col min="5" max="5" width="21.5" style="35" customWidth="1"/>
    <col min="6" max="6" width="15" style="35" customWidth="1"/>
    <col min="7" max="7" width="18.1640625" style="35" customWidth="1"/>
    <col min="8" max="8" width="17.83203125" style="35" customWidth="1"/>
    <col min="9" max="9" width="23.5" style="35" customWidth="1"/>
    <col min="10" max="10" width="21.5" style="35" customWidth="1"/>
    <col min="11" max="11" width="10.83203125" style="35"/>
    <col min="12" max="12" width="15" style="35" customWidth="1"/>
    <col min="13" max="13" width="18.1640625" style="35" customWidth="1"/>
    <col min="14" max="14" width="22.1640625" style="35" customWidth="1"/>
    <col min="15" max="15" width="26.33203125" style="35" customWidth="1"/>
    <col min="16" max="16" width="31.6640625" style="35" customWidth="1"/>
    <col min="17" max="17" width="44.6640625" style="35" customWidth="1"/>
    <col min="18" max="18" width="19.1640625" style="35" customWidth="1"/>
    <col min="19" max="19" width="26" style="35" customWidth="1"/>
    <col min="20" max="20" width="32.33203125" style="35" customWidth="1"/>
    <col min="21" max="21" width="30.6640625" style="36" customWidth="1"/>
    <col min="22" max="22" width="10.83203125" style="35"/>
    <col min="23" max="16384" width="10.83203125" style="37"/>
  </cols>
  <sheetData>
    <row r="1" spans="1:22" s="472" customFormat="1" ht="17">
      <c r="A1" s="567" t="s">
        <v>32</v>
      </c>
      <c r="B1" s="568"/>
      <c r="C1" s="466" t="s">
        <v>1249</v>
      </c>
      <c r="D1" s="467" t="s">
        <v>8</v>
      </c>
      <c r="E1" s="466" t="s">
        <v>303</v>
      </c>
      <c r="F1" s="466" t="s">
        <v>33</v>
      </c>
      <c r="G1" s="466" t="s">
        <v>34</v>
      </c>
      <c r="H1" s="466" t="s">
        <v>35</v>
      </c>
      <c r="I1" s="466" t="s">
        <v>36</v>
      </c>
      <c r="J1" s="466" t="s">
        <v>37</v>
      </c>
      <c r="K1" s="468" t="s">
        <v>38</v>
      </c>
      <c r="L1" s="466" t="s">
        <v>39</v>
      </c>
      <c r="M1" s="466" t="s">
        <v>40</v>
      </c>
      <c r="N1" s="466" t="s">
        <v>41</v>
      </c>
      <c r="O1" s="469" t="s">
        <v>42</v>
      </c>
      <c r="P1" s="466" t="s">
        <v>43</v>
      </c>
      <c r="Q1" s="466" t="s">
        <v>44</v>
      </c>
      <c r="R1" s="466" t="s">
        <v>45</v>
      </c>
      <c r="S1" s="466" t="s">
        <v>46</v>
      </c>
      <c r="T1" s="466" t="s">
        <v>47</v>
      </c>
      <c r="U1" s="470" t="s">
        <v>48</v>
      </c>
      <c r="V1" s="471"/>
    </row>
    <row r="2" spans="1:22">
      <c r="A2" s="5" t="s">
        <v>28</v>
      </c>
      <c r="B2" s="59">
        <v>1</v>
      </c>
      <c r="C2" s="497">
        <v>1</v>
      </c>
      <c r="D2" s="569" t="s">
        <v>53</v>
      </c>
      <c r="E2" s="6">
        <v>2396.4</v>
      </c>
      <c r="F2" s="59" t="s">
        <v>49</v>
      </c>
      <c r="G2" s="59" t="s">
        <v>50</v>
      </c>
      <c r="H2" s="59" t="s">
        <v>51</v>
      </c>
      <c r="I2" s="59" t="s">
        <v>52</v>
      </c>
      <c r="J2" s="59">
        <v>0.113</v>
      </c>
      <c r="K2" s="75">
        <f>255/60</f>
        <v>4.25</v>
      </c>
      <c r="L2" s="7">
        <v>9.5</v>
      </c>
      <c r="M2" s="59">
        <v>35</v>
      </c>
      <c r="N2" s="59" t="s">
        <v>9</v>
      </c>
      <c r="O2" s="8">
        <v>0.9</v>
      </c>
      <c r="P2" s="59" t="s">
        <v>240</v>
      </c>
      <c r="Q2" s="572">
        <v>2.95</v>
      </c>
      <c r="R2" s="572"/>
      <c r="S2" s="572"/>
      <c r="T2" s="76">
        <f>Q2/(3*0.9*E2/1000000)</f>
        <v>455.93080979493931</v>
      </c>
      <c r="U2" s="351" t="s">
        <v>240</v>
      </c>
    </row>
    <row r="3" spans="1:22">
      <c r="A3" s="5" t="s">
        <v>28</v>
      </c>
      <c r="B3" s="60">
        <v>2</v>
      </c>
      <c r="C3" s="498"/>
      <c r="D3" s="570"/>
      <c r="E3" s="9">
        <v>2396.4</v>
      </c>
      <c r="F3" s="60" t="s">
        <v>49</v>
      </c>
      <c r="G3" s="60" t="s">
        <v>50</v>
      </c>
      <c r="H3" s="60" t="s">
        <v>51</v>
      </c>
      <c r="I3" s="60" t="s">
        <v>52</v>
      </c>
      <c r="J3" s="60">
        <v>0.113</v>
      </c>
      <c r="K3" s="77">
        <v>2.7746666666666666</v>
      </c>
      <c r="L3" s="3">
        <v>9.5</v>
      </c>
      <c r="M3" s="60">
        <v>40</v>
      </c>
      <c r="N3" s="60" t="s">
        <v>9</v>
      </c>
      <c r="O3" s="10">
        <v>0.9</v>
      </c>
      <c r="P3" s="60" t="s">
        <v>240</v>
      </c>
      <c r="Q3" s="575">
        <v>1.5</v>
      </c>
      <c r="R3" s="575"/>
      <c r="S3" s="575"/>
      <c r="T3" s="78">
        <f>Q3/(3*E3*O3/1000000)</f>
        <v>231.82922531946065</v>
      </c>
      <c r="U3" s="353" t="s">
        <v>240</v>
      </c>
    </row>
    <row r="4" spans="1:22">
      <c r="A4" s="5" t="s">
        <v>28</v>
      </c>
      <c r="B4" s="60">
        <v>3</v>
      </c>
      <c r="C4" s="498"/>
      <c r="D4" s="570"/>
      <c r="E4" s="9">
        <v>2396.4</v>
      </c>
      <c r="F4" s="60" t="s">
        <v>49</v>
      </c>
      <c r="G4" s="60" t="s">
        <v>50</v>
      </c>
      <c r="H4" s="60" t="s">
        <v>51</v>
      </c>
      <c r="I4" s="60" t="s">
        <v>52</v>
      </c>
      <c r="J4" s="60">
        <v>0.113</v>
      </c>
      <c r="K4" s="77">
        <v>1.9333333333333333</v>
      </c>
      <c r="L4" s="3">
        <v>9.5</v>
      </c>
      <c r="M4" s="60">
        <v>45</v>
      </c>
      <c r="N4" s="60" t="s">
        <v>9</v>
      </c>
      <c r="O4" s="10">
        <v>0.9</v>
      </c>
      <c r="P4" s="60" t="s">
        <v>240</v>
      </c>
      <c r="Q4" s="575">
        <v>1.27</v>
      </c>
      <c r="R4" s="575"/>
      <c r="S4" s="575"/>
      <c r="T4" s="78">
        <f t="shared" ref="T4:T10" si="0">Q4/(3*E4*O4/1000000)</f>
        <v>196.28207743714333</v>
      </c>
      <c r="U4" s="353" t="s">
        <v>240</v>
      </c>
    </row>
    <row r="5" spans="1:22">
      <c r="A5" s="5" t="s">
        <v>28</v>
      </c>
      <c r="B5" s="60">
        <v>4</v>
      </c>
      <c r="C5" s="498"/>
      <c r="D5" s="570"/>
      <c r="E5" s="9">
        <v>2396.4</v>
      </c>
      <c r="F5" s="60" t="s">
        <v>49</v>
      </c>
      <c r="G5" s="60" t="s">
        <v>50</v>
      </c>
      <c r="H5" s="60" t="s">
        <v>51</v>
      </c>
      <c r="I5" s="60" t="s">
        <v>52</v>
      </c>
      <c r="J5" s="60">
        <v>0.113</v>
      </c>
      <c r="K5" s="77">
        <v>2.0786666666666664</v>
      </c>
      <c r="L5" s="3">
        <v>10.5</v>
      </c>
      <c r="M5" s="60">
        <v>35</v>
      </c>
      <c r="N5" s="60" t="s">
        <v>9</v>
      </c>
      <c r="O5" s="10">
        <v>0.9</v>
      </c>
      <c r="P5" s="60" t="s">
        <v>240</v>
      </c>
      <c r="Q5" s="575">
        <v>1.1000000000000001</v>
      </c>
      <c r="R5" s="575"/>
      <c r="S5" s="575"/>
      <c r="T5" s="11">
        <f t="shared" si="0"/>
        <v>170.00809856760449</v>
      </c>
      <c r="U5" s="353" t="s">
        <v>240</v>
      </c>
    </row>
    <row r="6" spans="1:22">
      <c r="A6" s="5" t="s">
        <v>28</v>
      </c>
      <c r="B6" s="60">
        <v>5</v>
      </c>
      <c r="C6" s="498"/>
      <c r="D6" s="570"/>
      <c r="E6" s="9">
        <v>2396.4</v>
      </c>
      <c r="F6" s="60" t="s">
        <v>49</v>
      </c>
      <c r="G6" s="60" t="s">
        <v>50</v>
      </c>
      <c r="H6" s="60" t="s">
        <v>51</v>
      </c>
      <c r="I6" s="60" t="s">
        <v>52</v>
      </c>
      <c r="J6" s="60">
        <v>0.113</v>
      </c>
      <c r="K6" s="77">
        <v>1.4376666666666666</v>
      </c>
      <c r="L6" s="3">
        <v>10.5</v>
      </c>
      <c r="M6" s="60">
        <v>40</v>
      </c>
      <c r="N6" s="60" t="s">
        <v>9</v>
      </c>
      <c r="O6" s="10">
        <v>0.9</v>
      </c>
      <c r="P6" s="60" t="s">
        <v>240</v>
      </c>
      <c r="Q6" s="575">
        <v>0.82</v>
      </c>
      <c r="R6" s="575"/>
      <c r="S6" s="575"/>
      <c r="T6" s="11">
        <f t="shared" si="0"/>
        <v>126.73330984130514</v>
      </c>
      <c r="U6" s="353" t="s">
        <v>240</v>
      </c>
    </row>
    <row r="7" spans="1:22">
      <c r="A7" s="5" t="s">
        <v>28</v>
      </c>
      <c r="B7" s="60">
        <v>6</v>
      </c>
      <c r="C7" s="498"/>
      <c r="D7" s="570"/>
      <c r="E7" s="9">
        <v>2396.4</v>
      </c>
      <c r="F7" s="60" t="s">
        <v>49</v>
      </c>
      <c r="G7" s="60" t="s">
        <v>50</v>
      </c>
      <c r="H7" s="60" t="s">
        <v>51</v>
      </c>
      <c r="I7" s="60" t="s">
        <v>52</v>
      </c>
      <c r="J7" s="60">
        <v>0.113</v>
      </c>
      <c r="K7" s="77">
        <v>1.0346666666666666</v>
      </c>
      <c r="L7" s="3">
        <v>10.5</v>
      </c>
      <c r="M7" s="60">
        <v>45</v>
      </c>
      <c r="N7" s="60" t="s">
        <v>9</v>
      </c>
      <c r="O7" s="10">
        <v>0.9</v>
      </c>
      <c r="P7" s="60" t="s">
        <v>240</v>
      </c>
      <c r="Q7" s="575">
        <v>0.73</v>
      </c>
      <c r="R7" s="575"/>
      <c r="S7" s="575"/>
      <c r="T7" s="11">
        <f t="shared" si="0"/>
        <v>112.82355632213751</v>
      </c>
      <c r="U7" s="353" t="s">
        <v>240</v>
      </c>
    </row>
    <row r="8" spans="1:22">
      <c r="A8" s="5" t="s">
        <v>28</v>
      </c>
      <c r="B8" s="60">
        <v>7</v>
      </c>
      <c r="C8" s="498"/>
      <c r="D8" s="570"/>
      <c r="E8" s="9">
        <v>2396.4</v>
      </c>
      <c r="F8" s="60" t="s">
        <v>49</v>
      </c>
      <c r="G8" s="60" t="s">
        <v>50</v>
      </c>
      <c r="H8" s="60" t="s">
        <v>51</v>
      </c>
      <c r="I8" s="60" t="s">
        <v>52</v>
      </c>
      <c r="J8" s="60">
        <v>0.113</v>
      </c>
      <c r="K8" s="77">
        <v>2.1886666666666668</v>
      </c>
      <c r="L8" s="3">
        <v>11.5</v>
      </c>
      <c r="M8" s="60">
        <v>35</v>
      </c>
      <c r="N8" s="60" t="s">
        <v>9</v>
      </c>
      <c r="O8" s="10">
        <v>0.9</v>
      </c>
      <c r="P8" s="60" t="s">
        <v>240</v>
      </c>
      <c r="Q8" s="575">
        <v>1.1499999999999999</v>
      </c>
      <c r="R8" s="575"/>
      <c r="S8" s="575"/>
      <c r="T8" s="11">
        <f t="shared" si="0"/>
        <v>177.73573941158648</v>
      </c>
      <c r="U8" s="353" t="s">
        <v>240</v>
      </c>
    </row>
    <row r="9" spans="1:22">
      <c r="A9" s="5" t="s">
        <v>28</v>
      </c>
      <c r="B9" s="60">
        <v>8</v>
      </c>
      <c r="C9" s="498"/>
      <c r="D9" s="570"/>
      <c r="E9" s="9">
        <v>2396.4</v>
      </c>
      <c r="F9" s="60" t="s">
        <v>49</v>
      </c>
      <c r="G9" s="60" t="s">
        <v>50</v>
      </c>
      <c r="H9" s="60" t="s">
        <v>51</v>
      </c>
      <c r="I9" s="60" t="s">
        <v>52</v>
      </c>
      <c r="J9" s="60">
        <v>0.113</v>
      </c>
      <c r="K9" s="77">
        <v>0.9</v>
      </c>
      <c r="L9" s="3">
        <v>11.5</v>
      </c>
      <c r="M9" s="60">
        <v>40</v>
      </c>
      <c r="N9" s="60" t="s">
        <v>9</v>
      </c>
      <c r="O9" s="10">
        <v>0.9</v>
      </c>
      <c r="P9" s="60" t="s">
        <v>240</v>
      </c>
      <c r="Q9" s="575">
        <v>0.48</v>
      </c>
      <c r="R9" s="575"/>
      <c r="S9" s="575"/>
      <c r="T9" s="11">
        <f t="shared" si="0"/>
        <v>74.185352102227398</v>
      </c>
      <c r="U9" s="353" t="s">
        <v>240</v>
      </c>
    </row>
    <row r="10" spans="1:22">
      <c r="A10" s="12" t="s">
        <v>28</v>
      </c>
      <c r="B10" s="61">
        <v>9</v>
      </c>
      <c r="C10" s="499"/>
      <c r="D10" s="571"/>
      <c r="E10" s="13">
        <v>2396.4</v>
      </c>
      <c r="F10" s="61" t="s">
        <v>49</v>
      </c>
      <c r="G10" s="61" t="s">
        <v>50</v>
      </c>
      <c r="H10" s="61" t="s">
        <v>51</v>
      </c>
      <c r="I10" s="61" t="s">
        <v>52</v>
      </c>
      <c r="J10" s="61">
        <v>0.113</v>
      </c>
      <c r="K10" s="79">
        <v>0.93333333333333335</v>
      </c>
      <c r="L10" s="14">
        <v>11.5</v>
      </c>
      <c r="M10" s="61">
        <v>45</v>
      </c>
      <c r="N10" s="61" t="s">
        <v>9</v>
      </c>
      <c r="O10" s="15">
        <v>0.9</v>
      </c>
      <c r="P10" s="61" t="s">
        <v>240</v>
      </c>
      <c r="Q10" s="576">
        <v>0.59</v>
      </c>
      <c r="R10" s="576"/>
      <c r="S10" s="576"/>
      <c r="T10" s="16">
        <f t="shared" si="0"/>
        <v>91.186161958987839</v>
      </c>
      <c r="U10" s="352" t="s">
        <v>240</v>
      </c>
    </row>
    <row r="11" spans="1:22">
      <c r="A11" s="5" t="s">
        <v>28</v>
      </c>
      <c r="B11" s="59">
        <v>10</v>
      </c>
      <c r="C11" s="497">
        <v>2</v>
      </c>
      <c r="D11" s="570" t="s">
        <v>57</v>
      </c>
      <c r="E11" s="59">
        <f>1.5*1000</f>
        <v>1500</v>
      </c>
      <c r="F11" s="59" t="s">
        <v>54</v>
      </c>
      <c r="G11" s="59" t="s">
        <v>50</v>
      </c>
      <c r="H11" s="59" t="s">
        <v>55</v>
      </c>
      <c r="I11" s="59" t="s">
        <v>56</v>
      </c>
      <c r="J11" s="17">
        <v>0.25</v>
      </c>
      <c r="K11" s="6">
        <v>0.16</v>
      </c>
      <c r="L11" s="59">
        <v>11</v>
      </c>
      <c r="M11" s="59">
        <v>65</v>
      </c>
      <c r="N11" s="59" t="s">
        <v>9</v>
      </c>
      <c r="O11" s="80">
        <v>0.37630000000000002</v>
      </c>
      <c r="P11" s="60" t="s">
        <v>240</v>
      </c>
      <c r="Q11" s="573">
        <v>34.53</v>
      </c>
      <c r="R11" s="573"/>
      <c r="S11" s="60">
        <v>0</v>
      </c>
      <c r="T11" s="18">
        <f t="shared" ref="T11:T25" si="1">Q11</f>
        <v>34.53</v>
      </c>
      <c r="U11" s="353" t="s">
        <v>240</v>
      </c>
    </row>
    <row r="12" spans="1:22">
      <c r="A12" s="5" t="s">
        <v>28</v>
      </c>
      <c r="B12" s="60">
        <v>11</v>
      </c>
      <c r="C12" s="498"/>
      <c r="D12" s="570"/>
      <c r="E12" s="60">
        <f t="shared" ref="E12:E33" si="2">1.5*1000</f>
        <v>1500</v>
      </c>
      <c r="F12" s="60" t="s">
        <v>54</v>
      </c>
      <c r="G12" s="60" t="s">
        <v>50</v>
      </c>
      <c r="H12" s="60" t="s">
        <v>55</v>
      </c>
      <c r="I12" s="60" t="s">
        <v>56</v>
      </c>
      <c r="J12" s="19">
        <v>0.25</v>
      </c>
      <c r="K12" s="9">
        <v>0.4</v>
      </c>
      <c r="L12" s="60">
        <v>11</v>
      </c>
      <c r="M12" s="60">
        <v>65</v>
      </c>
      <c r="N12" s="60" t="s">
        <v>9</v>
      </c>
      <c r="O12" s="20">
        <v>0.61699999999999999</v>
      </c>
      <c r="P12" s="60" t="s">
        <v>240</v>
      </c>
      <c r="Q12" s="573">
        <v>53.1</v>
      </c>
      <c r="R12" s="573"/>
      <c r="S12" s="60">
        <v>0</v>
      </c>
      <c r="T12" s="18">
        <f t="shared" si="1"/>
        <v>53.1</v>
      </c>
      <c r="U12" s="353" t="s">
        <v>240</v>
      </c>
    </row>
    <row r="13" spans="1:22">
      <c r="A13" s="5" t="s">
        <v>28</v>
      </c>
      <c r="B13" s="60">
        <v>12</v>
      </c>
      <c r="C13" s="498"/>
      <c r="D13" s="570"/>
      <c r="E13" s="60">
        <f t="shared" si="2"/>
        <v>1500</v>
      </c>
      <c r="F13" s="60" t="s">
        <v>54</v>
      </c>
      <c r="G13" s="60" t="s">
        <v>50</v>
      </c>
      <c r="H13" s="60" t="s">
        <v>55</v>
      </c>
      <c r="I13" s="60" t="s">
        <v>56</v>
      </c>
      <c r="J13" s="19">
        <v>0.25</v>
      </c>
      <c r="K13" s="9">
        <v>0.7</v>
      </c>
      <c r="L13" s="60">
        <v>11</v>
      </c>
      <c r="M13" s="60">
        <v>65</v>
      </c>
      <c r="N13" s="60" t="s">
        <v>9</v>
      </c>
      <c r="O13" s="20">
        <v>0.77859999999999996</v>
      </c>
      <c r="P13" s="60" t="s">
        <v>240</v>
      </c>
      <c r="Q13" s="573">
        <v>65.849999999999994</v>
      </c>
      <c r="R13" s="573"/>
      <c r="S13" s="60">
        <v>0</v>
      </c>
      <c r="T13" s="18">
        <f t="shared" si="1"/>
        <v>65.849999999999994</v>
      </c>
      <c r="U13" s="353" t="s">
        <v>240</v>
      </c>
    </row>
    <row r="14" spans="1:22">
      <c r="A14" s="5" t="s">
        <v>28</v>
      </c>
      <c r="B14" s="60">
        <v>13</v>
      </c>
      <c r="C14" s="498"/>
      <c r="D14" s="570"/>
      <c r="E14" s="60">
        <f t="shared" si="2"/>
        <v>1500</v>
      </c>
      <c r="F14" s="60" t="s">
        <v>54</v>
      </c>
      <c r="G14" s="60" t="s">
        <v>50</v>
      </c>
      <c r="H14" s="60" t="s">
        <v>55</v>
      </c>
      <c r="I14" s="60" t="s">
        <v>56</v>
      </c>
      <c r="J14" s="19">
        <v>0.25</v>
      </c>
      <c r="K14" s="9">
        <v>1.5</v>
      </c>
      <c r="L14" s="60">
        <v>11</v>
      </c>
      <c r="M14" s="60">
        <v>65</v>
      </c>
      <c r="N14" s="60" t="s">
        <v>9</v>
      </c>
      <c r="O14" s="20">
        <v>0.91</v>
      </c>
      <c r="P14" s="60" t="s">
        <v>240</v>
      </c>
      <c r="Q14" s="573">
        <v>85.21</v>
      </c>
      <c r="R14" s="573"/>
      <c r="S14" s="60">
        <v>0</v>
      </c>
      <c r="T14" s="18">
        <f t="shared" si="1"/>
        <v>85.21</v>
      </c>
      <c r="U14" s="353" t="s">
        <v>240</v>
      </c>
    </row>
    <row r="15" spans="1:22">
      <c r="A15" s="5" t="s">
        <v>28</v>
      </c>
      <c r="B15" s="60">
        <v>14</v>
      </c>
      <c r="C15" s="498"/>
      <c r="D15" s="570"/>
      <c r="E15" s="60">
        <f t="shared" si="2"/>
        <v>1500</v>
      </c>
      <c r="F15" s="60" t="s">
        <v>54</v>
      </c>
      <c r="G15" s="60" t="s">
        <v>50</v>
      </c>
      <c r="H15" s="60" t="s">
        <v>55</v>
      </c>
      <c r="I15" s="60" t="s">
        <v>56</v>
      </c>
      <c r="J15" s="19">
        <v>0.25</v>
      </c>
      <c r="K15" s="9">
        <v>2.2999999999999998</v>
      </c>
      <c r="L15" s="60">
        <v>11</v>
      </c>
      <c r="M15" s="60">
        <v>65</v>
      </c>
      <c r="N15" s="60" t="s">
        <v>9</v>
      </c>
      <c r="O15" s="20">
        <v>0.98</v>
      </c>
      <c r="P15" s="60" t="s">
        <v>240</v>
      </c>
      <c r="Q15" s="573">
        <v>91</v>
      </c>
      <c r="R15" s="573"/>
      <c r="S15" s="60">
        <v>0</v>
      </c>
      <c r="T15" s="18">
        <f t="shared" si="1"/>
        <v>91</v>
      </c>
      <c r="U15" s="353" t="s">
        <v>240</v>
      </c>
    </row>
    <row r="16" spans="1:22">
      <c r="A16" s="5" t="s">
        <v>28</v>
      </c>
      <c r="B16" s="60">
        <v>15</v>
      </c>
      <c r="C16" s="498"/>
      <c r="D16" s="570"/>
      <c r="E16" s="60">
        <f t="shared" si="2"/>
        <v>1500</v>
      </c>
      <c r="F16" s="60" t="s">
        <v>54</v>
      </c>
      <c r="G16" s="60" t="s">
        <v>50</v>
      </c>
      <c r="H16" s="60" t="s">
        <v>55</v>
      </c>
      <c r="I16" s="60" t="s">
        <v>56</v>
      </c>
      <c r="J16" s="19">
        <v>0.25</v>
      </c>
      <c r="K16" s="9">
        <v>0.14657980456026001</v>
      </c>
      <c r="L16" s="60">
        <v>11</v>
      </c>
      <c r="M16" s="60">
        <v>63</v>
      </c>
      <c r="N16" s="60" t="s">
        <v>9</v>
      </c>
      <c r="O16" s="20">
        <v>0.21798365122615801</v>
      </c>
      <c r="P16" s="60" t="s">
        <v>240</v>
      </c>
      <c r="Q16" s="573">
        <v>2.99</v>
      </c>
      <c r="R16" s="573"/>
      <c r="S16" s="60">
        <v>0</v>
      </c>
      <c r="T16" s="18">
        <f t="shared" si="1"/>
        <v>2.99</v>
      </c>
      <c r="U16" s="353" t="s">
        <v>240</v>
      </c>
    </row>
    <row r="17" spans="1:21">
      <c r="A17" s="5" t="s">
        <v>28</v>
      </c>
      <c r="B17" s="60">
        <v>16</v>
      </c>
      <c r="C17" s="498"/>
      <c r="D17" s="570"/>
      <c r="E17" s="60">
        <f t="shared" si="2"/>
        <v>1500</v>
      </c>
      <c r="F17" s="60" t="s">
        <v>54</v>
      </c>
      <c r="G17" s="60" t="s">
        <v>50</v>
      </c>
      <c r="H17" s="60" t="s">
        <v>55</v>
      </c>
      <c r="I17" s="60" t="s">
        <v>56</v>
      </c>
      <c r="J17" s="19">
        <v>0.25</v>
      </c>
      <c r="K17" s="9">
        <v>0.39413680781758997</v>
      </c>
      <c r="L17" s="60">
        <v>11</v>
      </c>
      <c r="M17" s="60">
        <v>63</v>
      </c>
      <c r="N17" s="60" t="s">
        <v>9</v>
      </c>
      <c r="O17" s="20">
        <v>0.36348773841961901</v>
      </c>
      <c r="P17" s="60" t="s">
        <v>240</v>
      </c>
      <c r="Q17" s="573">
        <v>5.0599999999999996</v>
      </c>
      <c r="R17" s="573"/>
      <c r="S17" s="60">
        <v>0</v>
      </c>
      <c r="T17" s="18">
        <f t="shared" si="1"/>
        <v>5.0599999999999996</v>
      </c>
      <c r="U17" s="353" t="s">
        <v>240</v>
      </c>
    </row>
    <row r="18" spans="1:21">
      <c r="A18" s="5" t="s">
        <v>28</v>
      </c>
      <c r="B18" s="60">
        <v>17</v>
      </c>
      <c r="C18" s="498"/>
      <c r="D18" s="570"/>
      <c r="E18" s="60">
        <f t="shared" si="2"/>
        <v>1500</v>
      </c>
      <c r="F18" s="60" t="s">
        <v>54</v>
      </c>
      <c r="G18" s="60" t="s">
        <v>50</v>
      </c>
      <c r="H18" s="60" t="s">
        <v>55</v>
      </c>
      <c r="I18" s="60" t="s">
        <v>56</v>
      </c>
      <c r="J18" s="19">
        <v>0.25</v>
      </c>
      <c r="K18" s="9">
        <v>0.73289902280130304</v>
      </c>
      <c r="L18" s="60">
        <v>11</v>
      </c>
      <c r="M18" s="60">
        <v>63</v>
      </c>
      <c r="N18" s="60" t="s">
        <v>9</v>
      </c>
      <c r="O18" s="20">
        <v>0.47792915531335201</v>
      </c>
      <c r="P18" s="60" t="s">
        <v>240</v>
      </c>
      <c r="Q18" s="573">
        <v>9.5399999999999991</v>
      </c>
      <c r="R18" s="573"/>
      <c r="S18" s="60">
        <v>0</v>
      </c>
      <c r="T18" s="18">
        <f t="shared" si="1"/>
        <v>9.5399999999999991</v>
      </c>
      <c r="U18" s="353" t="s">
        <v>240</v>
      </c>
    </row>
    <row r="19" spans="1:21">
      <c r="A19" s="5" t="s">
        <v>28</v>
      </c>
      <c r="B19" s="60">
        <v>18</v>
      </c>
      <c r="C19" s="498"/>
      <c r="D19" s="570"/>
      <c r="E19" s="60">
        <f t="shared" si="2"/>
        <v>1500</v>
      </c>
      <c r="F19" s="60" t="s">
        <v>54</v>
      </c>
      <c r="G19" s="60" t="s">
        <v>50</v>
      </c>
      <c r="H19" s="60" t="s">
        <v>55</v>
      </c>
      <c r="I19" s="60" t="s">
        <v>56</v>
      </c>
      <c r="J19" s="19">
        <v>0.25</v>
      </c>
      <c r="K19" s="9">
        <v>1.49511400651466</v>
      </c>
      <c r="L19" s="60">
        <v>11</v>
      </c>
      <c r="M19" s="60">
        <v>63</v>
      </c>
      <c r="N19" s="60" t="s">
        <v>9</v>
      </c>
      <c r="O19" s="20">
        <v>0.66</v>
      </c>
      <c r="P19" s="60" t="s">
        <v>240</v>
      </c>
      <c r="Q19" s="573">
        <v>14.63</v>
      </c>
      <c r="R19" s="573"/>
      <c r="S19" s="60">
        <v>0</v>
      </c>
      <c r="T19" s="18">
        <f t="shared" si="1"/>
        <v>14.63</v>
      </c>
      <c r="U19" s="353" t="s">
        <v>240</v>
      </c>
    </row>
    <row r="20" spans="1:21">
      <c r="A20" s="5" t="s">
        <v>28</v>
      </c>
      <c r="B20" s="60">
        <v>19</v>
      </c>
      <c r="C20" s="498"/>
      <c r="D20" s="570"/>
      <c r="E20" s="60">
        <f t="shared" si="2"/>
        <v>1500</v>
      </c>
      <c r="F20" s="60" t="s">
        <v>54</v>
      </c>
      <c r="G20" s="60" t="s">
        <v>50</v>
      </c>
      <c r="H20" s="60" t="s">
        <v>55</v>
      </c>
      <c r="I20" s="60" t="s">
        <v>56</v>
      </c>
      <c r="J20" s="19">
        <v>0.25</v>
      </c>
      <c r="K20" s="9">
        <v>2.2377850162866499</v>
      </c>
      <c r="L20" s="60">
        <v>11</v>
      </c>
      <c r="M20" s="60">
        <v>63</v>
      </c>
      <c r="N20" s="60" t="s">
        <v>9</v>
      </c>
      <c r="O20" s="20">
        <v>0.76403269754768399</v>
      </c>
      <c r="P20" s="60" t="s">
        <v>240</v>
      </c>
      <c r="Q20" s="573">
        <v>28.94</v>
      </c>
      <c r="R20" s="573"/>
      <c r="S20" s="60">
        <v>0</v>
      </c>
      <c r="T20" s="18">
        <f t="shared" si="1"/>
        <v>28.94</v>
      </c>
      <c r="U20" s="353" t="s">
        <v>240</v>
      </c>
    </row>
    <row r="21" spans="1:21">
      <c r="A21" s="5" t="s">
        <v>28</v>
      </c>
      <c r="B21" s="60">
        <v>20</v>
      </c>
      <c r="C21" s="498"/>
      <c r="D21" s="570"/>
      <c r="E21" s="60">
        <f t="shared" si="2"/>
        <v>1500</v>
      </c>
      <c r="F21" s="60" t="s">
        <v>58</v>
      </c>
      <c r="G21" s="60" t="s">
        <v>50</v>
      </c>
      <c r="H21" s="60" t="s">
        <v>55</v>
      </c>
      <c r="I21" s="60" t="s">
        <v>59</v>
      </c>
      <c r="J21" s="19">
        <v>0.25</v>
      </c>
      <c r="K21" s="9">
        <v>3</v>
      </c>
      <c r="L21" s="60">
        <v>11</v>
      </c>
      <c r="M21" s="60">
        <v>63</v>
      </c>
      <c r="N21" s="60" t="s">
        <v>9</v>
      </c>
      <c r="O21" s="20">
        <v>0.84577656675749302</v>
      </c>
      <c r="P21" s="60" t="s">
        <v>240</v>
      </c>
      <c r="Q21" s="573">
        <v>33.06</v>
      </c>
      <c r="R21" s="573"/>
      <c r="S21" s="60">
        <v>0</v>
      </c>
      <c r="T21" s="18">
        <f t="shared" si="1"/>
        <v>33.06</v>
      </c>
      <c r="U21" s="353" t="s">
        <v>240</v>
      </c>
    </row>
    <row r="22" spans="1:21">
      <c r="A22" s="5" t="s">
        <v>28</v>
      </c>
      <c r="B22" s="60">
        <v>21</v>
      </c>
      <c r="C22" s="498"/>
      <c r="D22" s="570"/>
      <c r="E22" s="60">
        <f t="shared" si="2"/>
        <v>1500</v>
      </c>
      <c r="F22" s="60" t="s">
        <v>58</v>
      </c>
      <c r="G22" s="60" t="s">
        <v>50</v>
      </c>
      <c r="H22" s="60" t="s">
        <v>55</v>
      </c>
      <c r="I22" s="60" t="s">
        <v>59</v>
      </c>
      <c r="J22" s="19">
        <v>0.25</v>
      </c>
      <c r="K22" s="9">
        <v>3.74267100977199</v>
      </c>
      <c r="L22" s="60">
        <v>11</v>
      </c>
      <c r="M22" s="60">
        <v>63</v>
      </c>
      <c r="N22" s="60" t="s">
        <v>9</v>
      </c>
      <c r="O22" s="20">
        <v>0.89809264305177094</v>
      </c>
      <c r="P22" s="60" t="s">
        <v>240</v>
      </c>
      <c r="Q22" s="573">
        <v>39.35</v>
      </c>
      <c r="R22" s="573"/>
      <c r="S22" s="60">
        <v>0</v>
      </c>
      <c r="T22" s="18">
        <f t="shared" si="1"/>
        <v>39.35</v>
      </c>
      <c r="U22" s="353" t="s">
        <v>240</v>
      </c>
    </row>
    <row r="23" spans="1:21">
      <c r="A23" s="5" t="s">
        <v>28</v>
      </c>
      <c r="B23" s="60">
        <v>22</v>
      </c>
      <c r="C23" s="498"/>
      <c r="D23" s="570"/>
      <c r="E23" s="60">
        <f t="shared" si="2"/>
        <v>1500</v>
      </c>
      <c r="F23" s="60" t="s">
        <v>58</v>
      </c>
      <c r="G23" s="60" t="s">
        <v>50</v>
      </c>
      <c r="H23" s="60" t="s">
        <v>55</v>
      </c>
      <c r="I23" s="60" t="s">
        <v>59</v>
      </c>
      <c r="J23" s="19">
        <v>0.25</v>
      </c>
      <c r="K23" s="9">
        <v>4.5114006514657996</v>
      </c>
      <c r="L23" s="60">
        <v>11</v>
      </c>
      <c r="M23" s="60">
        <v>63</v>
      </c>
      <c r="N23" s="60" t="s">
        <v>9</v>
      </c>
      <c r="O23" s="20">
        <v>0.92425068119890996</v>
      </c>
      <c r="P23" s="60" t="s">
        <v>240</v>
      </c>
      <c r="Q23" s="573">
        <v>46.13</v>
      </c>
      <c r="R23" s="573"/>
      <c r="S23" s="60">
        <v>0</v>
      </c>
      <c r="T23" s="18">
        <f t="shared" si="1"/>
        <v>46.13</v>
      </c>
      <c r="U23" s="353" t="s">
        <v>240</v>
      </c>
    </row>
    <row r="24" spans="1:21">
      <c r="A24" s="5" t="s">
        <v>28</v>
      </c>
      <c r="B24" s="60">
        <v>23</v>
      </c>
      <c r="C24" s="498"/>
      <c r="D24" s="570"/>
      <c r="E24" s="60">
        <f t="shared" si="2"/>
        <v>1500</v>
      </c>
      <c r="F24" s="60" t="s">
        <v>58</v>
      </c>
      <c r="G24" s="60" t="s">
        <v>50</v>
      </c>
      <c r="H24" s="60" t="s">
        <v>55</v>
      </c>
      <c r="I24" s="60" t="s">
        <v>59</v>
      </c>
      <c r="J24" s="19">
        <v>0.25</v>
      </c>
      <c r="K24" s="9">
        <v>5.24755700325733</v>
      </c>
      <c r="L24" s="60">
        <v>11</v>
      </c>
      <c r="M24" s="60">
        <v>63</v>
      </c>
      <c r="N24" s="60" t="s">
        <v>9</v>
      </c>
      <c r="O24" s="20">
        <v>0.93732970027247997</v>
      </c>
      <c r="P24" s="60" t="s">
        <v>240</v>
      </c>
      <c r="Q24" s="573">
        <v>54.46</v>
      </c>
      <c r="R24" s="573"/>
      <c r="S24" s="60">
        <v>0</v>
      </c>
      <c r="T24" s="18">
        <f t="shared" si="1"/>
        <v>54.46</v>
      </c>
      <c r="U24" s="353" t="s">
        <v>240</v>
      </c>
    </row>
    <row r="25" spans="1:21">
      <c r="A25" s="5" t="s">
        <v>28</v>
      </c>
      <c r="B25" s="60">
        <v>24</v>
      </c>
      <c r="C25" s="498"/>
      <c r="D25" s="570"/>
      <c r="E25" s="60">
        <f t="shared" si="2"/>
        <v>1500</v>
      </c>
      <c r="F25" s="60" t="s">
        <v>58</v>
      </c>
      <c r="G25" s="60" t="s">
        <v>50</v>
      </c>
      <c r="H25" s="60" t="s">
        <v>55</v>
      </c>
      <c r="I25" s="60" t="s">
        <v>59</v>
      </c>
      <c r="J25" s="19">
        <v>0.25</v>
      </c>
      <c r="K25" s="9">
        <v>6.0032573289902302</v>
      </c>
      <c r="L25" s="60">
        <v>11</v>
      </c>
      <c r="M25" s="60">
        <v>63</v>
      </c>
      <c r="N25" s="60" t="s">
        <v>9</v>
      </c>
      <c r="O25" s="20">
        <v>0.95040871934604898</v>
      </c>
      <c r="P25" s="60" t="s">
        <v>240</v>
      </c>
      <c r="Q25" s="573">
        <v>60.73</v>
      </c>
      <c r="R25" s="573"/>
      <c r="S25" s="60">
        <v>0</v>
      </c>
      <c r="T25" s="18">
        <f t="shared" si="1"/>
        <v>60.73</v>
      </c>
      <c r="U25" s="353" t="s">
        <v>240</v>
      </c>
    </row>
    <row r="26" spans="1:21">
      <c r="A26" s="5" t="s">
        <v>28</v>
      </c>
      <c r="B26" s="60">
        <v>25</v>
      </c>
      <c r="C26" s="498"/>
      <c r="D26" s="570"/>
      <c r="E26" s="60">
        <f>1.5*1000</f>
        <v>1500</v>
      </c>
      <c r="F26" s="60" t="s">
        <v>58</v>
      </c>
      <c r="G26" s="60" t="s">
        <v>50</v>
      </c>
      <c r="H26" s="60" t="s">
        <v>55</v>
      </c>
      <c r="I26" s="60" t="s">
        <v>59</v>
      </c>
      <c r="J26" s="19">
        <v>0.25</v>
      </c>
      <c r="K26" s="9">
        <v>0.72638436482084701</v>
      </c>
      <c r="L26" s="60">
        <v>11</v>
      </c>
      <c r="M26" s="60">
        <v>61</v>
      </c>
      <c r="N26" s="60" t="s">
        <v>9</v>
      </c>
      <c r="O26" s="20">
        <v>0.162397820163488</v>
      </c>
      <c r="P26" s="60" t="s">
        <v>240</v>
      </c>
      <c r="Q26" s="60">
        <v>0</v>
      </c>
      <c r="R26" s="58">
        <v>0.77</v>
      </c>
      <c r="S26" s="60">
        <v>0</v>
      </c>
      <c r="T26" s="18">
        <f t="shared" ref="T26:T33" si="3">R26</f>
        <v>0.77</v>
      </c>
      <c r="U26" s="353" t="s">
        <v>240</v>
      </c>
    </row>
    <row r="27" spans="1:21">
      <c r="A27" s="5" t="s">
        <v>28</v>
      </c>
      <c r="B27" s="60">
        <v>26</v>
      </c>
      <c r="C27" s="498"/>
      <c r="D27" s="570"/>
      <c r="E27" s="60">
        <f t="shared" si="2"/>
        <v>1500</v>
      </c>
      <c r="F27" s="60" t="s">
        <v>58</v>
      </c>
      <c r="G27" s="60" t="s">
        <v>50</v>
      </c>
      <c r="H27" s="60" t="s">
        <v>55</v>
      </c>
      <c r="I27" s="60" t="s">
        <v>59</v>
      </c>
      <c r="J27" s="19">
        <v>0.25</v>
      </c>
      <c r="K27" s="9">
        <v>1.49511400651466</v>
      </c>
      <c r="L27" s="60">
        <v>11</v>
      </c>
      <c r="M27" s="60">
        <v>61</v>
      </c>
      <c r="N27" s="60" t="s">
        <v>9</v>
      </c>
      <c r="O27" s="20">
        <v>0.229427792915531</v>
      </c>
      <c r="P27" s="60" t="s">
        <v>240</v>
      </c>
      <c r="Q27" s="60">
        <v>0</v>
      </c>
      <c r="R27" s="58">
        <v>0.93</v>
      </c>
      <c r="S27" s="60">
        <v>0</v>
      </c>
      <c r="T27" s="18">
        <f t="shared" si="3"/>
        <v>0.93</v>
      </c>
      <c r="U27" s="353" t="s">
        <v>240</v>
      </c>
    </row>
    <row r="28" spans="1:21">
      <c r="A28" s="5" t="s">
        <v>28</v>
      </c>
      <c r="B28" s="60">
        <v>27</v>
      </c>
      <c r="C28" s="498"/>
      <c r="D28" s="570"/>
      <c r="E28" s="60">
        <f t="shared" si="2"/>
        <v>1500</v>
      </c>
      <c r="F28" s="60" t="s">
        <v>58</v>
      </c>
      <c r="G28" s="60" t="s">
        <v>50</v>
      </c>
      <c r="H28" s="60" t="s">
        <v>55</v>
      </c>
      <c r="I28" s="60" t="s">
        <v>59</v>
      </c>
      <c r="J28" s="19">
        <v>0.25</v>
      </c>
      <c r="K28" s="9">
        <v>2.2377850162866499</v>
      </c>
      <c r="L28" s="60">
        <v>11</v>
      </c>
      <c r="M28" s="60">
        <v>61</v>
      </c>
      <c r="N28" s="60" t="s">
        <v>9</v>
      </c>
      <c r="O28" s="20">
        <v>0.30626702997275201</v>
      </c>
      <c r="P28" s="60" t="s">
        <v>240</v>
      </c>
      <c r="Q28" s="60">
        <v>0</v>
      </c>
      <c r="R28" s="58">
        <v>1.89</v>
      </c>
      <c r="S28" s="60">
        <v>0</v>
      </c>
      <c r="T28" s="18">
        <f t="shared" si="3"/>
        <v>1.89</v>
      </c>
      <c r="U28" s="353" t="s">
        <v>240</v>
      </c>
    </row>
    <row r="29" spans="1:21">
      <c r="A29" s="5" t="s">
        <v>28</v>
      </c>
      <c r="B29" s="60">
        <v>28</v>
      </c>
      <c r="C29" s="498"/>
      <c r="D29" s="570"/>
      <c r="E29" s="60">
        <f t="shared" si="2"/>
        <v>1500</v>
      </c>
      <c r="F29" s="60" t="s">
        <v>58</v>
      </c>
      <c r="G29" s="60" t="s">
        <v>50</v>
      </c>
      <c r="H29" s="60" t="s">
        <v>55</v>
      </c>
      <c r="I29" s="60" t="s">
        <v>59</v>
      </c>
      <c r="J29" s="19">
        <v>0.25</v>
      </c>
      <c r="K29" s="9">
        <v>2.99348534201954</v>
      </c>
      <c r="L29" s="60">
        <v>11</v>
      </c>
      <c r="M29" s="60">
        <v>61</v>
      </c>
      <c r="N29" s="60" t="s">
        <v>9</v>
      </c>
      <c r="O29" s="20">
        <v>0.38964577656675797</v>
      </c>
      <c r="P29" s="60" t="s">
        <v>240</v>
      </c>
      <c r="Q29" s="60">
        <v>0</v>
      </c>
      <c r="R29" s="58">
        <v>1.31</v>
      </c>
      <c r="S29" s="60">
        <v>0</v>
      </c>
      <c r="T29" s="18">
        <f t="shared" si="3"/>
        <v>1.31</v>
      </c>
      <c r="U29" s="353" t="s">
        <v>240</v>
      </c>
    </row>
    <row r="30" spans="1:21">
      <c r="A30" s="5" t="s">
        <v>28</v>
      </c>
      <c r="B30" s="60">
        <v>29</v>
      </c>
      <c r="C30" s="498"/>
      <c r="D30" s="570"/>
      <c r="E30" s="60">
        <f t="shared" si="2"/>
        <v>1500</v>
      </c>
      <c r="F30" s="60" t="s">
        <v>58</v>
      </c>
      <c r="G30" s="60" t="s">
        <v>50</v>
      </c>
      <c r="H30" s="60" t="s">
        <v>55</v>
      </c>
      <c r="I30" s="60" t="s">
        <v>59</v>
      </c>
      <c r="J30" s="19">
        <v>0.25</v>
      </c>
      <c r="K30" s="9">
        <v>3.7491856677524402</v>
      </c>
      <c r="L30" s="60">
        <v>11</v>
      </c>
      <c r="M30" s="60">
        <v>61</v>
      </c>
      <c r="N30" s="60" t="s">
        <v>9</v>
      </c>
      <c r="O30" s="20">
        <v>0.45994550408719398</v>
      </c>
      <c r="P30" s="60" t="s">
        <v>240</v>
      </c>
      <c r="Q30" s="60">
        <v>0</v>
      </c>
      <c r="R30" s="58">
        <v>0.95</v>
      </c>
      <c r="S30" s="60">
        <v>0</v>
      </c>
      <c r="T30" s="18">
        <f t="shared" si="3"/>
        <v>0.95</v>
      </c>
      <c r="U30" s="353" t="s">
        <v>240</v>
      </c>
    </row>
    <row r="31" spans="1:21">
      <c r="A31" s="5" t="s">
        <v>28</v>
      </c>
      <c r="B31" s="60">
        <v>30</v>
      </c>
      <c r="C31" s="498"/>
      <c r="D31" s="570"/>
      <c r="E31" s="60">
        <f t="shared" si="2"/>
        <v>1500</v>
      </c>
      <c r="F31" s="60" t="s">
        <v>58</v>
      </c>
      <c r="G31" s="60" t="s">
        <v>50</v>
      </c>
      <c r="H31" s="60" t="s">
        <v>55</v>
      </c>
      <c r="I31" s="60" t="s">
        <v>59</v>
      </c>
      <c r="J31" s="19">
        <v>0.25</v>
      </c>
      <c r="K31" s="9">
        <v>4.4983713355048902</v>
      </c>
      <c r="L31" s="60">
        <v>11</v>
      </c>
      <c r="M31" s="60">
        <v>61</v>
      </c>
      <c r="N31" s="60" t="s">
        <v>9</v>
      </c>
      <c r="O31" s="20">
        <v>0.52861035422343305</v>
      </c>
      <c r="P31" s="60" t="s">
        <v>240</v>
      </c>
      <c r="Q31" s="60">
        <v>0</v>
      </c>
      <c r="R31" s="58">
        <v>0.88</v>
      </c>
      <c r="S31" s="60">
        <v>0</v>
      </c>
      <c r="T31" s="18">
        <f t="shared" si="3"/>
        <v>0.88</v>
      </c>
      <c r="U31" s="353" t="s">
        <v>240</v>
      </c>
    </row>
    <row r="32" spans="1:21">
      <c r="A32" s="5" t="s">
        <v>28</v>
      </c>
      <c r="B32" s="60">
        <v>31</v>
      </c>
      <c r="C32" s="498"/>
      <c r="D32" s="570"/>
      <c r="E32" s="60">
        <f t="shared" si="2"/>
        <v>1500</v>
      </c>
      <c r="F32" s="60" t="s">
        <v>58</v>
      </c>
      <c r="G32" s="60" t="s">
        <v>50</v>
      </c>
      <c r="H32" s="60" t="s">
        <v>55</v>
      </c>
      <c r="I32" s="60" t="s">
        <v>59</v>
      </c>
      <c r="J32" s="19">
        <v>0.25</v>
      </c>
      <c r="K32" s="9">
        <v>5.2540716612377896</v>
      </c>
      <c r="L32" s="60">
        <v>11</v>
      </c>
      <c r="M32" s="60">
        <v>61</v>
      </c>
      <c r="N32" s="60" t="s">
        <v>9</v>
      </c>
      <c r="O32" s="20">
        <v>0.577656675749319</v>
      </c>
      <c r="P32" s="60" t="s">
        <v>240</v>
      </c>
      <c r="Q32" s="60">
        <v>0</v>
      </c>
      <c r="R32" s="58">
        <v>1.93</v>
      </c>
      <c r="S32" s="60">
        <v>0</v>
      </c>
      <c r="T32" s="18">
        <f t="shared" si="3"/>
        <v>1.93</v>
      </c>
      <c r="U32" s="353" t="s">
        <v>240</v>
      </c>
    </row>
    <row r="33" spans="1:21">
      <c r="A33" s="12" t="s">
        <v>28</v>
      </c>
      <c r="B33" s="61">
        <v>32</v>
      </c>
      <c r="C33" s="499"/>
      <c r="D33" s="571"/>
      <c r="E33" s="61">
        <f t="shared" si="2"/>
        <v>1500</v>
      </c>
      <c r="F33" s="61" t="s">
        <v>58</v>
      </c>
      <c r="G33" s="61" t="s">
        <v>50</v>
      </c>
      <c r="H33" s="61" t="s">
        <v>55</v>
      </c>
      <c r="I33" s="61" t="s">
        <v>59</v>
      </c>
      <c r="J33" s="21">
        <v>0.25</v>
      </c>
      <c r="K33" s="13">
        <v>6.00977198697068</v>
      </c>
      <c r="L33" s="61">
        <v>11</v>
      </c>
      <c r="M33" s="61">
        <v>61</v>
      </c>
      <c r="N33" s="61" t="s">
        <v>9</v>
      </c>
      <c r="O33" s="81">
        <v>0.61689373297002703</v>
      </c>
      <c r="P33" s="61" t="s">
        <v>240</v>
      </c>
      <c r="Q33" s="61">
        <v>0</v>
      </c>
      <c r="R33" s="22">
        <v>1.98</v>
      </c>
      <c r="S33" s="61">
        <v>0</v>
      </c>
      <c r="T33" s="23">
        <f t="shared" si="3"/>
        <v>1.98</v>
      </c>
      <c r="U33" s="352" t="s">
        <v>240</v>
      </c>
    </row>
    <row r="34" spans="1:21" ht="17">
      <c r="A34" s="24" t="s">
        <v>28</v>
      </c>
      <c r="B34" s="60">
        <v>33</v>
      </c>
      <c r="C34" s="325">
        <v>3</v>
      </c>
      <c r="D34" s="25" t="s">
        <v>63</v>
      </c>
      <c r="E34" s="61"/>
      <c r="F34" s="61"/>
      <c r="G34" s="61" t="s">
        <v>60</v>
      </c>
      <c r="H34" s="61" t="s">
        <v>55</v>
      </c>
      <c r="I34" s="61" t="s">
        <v>61</v>
      </c>
      <c r="J34" s="61">
        <v>0.25</v>
      </c>
      <c r="K34" s="13">
        <v>1.5</v>
      </c>
      <c r="L34" s="61">
        <v>11</v>
      </c>
      <c r="M34" s="61">
        <v>65</v>
      </c>
      <c r="N34" s="61" t="s">
        <v>62</v>
      </c>
      <c r="O34" s="81">
        <v>0.86</v>
      </c>
      <c r="P34" s="61" t="s">
        <v>240</v>
      </c>
      <c r="Q34" s="62">
        <v>0.65</v>
      </c>
      <c r="R34" s="574">
        <f>44-0.65</f>
        <v>43.35</v>
      </c>
      <c r="S34" s="574"/>
      <c r="T34" s="62">
        <f>R34+Q34</f>
        <v>44</v>
      </c>
      <c r="U34" s="352" t="s">
        <v>240</v>
      </c>
    </row>
    <row r="35" spans="1:21" ht="17">
      <c r="A35" s="24" t="s">
        <v>28</v>
      </c>
      <c r="B35" s="26">
        <v>34</v>
      </c>
      <c r="C35" s="26">
        <v>4</v>
      </c>
      <c r="D35" s="25" t="s">
        <v>69</v>
      </c>
      <c r="E35" s="27"/>
      <c r="F35" s="28">
        <f>222* 30*4</f>
        <v>26640</v>
      </c>
      <c r="G35" s="26" t="s">
        <v>64</v>
      </c>
      <c r="H35" s="26" t="s">
        <v>55</v>
      </c>
      <c r="I35" s="26" t="s">
        <v>65</v>
      </c>
      <c r="J35" s="26"/>
      <c r="K35" s="82"/>
      <c r="L35" s="26" t="s">
        <v>66</v>
      </c>
      <c r="M35" s="26">
        <v>90</v>
      </c>
      <c r="N35" s="27">
        <f>383*1000000/222/1000</f>
        <v>1725.2252252252254</v>
      </c>
      <c r="O35" s="29">
        <v>0.6</v>
      </c>
      <c r="P35" s="83">
        <f>0.57+0.075</f>
        <v>0.64499999999999991</v>
      </c>
      <c r="Q35" s="26" t="s">
        <v>67</v>
      </c>
      <c r="R35" s="26" t="s">
        <v>68</v>
      </c>
      <c r="S35" s="26"/>
      <c r="T35" s="62"/>
      <c r="U35" s="462">
        <f xml:space="preserve"> 59+3.8</f>
        <v>62.8</v>
      </c>
    </row>
    <row r="36" spans="1:21">
      <c r="A36" s="24" t="s">
        <v>28</v>
      </c>
      <c r="B36" s="60">
        <v>35</v>
      </c>
      <c r="C36" s="325">
        <v>5</v>
      </c>
      <c r="D36" s="32" t="s">
        <v>70</v>
      </c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30">
        <f>(3000-100)/3000</f>
        <v>0.96666666666666667</v>
      </c>
      <c r="P36" s="30">
        <f>(689*(28.02/132.14)/(3*50.4))</f>
        <v>0.96627614771250314</v>
      </c>
      <c r="Q36" s="26"/>
      <c r="R36" s="31">
        <f>(10721-1667)/50.4</f>
        <v>179.64285714285714</v>
      </c>
      <c r="S36" s="26">
        <v>0</v>
      </c>
      <c r="T36" s="62">
        <f>635.04/0.07/(2.9*50.4)</f>
        <v>62.068965517241367</v>
      </c>
      <c r="U36" s="462">
        <f>635.04/0.07/(689*(28.02/132.14))</f>
        <v>62.094050590030541</v>
      </c>
    </row>
    <row r="37" spans="1:21">
      <c r="A37" s="12" t="s">
        <v>28</v>
      </c>
      <c r="B37" s="26">
        <v>36</v>
      </c>
      <c r="C37" s="26">
        <v>6</v>
      </c>
      <c r="D37" s="34" t="s">
        <v>73</v>
      </c>
      <c r="E37" s="61">
        <v>2200</v>
      </c>
      <c r="F37" s="61"/>
      <c r="G37" s="61"/>
      <c r="H37" s="61"/>
      <c r="I37" s="61"/>
      <c r="J37" s="61"/>
      <c r="K37" s="61"/>
      <c r="L37" s="61"/>
      <c r="M37" s="61"/>
      <c r="N37" s="61" t="s">
        <v>71</v>
      </c>
      <c r="O37" s="33">
        <v>0.59</v>
      </c>
      <c r="P37" s="33">
        <v>0.15</v>
      </c>
      <c r="Q37" s="61" t="s">
        <v>72</v>
      </c>
      <c r="R37" s="61"/>
      <c r="S37" s="61">
        <v>0</v>
      </c>
      <c r="T37" s="23">
        <f>5.4/(1.2/0.41*0.59)</f>
        <v>3.1271186440677967</v>
      </c>
      <c r="U37" s="421">
        <f>5.4/(2.2*0.15)</f>
        <v>16.363636363636363</v>
      </c>
    </row>
    <row r="38" spans="1:21" ht="17">
      <c r="A38" s="24" t="s">
        <v>28</v>
      </c>
      <c r="B38" s="60">
        <v>37</v>
      </c>
      <c r="C38" s="326">
        <v>7</v>
      </c>
      <c r="D38" s="25" t="s">
        <v>78</v>
      </c>
      <c r="E38" s="26">
        <f>5193</f>
        <v>5193</v>
      </c>
      <c r="F38" s="26" t="s">
        <v>74</v>
      </c>
      <c r="G38" s="26" t="s">
        <v>50</v>
      </c>
      <c r="H38" s="26" t="s">
        <v>55</v>
      </c>
      <c r="I38" s="26" t="s">
        <v>75</v>
      </c>
      <c r="J38" s="26">
        <v>0.21299999999999999</v>
      </c>
      <c r="K38" s="82">
        <v>6.0468214693566837</v>
      </c>
      <c r="L38" s="84">
        <v>7.8691588785046704</v>
      </c>
      <c r="M38" s="26">
        <v>60</v>
      </c>
      <c r="N38" s="85">
        <v>696.43612968763398</v>
      </c>
      <c r="O38" s="30"/>
      <c r="P38" s="83">
        <f>4/5.1</f>
        <v>0.78431372549019618</v>
      </c>
      <c r="Q38" s="26" t="s">
        <v>76</v>
      </c>
      <c r="R38" s="26" t="s">
        <v>77</v>
      </c>
      <c r="S38" s="26">
        <v>0</v>
      </c>
      <c r="T38" s="26"/>
      <c r="U38" s="462">
        <f>(2.43 + 28.57)/4</f>
        <v>7.75</v>
      </c>
    </row>
    <row r="39" spans="1:21">
      <c r="A39" s="12" t="s">
        <v>28</v>
      </c>
      <c r="B39" s="26">
        <v>38</v>
      </c>
      <c r="C39" s="326">
        <v>8</v>
      </c>
      <c r="D39" s="34" t="s">
        <v>29</v>
      </c>
      <c r="E39" s="61">
        <v>10300</v>
      </c>
      <c r="F39" s="61"/>
      <c r="G39" s="61"/>
      <c r="H39" s="61"/>
      <c r="I39" s="61"/>
      <c r="J39" s="61"/>
      <c r="K39" s="61"/>
      <c r="L39" s="61"/>
      <c r="M39" s="61"/>
      <c r="N39" s="61"/>
      <c r="O39" s="33"/>
      <c r="P39" s="33">
        <f>(46.3*(28.02/132.14))/10.6</f>
        <v>0.92620890936142619</v>
      </c>
      <c r="Q39" s="61" t="s">
        <v>79</v>
      </c>
      <c r="R39" s="61" t="s">
        <v>80</v>
      </c>
      <c r="S39" s="61">
        <v>0</v>
      </c>
      <c r="T39" s="61"/>
      <c r="U39" s="421">
        <f>(3.7+239)/(46.3*28.02/132.14)</f>
        <v>24.720369436826211</v>
      </c>
    </row>
    <row r="40" spans="1:21">
      <c r="A40" s="12" t="s">
        <v>28</v>
      </c>
      <c r="B40" s="26">
        <v>39</v>
      </c>
      <c r="C40" s="26">
        <v>9</v>
      </c>
      <c r="D40" s="32" t="s">
        <v>238</v>
      </c>
      <c r="E40" s="26"/>
      <c r="F40" s="26"/>
      <c r="G40" s="26"/>
      <c r="H40" s="26"/>
      <c r="I40" s="26"/>
      <c r="J40" s="26"/>
      <c r="K40" s="26"/>
      <c r="L40" s="26"/>
      <c r="M40" s="26">
        <v>65</v>
      </c>
      <c r="N40" s="26"/>
      <c r="O40" s="67">
        <v>0.91</v>
      </c>
      <c r="P40" s="68" t="s">
        <v>240</v>
      </c>
      <c r="Q40" s="69"/>
      <c r="R40" s="26"/>
      <c r="S40" s="26"/>
      <c r="T40" s="62">
        <v>4.46</v>
      </c>
      <c r="U40" s="462"/>
    </row>
    <row r="41" spans="1:21">
      <c r="A41" s="5" t="s">
        <v>28</v>
      </c>
      <c r="B41" s="59">
        <v>40</v>
      </c>
      <c r="C41" s="497">
        <v>10</v>
      </c>
      <c r="D41" s="569" t="s">
        <v>304</v>
      </c>
      <c r="E41" s="59">
        <v>2726</v>
      </c>
      <c r="F41" s="59" t="s">
        <v>240</v>
      </c>
      <c r="G41" s="59" t="s">
        <v>305</v>
      </c>
      <c r="H41" s="59" t="s">
        <v>51</v>
      </c>
      <c r="I41" s="59"/>
      <c r="J41" s="59"/>
      <c r="K41" s="70"/>
      <c r="L41" s="59">
        <v>7.31</v>
      </c>
      <c r="M41" s="59">
        <v>35</v>
      </c>
      <c r="N41" s="59"/>
      <c r="O41" s="67"/>
      <c r="P41" s="71">
        <f>2.33/(2203*2.726)</f>
        <v>3.8798556893504456E-4</v>
      </c>
      <c r="Q41" s="60" t="s">
        <v>240</v>
      </c>
      <c r="R41" s="60" t="s">
        <v>240</v>
      </c>
      <c r="S41" s="60" t="s">
        <v>240</v>
      </c>
      <c r="T41" s="60" t="s">
        <v>240</v>
      </c>
      <c r="U41" s="463">
        <f>15462/(12/5.16)</f>
        <v>6648.66</v>
      </c>
    </row>
    <row r="42" spans="1:21">
      <c r="A42" s="60" t="s">
        <v>28</v>
      </c>
      <c r="B42" s="60">
        <v>41</v>
      </c>
      <c r="C42" s="498"/>
      <c r="D42" s="514"/>
      <c r="E42" s="60">
        <v>1342</v>
      </c>
      <c r="F42" s="60" t="s">
        <v>240</v>
      </c>
      <c r="G42" s="60" t="s">
        <v>306</v>
      </c>
      <c r="H42" s="60" t="s">
        <v>51</v>
      </c>
      <c r="I42" s="60"/>
      <c r="J42" s="60"/>
      <c r="K42" s="65"/>
      <c r="L42" s="60">
        <v>9.1999999999999993</v>
      </c>
      <c r="M42" s="60">
        <v>35</v>
      </c>
      <c r="N42" s="60"/>
      <c r="O42" s="29"/>
      <c r="P42" s="72">
        <f>423.64/(1710*1.342)</f>
        <v>0.18460707157859874</v>
      </c>
      <c r="Q42" s="60" t="s">
        <v>240</v>
      </c>
      <c r="R42" s="60" t="s">
        <v>240</v>
      </c>
      <c r="S42" s="60" t="s">
        <v>240</v>
      </c>
      <c r="T42" s="60" t="s">
        <v>240</v>
      </c>
      <c r="U42" s="464">
        <f>15446/(2186/5.16)</f>
        <v>36.459908508691676</v>
      </c>
    </row>
    <row r="43" spans="1:21">
      <c r="A43" s="60" t="s">
        <v>28</v>
      </c>
      <c r="B43" s="60">
        <v>42</v>
      </c>
      <c r="C43" s="498"/>
      <c r="D43" s="514"/>
      <c r="E43" s="60">
        <v>1342</v>
      </c>
      <c r="F43" s="60" t="s">
        <v>240</v>
      </c>
      <c r="G43" s="60" t="s">
        <v>306</v>
      </c>
      <c r="H43" s="60" t="s">
        <v>51</v>
      </c>
      <c r="I43" s="60"/>
      <c r="J43" s="60"/>
      <c r="K43" s="65"/>
      <c r="L43" s="60">
        <v>6.8</v>
      </c>
      <c r="M43" s="60">
        <v>100</v>
      </c>
      <c r="N43" s="60"/>
      <c r="O43" s="29"/>
      <c r="P43" s="72">
        <f>240.698/(1710*1.342)</f>
        <v>0.10488752930513068</v>
      </c>
      <c r="Q43" s="60" t="s">
        <v>240</v>
      </c>
      <c r="R43" s="60" t="s">
        <v>240</v>
      </c>
      <c r="S43" s="60" t="s">
        <v>240</v>
      </c>
      <c r="T43" s="60" t="s">
        <v>240</v>
      </c>
      <c r="U43" s="464">
        <f>15558/(1242/5.16)</f>
        <v>64.637101449275363</v>
      </c>
    </row>
    <row r="44" spans="1:21">
      <c r="A44" s="60" t="s">
        <v>28</v>
      </c>
      <c r="B44" s="60">
        <v>43</v>
      </c>
      <c r="C44" s="498"/>
      <c r="D44" s="514"/>
      <c r="E44" s="60">
        <v>1915</v>
      </c>
      <c r="F44" s="60" t="s">
        <v>240</v>
      </c>
      <c r="G44" s="60" t="s">
        <v>307</v>
      </c>
      <c r="H44" s="60" t="s">
        <v>51</v>
      </c>
      <c r="I44" s="60"/>
      <c r="J44" s="60"/>
      <c r="K44" s="65"/>
      <c r="L44" s="60">
        <v>7.3</v>
      </c>
      <c r="M44" s="60">
        <v>35</v>
      </c>
      <c r="N44" s="60"/>
      <c r="O44" s="29"/>
      <c r="P44" s="72">
        <f>169.96/(3246*1.915)</f>
        <v>2.734194646473909E-2</v>
      </c>
      <c r="Q44" s="60" t="s">
        <v>240</v>
      </c>
      <c r="R44" s="60" t="s">
        <v>240</v>
      </c>
      <c r="S44" s="60" t="s">
        <v>240</v>
      </c>
      <c r="T44" s="60" t="s">
        <v>240</v>
      </c>
      <c r="U44" s="464">
        <f>15462/(877/5.16)</f>
        <v>90.973683010262249</v>
      </c>
    </row>
    <row r="45" spans="1:21">
      <c r="A45" s="12" t="s">
        <v>28</v>
      </c>
      <c r="B45" s="61">
        <v>44</v>
      </c>
      <c r="C45" s="499"/>
      <c r="D45" s="513"/>
      <c r="E45" s="61">
        <v>1005</v>
      </c>
      <c r="F45" s="61" t="s">
        <v>240</v>
      </c>
      <c r="G45" s="61" t="s">
        <v>307</v>
      </c>
      <c r="H45" s="61" t="s">
        <v>51</v>
      </c>
      <c r="I45" s="61"/>
      <c r="J45" s="61"/>
      <c r="K45" s="73"/>
      <c r="L45" s="61">
        <v>9.0299999999999994</v>
      </c>
      <c r="M45" s="61">
        <v>35</v>
      </c>
      <c r="N45" s="61"/>
      <c r="O45" s="33"/>
      <c r="P45" s="74">
        <f>428.1/(3246*1.005)</f>
        <v>0.13122925115641756</v>
      </c>
      <c r="Q45" s="61" t="s">
        <v>240</v>
      </c>
      <c r="R45" s="61" t="s">
        <v>240</v>
      </c>
      <c r="S45" s="61" t="s">
        <v>240</v>
      </c>
      <c r="T45" s="61" t="s">
        <v>240</v>
      </c>
      <c r="U45" s="465">
        <f>15462/(2209/5.16)</f>
        <v>36.117664101403349</v>
      </c>
    </row>
  </sheetData>
  <mergeCells count="32">
    <mergeCell ref="C2:C10"/>
    <mergeCell ref="C11:C33"/>
    <mergeCell ref="C41:C45"/>
    <mergeCell ref="D41:D45"/>
    <mergeCell ref="Q3:S3"/>
    <mergeCell ref="Q4:S4"/>
    <mergeCell ref="Q5:S5"/>
    <mergeCell ref="Q6:S6"/>
    <mergeCell ref="Q7:S7"/>
    <mergeCell ref="Q8:S8"/>
    <mergeCell ref="Q9:S9"/>
    <mergeCell ref="Q10:S10"/>
    <mergeCell ref="Q23:R23"/>
    <mergeCell ref="Q24:R24"/>
    <mergeCell ref="Q21:R21"/>
    <mergeCell ref="Q22:R22"/>
    <mergeCell ref="A1:B1"/>
    <mergeCell ref="D2:D10"/>
    <mergeCell ref="Q2:S2"/>
    <mergeCell ref="Q25:R25"/>
    <mergeCell ref="R34:S34"/>
    <mergeCell ref="D11:D33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DE93C-BAAC-404E-9A28-2E6FA7352E7F}">
  <dimension ref="A1:U38"/>
  <sheetViews>
    <sheetView topLeftCell="A2" zoomScale="61" workbookViewId="0">
      <selection activeCell="Z22" sqref="Z22"/>
    </sheetView>
  </sheetViews>
  <sheetFormatPr baseColWidth="10" defaultRowHeight="16"/>
  <cols>
    <col min="1" max="1" width="10.83203125" customWidth="1"/>
    <col min="2" max="2" width="29.33203125" customWidth="1"/>
    <col min="10" max="10" width="17.6640625" bestFit="1" customWidth="1"/>
    <col min="14" max="14" width="10.5" bestFit="1" customWidth="1"/>
    <col min="15" max="15" width="16" bestFit="1" customWidth="1"/>
    <col min="16" max="16" width="17" bestFit="1" customWidth="1"/>
    <col min="17" max="17" width="15.33203125" bestFit="1" customWidth="1"/>
    <col min="18" max="18" width="11.5" bestFit="1" customWidth="1"/>
    <col min="19" max="20" width="20.33203125" bestFit="1" customWidth="1"/>
    <col min="21" max="21" width="18.6640625" bestFit="1" customWidth="1"/>
  </cols>
  <sheetData>
    <row r="1" spans="1:21" ht="16" customHeight="1">
      <c r="A1" s="582" t="s">
        <v>1249</v>
      </c>
      <c r="B1" s="582" t="s">
        <v>8</v>
      </c>
      <c r="C1" s="553"/>
      <c r="D1" s="553"/>
      <c r="E1" s="553"/>
      <c r="F1" s="553" t="s">
        <v>1022</v>
      </c>
      <c r="G1" s="553"/>
      <c r="H1" s="553"/>
      <c r="I1" s="553"/>
      <c r="J1" s="553"/>
      <c r="K1" s="553"/>
      <c r="L1" s="553"/>
      <c r="M1" s="553"/>
      <c r="N1" s="553" t="s">
        <v>1023</v>
      </c>
      <c r="O1" s="553"/>
      <c r="P1" s="553"/>
      <c r="Q1" s="553" t="s">
        <v>1024</v>
      </c>
      <c r="R1" s="553"/>
      <c r="S1" s="553"/>
      <c r="T1" s="553"/>
      <c r="U1" s="398"/>
    </row>
    <row r="2" spans="1:21" ht="68">
      <c r="A2" s="583"/>
      <c r="B2" s="583"/>
      <c r="C2" s="231" t="s">
        <v>1025</v>
      </c>
      <c r="D2" s="231" t="s">
        <v>1026</v>
      </c>
      <c r="E2" s="231" t="s">
        <v>1027</v>
      </c>
      <c r="F2" s="231" t="s">
        <v>1028</v>
      </c>
      <c r="G2" s="231" t="s">
        <v>33</v>
      </c>
      <c r="H2" s="231" t="s">
        <v>34</v>
      </c>
      <c r="I2" s="231" t="s">
        <v>35</v>
      </c>
      <c r="J2" s="231" t="s">
        <v>1029</v>
      </c>
      <c r="K2" s="231" t="s">
        <v>1030</v>
      </c>
      <c r="L2" s="231" t="s">
        <v>1031</v>
      </c>
      <c r="M2" s="231" t="s">
        <v>1032</v>
      </c>
      <c r="N2" s="232" t="s">
        <v>42</v>
      </c>
      <c r="O2" s="232" t="s">
        <v>1033</v>
      </c>
      <c r="P2" s="232" t="s">
        <v>1034</v>
      </c>
      <c r="Q2" s="233" t="s">
        <v>1035</v>
      </c>
      <c r="R2" s="233" t="s">
        <v>1036</v>
      </c>
      <c r="S2" s="233" t="s">
        <v>1037</v>
      </c>
      <c r="T2" s="233" t="s">
        <v>1038</v>
      </c>
      <c r="U2" s="399" t="s">
        <v>1039</v>
      </c>
    </row>
    <row r="3" spans="1:21" ht="85">
      <c r="A3" s="400">
        <v>1</v>
      </c>
      <c r="B3" s="378" t="s">
        <v>1077</v>
      </c>
      <c r="C3" s="403"/>
      <c r="D3" s="403" t="s">
        <v>1041</v>
      </c>
      <c r="E3" s="403" t="s">
        <v>1040</v>
      </c>
      <c r="F3" s="404">
        <v>5464.4</v>
      </c>
      <c r="G3" s="403" t="s">
        <v>1042</v>
      </c>
      <c r="H3" s="403" t="s">
        <v>1043</v>
      </c>
      <c r="I3" s="405" t="s">
        <v>55</v>
      </c>
      <c r="J3" s="405" t="s">
        <v>9</v>
      </c>
      <c r="K3" s="401">
        <v>42</v>
      </c>
      <c r="L3" s="376">
        <v>12</v>
      </c>
      <c r="M3" s="376">
        <v>25</v>
      </c>
      <c r="N3" s="406">
        <v>0.88470000000000004</v>
      </c>
      <c r="O3" s="407">
        <v>0.16782</v>
      </c>
      <c r="P3" s="408">
        <v>8.8000000000000003E-4</v>
      </c>
      <c r="Q3" s="409">
        <v>39.880000000000003</v>
      </c>
      <c r="R3" s="409">
        <v>0</v>
      </c>
      <c r="S3" s="409">
        <v>0</v>
      </c>
      <c r="T3" s="409">
        <v>39.880000000000003</v>
      </c>
      <c r="U3" s="409">
        <v>39.880000000000003</v>
      </c>
    </row>
    <row r="4" spans="1:21" ht="34">
      <c r="A4" s="588">
        <v>2</v>
      </c>
      <c r="B4" s="590" t="s">
        <v>1078</v>
      </c>
      <c r="C4" s="139" t="s">
        <v>1045</v>
      </c>
      <c r="D4" s="373" t="s">
        <v>1046</v>
      </c>
      <c r="E4" s="415" t="s">
        <v>1044</v>
      </c>
      <c r="F4" s="416">
        <v>1000</v>
      </c>
      <c r="G4" s="373" t="s">
        <v>9</v>
      </c>
      <c r="H4" s="417" t="s">
        <v>1047</v>
      </c>
      <c r="I4" s="373" t="s">
        <v>55</v>
      </c>
      <c r="J4" s="373" t="s">
        <v>1048</v>
      </c>
      <c r="K4" s="373" t="s">
        <v>1049</v>
      </c>
      <c r="L4" s="373" t="s">
        <v>9</v>
      </c>
      <c r="M4" s="373">
        <v>40</v>
      </c>
      <c r="N4" s="80">
        <v>0.99</v>
      </c>
      <c r="O4" s="373" t="s">
        <v>9</v>
      </c>
      <c r="P4" s="373" t="s">
        <v>9</v>
      </c>
      <c r="Q4" s="593">
        <v>0.71</v>
      </c>
      <c r="R4" s="593"/>
      <c r="S4" s="418">
        <f t="shared" ref="S4:S24" si="0">T4-Q4</f>
        <v>0.8</v>
      </c>
      <c r="T4" s="418">
        <v>1.51</v>
      </c>
      <c r="U4" s="419">
        <f>T4/0.99</f>
        <v>1.5252525252525253</v>
      </c>
    </row>
    <row r="5" spans="1:21" ht="34">
      <c r="A5" s="588"/>
      <c r="B5" s="591"/>
      <c r="C5" s="5" t="s">
        <v>1045</v>
      </c>
      <c r="D5" s="376" t="s">
        <v>1046</v>
      </c>
      <c r="E5" s="410" t="s">
        <v>1044</v>
      </c>
      <c r="F5" s="411">
        <v>1000</v>
      </c>
      <c r="G5" s="376" t="s">
        <v>9</v>
      </c>
      <c r="H5" s="412" t="s">
        <v>1047</v>
      </c>
      <c r="I5" s="376" t="s">
        <v>55</v>
      </c>
      <c r="J5" s="376" t="s">
        <v>9</v>
      </c>
      <c r="K5" s="376" t="s">
        <v>1050</v>
      </c>
      <c r="L5" s="376" t="s">
        <v>9</v>
      </c>
      <c r="M5" s="376">
        <v>40</v>
      </c>
      <c r="N5" s="20" t="s">
        <v>1051</v>
      </c>
      <c r="O5" s="376" t="s">
        <v>9</v>
      </c>
      <c r="P5" s="376" t="s">
        <v>9</v>
      </c>
      <c r="Q5" s="584">
        <v>0.76</v>
      </c>
      <c r="R5" s="584"/>
      <c r="S5" s="413">
        <f t="shared" si="0"/>
        <v>0.85000000000000009</v>
      </c>
      <c r="T5" s="413">
        <v>1.61</v>
      </c>
      <c r="U5" s="402">
        <f t="shared" ref="U5:U24" si="1">T5/0.99</f>
        <v>1.6262626262626263</v>
      </c>
    </row>
    <row r="6" spans="1:21" ht="34">
      <c r="A6" s="588"/>
      <c r="B6" s="591"/>
      <c r="C6" s="5" t="s">
        <v>1045</v>
      </c>
      <c r="D6" s="376" t="s">
        <v>1052</v>
      </c>
      <c r="E6" s="410" t="s">
        <v>1044</v>
      </c>
      <c r="F6" s="411">
        <v>1000</v>
      </c>
      <c r="G6" s="376" t="s">
        <v>9</v>
      </c>
      <c r="H6" s="412" t="s">
        <v>1053</v>
      </c>
      <c r="I6" s="376" t="s">
        <v>55</v>
      </c>
      <c r="J6" s="376" t="s">
        <v>9</v>
      </c>
      <c r="K6" s="376" t="s">
        <v>1054</v>
      </c>
      <c r="L6" s="376" t="s">
        <v>9</v>
      </c>
      <c r="M6" s="376">
        <v>40</v>
      </c>
      <c r="N6" s="20" t="s">
        <v>1051</v>
      </c>
      <c r="O6" s="376" t="s">
        <v>9</v>
      </c>
      <c r="P6" s="376" t="s">
        <v>9</v>
      </c>
      <c r="Q6" s="584">
        <v>0.78</v>
      </c>
      <c r="R6" s="584"/>
      <c r="S6" s="413">
        <f t="shared" si="0"/>
        <v>0.8899999999999999</v>
      </c>
      <c r="T6" s="413">
        <v>1.67</v>
      </c>
      <c r="U6" s="402">
        <f t="shared" si="1"/>
        <v>1.6868686868686869</v>
      </c>
    </row>
    <row r="7" spans="1:21" ht="34">
      <c r="A7" s="588"/>
      <c r="B7" s="591"/>
      <c r="C7" s="5" t="s">
        <v>1055</v>
      </c>
      <c r="D7" s="376" t="s">
        <v>1052</v>
      </c>
      <c r="E7" s="410" t="s">
        <v>1044</v>
      </c>
      <c r="F7" s="411">
        <v>1000</v>
      </c>
      <c r="G7" s="376" t="s">
        <v>9</v>
      </c>
      <c r="H7" s="412" t="s">
        <v>1053</v>
      </c>
      <c r="I7" s="376" t="s">
        <v>55</v>
      </c>
      <c r="J7" s="376" t="s">
        <v>9</v>
      </c>
      <c r="K7" s="376" t="s">
        <v>1056</v>
      </c>
      <c r="L7" s="376" t="s">
        <v>9</v>
      </c>
      <c r="M7" s="376">
        <v>40</v>
      </c>
      <c r="N7" s="20" t="s">
        <v>1057</v>
      </c>
      <c r="O7" s="376" t="s">
        <v>9</v>
      </c>
      <c r="P7" s="376" t="s">
        <v>9</v>
      </c>
      <c r="Q7" s="584">
        <v>0.8</v>
      </c>
      <c r="R7" s="584"/>
      <c r="S7" s="413">
        <f t="shared" si="0"/>
        <v>0.95</v>
      </c>
      <c r="T7" s="413">
        <v>1.75</v>
      </c>
      <c r="U7" s="402">
        <f t="shared" si="1"/>
        <v>1.7676767676767677</v>
      </c>
    </row>
    <row r="8" spans="1:21" ht="34">
      <c r="A8" s="588"/>
      <c r="B8" s="591"/>
      <c r="C8" s="5" t="s">
        <v>1055</v>
      </c>
      <c r="D8" s="376" t="s">
        <v>1052</v>
      </c>
      <c r="E8" s="410" t="s">
        <v>1044</v>
      </c>
      <c r="F8" s="411">
        <v>1000</v>
      </c>
      <c r="G8" s="376" t="s">
        <v>9</v>
      </c>
      <c r="H8" s="412" t="s">
        <v>1053</v>
      </c>
      <c r="I8" s="376" t="s">
        <v>55</v>
      </c>
      <c r="J8" s="376" t="s">
        <v>9</v>
      </c>
      <c r="K8" s="376" t="s">
        <v>1058</v>
      </c>
      <c r="L8" s="376" t="s">
        <v>9</v>
      </c>
      <c r="M8" s="376">
        <v>40</v>
      </c>
      <c r="N8" s="20" t="s">
        <v>1057</v>
      </c>
      <c r="O8" s="376" t="s">
        <v>9</v>
      </c>
      <c r="P8" s="376" t="s">
        <v>9</v>
      </c>
      <c r="Q8" s="584">
        <v>0.81</v>
      </c>
      <c r="R8" s="584"/>
      <c r="S8" s="413">
        <f t="shared" si="0"/>
        <v>0.95</v>
      </c>
      <c r="T8" s="413">
        <v>1.76</v>
      </c>
      <c r="U8" s="402">
        <f t="shared" si="1"/>
        <v>1.7777777777777779</v>
      </c>
    </row>
    <row r="9" spans="1:21" ht="34">
      <c r="A9" s="588"/>
      <c r="B9" s="591"/>
      <c r="C9" s="5" t="s">
        <v>1055</v>
      </c>
      <c r="D9" s="376" t="s">
        <v>1052</v>
      </c>
      <c r="E9" s="410" t="s">
        <v>1044</v>
      </c>
      <c r="F9" s="411">
        <v>1000</v>
      </c>
      <c r="G9" s="376" t="s">
        <v>9</v>
      </c>
      <c r="H9" s="412" t="s">
        <v>1053</v>
      </c>
      <c r="I9" s="376" t="s">
        <v>55</v>
      </c>
      <c r="J9" s="376" t="s">
        <v>1059</v>
      </c>
      <c r="K9" s="376" t="s">
        <v>1060</v>
      </c>
      <c r="L9" s="376" t="s">
        <v>9</v>
      </c>
      <c r="M9" s="376">
        <v>50</v>
      </c>
      <c r="N9" s="20">
        <v>0.99</v>
      </c>
      <c r="O9" s="376" t="s">
        <v>9</v>
      </c>
      <c r="P9" s="376" t="s">
        <v>9</v>
      </c>
      <c r="Q9" s="584">
        <v>0.419047619047618</v>
      </c>
      <c r="R9" s="584"/>
      <c r="S9" s="413">
        <f t="shared" si="0"/>
        <v>1.0009523809523819</v>
      </c>
      <c r="T9" s="413">
        <v>1.42</v>
      </c>
      <c r="U9" s="402">
        <f t="shared" si="1"/>
        <v>1.4343434343434343</v>
      </c>
    </row>
    <row r="10" spans="1:21" ht="34">
      <c r="A10" s="588"/>
      <c r="B10" s="591"/>
      <c r="C10" s="5" t="s">
        <v>1055</v>
      </c>
      <c r="D10" s="376" t="s">
        <v>1052</v>
      </c>
      <c r="E10" s="410" t="s">
        <v>1044</v>
      </c>
      <c r="F10" s="411">
        <v>1000</v>
      </c>
      <c r="G10" s="376" t="s">
        <v>9</v>
      </c>
      <c r="H10" s="412" t="s">
        <v>1053</v>
      </c>
      <c r="I10" s="376" t="s">
        <v>55</v>
      </c>
      <c r="J10" s="376" t="s">
        <v>9</v>
      </c>
      <c r="K10" s="376" t="s">
        <v>1061</v>
      </c>
      <c r="L10" s="376" t="s">
        <v>9</v>
      </c>
      <c r="M10" s="376">
        <v>50</v>
      </c>
      <c r="N10" s="20" t="s">
        <v>1051</v>
      </c>
      <c r="O10" s="376" t="s">
        <v>9</v>
      </c>
      <c r="P10" s="376" t="s">
        <v>9</v>
      </c>
      <c r="Q10" s="584">
        <v>0.452380952380951</v>
      </c>
      <c r="R10" s="584"/>
      <c r="S10" s="413">
        <f t="shared" si="0"/>
        <v>1.1380952380952389</v>
      </c>
      <c r="T10" s="413">
        <v>1.5904761904761899</v>
      </c>
      <c r="U10" s="402">
        <f t="shared" si="1"/>
        <v>1.606541606541606</v>
      </c>
    </row>
    <row r="11" spans="1:21" ht="34">
      <c r="A11" s="588"/>
      <c r="B11" s="591"/>
      <c r="C11" s="5" t="s">
        <v>1055</v>
      </c>
      <c r="D11" s="376" t="s">
        <v>1052</v>
      </c>
      <c r="E11" s="410" t="s">
        <v>1044</v>
      </c>
      <c r="F11" s="411">
        <v>1000</v>
      </c>
      <c r="G11" s="376" t="s">
        <v>9</v>
      </c>
      <c r="H11" s="412" t="s">
        <v>1053</v>
      </c>
      <c r="I11" s="376" t="s">
        <v>55</v>
      </c>
      <c r="J11" s="376" t="s">
        <v>9</v>
      </c>
      <c r="K11" s="376" t="s">
        <v>1061</v>
      </c>
      <c r="L11" s="376" t="s">
        <v>9</v>
      </c>
      <c r="M11" s="376">
        <v>50</v>
      </c>
      <c r="N11" s="20" t="s">
        <v>1051</v>
      </c>
      <c r="O11" s="376" t="s">
        <v>9</v>
      </c>
      <c r="P11" s="376" t="s">
        <v>9</v>
      </c>
      <c r="Q11" s="584">
        <v>0.49047619047618901</v>
      </c>
      <c r="R11" s="584"/>
      <c r="S11" s="413">
        <f t="shared" si="0"/>
        <v>1.2285714285714211</v>
      </c>
      <c r="T11" s="413">
        <v>1.7190476190476101</v>
      </c>
      <c r="U11" s="402">
        <f t="shared" si="1"/>
        <v>1.7364117364117273</v>
      </c>
    </row>
    <row r="12" spans="1:21" ht="34">
      <c r="A12" s="588"/>
      <c r="B12" s="591"/>
      <c r="C12" s="5" t="s">
        <v>1055</v>
      </c>
      <c r="D12" s="376" t="s">
        <v>1052</v>
      </c>
      <c r="E12" s="410" t="s">
        <v>1044</v>
      </c>
      <c r="F12" s="411">
        <v>1000</v>
      </c>
      <c r="G12" s="376" t="s">
        <v>9</v>
      </c>
      <c r="H12" s="412" t="s">
        <v>1053</v>
      </c>
      <c r="I12" s="376" t="s">
        <v>55</v>
      </c>
      <c r="J12" s="376" t="s">
        <v>9</v>
      </c>
      <c r="K12" s="376" t="s">
        <v>1050</v>
      </c>
      <c r="L12" s="376" t="s">
        <v>9</v>
      </c>
      <c r="M12" s="376">
        <v>50</v>
      </c>
      <c r="N12" s="20" t="s">
        <v>1057</v>
      </c>
      <c r="O12" s="376" t="s">
        <v>9</v>
      </c>
      <c r="P12" s="376" t="s">
        <v>9</v>
      </c>
      <c r="Q12" s="584">
        <v>0.499999999999999</v>
      </c>
      <c r="R12" s="584"/>
      <c r="S12" s="413">
        <f t="shared" si="0"/>
        <v>1.3190476190476108</v>
      </c>
      <c r="T12" s="413">
        <v>1.8190476190476099</v>
      </c>
      <c r="U12" s="402">
        <f t="shared" si="1"/>
        <v>1.8374218374218283</v>
      </c>
    </row>
    <row r="13" spans="1:21" ht="34">
      <c r="A13" s="588"/>
      <c r="B13" s="591"/>
      <c r="C13" s="5" t="s">
        <v>1055</v>
      </c>
      <c r="D13" s="376" t="s">
        <v>1052</v>
      </c>
      <c r="E13" s="410" t="s">
        <v>1044</v>
      </c>
      <c r="F13" s="411">
        <v>1000</v>
      </c>
      <c r="G13" s="376" t="s">
        <v>9</v>
      </c>
      <c r="H13" s="412" t="s">
        <v>1053</v>
      </c>
      <c r="I13" s="376" t="s">
        <v>55</v>
      </c>
      <c r="J13" s="376" t="s">
        <v>9</v>
      </c>
      <c r="K13" s="376" t="s">
        <v>1054</v>
      </c>
      <c r="L13" s="376" t="s">
        <v>9</v>
      </c>
      <c r="M13" s="376">
        <v>50</v>
      </c>
      <c r="N13" s="20" t="s">
        <v>1057</v>
      </c>
      <c r="O13" s="376" t="s">
        <v>9</v>
      </c>
      <c r="P13" s="376" t="s">
        <v>9</v>
      </c>
      <c r="Q13" s="584">
        <v>0.52380952380952295</v>
      </c>
      <c r="R13" s="584"/>
      <c r="S13" s="413">
        <f t="shared" si="0"/>
        <v>1.3809523809523769</v>
      </c>
      <c r="T13" s="413">
        <v>1.9047619047619</v>
      </c>
      <c r="U13" s="402">
        <f t="shared" si="1"/>
        <v>1.9240019240019193</v>
      </c>
    </row>
    <row r="14" spans="1:21" ht="34">
      <c r="A14" s="588"/>
      <c r="B14" s="591"/>
      <c r="C14" s="5" t="s">
        <v>1055</v>
      </c>
      <c r="D14" s="376" t="s">
        <v>1052</v>
      </c>
      <c r="E14" s="410" t="s">
        <v>1044</v>
      </c>
      <c r="F14" s="411">
        <v>1000</v>
      </c>
      <c r="G14" s="376" t="s">
        <v>9</v>
      </c>
      <c r="H14" s="412" t="s">
        <v>1053</v>
      </c>
      <c r="I14" s="376" t="s">
        <v>55</v>
      </c>
      <c r="J14" s="376" t="s">
        <v>9</v>
      </c>
      <c r="K14" s="376" t="s">
        <v>1056</v>
      </c>
      <c r="L14" s="376" t="s">
        <v>9</v>
      </c>
      <c r="M14" s="376">
        <v>50</v>
      </c>
      <c r="N14" s="20" t="s">
        <v>1057</v>
      </c>
      <c r="O14" s="376" t="s">
        <v>9</v>
      </c>
      <c r="P14" s="376" t="s">
        <v>9</v>
      </c>
      <c r="Q14" s="584">
        <v>0.54285714285714204</v>
      </c>
      <c r="R14" s="584"/>
      <c r="S14" s="413">
        <f t="shared" si="0"/>
        <v>1.4380952380952379</v>
      </c>
      <c r="T14" s="413">
        <v>1.9809523809523799</v>
      </c>
      <c r="U14" s="402">
        <f t="shared" si="1"/>
        <v>2.0009620009619997</v>
      </c>
    </row>
    <row r="15" spans="1:21" ht="34">
      <c r="A15" s="588"/>
      <c r="B15" s="591"/>
      <c r="C15" s="5" t="s">
        <v>1055</v>
      </c>
      <c r="D15" s="376" t="s">
        <v>1052</v>
      </c>
      <c r="E15" s="410" t="s">
        <v>1044</v>
      </c>
      <c r="F15" s="411">
        <v>1000</v>
      </c>
      <c r="G15" s="376" t="s">
        <v>9</v>
      </c>
      <c r="H15" s="412" t="s">
        <v>1053</v>
      </c>
      <c r="I15" s="376" t="s">
        <v>55</v>
      </c>
      <c r="J15" s="376" t="s">
        <v>9</v>
      </c>
      <c r="K15" s="376" t="s">
        <v>1058</v>
      </c>
      <c r="L15" s="376" t="s">
        <v>9</v>
      </c>
      <c r="M15" s="376">
        <v>50</v>
      </c>
      <c r="N15" s="20" t="s">
        <v>1057</v>
      </c>
      <c r="O15" s="376" t="s">
        <v>9</v>
      </c>
      <c r="P15" s="376" t="s">
        <v>9</v>
      </c>
      <c r="Q15" s="584">
        <v>0.54285714285714204</v>
      </c>
      <c r="R15" s="584"/>
      <c r="S15" s="413">
        <f t="shared" si="0"/>
        <v>1.442857142857138</v>
      </c>
      <c r="T15" s="413">
        <v>1.98571428571428</v>
      </c>
      <c r="U15" s="402">
        <f t="shared" si="1"/>
        <v>2.0057720057720001</v>
      </c>
    </row>
    <row r="16" spans="1:21" ht="34">
      <c r="A16" s="588"/>
      <c r="B16" s="591"/>
      <c r="C16" s="5" t="s">
        <v>1055</v>
      </c>
      <c r="D16" s="376" t="s">
        <v>1052</v>
      </c>
      <c r="E16" s="410" t="s">
        <v>1044</v>
      </c>
      <c r="F16" s="411">
        <v>1000</v>
      </c>
      <c r="G16" s="376" t="s">
        <v>9</v>
      </c>
      <c r="H16" s="412" t="s">
        <v>1053</v>
      </c>
      <c r="I16" s="376" t="s">
        <v>55</v>
      </c>
      <c r="J16" s="376" t="s">
        <v>1048</v>
      </c>
      <c r="K16" s="376" t="s">
        <v>1062</v>
      </c>
      <c r="L16" s="376" t="s">
        <v>9</v>
      </c>
      <c r="M16" s="376">
        <v>60</v>
      </c>
      <c r="N16" s="20">
        <v>0.99</v>
      </c>
      <c r="O16" s="376" t="s">
        <v>9</v>
      </c>
      <c r="P16" s="376" t="s">
        <v>9</v>
      </c>
      <c r="Q16" s="584">
        <v>0.28301886999999998</v>
      </c>
      <c r="R16" s="584"/>
      <c r="S16" s="413">
        <f t="shared" si="0"/>
        <v>1.2358490545283001</v>
      </c>
      <c r="T16" s="413">
        <v>1.5188679245283001</v>
      </c>
      <c r="U16" s="402">
        <f t="shared" si="1"/>
        <v>1.5342100247760608</v>
      </c>
    </row>
    <row r="17" spans="1:21" ht="34">
      <c r="A17" s="588"/>
      <c r="B17" s="591"/>
      <c r="C17" s="5" t="s">
        <v>1055</v>
      </c>
      <c r="D17" s="376" t="s">
        <v>1052</v>
      </c>
      <c r="E17" s="410" t="s">
        <v>1044</v>
      </c>
      <c r="F17" s="411">
        <v>1000</v>
      </c>
      <c r="G17" s="376" t="s">
        <v>9</v>
      </c>
      <c r="H17" s="412" t="s">
        <v>1053</v>
      </c>
      <c r="I17" s="376" t="s">
        <v>55</v>
      </c>
      <c r="J17" s="376" t="s">
        <v>9</v>
      </c>
      <c r="K17" s="376" t="s">
        <v>1063</v>
      </c>
      <c r="L17" s="376" t="s">
        <v>9</v>
      </c>
      <c r="M17" s="376">
        <v>60</v>
      </c>
      <c r="N17" s="20" t="s">
        <v>1051</v>
      </c>
      <c r="O17" s="376" t="s">
        <v>9</v>
      </c>
      <c r="P17" s="376" t="s">
        <v>9</v>
      </c>
      <c r="Q17" s="584">
        <v>0.32075471999999999</v>
      </c>
      <c r="R17" s="584"/>
      <c r="S17" s="413">
        <f t="shared" si="0"/>
        <v>1.49528301584905</v>
      </c>
      <c r="T17" s="413">
        <v>1.81603773584905</v>
      </c>
      <c r="U17" s="402">
        <f t="shared" si="1"/>
        <v>1.8343815513626769</v>
      </c>
    </row>
    <row r="18" spans="1:21" ht="34">
      <c r="A18" s="588"/>
      <c r="B18" s="591"/>
      <c r="C18" s="5" t="s">
        <v>1055</v>
      </c>
      <c r="D18" s="376" t="s">
        <v>1052</v>
      </c>
      <c r="E18" s="410" t="s">
        <v>1044</v>
      </c>
      <c r="F18" s="411">
        <v>1000</v>
      </c>
      <c r="G18" s="376" t="s">
        <v>9</v>
      </c>
      <c r="H18" s="412" t="s">
        <v>1053</v>
      </c>
      <c r="I18" s="376" t="s">
        <v>55</v>
      </c>
      <c r="J18" s="376" t="s">
        <v>9</v>
      </c>
      <c r="K18" s="376" t="s">
        <v>1060</v>
      </c>
      <c r="L18" s="376" t="s">
        <v>9</v>
      </c>
      <c r="M18" s="376">
        <v>60</v>
      </c>
      <c r="N18" s="20" t="s">
        <v>1051</v>
      </c>
      <c r="O18" s="376" t="s">
        <v>9</v>
      </c>
      <c r="P18" s="376" t="s">
        <v>9</v>
      </c>
      <c r="Q18" s="584">
        <v>0.33490565999999999</v>
      </c>
      <c r="R18" s="584"/>
      <c r="S18" s="413">
        <f t="shared" si="0"/>
        <v>1.7641509437735801</v>
      </c>
      <c r="T18" s="413">
        <v>2.0990566037735801</v>
      </c>
      <c r="U18" s="402">
        <f t="shared" si="1"/>
        <v>2.1202591957308892</v>
      </c>
    </row>
    <row r="19" spans="1:21" ht="34">
      <c r="A19" s="588"/>
      <c r="B19" s="591"/>
      <c r="C19" s="5" t="s">
        <v>1055</v>
      </c>
      <c r="D19" s="376" t="s">
        <v>1052</v>
      </c>
      <c r="E19" s="410" t="s">
        <v>1044</v>
      </c>
      <c r="F19" s="411">
        <v>1000</v>
      </c>
      <c r="G19" s="376" t="s">
        <v>9</v>
      </c>
      <c r="H19" s="412" t="s">
        <v>1053</v>
      </c>
      <c r="I19" s="376" t="s">
        <v>55</v>
      </c>
      <c r="J19" s="376" t="s">
        <v>9</v>
      </c>
      <c r="K19" s="376" t="s">
        <v>1061</v>
      </c>
      <c r="L19" s="376" t="s">
        <v>9</v>
      </c>
      <c r="M19" s="376">
        <v>60</v>
      </c>
      <c r="N19" s="20" t="s">
        <v>1057</v>
      </c>
      <c r="O19" s="376" t="s">
        <v>9</v>
      </c>
      <c r="P19" s="376" t="s">
        <v>9</v>
      </c>
      <c r="Q19" s="584">
        <v>0.34905659999999999</v>
      </c>
      <c r="R19" s="584"/>
      <c r="S19" s="413">
        <f t="shared" si="0"/>
        <v>1.9575471735849002</v>
      </c>
      <c r="T19" s="413">
        <v>2.3066037735849001</v>
      </c>
      <c r="U19" s="402">
        <f t="shared" si="1"/>
        <v>2.3299028016009093</v>
      </c>
    </row>
    <row r="20" spans="1:21" ht="34">
      <c r="A20" s="588"/>
      <c r="B20" s="591"/>
      <c r="C20" s="5" t="s">
        <v>1055</v>
      </c>
      <c r="D20" s="376" t="s">
        <v>1052</v>
      </c>
      <c r="E20" s="410" t="s">
        <v>1044</v>
      </c>
      <c r="F20" s="411">
        <v>1000</v>
      </c>
      <c r="G20" s="376" t="s">
        <v>9</v>
      </c>
      <c r="H20" s="412" t="s">
        <v>1053</v>
      </c>
      <c r="I20" s="376" t="s">
        <v>55</v>
      </c>
      <c r="J20" s="376" t="s">
        <v>9</v>
      </c>
      <c r="K20" s="376" t="s">
        <v>1049</v>
      </c>
      <c r="L20" s="376" t="s">
        <v>9</v>
      </c>
      <c r="M20" s="376">
        <v>60</v>
      </c>
      <c r="N20" s="20" t="s">
        <v>1057</v>
      </c>
      <c r="O20" s="376" t="s">
        <v>9</v>
      </c>
      <c r="P20" s="376" t="s">
        <v>9</v>
      </c>
      <c r="Q20" s="584">
        <v>0.37735848999999999</v>
      </c>
      <c r="R20" s="584"/>
      <c r="S20" s="413">
        <f t="shared" si="0"/>
        <v>2.0896226420754704</v>
      </c>
      <c r="T20" s="413">
        <v>2.4669811320754702</v>
      </c>
      <c r="U20" s="402">
        <f t="shared" si="1"/>
        <v>2.4919001334095658</v>
      </c>
    </row>
    <row r="21" spans="1:21" ht="34">
      <c r="A21" s="588"/>
      <c r="B21" s="591"/>
      <c r="C21" s="5" t="s">
        <v>1055</v>
      </c>
      <c r="D21" s="376" t="s">
        <v>1052</v>
      </c>
      <c r="E21" s="410" t="s">
        <v>1044</v>
      </c>
      <c r="F21" s="411">
        <v>1000</v>
      </c>
      <c r="G21" s="376" t="s">
        <v>9</v>
      </c>
      <c r="H21" s="412" t="s">
        <v>1053</v>
      </c>
      <c r="I21" s="376" t="s">
        <v>55</v>
      </c>
      <c r="J21" s="376" t="s">
        <v>9</v>
      </c>
      <c r="K21" s="376" t="s">
        <v>1050</v>
      </c>
      <c r="L21" s="376" t="s">
        <v>9</v>
      </c>
      <c r="M21" s="376">
        <v>60</v>
      </c>
      <c r="N21" s="20" t="s">
        <v>1057</v>
      </c>
      <c r="O21" s="376" t="s">
        <v>9</v>
      </c>
      <c r="P21" s="376" t="s">
        <v>9</v>
      </c>
      <c r="Q21" s="584">
        <v>0.39622642000000002</v>
      </c>
      <c r="R21" s="584"/>
      <c r="S21" s="413">
        <f t="shared" si="0"/>
        <v>2.20283018377358</v>
      </c>
      <c r="T21" s="413">
        <v>2.5990566037735801</v>
      </c>
      <c r="U21" s="402">
        <f t="shared" si="1"/>
        <v>2.6253097007813939</v>
      </c>
    </row>
    <row r="22" spans="1:21" ht="34">
      <c r="A22" s="588"/>
      <c r="B22" s="591"/>
      <c r="C22" s="5" t="s">
        <v>1055</v>
      </c>
      <c r="D22" s="376" t="s">
        <v>1052</v>
      </c>
      <c r="E22" s="410" t="s">
        <v>1044</v>
      </c>
      <c r="F22" s="411">
        <v>1000</v>
      </c>
      <c r="G22" s="376" t="s">
        <v>9</v>
      </c>
      <c r="H22" s="412" t="s">
        <v>1053</v>
      </c>
      <c r="I22" s="376" t="s">
        <v>55</v>
      </c>
      <c r="J22" s="376" t="s">
        <v>9</v>
      </c>
      <c r="K22" s="376" t="s">
        <v>1054</v>
      </c>
      <c r="L22" s="376" t="s">
        <v>9</v>
      </c>
      <c r="M22" s="376">
        <v>60</v>
      </c>
      <c r="N22" s="20" t="s">
        <v>1057</v>
      </c>
      <c r="O22" s="376" t="s">
        <v>9</v>
      </c>
      <c r="P22" s="376" t="s">
        <v>9</v>
      </c>
      <c r="Q22" s="584">
        <v>0.40094340000000001</v>
      </c>
      <c r="R22" s="584"/>
      <c r="S22" s="413">
        <f t="shared" si="0"/>
        <v>2.3254716943396199</v>
      </c>
      <c r="T22" s="413">
        <v>2.7264150943396199</v>
      </c>
      <c r="U22" s="402">
        <f t="shared" si="1"/>
        <v>2.7539546407470907</v>
      </c>
    </row>
    <row r="23" spans="1:21" ht="34">
      <c r="A23" s="588"/>
      <c r="B23" s="591"/>
      <c r="C23" s="5" t="s">
        <v>1055</v>
      </c>
      <c r="D23" s="376" t="s">
        <v>1052</v>
      </c>
      <c r="E23" s="410" t="s">
        <v>1044</v>
      </c>
      <c r="F23" s="411">
        <v>1000</v>
      </c>
      <c r="G23" s="376" t="s">
        <v>9</v>
      </c>
      <c r="H23" s="412" t="s">
        <v>1053</v>
      </c>
      <c r="I23" s="376" t="s">
        <v>55</v>
      </c>
      <c r="J23" s="376" t="s">
        <v>9</v>
      </c>
      <c r="K23" s="376" t="s">
        <v>1056</v>
      </c>
      <c r="L23" s="376" t="s">
        <v>9</v>
      </c>
      <c r="M23" s="376">
        <v>60</v>
      </c>
      <c r="N23" s="20" t="s">
        <v>1057</v>
      </c>
      <c r="O23" s="376" t="s">
        <v>9</v>
      </c>
      <c r="P23" s="376" t="s">
        <v>9</v>
      </c>
      <c r="Q23" s="584">
        <v>0.41981131999999999</v>
      </c>
      <c r="R23" s="584"/>
      <c r="S23" s="413">
        <f t="shared" si="0"/>
        <v>2.3962264158490498</v>
      </c>
      <c r="T23" s="413">
        <v>2.8160377358490498</v>
      </c>
      <c r="U23" s="402">
        <f t="shared" si="1"/>
        <v>2.8444825614636868</v>
      </c>
    </row>
    <row r="24" spans="1:21" ht="34">
      <c r="A24" s="588"/>
      <c r="B24" s="592"/>
      <c r="C24" s="140" t="s">
        <v>1055</v>
      </c>
      <c r="D24" s="374" t="s">
        <v>1052</v>
      </c>
      <c r="E24" s="410" t="s">
        <v>1044</v>
      </c>
      <c r="F24" s="411">
        <v>1000</v>
      </c>
      <c r="G24" s="376" t="s">
        <v>9</v>
      </c>
      <c r="H24" s="412" t="s">
        <v>1053</v>
      </c>
      <c r="I24" s="376" t="s">
        <v>55</v>
      </c>
      <c r="J24" s="376" t="s">
        <v>9</v>
      </c>
      <c r="K24" s="376" t="s">
        <v>1058</v>
      </c>
      <c r="L24" s="376" t="s">
        <v>9</v>
      </c>
      <c r="M24" s="376">
        <v>60</v>
      </c>
      <c r="N24" s="20" t="s">
        <v>1057</v>
      </c>
      <c r="O24" s="376" t="s">
        <v>9</v>
      </c>
      <c r="P24" s="376" t="s">
        <v>9</v>
      </c>
      <c r="Q24" s="584">
        <v>0.43396225999999999</v>
      </c>
      <c r="R24" s="584"/>
      <c r="S24" s="413">
        <f t="shared" si="0"/>
        <v>2.3962264192452802</v>
      </c>
      <c r="T24" s="413">
        <v>2.8301886792452802</v>
      </c>
      <c r="U24" s="402">
        <f t="shared" si="1"/>
        <v>2.858776443682101</v>
      </c>
    </row>
    <row r="25" spans="1:21" ht="34">
      <c r="A25" s="589">
        <v>3</v>
      </c>
      <c r="B25" s="585" t="s">
        <v>1079</v>
      </c>
      <c r="C25" s="586" t="s">
        <v>1064</v>
      </c>
      <c r="D25" s="587" t="s">
        <v>1065</v>
      </c>
      <c r="E25" s="478" t="s">
        <v>1044</v>
      </c>
      <c r="F25" s="479">
        <f>(1.21+1.32)/2</f>
        <v>1.2650000000000001</v>
      </c>
      <c r="G25" s="373" t="s">
        <v>1066</v>
      </c>
      <c r="H25" s="373" t="s">
        <v>1067</v>
      </c>
      <c r="I25" s="373" t="s">
        <v>55</v>
      </c>
      <c r="J25" s="373" t="s">
        <v>1068</v>
      </c>
      <c r="K25" s="480">
        <v>1.23</v>
      </c>
      <c r="L25" s="373">
        <v>10</v>
      </c>
      <c r="M25" s="373">
        <v>25</v>
      </c>
      <c r="N25" s="481">
        <v>0.26245059288537553</v>
      </c>
      <c r="O25" s="479">
        <v>9.0544797631443866E-2</v>
      </c>
      <c r="P25" s="482">
        <v>10.445646739441557</v>
      </c>
      <c r="Q25" s="277" t="s">
        <v>98</v>
      </c>
      <c r="R25" s="277" t="s">
        <v>98</v>
      </c>
      <c r="S25" s="277" t="s">
        <v>98</v>
      </c>
      <c r="T25" s="277">
        <f>(83.6627906976744*0.27778)</f>
        <v>23.239849999999997</v>
      </c>
      <c r="U25" s="419">
        <f>(83.6627906976744*0.27778)</f>
        <v>23.239849999999997</v>
      </c>
    </row>
    <row r="26" spans="1:21" ht="34">
      <c r="A26" s="589"/>
      <c r="B26" s="578"/>
      <c r="C26" s="580"/>
      <c r="D26" s="581"/>
      <c r="E26" s="483" t="s">
        <v>1044</v>
      </c>
      <c r="F26" s="473">
        <f>(8.336+8.306)/2</f>
        <v>8.3209999999999997</v>
      </c>
      <c r="G26" s="376" t="s">
        <v>1066</v>
      </c>
      <c r="H26" s="376" t="s">
        <v>1067</v>
      </c>
      <c r="I26" s="376" t="s">
        <v>55</v>
      </c>
      <c r="J26" s="376" t="s">
        <v>1068</v>
      </c>
      <c r="K26" s="401">
        <v>0.5</v>
      </c>
      <c r="L26" s="376">
        <v>10</v>
      </c>
      <c r="M26" s="376">
        <v>25</v>
      </c>
      <c r="N26" s="474">
        <v>0.13231582742458828</v>
      </c>
      <c r="O26" s="473">
        <v>0.37421551202758946</v>
      </c>
      <c r="P26" s="475">
        <v>7.5479193674748473</v>
      </c>
      <c r="Q26" s="414" t="s">
        <v>98</v>
      </c>
      <c r="R26" s="414" t="s">
        <v>98</v>
      </c>
      <c r="S26" s="414" t="s">
        <v>98</v>
      </c>
      <c r="T26" s="414">
        <f>(0.27778*15.4651162790698)</f>
        <v>4.2959000000000094</v>
      </c>
      <c r="U26" s="402">
        <f>(0.27778*15.4651162790698)</f>
        <v>4.2959000000000094</v>
      </c>
    </row>
    <row r="27" spans="1:21" ht="34">
      <c r="A27" s="589"/>
      <c r="B27" s="578"/>
      <c r="C27" s="580"/>
      <c r="D27" s="581"/>
      <c r="E27" s="483" t="s">
        <v>1044</v>
      </c>
      <c r="F27" s="473">
        <f>(11.287+10.685)/2</f>
        <v>10.986000000000001</v>
      </c>
      <c r="G27" s="376" t="s">
        <v>1069</v>
      </c>
      <c r="H27" s="376" t="s">
        <v>1070</v>
      </c>
      <c r="I27" s="376" t="s">
        <v>55</v>
      </c>
      <c r="J27" s="376" t="s">
        <v>1071</v>
      </c>
      <c r="K27" s="401">
        <v>1</v>
      </c>
      <c r="L27" s="376">
        <v>10</v>
      </c>
      <c r="M27" s="376">
        <v>25</v>
      </c>
      <c r="N27" s="474">
        <v>0.2425814673220463</v>
      </c>
      <c r="O27" s="473">
        <v>0.48113421173522103</v>
      </c>
      <c r="P27" s="475">
        <v>7.8795640482178468</v>
      </c>
      <c r="Q27" s="414" t="s">
        <v>98</v>
      </c>
      <c r="R27" s="414" t="s">
        <v>98</v>
      </c>
      <c r="S27" s="414" t="s">
        <v>98</v>
      </c>
      <c r="T27" s="414">
        <f>(0.27778*12.8488372093023)</f>
        <v>3.5691499999999929</v>
      </c>
      <c r="U27" s="402">
        <f>(0.27778*12.8488372093023)</f>
        <v>3.5691499999999929</v>
      </c>
    </row>
    <row r="28" spans="1:21" ht="34">
      <c r="A28" s="589"/>
      <c r="B28" s="578"/>
      <c r="C28" s="580"/>
      <c r="D28" s="581"/>
      <c r="E28" s="483" t="s">
        <v>1044</v>
      </c>
      <c r="F28" s="473">
        <f>(16.953+16.514)/2</f>
        <v>16.733499999999999</v>
      </c>
      <c r="G28" s="376" t="s">
        <v>1069</v>
      </c>
      <c r="H28" s="376" t="s">
        <v>1070</v>
      </c>
      <c r="I28" s="376" t="s">
        <v>55</v>
      </c>
      <c r="J28" s="376" t="s">
        <v>1071</v>
      </c>
      <c r="K28" s="401">
        <v>1</v>
      </c>
      <c r="L28" s="376">
        <v>10</v>
      </c>
      <c r="M28" s="376">
        <v>25</v>
      </c>
      <c r="N28" s="474">
        <v>0.14360414736905003</v>
      </c>
      <c r="O28" s="473">
        <v>0.53799933260828414</v>
      </c>
      <c r="P28" s="475">
        <v>7.2428143653253949</v>
      </c>
      <c r="Q28" s="414" t="s">
        <v>98</v>
      </c>
      <c r="R28" s="414" t="s">
        <v>98</v>
      </c>
      <c r="S28" s="414" t="s">
        <v>98</v>
      </c>
      <c r="T28" s="414">
        <f>(0.27778*10.5813953488372)</f>
        <v>2.9392999999999976</v>
      </c>
      <c r="U28" s="402">
        <f>(0.27778*10.5813953488372)</f>
        <v>2.9392999999999976</v>
      </c>
    </row>
    <row r="29" spans="1:21" ht="34">
      <c r="A29" s="589"/>
      <c r="B29" s="578"/>
      <c r="C29" s="580"/>
      <c r="D29" s="581"/>
      <c r="E29" s="483" t="s">
        <v>1044</v>
      </c>
      <c r="F29" s="473">
        <f>(20.202+19.641)/2</f>
        <v>19.921500000000002</v>
      </c>
      <c r="G29" s="376" t="s">
        <v>1069</v>
      </c>
      <c r="H29" s="376" t="s">
        <v>1070</v>
      </c>
      <c r="I29" s="376" t="s">
        <v>55</v>
      </c>
      <c r="J29" s="376" t="s">
        <v>1071</v>
      </c>
      <c r="K29" s="401">
        <v>0.5</v>
      </c>
      <c r="L29" s="376">
        <v>10</v>
      </c>
      <c r="M29" s="376">
        <v>25</v>
      </c>
      <c r="N29" s="474">
        <v>5.2455889365760691E-2</v>
      </c>
      <c r="O29" s="473">
        <v>0.70489794834705088</v>
      </c>
      <c r="P29" s="475">
        <v>7.4656195580135618</v>
      </c>
      <c r="Q29" s="414" t="s">
        <v>98</v>
      </c>
      <c r="R29" s="414" t="s">
        <v>98</v>
      </c>
      <c r="S29" s="414" t="s">
        <v>98</v>
      </c>
      <c r="T29" s="414">
        <f>(0.27778*8.66279069767441)</f>
        <v>2.406349999999998</v>
      </c>
      <c r="U29" s="402">
        <f>(0.27778*8.66279069767441)</f>
        <v>2.406349999999998</v>
      </c>
    </row>
    <row r="30" spans="1:21" ht="34">
      <c r="A30" s="589"/>
      <c r="B30" s="578"/>
      <c r="C30" s="580"/>
      <c r="D30" s="581"/>
      <c r="E30" s="483" t="s">
        <v>1044</v>
      </c>
      <c r="F30" s="473">
        <f>(1.479+1.395)/2</f>
        <v>1.4370000000000001</v>
      </c>
      <c r="G30" s="376" t="s">
        <v>1069</v>
      </c>
      <c r="H30" s="376" t="s">
        <v>1070</v>
      </c>
      <c r="I30" s="376" t="s">
        <v>55</v>
      </c>
      <c r="J30" s="376" t="s">
        <v>1071</v>
      </c>
      <c r="K30" s="401">
        <v>1.23</v>
      </c>
      <c r="L30" s="376">
        <v>10</v>
      </c>
      <c r="M30" s="376">
        <v>35</v>
      </c>
      <c r="N30" s="474">
        <v>0.58698677800974264</v>
      </c>
      <c r="O30" s="473">
        <v>0.107937369246163</v>
      </c>
      <c r="P30" s="475">
        <v>15.724153981149682</v>
      </c>
      <c r="Q30" s="414" t="s">
        <v>98</v>
      </c>
      <c r="R30" s="414" t="s">
        <v>98</v>
      </c>
      <c r="S30" s="414" t="s">
        <v>98</v>
      </c>
      <c r="T30" s="414">
        <f>(0.27778*104.941860465116)</f>
        <v>29.150749999999924</v>
      </c>
      <c r="U30" s="402">
        <f>(0.27778*104.941860465116)</f>
        <v>29.150749999999924</v>
      </c>
    </row>
    <row r="31" spans="1:21" ht="34">
      <c r="A31" s="589"/>
      <c r="B31" s="578"/>
      <c r="C31" s="580"/>
      <c r="D31" s="581"/>
      <c r="E31" s="483" t="s">
        <v>1044</v>
      </c>
      <c r="F31" s="473">
        <f>(11.942+9.691)/2</f>
        <v>10.816500000000001</v>
      </c>
      <c r="G31" s="376" t="s">
        <v>1069</v>
      </c>
      <c r="H31" s="376" t="s">
        <v>1070</v>
      </c>
      <c r="I31" s="376" t="s">
        <v>55</v>
      </c>
      <c r="J31" s="376" t="s">
        <v>1071</v>
      </c>
      <c r="K31" s="401">
        <v>0.5</v>
      </c>
      <c r="L31" s="376">
        <v>10</v>
      </c>
      <c r="M31" s="376">
        <v>35</v>
      </c>
      <c r="N31" s="474">
        <v>7.7058198123237706E-2</v>
      </c>
      <c r="O31" s="473">
        <v>0.74130165581857022</v>
      </c>
      <c r="P31" s="475">
        <v>10.289662953657691</v>
      </c>
      <c r="Q31" s="414" t="s">
        <v>98</v>
      </c>
      <c r="R31" s="414" t="s">
        <v>98</v>
      </c>
      <c r="S31" s="414" t="s">
        <v>98</v>
      </c>
      <c r="T31" s="414">
        <f>(0.27778*10.0581395348837)</f>
        <v>2.7939499999999948</v>
      </c>
      <c r="U31" s="402">
        <f>(0.27778*10.0581395348837)</f>
        <v>2.7939499999999948</v>
      </c>
    </row>
    <row r="32" spans="1:21" ht="34">
      <c r="A32" s="589"/>
      <c r="B32" s="578"/>
      <c r="C32" s="580"/>
      <c r="D32" s="581"/>
      <c r="E32" s="483" t="s">
        <v>1044</v>
      </c>
      <c r="F32" s="473">
        <f>(11.921+14.707)/2</f>
        <v>13.314</v>
      </c>
      <c r="G32" s="376" t="s">
        <v>1069</v>
      </c>
      <c r="H32" s="376" t="s">
        <v>1070</v>
      </c>
      <c r="I32" s="376" t="s">
        <v>55</v>
      </c>
      <c r="J32" s="376" t="s">
        <v>1071</v>
      </c>
      <c r="K32" s="401">
        <v>0.5</v>
      </c>
      <c r="L32" s="376">
        <v>10</v>
      </c>
      <c r="M32" s="376">
        <v>35</v>
      </c>
      <c r="N32" s="474">
        <v>0.14338290521255825</v>
      </c>
      <c r="O32" s="473">
        <v>0.8456732516466845</v>
      </c>
      <c r="P32" s="475">
        <v>10.476580195820995</v>
      </c>
      <c r="Q32" s="414" t="s">
        <v>98</v>
      </c>
      <c r="R32" s="414" t="s">
        <v>98</v>
      </c>
      <c r="S32" s="414" t="s">
        <v>98</v>
      </c>
      <c r="T32" s="414">
        <f>(0.27778*9.36046511627906)</f>
        <v>2.6001499999999975</v>
      </c>
      <c r="U32" s="402">
        <f>(0.27778*9.36046511627906)</f>
        <v>2.6001499999999975</v>
      </c>
    </row>
    <row r="33" spans="1:21" ht="34">
      <c r="A33" s="589"/>
      <c r="B33" s="579"/>
      <c r="C33" s="580"/>
      <c r="D33" s="581"/>
      <c r="E33" s="483" t="s">
        <v>1044</v>
      </c>
      <c r="F33" s="473">
        <f>(14.707+11.921)/2</f>
        <v>13.314</v>
      </c>
      <c r="G33" s="376" t="s">
        <v>1069</v>
      </c>
      <c r="H33" s="376" t="s">
        <v>1070</v>
      </c>
      <c r="I33" s="376" t="s">
        <v>55</v>
      </c>
      <c r="J33" s="376" t="s">
        <v>1071</v>
      </c>
      <c r="K33" s="401">
        <v>0.5</v>
      </c>
      <c r="L33" s="376">
        <v>10</v>
      </c>
      <c r="M33" s="376">
        <v>35</v>
      </c>
      <c r="N33" s="474">
        <v>0.14338290521255825</v>
      </c>
      <c r="O33" s="473">
        <v>1.5014007336931403</v>
      </c>
      <c r="P33" s="475">
        <v>12.256815227191815</v>
      </c>
      <c r="Q33" s="414" t="s">
        <v>98</v>
      </c>
      <c r="R33" s="414" t="s">
        <v>98</v>
      </c>
      <c r="S33" s="414" t="s">
        <v>98</v>
      </c>
      <c r="T33" s="414">
        <f>(0.27778*6.22093023255812)</f>
        <v>1.7280499999999948</v>
      </c>
      <c r="U33" s="402">
        <f>(0.27778*6.22093023255812)</f>
        <v>1.7280499999999948</v>
      </c>
    </row>
    <row r="34" spans="1:21" ht="17">
      <c r="A34" s="588">
        <v>4</v>
      </c>
      <c r="B34" s="577" t="s">
        <v>1080</v>
      </c>
      <c r="C34" s="580" t="s">
        <v>1072</v>
      </c>
      <c r="D34" s="581" t="s">
        <v>1073</v>
      </c>
      <c r="E34" s="487" t="s">
        <v>1040</v>
      </c>
      <c r="F34" s="416">
        <v>563.79999999999995</v>
      </c>
      <c r="G34" s="373" t="s">
        <v>1074</v>
      </c>
      <c r="H34" s="373" t="s">
        <v>1075</v>
      </c>
      <c r="I34" s="373" t="s">
        <v>1015</v>
      </c>
      <c r="J34" s="373" t="s">
        <v>1076</v>
      </c>
      <c r="K34" s="488">
        <v>60</v>
      </c>
      <c r="L34" s="373">
        <v>10</v>
      </c>
      <c r="M34" s="373">
        <v>37</v>
      </c>
      <c r="N34" s="80">
        <v>0.88417878680383111</v>
      </c>
      <c r="O34" s="80" t="s">
        <v>9</v>
      </c>
      <c r="P34" s="489">
        <f>0.1166*212</f>
        <v>24.719200000000001</v>
      </c>
      <c r="Q34" s="277" t="s">
        <v>98</v>
      </c>
      <c r="R34" s="277" t="s">
        <v>98</v>
      </c>
      <c r="S34" s="277" t="s">
        <v>98</v>
      </c>
      <c r="T34" s="277">
        <v>16.899999999999999</v>
      </c>
      <c r="U34" s="419">
        <v>16.899999999999999</v>
      </c>
    </row>
    <row r="35" spans="1:21" ht="17">
      <c r="A35" s="588"/>
      <c r="B35" s="578"/>
      <c r="C35" s="580"/>
      <c r="D35" s="581"/>
      <c r="E35" s="400" t="s">
        <v>1040</v>
      </c>
      <c r="F35" s="411">
        <v>730.5</v>
      </c>
      <c r="G35" s="376" t="s">
        <v>1074</v>
      </c>
      <c r="H35" s="376" t="s">
        <v>1075</v>
      </c>
      <c r="I35" s="376" t="s">
        <v>55</v>
      </c>
      <c r="J35" s="376" t="s">
        <v>1076</v>
      </c>
      <c r="K35" s="476">
        <f>95-K34</f>
        <v>35</v>
      </c>
      <c r="L35" s="376">
        <v>10</v>
      </c>
      <c r="M35" s="376">
        <v>37</v>
      </c>
      <c r="N35" s="20">
        <v>0.87310061601642708</v>
      </c>
      <c r="O35" s="20" t="s">
        <v>9</v>
      </c>
      <c r="P35" s="477">
        <f>0.0355*212</f>
        <v>7.5259999999999989</v>
      </c>
      <c r="Q35" s="414" t="s">
        <v>98</v>
      </c>
      <c r="R35" s="414" t="s">
        <v>98</v>
      </c>
      <c r="S35" s="414" t="s">
        <v>98</v>
      </c>
      <c r="T35" s="414">
        <v>16.899999999999999</v>
      </c>
      <c r="U35" s="402">
        <v>16.899999999999999</v>
      </c>
    </row>
    <row r="36" spans="1:21" ht="17">
      <c r="A36" s="588"/>
      <c r="B36" s="578"/>
      <c r="C36" s="580"/>
      <c r="D36" s="581"/>
      <c r="E36" s="400" t="s">
        <v>1040</v>
      </c>
      <c r="F36" s="411">
        <v>686.3</v>
      </c>
      <c r="G36" s="376" t="s">
        <v>1074</v>
      </c>
      <c r="H36" s="376" t="s">
        <v>1075</v>
      </c>
      <c r="I36" s="376" t="s">
        <v>1015</v>
      </c>
      <c r="J36" s="376" t="s">
        <v>1076</v>
      </c>
      <c r="K36" s="476">
        <f>106-K35-K34</f>
        <v>11</v>
      </c>
      <c r="L36" s="376">
        <v>9.5</v>
      </c>
      <c r="M36" s="376">
        <v>37</v>
      </c>
      <c r="N36" s="20">
        <v>0.4922045752586332</v>
      </c>
      <c r="O36" s="20" t="s">
        <v>9</v>
      </c>
      <c r="P36" s="477">
        <f>0.0733*212</f>
        <v>15.5396</v>
      </c>
      <c r="Q36" s="414" t="s">
        <v>98</v>
      </c>
      <c r="R36" s="414" t="s">
        <v>98</v>
      </c>
      <c r="S36" s="414" t="s">
        <v>98</v>
      </c>
      <c r="T36" s="414">
        <v>16.899999999999999</v>
      </c>
      <c r="U36" s="402">
        <v>16.899999999999999</v>
      </c>
    </row>
    <row r="37" spans="1:21" ht="17">
      <c r="A37" s="588"/>
      <c r="B37" s="578"/>
      <c r="C37" s="580"/>
      <c r="D37" s="581"/>
      <c r="E37" s="400" t="s">
        <v>1040</v>
      </c>
      <c r="F37" s="411">
        <v>659.6</v>
      </c>
      <c r="G37" s="376" t="s">
        <v>1074</v>
      </c>
      <c r="H37" s="376" t="s">
        <v>1075</v>
      </c>
      <c r="I37" s="376" t="s">
        <v>55</v>
      </c>
      <c r="J37" s="376" t="s">
        <v>1076</v>
      </c>
      <c r="K37" s="476">
        <f>118-K36-K35-K34</f>
        <v>12</v>
      </c>
      <c r="L37" s="376">
        <v>10</v>
      </c>
      <c r="M37" s="376">
        <v>31</v>
      </c>
      <c r="N37" s="20">
        <v>0.85081867798665867</v>
      </c>
      <c r="O37" s="20" t="s">
        <v>9</v>
      </c>
      <c r="P37" s="477">
        <f>0.0266*212</f>
        <v>5.6391999999999998</v>
      </c>
      <c r="Q37" s="414" t="s">
        <v>98</v>
      </c>
      <c r="R37" s="414" t="s">
        <v>98</v>
      </c>
      <c r="S37" s="414" t="s">
        <v>98</v>
      </c>
      <c r="T37" s="414">
        <v>16.899999999999999</v>
      </c>
      <c r="U37" s="402">
        <v>16.899999999999999</v>
      </c>
    </row>
    <row r="38" spans="1:21" ht="17">
      <c r="A38" s="586"/>
      <c r="B38" s="579"/>
      <c r="C38" s="580"/>
      <c r="D38" s="581"/>
      <c r="E38" s="484" t="s">
        <v>1040</v>
      </c>
      <c r="F38" s="420">
        <v>583</v>
      </c>
      <c r="G38" s="374" t="s">
        <v>1074</v>
      </c>
      <c r="H38" s="374" t="s">
        <v>1075</v>
      </c>
      <c r="I38" s="374" t="s">
        <v>1015</v>
      </c>
      <c r="J38" s="374" t="s">
        <v>1076</v>
      </c>
      <c r="K38" s="485">
        <f>140-K37-K36-K35-K34</f>
        <v>22</v>
      </c>
      <c r="L38" s="374">
        <v>10</v>
      </c>
      <c r="M38" s="374">
        <v>37</v>
      </c>
      <c r="N38" s="81">
        <v>0.86054888507718696</v>
      </c>
      <c r="O38" s="81" t="s">
        <v>9</v>
      </c>
      <c r="P38" s="486">
        <f>0.0416*212</f>
        <v>8.8192000000000004</v>
      </c>
      <c r="Q38" s="23" t="s">
        <v>98</v>
      </c>
      <c r="R38" s="23" t="s">
        <v>98</v>
      </c>
      <c r="S38" s="23" t="s">
        <v>98</v>
      </c>
      <c r="T38" s="23">
        <v>16.899999999999999</v>
      </c>
      <c r="U38" s="421">
        <v>16.899999999999999</v>
      </c>
    </row>
  </sheetData>
  <mergeCells count="37">
    <mergeCell ref="A4:A24"/>
    <mergeCell ref="A25:A33"/>
    <mergeCell ref="A34:A38"/>
    <mergeCell ref="B4:B24"/>
    <mergeCell ref="Q4:R4"/>
    <mergeCell ref="Q5:R5"/>
    <mergeCell ref="Q6:R6"/>
    <mergeCell ref="Q7:R7"/>
    <mergeCell ref="Q18:R18"/>
    <mergeCell ref="Q19:R19"/>
    <mergeCell ref="Q8:R8"/>
    <mergeCell ref="Q9:R9"/>
    <mergeCell ref="Q10:R10"/>
    <mergeCell ref="Q11:R11"/>
    <mergeCell ref="Q12:R12"/>
    <mergeCell ref="Q13:R13"/>
    <mergeCell ref="B1:B2"/>
    <mergeCell ref="C1:E1"/>
    <mergeCell ref="F1:M1"/>
    <mergeCell ref="N1:P1"/>
    <mergeCell ref="Q1:T1"/>
    <mergeCell ref="B34:B38"/>
    <mergeCell ref="C34:C38"/>
    <mergeCell ref="D34:D38"/>
    <mergeCell ref="A1:A2"/>
    <mergeCell ref="Q20:R20"/>
    <mergeCell ref="Q21:R21"/>
    <mergeCell ref="Q22:R22"/>
    <mergeCell ref="Q23:R23"/>
    <mergeCell ref="Q24:R24"/>
    <mergeCell ref="B25:B33"/>
    <mergeCell ref="C25:C33"/>
    <mergeCell ref="D25:D33"/>
    <mergeCell ref="Q14:R14"/>
    <mergeCell ref="Q15:R15"/>
    <mergeCell ref="Q16:R16"/>
    <mergeCell ref="Q17:R17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93B73-8E6A-A446-84B1-ADBDBAA53527}">
  <dimension ref="A1:N166"/>
  <sheetViews>
    <sheetView zoomScale="84" workbookViewId="0">
      <selection activeCell="F550" sqref="F550"/>
    </sheetView>
  </sheetViews>
  <sheetFormatPr baseColWidth="10" defaultRowHeight="16" customHeight="1"/>
  <cols>
    <col min="1" max="1" width="30.6640625" style="333" customWidth="1"/>
    <col min="2" max="2" width="30.83203125" style="333" customWidth="1"/>
    <col min="3" max="3" width="64.6640625" style="336" customWidth="1"/>
    <col min="4" max="4" width="34.1640625" style="333" customWidth="1"/>
    <col min="5" max="5" width="33" style="333" customWidth="1"/>
    <col min="6" max="6" width="29" style="333" customWidth="1"/>
    <col min="7" max="7" width="24.83203125" style="333" customWidth="1"/>
    <col min="8" max="8" width="17.83203125" style="333" customWidth="1"/>
    <col min="9" max="9" width="32.6640625" style="336" customWidth="1"/>
    <col min="10" max="10" width="29.83203125" style="341" bestFit="1" customWidth="1"/>
    <col min="11" max="11" width="24.1640625" style="39" customWidth="1"/>
    <col min="12" max="12" width="29.33203125" style="333" bestFit="1" customWidth="1"/>
    <col min="13" max="13" width="28.33203125" style="39" bestFit="1" customWidth="1"/>
    <col min="14" max="14" width="98" style="244" bestFit="1" customWidth="1"/>
    <col min="15" max="16384" width="10.83203125" style="251"/>
  </cols>
  <sheetData>
    <row r="1" spans="1:14" ht="16" customHeight="1">
      <c r="A1" s="559" t="s">
        <v>1249</v>
      </c>
      <c r="B1" s="566" t="s">
        <v>8</v>
      </c>
      <c r="C1" s="600" t="s">
        <v>314</v>
      </c>
      <c r="D1" s="600" t="s">
        <v>315</v>
      </c>
      <c r="E1" s="600"/>
      <c r="F1" s="600"/>
      <c r="G1" s="600"/>
      <c r="H1" s="600"/>
      <c r="I1" s="600"/>
      <c r="J1" s="566" t="s">
        <v>316</v>
      </c>
      <c r="K1" s="566" t="s">
        <v>89</v>
      </c>
      <c r="L1" s="566"/>
      <c r="M1" s="566"/>
      <c r="N1" s="566" t="s">
        <v>317</v>
      </c>
    </row>
    <row r="2" spans="1:14" ht="16" customHeight="1">
      <c r="A2" s="559"/>
      <c r="B2" s="566"/>
      <c r="C2" s="600"/>
      <c r="D2" s="234" t="s">
        <v>91</v>
      </c>
      <c r="E2" s="234" t="s">
        <v>318</v>
      </c>
      <c r="F2" s="234" t="s">
        <v>319</v>
      </c>
      <c r="G2" s="234" t="s">
        <v>93</v>
      </c>
      <c r="H2" s="234" t="s">
        <v>320</v>
      </c>
      <c r="I2" s="234" t="s">
        <v>321</v>
      </c>
      <c r="J2" s="566"/>
      <c r="K2" s="234" t="s">
        <v>96</v>
      </c>
      <c r="L2" s="234" t="s">
        <v>4</v>
      </c>
      <c r="M2" s="234" t="s">
        <v>97</v>
      </c>
      <c r="N2" s="566"/>
    </row>
    <row r="3" spans="1:14" ht="16" customHeight="1">
      <c r="A3" s="595">
        <v>1</v>
      </c>
      <c r="B3" s="601" t="s">
        <v>322</v>
      </c>
      <c r="C3" s="252" t="s">
        <v>323</v>
      </c>
      <c r="D3" s="340" t="s">
        <v>324</v>
      </c>
      <c r="E3" s="340" t="s">
        <v>607</v>
      </c>
      <c r="F3" s="340" t="s">
        <v>326</v>
      </c>
      <c r="G3" s="340" t="s">
        <v>607</v>
      </c>
      <c r="H3" s="340" t="s">
        <v>607</v>
      </c>
      <c r="I3" s="341" t="s">
        <v>327</v>
      </c>
      <c r="J3" s="336" t="s">
        <v>607</v>
      </c>
      <c r="K3" s="340" t="s">
        <v>607</v>
      </c>
      <c r="L3" s="340" t="s">
        <v>128</v>
      </c>
      <c r="M3" s="340" t="s">
        <v>607</v>
      </c>
      <c r="N3" s="336" t="s">
        <v>607</v>
      </c>
    </row>
    <row r="4" spans="1:14" ht="16" customHeight="1">
      <c r="A4" s="595"/>
      <c r="B4" s="601"/>
      <c r="C4" s="252" t="s">
        <v>328</v>
      </c>
      <c r="D4" s="340" t="s">
        <v>324</v>
      </c>
      <c r="E4" s="340" t="s">
        <v>607</v>
      </c>
      <c r="F4" s="340" t="s">
        <v>326</v>
      </c>
      <c r="G4" s="340" t="s">
        <v>607</v>
      </c>
      <c r="H4" s="340" t="s">
        <v>607</v>
      </c>
      <c r="I4" s="341" t="s">
        <v>327</v>
      </c>
      <c r="J4" s="336" t="s">
        <v>607</v>
      </c>
      <c r="K4" s="340" t="s">
        <v>607</v>
      </c>
      <c r="L4" s="340" t="s">
        <v>128</v>
      </c>
      <c r="M4" s="340" t="s">
        <v>607</v>
      </c>
      <c r="N4" s="336" t="s">
        <v>607</v>
      </c>
    </row>
    <row r="5" spans="1:14" ht="16" customHeight="1">
      <c r="A5" s="595"/>
      <c r="B5" s="601"/>
      <c r="C5" s="252" t="s">
        <v>329</v>
      </c>
      <c r="D5" s="340" t="s">
        <v>324</v>
      </c>
      <c r="E5" s="340" t="s">
        <v>607</v>
      </c>
      <c r="F5" s="340" t="s">
        <v>326</v>
      </c>
      <c r="G5" s="340" t="s">
        <v>607</v>
      </c>
      <c r="H5" s="340" t="s">
        <v>607</v>
      </c>
      <c r="I5" s="341" t="s">
        <v>327</v>
      </c>
      <c r="J5" s="336" t="s">
        <v>607</v>
      </c>
      <c r="K5" s="340" t="s">
        <v>607</v>
      </c>
      <c r="L5" s="340" t="s">
        <v>128</v>
      </c>
      <c r="M5" s="340" t="s">
        <v>607</v>
      </c>
      <c r="N5" s="336" t="s">
        <v>607</v>
      </c>
    </row>
    <row r="6" spans="1:14" ht="16" customHeight="1">
      <c r="A6" s="595"/>
      <c r="B6" s="601"/>
      <c r="C6" s="252" t="s">
        <v>330</v>
      </c>
      <c r="D6" s="340" t="s">
        <v>324</v>
      </c>
      <c r="E6" s="340" t="s">
        <v>607</v>
      </c>
      <c r="F6" s="340" t="s">
        <v>326</v>
      </c>
      <c r="G6" s="340" t="s">
        <v>607</v>
      </c>
      <c r="H6" s="340" t="s">
        <v>607</v>
      </c>
      <c r="I6" s="341" t="s">
        <v>327</v>
      </c>
      <c r="J6" s="336" t="s">
        <v>607</v>
      </c>
      <c r="K6" s="340" t="s">
        <v>607</v>
      </c>
      <c r="L6" s="340" t="s">
        <v>128</v>
      </c>
      <c r="M6" s="340" t="s">
        <v>607</v>
      </c>
      <c r="N6" s="336" t="s">
        <v>607</v>
      </c>
    </row>
    <row r="7" spans="1:14" ht="16" customHeight="1">
      <c r="A7" s="595"/>
      <c r="B7" s="601"/>
      <c r="C7" s="252" t="s">
        <v>331</v>
      </c>
      <c r="D7" s="340" t="s">
        <v>324</v>
      </c>
      <c r="E7" s="340" t="s">
        <v>607</v>
      </c>
      <c r="F7" s="340" t="s">
        <v>326</v>
      </c>
      <c r="G7" s="340" t="s">
        <v>607</v>
      </c>
      <c r="H7" s="340" t="s">
        <v>607</v>
      </c>
      <c r="I7" s="341" t="s">
        <v>327</v>
      </c>
      <c r="J7" s="336" t="s">
        <v>607</v>
      </c>
      <c r="K7" s="340" t="s">
        <v>607</v>
      </c>
      <c r="L7" s="340" t="s">
        <v>128</v>
      </c>
      <c r="M7" s="340" t="s">
        <v>607</v>
      </c>
      <c r="N7" s="336" t="s">
        <v>607</v>
      </c>
    </row>
    <row r="8" spans="1:14" ht="16" customHeight="1">
      <c r="A8" s="595"/>
      <c r="B8" s="601"/>
      <c r="C8" s="252" t="s">
        <v>332</v>
      </c>
      <c r="D8" s="340" t="s">
        <v>324</v>
      </c>
      <c r="E8" s="340" t="s">
        <v>607</v>
      </c>
      <c r="F8" s="340" t="s">
        <v>326</v>
      </c>
      <c r="G8" s="340" t="s">
        <v>607</v>
      </c>
      <c r="H8" s="340" t="s">
        <v>607</v>
      </c>
      <c r="I8" s="341" t="s">
        <v>327</v>
      </c>
      <c r="J8" s="336" t="s">
        <v>607</v>
      </c>
      <c r="K8" s="340" t="s">
        <v>607</v>
      </c>
      <c r="L8" s="340" t="s">
        <v>128</v>
      </c>
      <c r="M8" s="340" t="s">
        <v>607</v>
      </c>
      <c r="N8" s="336" t="s">
        <v>607</v>
      </c>
    </row>
    <row r="9" spans="1:14" ht="16" customHeight="1">
      <c r="A9" s="595"/>
      <c r="B9" s="601"/>
      <c r="C9" s="252" t="s">
        <v>333</v>
      </c>
      <c r="D9" s="340" t="s">
        <v>324</v>
      </c>
      <c r="E9" s="340" t="s">
        <v>607</v>
      </c>
      <c r="F9" s="340" t="s">
        <v>326</v>
      </c>
      <c r="G9" s="340" t="s">
        <v>607</v>
      </c>
      <c r="H9" s="340" t="s">
        <v>607</v>
      </c>
      <c r="I9" s="341" t="s">
        <v>327</v>
      </c>
      <c r="J9" s="336" t="s">
        <v>607</v>
      </c>
      <c r="K9" s="340" t="s">
        <v>607</v>
      </c>
      <c r="L9" s="340" t="s">
        <v>128</v>
      </c>
      <c r="M9" s="340" t="s">
        <v>607</v>
      </c>
      <c r="N9" s="336" t="s">
        <v>607</v>
      </c>
    </row>
    <row r="10" spans="1:14" ht="16" customHeight="1">
      <c r="A10" s="595"/>
      <c r="B10" s="601"/>
      <c r="C10" s="252" t="s">
        <v>334</v>
      </c>
      <c r="D10" s="340" t="s">
        <v>324</v>
      </c>
      <c r="E10" s="340" t="s">
        <v>607</v>
      </c>
      <c r="F10" s="340" t="s">
        <v>326</v>
      </c>
      <c r="G10" s="340" t="s">
        <v>607</v>
      </c>
      <c r="H10" s="340" t="s">
        <v>607</v>
      </c>
      <c r="I10" s="341" t="s">
        <v>335</v>
      </c>
      <c r="J10" s="336" t="s">
        <v>607</v>
      </c>
      <c r="K10" s="340" t="s">
        <v>607</v>
      </c>
      <c r="L10" s="340" t="s">
        <v>128</v>
      </c>
      <c r="M10" s="340" t="s">
        <v>607</v>
      </c>
      <c r="N10" s="336" t="s">
        <v>607</v>
      </c>
    </row>
    <row r="11" spans="1:14" ht="16" customHeight="1">
      <c r="A11" s="595"/>
      <c r="B11" s="601"/>
      <c r="C11" s="252" t="s">
        <v>336</v>
      </c>
      <c r="D11" s="340" t="s">
        <v>324</v>
      </c>
      <c r="E11" s="340" t="s">
        <v>607</v>
      </c>
      <c r="F11" s="340" t="s">
        <v>326</v>
      </c>
      <c r="G11" s="340" t="s">
        <v>607</v>
      </c>
      <c r="H11" s="340" t="s">
        <v>607</v>
      </c>
      <c r="I11" s="341" t="s">
        <v>335</v>
      </c>
      <c r="J11" s="336" t="s">
        <v>607</v>
      </c>
      <c r="K11" s="340" t="s">
        <v>607</v>
      </c>
      <c r="L11" s="340" t="s">
        <v>128</v>
      </c>
      <c r="M11" s="340" t="s">
        <v>607</v>
      </c>
      <c r="N11" s="336" t="s">
        <v>607</v>
      </c>
    </row>
    <row r="12" spans="1:14" ht="16" customHeight="1">
      <c r="A12" s="595"/>
      <c r="B12" s="601"/>
      <c r="C12" s="252" t="s">
        <v>337</v>
      </c>
      <c r="D12" s="340" t="s">
        <v>324</v>
      </c>
      <c r="E12" s="340" t="s">
        <v>607</v>
      </c>
      <c r="F12" s="340" t="s">
        <v>326</v>
      </c>
      <c r="G12" s="340" t="s">
        <v>607</v>
      </c>
      <c r="H12" s="340" t="s">
        <v>607</v>
      </c>
      <c r="I12" s="341" t="s">
        <v>338</v>
      </c>
      <c r="J12" s="336" t="s">
        <v>607</v>
      </c>
      <c r="K12" s="340" t="s">
        <v>607</v>
      </c>
      <c r="L12" s="340" t="s">
        <v>128</v>
      </c>
      <c r="M12" s="340" t="s">
        <v>607</v>
      </c>
      <c r="N12" s="336" t="s">
        <v>607</v>
      </c>
    </row>
    <row r="13" spans="1:14" ht="16" customHeight="1">
      <c r="A13" s="596"/>
      <c r="B13" s="602"/>
      <c r="C13" s="252" t="s">
        <v>339</v>
      </c>
      <c r="D13" s="340" t="s">
        <v>324</v>
      </c>
      <c r="E13" s="340" t="s">
        <v>607</v>
      </c>
      <c r="F13" s="340" t="s">
        <v>326</v>
      </c>
      <c r="G13" s="340" t="s">
        <v>607</v>
      </c>
      <c r="H13" s="340" t="s">
        <v>607</v>
      </c>
      <c r="I13" s="341" t="s">
        <v>338</v>
      </c>
      <c r="J13" s="336" t="s">
        <v>607</v>
      </c>
      <c r="K13" s="340" t="s">
        <v>607</v>
      </c>
      <c r="L13" s="340" t="s">
        <v>128</v>
      </c>
      <c r="M13" s="340" t="s">
        <v>607</v>
      </c>
      <c r="N13" s="336" t="s">
        <v>607</v>
      </c>
    </row>
    <row r="14" spans="1:14" ht="16" customHeight="1">
      <c r="A14" s="253">
        <v>2</v>
      </c>
      <c r="B14" s="254" t="s">
        <v>340</v>
      </c>
      <c r="C14" s="255" t="s">
        <v>607</v>
      </c>
      <c r="D14" s="253" t="s">
        <v>607</v>
      </c>
      <c r="E14" s="253" t="s">
        <v>607</v>
      </c>
      <c r="F14" s="253" t="s">
        <v>607</v>
      </c>
      <c r="G14" s="253" t="s">
        <v>607</v>
      </c>
      <c r="H14" s="253" t="s">
        <v>607</v>
      </c>
      <c r="I14" s="255" t="s">
        <v>607</v>
      </c>
      <c r="J14" s="255" t="s">
        <v>607</v>
      </c>
      <c r="K14" s="253" t="s">
        <v>607</v>
      </c>
      <c r="L14" s="253" t="s">
        <v>607</v>
      </c>
      <c r="M14" s="253" t="s">
        <v>607</v>
      </c>
      <c r="N14" s="255" t="s">
        <v>607</v>
      </c>
    </row>
    <row r="15" spans="1:14" ht="16" customHeight="1">
      <c r="A15" s="594">
        <v>3</v>
      </c>
      <c r="B15" s="597" t="s">
        <v>341</v>
      </c>
      <c r="C15" s="252" t="s">
        <v>342</v>
      </c>
      <c r="D15" s="340" t="s">
        <v>607</v>
      </c>
      <c r="E15" s="340" t="s">
        <v>607</v>
      </c>
      <c r="F15" s="380" t="s">
        <v>343</v>
      </c>
      <c r="G15" s="380" t="s">
        <v>607</v>
      </c>
      <c r="H15" s="340" t="s">
        <v>607</v>
      </c>
      <c r="I15" s="336" t="s">
        <v>607</v>
      </c>
      <c r="J15" s="336" t="s">
        <v>607</v>
      </c>
      <c r="K15" s="340" t="s">
        <v>607</v>
      </c>
      <c r="L15" s="330" t="s">
        <v>128</v>
      </c>
      <c r="M15" s="330" t="s">
        <v>607</v>
      </c>
      <c r="N15" s="341" t="s">
        <v>607</v>
      </c>
    </row>
    <row r="16" spans="1:14" ht="16" customHeight="1">
      <c r="A16" s="595"/>
      <c r="B16" s="598"/>
      <c r="C16" s="252" t="s">
        <v>344</v>
      </c>
      <c r="D16" s="340" t="s">
        <v>607</v>
      </c>
      <c r="E16" s="340" t="s">
        <v>607</v>
      </c>
      <c r="F16" s="380" t="s">
        <v>345</v>
      </c>
      <c r="G16" s="380" t="s">
        <v>607</v>
      </c>
      <c r="H16" s="340" t="s">
        <v>607</v>
      </c>
      <c r="I16" s="336" t="s">
        <v>607</v>
      </c>
      <c r="J16" s="336" t="s">
        <v>607</v>
      </c>
      <c r="K16" s="340" t="s">
        <v>607</v>
      </c>
      <c r="L16" s="330" t="s">
        <v>128</v>
      </c>
      <c r="M16" s="330" t="s">
        <v>607</v>
      </c>
      <c r="N16" s="341" t="s">
        <v>607</v>
      </c>
    </row>
    <row r="17" spans="1:14" ht="16" customHeight="1">
      <c r="A17" s="595"/>
      <c r="B17" s="598"/>
      <c r="C17" s="252" t="s">
        <v>346</v>
      </c>
      <c r="D17" s="340" t="s">
        <v>607</v>
      </c>
      <c r="E17" s="340" t="s">
        <v>607</v>
      </c>
      <c r="F17" s="380" t="s">
        <v>347</v>
      </c>
      <c r="G17" s="380" t="s">
        <v>607</v>
      </c>
      <c r="H17" s="340" t="s">
        <v>607</v>
      </c>
      <c r="I17" s="336" t="s">
        <v>607</v>
      </c>
      <c r="J17" s="336" t="s">
        <v>607</v>
      </c>
      <c r="K17" s="340" t="s">
        <v>607</v>
      </c>
      <c r="L17" s="330" t="s">
        <v>128</v>
      </c>
      <c r="M17" s="330" t="s">
        <v>607</v>
      </c>
      <c r="N17" s="341" t="s">
        <v>607</v>
      </c>
    </row>
    <row r="18" spans="1:14" ht="16" customHeight="1">
      <c r="A18" s="595"/>
      <c r="B18" s="598"/>
      <c r="C18" s="252" t="s">
        <v>348</v>
      </c>
      <c r="D18" s="340" t="s">
        <v>607</v>
      </c>
      <c r="E18" s="340" t="s">
        <v>607</v>
      </c>
      <c r="F18" s="380" t="s">
        <v>349</v>
      </c>
      <c r="G18" s="380" t="s">
        <v>607</v>
      </c>
      <c r="H18" s="340" t="s">
        <v>607</v>
      </c>
      <c r="I18" s="336" t="s">
        <v>607</v>
      </c>
      <c r="J18" s="336" t="s">
        <v>607</v>
      </c>
      <c r="K18" s="340" t="s">
        <v>607</v>
      </c>
      <c r="L18" s="330" t="s">
        <v>128</v>
      </c>
      <c r="M18" s="330" t="s">
        <v>607</v>
      </c>
      <c r="N18" s="341" t="s">
        <v>607</v>
      </c>
    </row>
    <row r="19" spans="1:14" ht="16" customHeight="1">
      <c r="A19" s="595"/>
      <c r="B19" s="598"/>
      <c r="C19" s="252" t="s">
        <v>350</v>
      </c>
      <c r="D19" s="340" t="s">
        <v>607</v>
      </c>
      <c r="E19" s="340" t="s">
        <v>607</v>
      </c>
      <c r="F19" s="380" t="s">
        <v>351</v>
      </c>
      <c r="G19" s="380" t="s">
        <v>607</v>
      </c>
      <c r="H19" s="340" t="s">
        <v>607</v>
      </c>
      <c r="I19" s="336" t="s">
        <v>607</v>
      </c>
      <c r="J19" s="336" t="s">
        <v>607</v>
      </c>
      <c r="K19" s="340" t="s">
        <v>607</v>
      </c>
      <c r="L19" s="330" t="s">
        <v>128</v>
      </c>
      <c r="M19" s="330" t="s">
        <v>607</v>
      </c>
      <c r="N19" s="341" t="s">
        <v>607</v>
      </c>
    </row>
    <row r="20" spans="1:14" ht="16" customHeight="1">
      <c r="A20" s="595"/>
      <c r="B20" s="598"/>
      <c r="C20" s="252" t="s">
        <v>342</v>
      </c>
      <c r="D20" s="340" t="s">
        <v>607</v>
      </c>
      <c r="E20" s="340" t="s">
        <v>607</v>
      </c>
      <c r="F20" s="380" t="s">
        <v>352</v>
      </c>
      <c r="G20" s="380" t="s">
        <v>607</v>
      </c>
      <c r="H20" s="340" t="s">
        <v>607</v>
      </c>
      <c r="I20" s="336" t="s">
        <v>607</v>
      </c>
      <c r="J20" s="336" t="s">
        <v>607</v>
      </c>
      <c r="K20" s="340" t="s">
        <v>607</v>
      </c>
      <c r="L20" s="330" t="s">
        <v>128</v>
      </c>
      <c r="M20" s="330" t="s">
        <v>607</v>
      </c>
      <c r="N20" s="341" t="s">
        <v>607</v>
      </c>
    </row>
    <row r="21" spans="1:14" ht="16" customHeight="1">
      <c r="A21" s="595"/>
      <c r="B21" s="598"/>
      <c r="C21" s="252" t="s">
        <v>344</v>
      </c>
      <c r="D21" s="340" t="s">
        <v>607</v>
      </c>
      <c r="E21" s="340" t="s">
        <v>607</v>
      </c>
      <c r="F21" s="380" t="s">
        <v>353</v>
      </c>
      <c r="G21" s="380" t="s">
        <v>607</v>
      </c>
      <c r="H21" s="340" t="s">
        <v>607</v>
      </c>
      <c r="I21" s="336" t="s">
        <v>607</v>
      </c>
      <c r="J21" s="336" t="s">
        <v>607</v>
      </c>
      <c r="K21" s="340" t="s">
        <v>607</v>
      </c>
      <c r="L21" s="330" t="s">
        <v>128</v>
      </c>
      <c r="M21" s="330" t="s">
        <v>607</v>
      </c>
      <c r="N21" s="341" t="s">
        <v>607</v>
      </c>
    </row>
    <row r="22" spans="1:14" ht="16" customHeight="1">
      <c r="A22" s="595"/>
      <c r="B22" s="598"/>
      <c r="C22" s="252" t="s">
        <v>346</v>
      </c>
      <c r="D22" s="340" t="s">
        <v>607</v>
      </c>
      <c r="E22" s="340" t="s">
        <v>607</v>
      </c>
      <c r="F22" s="380" t="s">
        <v>354</v>
      </c>
      <c r="G22" s="380" t="s">
        <v>607</v>
      </c>
      <c r="H22" s="340" t="s">
        <v>607</v>
      </c>
      <c r="I22" s="336" t="s">
        <v>607</v>
      </c>
      <c r="J22" s="336" t="s">
        <v>607</v>
      </c>
      <c r="K22" s="340" t="s">
        <v>607</v>
      </c>
      <c r="L22" s="330" t="s">
        <v>128</v>
      </c>
      <c r="M22" s="330" t="s">
        <v>607</v>
      </c>
      <c r="N22" s="341" t="s">
        <v>607</v>
      </c>
    </row>
    <row r="23" spans="1:14" ht="16" customHeight="1">
      <c r="A23" s="595"/>
      <c r="B23" s="598"/>
      <c r="C23" s="252" t="s">
        <v>348</v>
      </c>
      <c r="D23" s="340" t="s">
        <v>607</v>
      </c>
      <c r="E23" s="340" t="s">
        <v>607</v>
      </c>
      <c r="F23" s="380" t="s">
        <v>355</v>
      </c>
      <c r="G23" s="380" t="s">
        <v>607</v>
      </c>
      <c r="H23" s="340" t="s">
        <v>607</v>
      </c>
      <c r="I23" s="336" t="s">
        <v>607</v>
      </c>
      <c r="J23" s="336" t="s">
        <v>607</v>
      </c>
      <c r="K23" s="340" t="s">
        <v>607</v>
      </c>
      <c r="L23" s="330" t="s">
        <v>128</v>
      </c>
      <c r="M23" s="330" t="s">
        <v>607</v>
      </c>
      <c r="N23" s="341" t="s">
        <v>607</v>
      </c>
    </row>
    <row r="24" spans="1:14" ht="16" customHeight="1">
      <c r="A24" s="595"/>
      <c r="B24" s="598"/>
      <c r="C24" s="252" t="s">
        <v>350</v>
      </c>
      <c r="D24" s="340" t="s">
        <v>607</v>
      </c>
      <c r="E24" s="340" t="s">
        <v>607</v>
      </c>
      <c r="F24" s="380" t="s">
        <v>356</v>
      </c>
      <c r="G24" s="380" t="s">
        <v>607</v>
      </c>
      <c r="H24" s="340" t="s">
        <v>607</v>
      </c>
      <c r="I24" s="336" t="s">
        <v>607</v>
      </c>
      <c r="J24" s="336" t="s">
        <v>607</v>
      </c>
      <c r="K24" s="340" t="s">
        <v>607</v>
      </c>
      <c r="L24" s="330" t="s">
        <v>128</v>
      </c>
      <c r="M24" s="330" t="s">
        <v>607</v>
      </c>
      <c r="N24" s="341" t="s">
        <v>607</v>
      </c>
    </row>
    <row r="25" spans="1:14" ht="16" customHeight="1">
      <c r="A25" s="595"/>
      <c r="B25" s="598"/>
      <c r="C25" s="252" t="s">
        <v>342</v>
      </c>
      <c r="D25" s="340" t="s">
        <v>607</v>
      </c>
      <c r="E25" s="340" t="s">
        <v>607</v>
      </c>
      <c r="F25" s="380" t="s">
        <v>357</v>
      </c>
      <c r="G25" s="380" t="s">
        <v>607</v>
      </c>
      <c r="H25" s="340" t="s">
        <v>607</v>
      </c>
      <c r="I25" s="336" t="s">
        <v>607</v>
      </c>
      <c r="J25" s="336" t="s">
        <v>607</v>
      </c>
      <c r="K25" s="340" t="s">
        <v>607</v>
      </c>
      <c r="L25" s="330" t="s">
        <v>128</v>
      </c>
      <c r="M25" s="330" t="s">
        <v>607</v>
      </c>
      <c r="N25" s="341" t="s">
        <v>607</v>
      </c>
    </row>
    <row r="26" spans="1:14" ht="16" customHeight="1">
      <c r="A26" s="595"/>
      <c r="B26" s="598"/>
      <c r="C26" s="252" t="s">
        <v>344</v>
      </c>
      <c r="D26" s="340" t="s">
        <v>607</v>
      </c>
      <c r="E26" s="340" t="s">
        <v>607</v>
      </c>
      <c r="F26" s="380" t="s">
        <v>358</v>
      </c>
      <c r="G26" s="380" t="s">
        <v>607</v>
      </c>
      <c r="H26" s="340" t="s">
        <v>607</v>
      </c>
      <c r="I26" s="336" t="s">
        <v>607</v>
      </c>
      <c r="J26" s="336" t="s">
        <v>607</v>
      </c>
      <c r="K26" s="340" t="s">
        <v>607</v>
      </c>
      <c r="L26" s="330" t="s">
        <v>128</v>
      </c>
      <c r="M26" s="330" t="s">
        <v>607</v>
      </c>
      <c r="N26" s="341" t="s">
        <v>607</v>
      </c>
    </row>
    <row r="27" spans="1:14" ht="16" customHeight="1">
      <c r="A27" s="595"/>
      <c r="B27" s="598"/>
      <c r="C27" s="252" t="s">
        <v>346</v>
      </c>
      <c r="D27" s="340" t="s">
        <v>607</v>
      </c>
      <c r="E27" s="340" t="s">
        <v>607</v>
      </c>
      <c r="F27" s="380" t="s">
        <v>359</v>
      </c>
      <c r="G27" s="380" t="s">
        <v>607</v>
      </c>
      <c r="H27" s="340" t="s">
        <v>607</v>
      </c>
      <c r="I27" s="336" t="s">
        <v>607</v>
      </c>
      <c r="J27" s="336" t="s">
        <v>607</v>
      </c>
      <c r="K27" s="340" t="s">
        <v>607</v>
      </c>
      <c r="L27" s="330" t="s">
        <v>128</v>
      </c>
      <c r="M27" s="330" t="s">
        <v>607</v>
      </c>
      <c r="N27" s="341" t="s">
        <v>607</v>
      </c>
    </row>
    <row r="28" spans="1:14" ht="16" customHeight="1">
      <c r="A28" s="595"/>
      <c r="B28" s="598"/>
      <c r="C28" s="252" t="s">
        <v>348</v>
      </c>
      <c r="D28" s="340" t="s">
        <v>607</v>
      </c>
      <c r="E28" s="340" t="s">
        <v>607</v>
      </c>
      <c r="F28" s="380" t="s">
        <v>360</v>
      </c>
      <c r="G28" s="380" t="s">
        <v>607</v>
      </c>
      <c r="H28" s="340" t="s">
        <v>607</v>
      </c>
      <c r="I28" s="336" t="s">
        <v>607</v>
      </c>
      <c r="J28" s="336" t="s">
        <v>607</v>
      </c>
      <c r="K28" s="340" t="s">
        <v>607</v>
      </c>
      <c r="L28" s="330" t="s">
        <v>128</v>
      </c>
      <c r="M28" s="330" t="s">
        <v>607</v>
      </c>
      <c r="N28" s="341" t="s">
        <v>607</v>
      </c>
    </row>
    <row r="29" spans="1:14" ht="16" customHeight="1">
      <c r="A29" s="595"/>
      <c r="B29" s="598"/>
      <c r="C29" s="252" t="s">
        <v>350</v>
      </c>
      <c r="D29" s="340" t="s">
        <v>607</v>
      </c>
      <c r="E29" s="340" t="s">
        <v>607</v>
      </c>
      <c r="F29" s="380" t="s">
        <v>361</v>
      </c>
      <c r="G29" s="380" t="s">
        <v>607</v>
      </c>
      <c r="H29" s="340" t="s">
        <v>607</v>
      </c>
      <c r="I29" s="336" t="s">
        <v>607</v>
      </c>
      <c r="J29" s="336" t="s">
        <v>607</v>
      </c>
      <c r="K29" s="340" t="s">
        <v>607</v>
      </c>
      <c r="L29" s="330" t="s">
        <v>128</v>
      </c>
      <c r="M29" s="330" t="s">
        <v>607</v>
      </c>
      <c r="N29" s="341" t="s">
        <v>607</v>
      </c>
    </row>
    <row r="30" spans="1:14" ht="16" customHeight="1">
      <c r="A30" s="595"/>
      <c r="B30" s="598"/>
      <c r="C30" s="252" t="s">
        <v>342</v>
      </c>
      <c r="D30" s="340" t="s">
        <v>607</v>
      </c>
      <c r="E30" s="340" t="s">
        <v>607</v>
      </c>
      <c r="F30" s="380" t="s">
        <v>362</v>
      </c>
      <c r="G30" s="380" t="s">
        <v>607</v>
      </c>
      <c r="H30" s="340" t="s">
        <v>607</v>
      </c>
      <c r="I30" s="336" t="s">
        <v>607</v>
      </c>
      <c r="J30" s="336" t="s">
        <v>607</v>
      </c>
      <c r="K30" s="340" t="s">
        <v>607</v>
      </c>
      <c r="L30" s="330" t="s">
        <v>128</v>
      </c>
      <c r="M30" s="330" t="s">
        <v>607</v>
      </c>
      <c r="N30" s="341" t="s">
        <v>607</v>
      </c>
    </row>
    <row r="31" spans="1:14" ht="16" customHeight="1">
      <c r="A31" s="595"/>
      <c r="B31" s="598"/>
      <c r="C31" s="252" t="s">
        <v>344</v>
      </c>
      <c r="D31" s="340" t="s">
        <v>607</v>
      </c>
      <c r="E31" s="340" t="s">
        <v>607</v>
      </c>
      <c r="F31" s="380" t="s">
        <v>363</v>
      </c>
      <c r="G31" s="380" t="s">
        <v>607</v>
      </c>
      <c r="H31" s="340" t="s">
        <v>607</v>
      </c>
      <c r="I31" s="336" t="s">
        <v>607</v>
      </c>
      <c r="J31" s="336" t="s">
        <v>607</v>
      </c>
      <c r="K31" s="340" t="s">
        <v>607</v>
      </c>
      <c r="L31" s="330" t="s">
        <v>128</v>
      </c>
      <c r="M31" s="330" t="s">
        <v>607</v>
      </c>
      <c r="N31" s="341" t="s">
        <v>607</v>
      </c>
    </row>
    <row r="32" spans="1:14" ht="16" customHeight="1">
      <c r="A32" s="595"/>
      <c r="B32" s="598"/>
      <c r="C32" s="252" t="s">
        <v>346</v>
      </c>
      <c r="D32" s="340" t="s">
        <v>607</v>
      </c>
      <c r="E32" s="340" t="s">
        <v>607</v>
      </c>
      <c r="F32" s="380" t="s">
        <v>364</v>
      </c>
      <c r="G32" s="380" t="s">
        <v>607</v>
      </c>
      <c r="H32" s="340" t="s">
        <v>607</v>
      </c>
      <c r="I32" s="336" t="s">
        <v>607</v>
      </c>
      <c r="J32" s="336" t="s">
        <v>607</v>
      </c>
      <c r="K32" s="340" t="s">
        <v>607</v>
      </c>
      <c r="L32" s="330" t="s">
        <v>128</v>
      </c>
      <c r="M32" s="330" t="s">
        <v>607</v>
      </c>
      <c r="N32" s="341" t="s">
        <v>607</v>
      </c>
    </row>
    <row r="33" spans="1:14" ht="16" customHeight="1">
      <c r="A33" s="595"/>
      <c r="B33" s="598"/>
      <c r="C33" s="252" t="s">
        <v>348</v>
      </c>
      <c r="D33" s="340" t="s">
        <v>607</v>
      </c>
      <c r="E33" s="340" t="s">
        <v>607</v>
      </c>
      <c r="F33" s="380" t="s">
        <v>365</v>
      </c>
      <c r="G33" s="380" t="s">
        <v>607</v>
      </c>
      <c r="H33" s="340" t="s">
        <v>607</v>
      </c>
      <c r="I33" s="336" t="s">
        <v>607</v>
      </c>
      <c r="J33" s="336" t="s">
        <v>607</v>
      </c>
      <c r="K33" s="340" t="s">
        <v>607</v>
      </c>
      <c r="L33" s="330" t="s">
        <v>128</v>
      </c>
      <c r="M33" s="330" t="s">
        <v>607</v>
      </c>
      <c r="N33" s="341" t="s">
        <v>607</v>
      </c>
    </row>
    <row r="34" spans="1:14" ht="16" customHeight="1">
      <c r="A34" s="595"/>
      <c r="B34" s="598"/>
      <c r="C34" s="252" t="s">
        <v>350</v>
      </c>
      <c r="D34" s="340" t="s">
        <v>607</v>
      </c>
      <c r="E34" s="340" t="s">
        <v>607</v>
      </c>
      <c r="F34" s="380" t="s">
        <v>366</v>
      </c>
      <c r="G34" s="380" t="s">
        <v>607</v>
      </c>
      <c r="H34" s="340" t="s">
        <v>607</v>
      </c>
      <c r="I34" s="336" t="s">
        <v>607</v>
      </c>
      <c r="J34" s="336" t="s">
        <v>607</v>
      </c>
      <c r="K34" s="340" t="s">
        <v>607</v>
      </c>
      <c r="L34" s="330" t="s">
        <v>128</v>
      </c>
      <c r="M34" s="330" t="s">
        <v>607</v>
      </c>
      <c r="N34" s="341" t="s">
        <v>607</v>
      </c>
    </row>
    <row r="35" spans="1:14" ht="16" customHeight="1">
      <c r="A35" s="595"/>
      <c r="B35" s="598"/>
      <c r="C35" s="252" t="s">
        <v>342</v>
      </c>
      <c r="D35" s="340" t="s">
        <v>607</v>
      </c>
      <c r="E35" s="340" t="s">
        <v>607</v>
      </c>
      <c r="F35" s="380" t="s">
        <v>367</v>
      </c>
      <c r="G35" s="380" t="s">
        <v>607</v>
      </c>
      <c r="H35" s="340" t="s">
        <v>607</v>
      </c>
      <c r="I35" s="336" t="s">
        <v>607</v>
      </c>
      <c r="J35" s="336" t="s">
        <v>607</v>
      </c>
      <c r="K35" s="340" t="s">
        <v>607</v>
      </c>
      <c r="L35" s="330" t="s">
        <v>128</v>
      </c>
      <c r="M35" s="330" t="s">
        <v>607</v>
      </c>
      <c r="N35" s="341" t="s">
        <v>607</v>
      </c>
    </row>
    <row r="36" spans="1:14" ht="16" customHeight="1">
      <c r="A36" s="595"/>
      <c r="B36" s="598"/>
      <c r="C36" s="252" t="s">
        <v>344</v>
      </c>
      <c r="D36" s="340" t="s">
        <v>607</v>
      </c>
      <c r="E36" s="340" t="s">
        <v>607</v>
      </c>
      <c r="F36" s="380" t="s">
        <v>368</v>
      </c>
      <c r="G36" s="380" t="s">
        <v>607</v>
      </c>
      <c r="H36" s="340" t="s">
        <v>607</v>
      </c>
      <c r="I36" s="336" t="s">
        <v>607</v>
      </c>
      <c r="J36" s="336" t="s">
        <v>607</v>
      </c>
      <c r="K36" s="340" t="s">
        <v>607</v>
      </c>
      <c r="L36" s="330" t="s">
        <v>128</v>
      </c>
      <c r="M36" s="330" t="s">
        <v>607</v>
      </c>
      <c r="N36" s="341" t="s">
        <v>607</v>
      </c>
    </row>
    <row r="37" spans="1:14" ht="16" customHeight="1">
      <c r="A37" s="595"/>
      <c r="B37" s="598"/>
      <c r="C37" s="252" t="s">
        <v>346</v>
      </c>
      <c r="D37" s="340" t="s">
        <v>607</v>
      </c>
      <c r="E37" s="340" t="s">
        <v>607</v>
      </c>
      <c r="F37" s="380" t="s">
        <v>369</v>
      </c>
      <c r="G37" s="380" t="s">
        <v>607</v>
      </c>
      <c r="H37" s="340" t="s">
        <v>607</v>
      </c>
      <c r="I37" s="336" t="s">
        <v>607</v>
      </c>
      <c r="J37" s="336" t="s">
        <v>607</v>
      </c>
      <c r="K37" s="340" t="s">
        <v>607</v>
      </c>
      <c r="L37" s="330" t="s">
        <v>128</v>
      </c>
      <c r="M37" s="330" t="s">
        <v>607</v>
      </c>
      <c r="N37" s="341" t="s">
        <v>607</v>
      </c>
    </row>
    <row r="38" spans="1:14" ht="16" customHeight="1">
      <c r="A38" s="595"/>
      <c r="B38" s="598"/>
      <c r="C38" s="252" t="s">
        <v>348</v>
      </c>
      <c r="D38" s="340" t="s">
        <v>607</v>
      </c>
      <c r="E38" s="340" t="s">
        <v>607</v>
      </c>
      <c r="F38" s="380" t="s">
        <v>370</v>
      </c>
      <c r="G38" s="380" t="s">
        <v>607</v>
      </c>
      <c r="H38" s="340" t="s">
        <v>607</v>
      </c>
      <c r="I38" s="336" t="s">
        <v>607</v>
      </c>
      <c r="J38" s="336" t="s">
        <v>607</v>
      </c>
      <c r="K38" s="340" t="s">
        <v>607</v>
      </c>
      <c r="L38" s="330" t="s">
        <v>128</v>
      </c>
      <c r="M38" s="330" t="s">
        <v>607</v>
      </c>
      <c r="N38" s="341" t="s">
        <v>607</v>
      </c>
    </row>
    <row r="39" spans="1:14" ht="16" customHeight="1">
      <c r="A39" s="595"/>
      <c r="B39" s="598"/>
      <c r="C39" s="252" t="s">
        <v>350</v>
      </c>
      <c r="D39" s="340" t="s">
        <v>607</v>
      </c>
      <c r="E39" s="340" t="s">
        <v>607</v>
      </c>
      <c r="F39" s="380" t="s">
        <v>371</v>
      </c>
      <c r="G39" s="380" t="s">
        <v>607</v>
      </c>
      <c r="H39" s="340" t="s">
        <v>607</v>
      </c>
      <c r="I39" s="336" t="s">
        <v>607</v>
      </c>
      <c r="J39" s="336" t="s">
        <v>607</v>
      </c>
      <c r="K39" s="340" t="s">
        <v>607</v>
      </c>
      <c r="L39" s="330" t="s">
        <v>128</v>
      </c>
      <c r="M39" s="330" t="s">
        <v>607</v>
      </c>
      <c r="N39" s="341" t="s">
        <v>607</v>
      </c>
    </row>
    <row r="40" spans="1:14" ht="16" customHeight="1">
      <c r="A40" s="595"/>
      <c r="B40" s="598"/>
      <c r="C40" s="252" t="s">
        <v>342</v>
      </c>
      <c r="D40" s="340" t="s">
        <v>607</v>
      </c>
      <c r="E40" s="340" t="s">
        <v>607</v>
      </c>
      <c r="F40" s="380" t="s">
        <v>372</v>
      </c>
      <c r="G40" s="380" t="s">
        <v>607</v>
      </c>
      <c r="H40" s="340" t="s">
        <v>607</v>
      </c>
      <c r="I40" s="336" t="s">
        <v>607</v>
      </c>
      <c r="J40" s="336" t="s">
        <v>607</v>
      </c>
      <c r="K40" s="340" t="s">
        <v>607</v>
      </c>
      <c r="L40" s="330" t="s">
        <v>128</v>
      </c>
      <c r="M40" s="330" t="s">
        <v>607</v>
      </c>
      <c r="N40" s="341" t="s">
        <v>607</v>
      </c>
    </row>
    <row r="41" spans="1:14" ht="16" customHeight="1">
      <c r="A41" s="595"/>
      <c r="B41" s="598"/>
      <c r="C41" s="252" t="s">
        <v>344</v>
      </c>
      <c r="D41" s="340" t="s">
        <v>607</v>
      </c>
      <c r="E41" s="340" t="s">
        <v>607</v>
      </c>
      <c r="F41" s="380" t="s">
        <v>373</v>
      </c>
      <c r="G41" s="380" t="s">
        <v>607</v>
      </c>
      <c r="H41" s="340" t="s">
        <v>607</v>
      </c>
      <c r="I41" s="336" t="s">
        <v>607</v>
      </c>
      <c r="J41" s="336" t="s">
        <v>607</v>
      </c>
      <c r="K41" s="340" t="s">
        <v>607</v>
      </c>
      <c r="L41" s="330" t="s">
        <v>128</v>
      </c>
      <c r="M41" s="330" t="s">
        <v>607</v>
      </c>
      <c r="N41" s="341" t="s">
        <v>607</v>
      </c>
    </row>
    <row r="42" spans="1:14" ht="16" customHeight="1">
      <c r="A42" s="595"/>
      <c r="B42" s="598"/>
      <c r="C42" s="252" t="s">
        <v>346</v>
      </c>
      <c r="D42" s="340" t="s">
        <v>607</v>
      </c>
      <c r="E42" s="340" t="s">
        <v>607</v>
      </c>
      <c r="F42" s="380" t="s">
        <v>371</v>
      </c>
      <c r="G42" s="380" t="s">
        <v>607</v>
      </c>
      <c r="H42" s="340" t="s">
        <v>607</v>
      </c>
      <c r="I42" s="336" t="s">
        <v>607</v>
      </c>
      <c r="J42" s="336" t="s">
        <v>607</v>
      </c>
      <c r="K42" s="340" t="s">
        <v>607</v>
      </c>
      <c r="L42" s="330" t="s">
        <v>128</v>
      </c>
      <c r="M42" s="330" t="s">
        <v>607</v>
      </c>
      <c r="N42" s="341" t="s">
        <v>607</v>
      </c>
    </row>
    <row r="43" spans="1:14" ht="16" customHeight="1">
      <c r="A43" s="595"/>
      <c r="B43" s="598"/>
      <c r="C43" s="252" t="s">
        <v>348</v>
      </c>
      <c r="D43" s="340" t="s">
        <v>607</v>
      </c>
      <c r="E43" s="340" t="s">
        <v>607</v>
      </c>
      <c r="F43" s="380" t="s">
        <v>374</v>
      </c>
      <c r="G43" s="380" t="s">
        <v>607</v>
      </c>
      <c r="H43" s="340" t="s">
        <v>607</v>
      </c>
      <c r="I43" s="336" t="s">
        <v>607</v>
      </c>
      <c r="J43" s="336" t="s">
        <v>607</v>
      </c>
      <c r="K43" s="340" t="s">
        <v>607</v>
      </c>
      <c r="L43" s="330" t="s">
        <v>128</v>
      </c>
      <c r="M43" s="330" t="s">
        <v>607</v>
      </c>
      <c r="N43" s="341" t="s">
        <v>607</v>
      </c>
    </row>
    <row r="44" spans="1:14" ht="16" customHeight="1">
      <c r="A44" s="595"/>
      <c r="B44" s="598"/>
      <c r="C44" s="252" t="s">
        <v>350</v>
      </c>
      <c r="D44" s="340" t="s">
        <v>607</v>
      </c>
      <c r="E44" s="340" t="s">
        <v>607</v>
      </c>
      <c r="F44" s="380" t="s">
        <v>375</v>
      </c>
      <c r="G44" s="380" t="s">
        <v>607</v>
      </c>
      <c r="H44" s="340" t="s">
        <v>607</v>
      </c>
      <c r="I44" s="336" t="s">
        <v>607</v>
      </c>
      <c r="J44" s="336" t="s">
        <v>607</v>
      </c>
      <c r="K44" s="340" t="s">
        <v>607</v>
      </c>
      <c r="L44" s="330" t="s">
        <v>128</v>
      </c>
      <c r="M44" s="330" t="s">
        <v>607</v>
      </c>
      <c r="N44" s="341" t="s">
        <v>607</v>
      </c>
    </row>
    <row r="45" spans="1:14" ht="16" customHeight="1">
      <c r="A45" s="595"/>
      <c r="B45" s="598"/>
      <c r="C45" s="252" t="s">
        <v>342</v>
      </c>
      <c r="D45" s="340" t="s">
        <v>607</v>
      </c>
      <c r="E45" s="340" t="s">
        <v>607</v>
      </c>
      <c r="F45" s="380" t="s">
        <v>376</v>
      </c>
      <c r="G45" s="380" t="s">
        <v>607</v>
      </c>
      <c r="H45" s="340" t="s">
        <v>607</v>
      </c>
      <c r="I45" s="336" t="s">
        <v>607</v>
      </c>
      <c r="J45" s="336" t="s">
        <v>607</v>
      </c>
      <c r="K45" s="340" t="s">
        <v>607</v>
      </c>
      <c r="L45" s="330" t="s">
        <v>128</v>
      </c>
      <c r="M45" s="330" t="s">
        <v>607</v>
      </c>
      <c r="N45" s="341" t="s">
        <v>607</v>
      </c>
    </row>
    <row r="46" spans="1:14" ht="16" customHeight="1">
      <c r="A46" s="595"/>
      <c r="B46" s="598"/>
      <c r="C46" s="252" t="s">
        <v>344</v>
      </c>
      <c r="D46" s="340" t="s">
        <v>607</v>
      </c>
      <c r="E46" s="340" t="s">
        <v>607</v>
      </c>
      <c r="F46" s="380" t="s">
        <v>377</v>
      </c>
      <c r="G46" s="380" t="s">
        <v>607</v>
      </c>
      <c r="H46" s="340" t="s">
        <v>607</v>
      </c>
      <c r="I46" s="336" t="s">
        <v>607</v>
      </c>
      <c r="J46" s="336" t="s">
        <v>607</v>
      </c>
      <c r="K46" s="340" t="s">
        <v>607</v>
      </c>
      <c r="L46" s="330" t="s">
        <v>128</v>
      </c>
      <c r="M46" s="330" t="s">
        <v>607</v>
      </c>
      <c r="N46" s="341" t="s">
        <v>607</v>
      </c>
    </row>
    <row r="47" spans="1:14" ht="16" customHeight="1">
      <c r="A47" s="595"/>
      <c r="B47" s="598"/>
      <c r="C47" s="252" t="s">
        <v>346</v>
      </c>
      <c r="D47" s="340" t="s">
        <v>607</v>
      </c>
      <c r="E47" s="340" t="s">
        <v>607</v>
      </c>
      <c r="F47" s="380" t="s">
        <v>378</v>
      </c>
      <c r="G47" s="380" t="s">
        <v>607</v>
      </c>
      <c r="H47" s="340" t="s">
        <v>607</v>
      </c>
      <c r="I47" s="336" t="s">
        <v>607</v>
      </c>
      <c r="J47" s="336" t="s">
        <v>607</v>
      </c>
      <c r="K47" s="340" t="s">
        <v>607</v>
      </c>
      <c r="L47" s="330" t="s">
        <v>128</v>
      </c>
      <c r="M47" s="330" t="s">
        <v>607</v>
      </c>
      <c r="N47" s="341" t="s">
        <v>607</v>
      </c>
    </row>
    <row r="48" spans="1:14" ht="16" customHeight="1">
      <c r="A48" s="595"/>
      <c r="B48" s="598"/>
      <c r="C48" s="252" t="s">
        <v>348</v>
      </c>
      <c r="D48" s="340" t="s">
        <v>607</v>
      </c>
      <c r="E48" s="340" t="s">
        <v>607</v>
      </c>
      <c r="F48" s="380" t="s">
        <v>379</v>
      </c>
      <c r="G48" s="380" t="s">
        <v>607</v>
      </c>
      <c r="H48" s="340" t="s">
        <v>607</v>
      </c>
      <c r="I48" s="336" t="s">
        <v>607</v>
      </c>
      <c r="J48" s="336" t="s">
        <v>607</v>
      </c>
      <c r="K48" s="340" t="s">
        <v>607</v>
      </c>
      <c r="L48" s="330" t="s">
        <v>128</v>
      </c>
      <c r="M48" s="330" t="s">
        <v>607</v>
      </c>
      <c r="N48" s="341" t="s">
        <v>607</v>
      </c>
    </row>
    <row r="49" spans="1:14" ht="16" customHeight="1">
      <c r="A49" s="595"/>
      <c r="B49" s="598"/>
      <c r="C49" s="252" t="s">
        <v>350</v>
      </c>
      <c r="D49" s="340" t="s">
        <v>607</v>
      </c>
      <c r="E49" s="340" t="s">
        <v>607</v>
      </c>
      <c r="F49" s="380" t="s">
        <v>378</v>
      </c>
      <c r="G49" s="380" t="s">
        <v>607</v>
      </c>
      <c r="H49" s="340" t="s">
        <v>607</v>
      </c>
      <c r="I49" s="336" t="s">
        <v>607</v>
      </c>
      <c r="J49" s="336" t="s">
        <v>607</v>
      </c>
      <c r="K49" s="340" t="s">
        <v>607</v>
      </c>
      <c r="L49" s="330" t="s">
        <v>128</v>
      </c>
      <c r="M49" s="330" t="s">
        <v>607</v>
      </c>
      <c r="N49" s="341" t="s">
        <v>607</v>
      </c>
    </row>
    <row r="50" spans="1:14" ht="16" customHeight="1">
      <c r="A50" s="595"/>
      <c r="B50" s="598"/>
      <c r="C50" s="252" t="s">
        <v>380</v>
      </c>
      <c r="D50" s="340" t="s">
        <v>607</v>
      </c>
      <c r="E50" s="340" t="s">
        <v>607</v>
      </c>
      <c r="F50" s="380" t="s">
        <v>381</v>
      </c>
      <c r="G50" s="380" t="s">
        <v>607</v>
      </c>
      <c r="H50" s="340" t="s">
        <v>607</v>
      </c>
      <c r="I50" s="336" t="s">
        <v>607</v>
      </c>
      <c r="J50" s="336" t="s">
        <v>607</v>
      </c>
      <c r="K50" s="340" t="s">
        <v>607</v>
      </c>
      <c r="L50" s="330" t="s">
        <v>128</v>
      </c>
      <c r="M50" s="330" t="s">
        <v>607</v>
      </c>
      <c r="N50" s="341" t="s">
        <v>607</v>
      </c>
    </row>
    <row r="51" spans="1:14" ht="16" customHeight="1">
      <c r="A51" s="595"/>
      <c r="B51" s="598"/>
      <c r="C51" s="252" t="s">
        <v>382</v>
      </c>
      <c r="D51" s="340" t="s">
        <v>607</v>
      </c>
      <c r="E51" s="340" t="s">
        <v>607</v>
      </c>
      <c r="F51" s="380" t="s">
        <v>383</v>
      </c>
      <c r="G51" s="380" t="s">
        <v>607</v>
      </c>
      <c r="H51" s="340" t="s">
        <v>607</v>
      </c>
      <c r="I51" s="336" t="s">
        <v>607</v>
      </c>
      <c r="J51" s="336" t="s">
        <v>607</v>
      </c>
      <c r="K51" s="340" t="s">
        <v>607</v>
      </c>
      <c r="L51" s="330" t="s">
        <v>128</v>
      </c>
      <c r="M51" s="330" t="s">
        <v>607</v>
      </c>
      <c r="N51" s="341" t="s">
        <v>607</v>
      </c>
    </row>
    <row r="52" spans="1:14" ht="16" customHeight="1">
      <c r="A52" s="595"/>
      <c r="B52" s="598"/>
      <c r="C52" s="252" t="s">
        <v>384</v>
      </c>
      <c r="D52" s="340" t="s">
        <v>607</v>
      </c>
      <c r="E52" s="340" t="s">
        <v>607</v>
      </c>
      <c r="F52" s="380" t="s">
        <v>385</v>
      </c>
      <c r="G52" s="380" t="s">
        <v>607</v>
      </c>
      <c r="H52" s="340" t="s">
        <v>607</v>
      </c>
      <c r="I52" s="336" t="s">
        <v>607</v>
      </c>
      <c r="J52" s="336" t="s">
        <v>607</v>
      </c>
      <c r="K52" s="340" t="s">
        <v>607</v>
      </c>
      <c r="L52" s="330" t="s">
        <v>128</v>
      </c>
      <c r="M52" s="330" t="s">
        <v>607</v>
      </c>
      <c r="N52" s="341" t="s">
        <v>607</v>
      </c>
    </row>
    <row r="53" spans="1:14" ht="16" customHeight="1">
      <c r="A53" s="595"/>
      <c r="B53" s="598"/>
      <c r="C53" s="252" t="s">
        <v>386</v>
      </c>
      <c r="D53" s="340" t="s">
        <v>607</v>
      </c>
      <c r="E53" s="340" t="s">
        <v>607</v>
      </c>
      <c r="F53" s="380" t="s">
        <v>387</v>
      </c>
      <c r="G53" s="380" t="s">
        <v>607</v>
      </c>
      <c r="H53" s="340" t="s">
        <v>607</v>
      </c>
      <c r="I53" s="336" t="s">
        <v>607</v>
      </c>
      <c r="J53" s="336" t="s">
        <v>607</v>
      </c>
      <c r="K53" s="340" t="s">
        <v>607</v>
      </c>
      <c r="L53" s="330" t="s">
        <v>128</v>
      </c>
      <c r="M53" s="330" t="s">
        <v>607</v>
      </c>
      <c r="N53" s="341" t="s">
        <v>607</v>
      </c>
    </row>
    <row r="54" spans="1:14" ht="16" customHeight="1">
      <c r="A54" s="595"/>
      <c r="B54" s="598"/>
      <c r="C54" s="252" t="s">
        <v>388</v>
      </c>
      <c r="D54" s="340" t="s">
        <v>607</v>
      </c>
      <c r="E54" s="340" t="s">
        <v>607</v>
      </c>
      <c r="F54" s="380" t="s">
        <v>389</v>
      </c>
      <c r="G54" s="380" t="s">
        <v>607</v>
      </c>
      <c r="H54" s="340" t="s">
        <v>607</v>
      </c>
      <c r="I54" s="336" t="s">
        <v>607</v>
      </c>
      <c r="J54" s="336" t="s">
        <v>607</v>
      </c>
      <c r="K54" s="340" t="s">
        <v>607</v>
      </c>
      <c r="L54" s="330" t="s">
        <v>128</v>
      </c>
      <c r="M54" s="330" t="s">
        <v>607</v>
      </c>
      <c r="N54" s="341" t="s">
        <v>607</v>
      </c>
    </row>
    <row r="55" spans="1:14" ht="16" customHeight="1">
      <c r="A55" s="595"/>
      <c r="B55" s="598"/>
      <c r="C55" s="252" t="s">
        <v>380</v>
      </c>
      <c r="D55" s="340" t="s">
        <v>607</v>
      </c>
      <c r="E55" s="340" t="s">
        <v>607</v>
      </c>
      <c r="F55" s="380" t="s">
        <v>390</v>
      </c>
      <c r="G55" s="380" t="s">
        <v>607</v>
      </c>
      <c r="H55" s="340" t="s">
        <v>607</v>
      </c>
      <c r="I55" s="336" t="s">
        <v>607</v>
      </c>
      <c r="J55" s="336" t="s">
        <v>607</v>
      </c>
      <c r="K55" s="340" t="s">
        <v>607</v>
      </c>
      <c r="L55" s="330" t="s">
        <v>128</v>
      </c>
      <c r="M55" s="330" t="s">
        <v>607</v>
      </c>
      <c r="N55" s="341" t="s">
        <v>607</v>
      </c>
    </row>
    <row r="56" spans="1:14" ht="16" customHeight="1">
      <c r="A56" s="595"/>
      <c r="B56" s="598"/>
      <c r="C56" s="252" t="s">
        <v>382</v>
      </c>
      <c r="D56" s="340" t="s">
        <v>607</v>
      </c>
      <c r="E56" s="340" t="s">
        <v>607</v>
      </c>
      <c r="F56" s="380" t="s">
        <v>391</v>
      </c>
      <c r="G56" s="380" t="s">
        <v>607</v>
      </c>
      <c r="H56" s="340" t="s">
        <v>607</v>
      </c>
      <c r="I56" s="336" t="s">
        <v>607</v>
      </c>
      <c r="J56" s="336" t="s">
        <v>607</v>
      </c>
      <c r="K56" s="340" t="s">
        <v>607</v>
      </c>
      <c r="L56" s="330" t="s">
        <v>128</v>
      </c>
      <c r="M56" s="330" t="s">
        <v>607</v>
      </c>
      <c r="N56" s="341" t="s">
        <v>607</v>
      </c>
    </row>
    <row r="57" spans="1:14" ht="16" customHeight="1">
      <c r="A57" s="595"/>
      <c r="B57" s="598"/>
      <c r="C57" s="252" t="s">
        <v>384</v>
      </c>
      <c r="D57" s="340" t="s">
        <v>607</v>
      </c>
      <c r="E57" s="340" t="s">
        <v>607</v>
      </c>
      <c r="F57" s="380" t="s">
        <v>392</v>
      </c>
      <c r="G57" s="380" t="s">
        <v>607</v>
      </c>
      <c r="H57" s="340" t="s">
        <v>607</v>
      </c>
      <c r="I57" s="336" t="s">
        <v>607</v>
      </c>
      <c r="J57" s="336" t="s">
        <v>607</v>
      </c>
      <c r="K57" s="340" t="s">
        <v>607</v>
      </c>
      <c r="L57" s="330" t="s">
        <v>128</v>
      </c>
      <c r="M57" s="330" t="s">
        <v>607</v>
      </c>
      <c r="N57" s="341" t="s">
        <v>607</v>
      </c>
    </row>
    <row r="58" spans="1:14" ht="16" customHeight="1">
      <c r="A58" s="595"/>
      <c r="B58" s="598"/>
      <c r="C58" s="252" t="s">
        <v>386</v>
      </c>
      <c r="D58" s="340" t="s">
        <v>607</v>
      </c>
      <c r="E58" s="340" t="s">
        <v>607</v>
      </c>
      <c r="F58" s="380" t="s">
        <v>393</v>
      </c>
      <c r="G58" s="380" t="s">
        <v>607</v>
      </c>
      <c r="H58" s="340" t="s">
        <v>607</v>
      </c>
      <c r="I58" s="336" t="s">
        <v>607</v>
      </c>
      <c r="J58" s="336" t="s">
        <v>607</v>
      </c>
      <c r="K58" s="340" t="s">
        <v>607</v>
      </c>
      <c r="L58" s="330" t="s">
        <v>128</v>
      </c>
      <c r="M58" s="330" t="s">
        <v>607</v>
      </c>
      <c r="N58" s="341" t="s">
        <v>607</v>
      </c>
    </row>
    <row r="59" spans="1:14" ht="16" customHeight="1">
      <c r="A59" s="595"/>
      <c r="B59" s="598"/>
      <c r="C59" s="252" t="s">
        <v>388</v>
      </c>
      <c r="D59" s="340" t="s">
        <v>607</v>
      </c>
      <c r="E59" s="340" t="s">
        <v>607</v>
      </c>
      <c r="F59" s="380" t="s">
        <v>394</v>
      </c>
      <c r="G59" s="380" t="s">
        <v>607</v>
      </c>
      <c r="H59" s="340" t="s">
        <v>607</v>
      </c>
      <c r="I59" s="336" t="s">
        <v>607</v>
      </c>
      <c r="J59" s="336" t="s">
        <v>607</v>
      </c>
      <c r="K59" s="340" t="s">
        <v>607</v>
      </c>
      <c r="L59" s="330" t="s">
        <v>128</v>
      </c>
      <c r="M59" s="330" t="s">
        <v>607</v>
      </c>
      <c r="N59" s="341" t="s">
        <v>607</v>
      </c>
    </row>
    <row r="60" spans="1:14" ht="16" customHeight="1">
      <c r="A60" s="595"/>
      <c r="B60" s="598"/>
      <c r="C60" s="252" t="s">
        <v>380</v>
      </c>
      <c r="D60" s="340" t="s">
        <v>607</v>
      </c>
      <c r="E60" s="340" t="s">
        <v>607</v>
      </c>
      <c r="F60" s="380" t="s">
        <v>395</v>
      </c>
      <c r="G60" s="380" t="s">
        <v>607</v>
      </c>
      <c r="H60" s="340" t="s">
        <v>607</v>
      </c>
      <c r="I60" s="336" t="s">
        <v>607</v>
      </c>
      <c r="J60" s="336" t="s">
        <v>607</v>
      </c>
      <c r="K60" s="340" t="s">
        <v>607</v>
      </c>
      <c r="L60" s="330" t="s">
        <v>128</v>
      </c>
      <c r="M60" s="330" t="s">
        <v>607</v>
      </c>
      <c r="N60" s="341" t="s">
        <v>607</v>
      </c>
    </row>
    <row r="61" spans="1:14" ht="16" customHeight="1">
      <c r="A61" s="595"/>
      <c r="B61" s="598"/>
      <c r="C61" s="252" t="s">
        <v>382</v>
      </c>
      <c r="D61" s="340" t="s">
        <v>607</v>
      </c>
      <c r="E61" s="340" t="s">
        <v>607</v>
      </c>
      <c r="F61" s="380" t="s">
        <v>396</v>
      </c>
      <c r="G61" s="380" t="s">
        <v>607</v>
      </c>
      <c r="H61" s="340" t="s">
        <v>607</v>
      </c>
      <c r="I61" s="336" t="s">
        <v>607</v>
      </c>
      <c r="J61" s="336" t="s">
        <v>607</v>
      </c>
      <c r="K61" s="340" t="s">
        <v>607</v>
      </c>
      <c r="L61" s="330" t="s">
        <v>128</v>
      </c>
      <c r="M61" s="330" t="s">
        <v>607</v>
      </c>
      <c r="N61" s="341" t="s">
        <v>607</v>
      </c>
    </row>
    <row r="62" spans="1:14" ht="16" customHeight="1">
      <c r="A62" s="595"/>
      <c r="B62" s="598"/>
      <c r="C62" s="252" t="s">
        <v>384</v>
      </c>
      <c r="D62" s="340" t="s">
        <v>607</v>
      </c>
      <c r="E62" s="340" t="s">
        <v>607</v>
      </c>
      <c r="F62" s="380" t="s">
        <v>397</v>
      </c>
      <c r="G62" s="380" t="s">
        <v>607</v>
      </c>
      <c r="H62" s="340" t="s">
        <v>607</v>
      </c>
      <c r="I62" s="336" t="s">
        <v>607</v>
      </c>
      <c r="J62" s="336" t="s">
        <v>607</v>
      </c>
      <c r="K62" s="340" t="s">
        <v>607</v>
      </c>
      <c r="L62" s="330" t="s">
        <v>128</v>
      </c>
      <c r="M62" s="330" t="s">
        <v>607</v>
      </c>
      <c r="N62" s="341" t="s">
        <v>607</v>
      </c>
    </row>
    <row r="63" spans="1:14" ht="16" customHeight="1">
      <c r="A63" s="595"/>
      <c r="B63" s="598"/>
      <c r="C63" s="252" t="s">
        <v>386</v>
      </c>
      <c r="D63" s="340" t="s">
        <v>607</v>
      </c>
      <c r="E63" s="340" t="s">
        <v>607</v>
      </c>
      <c r="F63" s="380" t="s">
        <v>398</v>
      </c>
      <c r="G63" s="380" t="s">
        <v>607</v>
      </c>
      <c r="H63" s="340" t="s">
        <v>607</v>
      </c>
      <c r="I63" s="336" t="s">
        <v>607</v>
      </c>
      <c r="J63" s="336" t="s">
        <v>607</v>
      </c>
      <c r="K63" s="340" t="s">
        <v>607</v>
      </c>
      <c r="L63" s="330" t="s">
        <v>128</v>
      </c>
      <c r="M63" s="330" t="s">
        <v>607</v>
      </c>
      <c r="N63" s="341" t="s">
        <v>607</v>
      </c>
    </row>
    <row r="64" spans="1:14" ht="16" customHeight="1">
      <c r="A64" s="595"/>
      <c r="B64" s="598"/>
      <c r="C64" s="252" t="s">
        <v>388</v>
      </c>
      <c r="D64" s="340" t="s">
        <v>607</v>
      </c>
      <c r="E64" s="340" t="s">
        <v>607</v>
      </c>
      <c r="F64" s="380" t="s">
        <v>399</v>
      </c>
      <c r="G64" s="380" t="s">
        <v>607</v>
      </c>
      <c r="H64" s="340" t="s">
        <v>607</v>
      </c>
      <c r="I64" s="336" t="s">
        <v>607</v>
      </c>
      <c r="J64" s="336" t="s">
        <v>607</v>
      </c>
      <c r="K64" s="340" t="s">
        <v>607</v>
      </c>
      <c r="L64" s="330" t="s">
        <v>128</v>
      </c>
      <c r="M64" s="330" t="s">
        <v>607</v>
      </c>
      <c r="N64" s="341" t="s">
        <v>607</v>
      </c>
    </row>
    <row r="65" spans="1:14" ht="16" customHeight="1">
      <c r="A65" s="595"/>
      <c r="B65" s="598"/>
      <c r="C65" s="252" t="s">
        <v>380</v>
      </c>
      <c r="D65" s="340" t="s">
        <v>607</v>
      </c>
      <c r="E65" s="340" t="s">
        <v>607</v>
      </c>
      <c r="F65" s="380" t="s">
        <v>400</v>
      </c>
      <c r="G65" s="380" t="s">
        <v>607</v>
      </c>
      <c r="H65" s="340" t="s">
        <v>607</v>
      </c>
      <c r="I65" s="336" t="s">
        <v>607</v>
      </c>
      <c r="J65" s="336" t="s">
        <v>607</v>
      </c>
      <c r="K65" s="340" t="s">
        <v>607</v>
      </c>
      <c r="L65" s="330" t="s">
        <v>128</v>
      </c>
      <c r="M65" s="330" t="s">
        <v>607</v>
      </c>
      <c r="N65" s="341" t="s">
        <v>607</v>
      </c>
    </row>
    <row r="66" spans="1:14" ht="16" customHeight="1">
      <c r="A66" s="595"/>
      <c r="B66" s="598"/>
      <c r="C66" s="252" t="s">
        <v>382</v>
      </c>
      <c r="D66" s="340" t="s">
        <v>607</v>
      </c>
      <c r="E66" s="340" t="s">
        <v>607</v>
      </c>
      <c r="F66" s="380" t="s">
        <v>401</v>
      </c>
      <c r="G66" s="380" t="s">
        <v>607</v>
      </c>
      <c r="H66" s="340" t="s">
        <v>607</v>
      </c>
      <c r="I66" s="336" t="s">
        <v>607</v>
      </c>
      <c r="J66" s="336" t="s">
        <v>607</v>
      </c>
      <c r="K66" s="340" t="s">
        <v>607</v>
      </c>
      <c r="L66" s="330" t="s">
        <v>128</v>
      </c>
      <c r="M66" s="330" t="s">
        <v>607</v>
      </c>
      <c r="N66" s="341" t="s">
        <v>607</v>
      </c>
    </row>
    <row r="67" spans="1:14" ht="16" customHeight="1">
      <c r="A67" s="595"/>
      <c r="B67" s="598"/>
      <c r="C67" s="252" t="s">
        <v>384</v>
      </c>
      <c r="D67" s="340" t="s">
        <v>607</v>
      </c>
      <c r="E67" s="340" t="s">
        <v>607</v>
      </c>
      <c r="F67" s="380" t="s">
        <v>402</v>
      </c>
      <c r="G67" s="380" t="s">
        <v>607</v>
      </c>
      <c r="H67" s="340" t="s">
        <v>607</v>
      </c>
      <c r="I67" s="336" t="s">
        <v>607</v>
      </c>
      <c r="J67" s="336" t="s">
        <v>607</v>
      </c>
      <c r="K67" s="340" t="s">
        <v>607</v>
      </c>
      <c r="L67" s="330" t="s">
        <v>128</v>
      </c>
      <c r="M67" s="330" t="s">
        <v>607</v>
      </c>
      <c r="N67" s="341" t="s">
        <v>607</v>
      </c>
    </row>
    <row r="68" spans="1:14" ht="16" customHeight="1">
      <c r="A68" s="595"/>
      <c r="B68" s="598"/>
      <c r="C68" s="252" t="s">
        <v>386</v>
      </c>
      <c r="D68" s="340" t="s">
        <v>607</v>
      </c>
      <c r="E68" s="340" t="s">
        <v>607</v>
      </c>
      <c r="F68" s="380" t="s">
        <v>403</v>
      </c>
      <c r="G68" s="380" t="s">
        <v>607</v>
      </c>
      <c r="H68" s="340" t="s">
        <v>607</v>
      </c>
      <c r="I68" s="336" t="s">
        <v>607</v>
      </c>
      <c r="J68" s="336" t="s">
        <v>607</v>
      </c>
      <c r="K68" s="340" t="s">
        <v>607</v>
      </c>
      <c r="L68" s="330" t="s">
        <v>128</v>
      </c>
      <c r="M68" s="330" t="s">
        <v>607</v>
      </c>
      <c r="N68" s="341" t="s">
        <v>607</v>
      </c>
    </row>
    <row r="69" spans="1:14" ht="16" customHeight="1">
      <c r="A69" s="595"/>
      <c r="B69" s="598"/>
      <c r="C69" s="252" t="s">
        <v>388</v>
      </c>
      <c r="D69" s="340" t="s">
        <v>607</v>
      </c>
      <c r="E69" s="340" t="s">
        <v>607</v>
      </c>
      <c r="F69" s="380" t="s">
        <v>404</v>
      </c>
      <c r="G69" s="380" t="s">
        <v>607</v>
      </c>
      <c r="H69" s="340" t="s">
        <v>607</v>
      </c>
      <c r="I69" s="336" t="s">
        <v>607</v>
      </c>
      <c r="J69" s="336" t="s">
        <v>607</v>
      </c>
      <c r="K69" s="340" t="s">
        <v>607</v>
      </c>
      <c r="L69" s="330" t="s">
        <v>128</v>
      </c>
      <c r="M69" s="330" t="s">
        <v>607</v>
      </c>
      <c r="N69" s="341" t="s">
        <v>607</v>
      </c>
    </row>
    <row r="70" spans="1:14" ht="16" customHeight="1">
      <c r="A70" s="595"/>
      <c r="B70" s="598"/>
      <c r="C70" s="252" t="s">
        <v>380</v>
      </c>
      <c r="D70" s="340" t="s">
        <v>607</v>
      </c>
      <c r="E70" s="340" t="s">
        <v>607</v>
      </c>
      <c r="F70" s="380" t="s">
        <v>405</v>
      </c>
      <c r="G70" s="380" t="s">
        <v>607</v>
      </c>
      <c r="H70" s="340" t="s">
        <v>607</v>
      </c>
      <c r="I70" s="336" t="s">
        <v>607</v>
      </c>
      <c r="J70" s="336" t="s">
        <v>607</v>
      </c>
      <c r="K70" s="340" t="s">
        <v>607</v>
      </c>
      <c r="L70" s="330" t="s">
        <v>128</v>
      </c>
      <c r="M70" s="330" t="s">
        <v>607</v>
      </c>
      <c r="N70" s="341" t="s">
        <v>607</v>
      </c>
    </row>
    <row r="71" spans="1:14" ht="16" customHeight="1">
      <c r="A71" s="595"/>
      <c r="B71" s="598"/>
      <c r="C71" s="252" t="s">
        <v>382</v>
      </c>
      <c r="D71" s="340" t="s">
        <v>607</v>
      </c>
      <c r="E71" s="340" t="s">
        <v>607</v>
      </c>
      <c r="F71" s="380" t="s">
        <v>366</v>
      </c>
      <c r="G71" s="380" t="s">
        <v>607</v>
      </c>
      <c r="H71" s="340" t="s">
        <v>607</v>
      </c>
      <c r="I71" s="336" t="s">
        <v>607</v>
      </c>
      <c r="J71" s="336" t="s">
        <v>607</v>
      </c>
      <c r="K71" s="340" t="s">
        <v>607</v>
      </c>
      <c r="L71" s="330" t="s">
        <v>128</v>
      </c>
      <c r="M71" s="330" t="s">
        <v>607</v>
      </c>
      <c r="N71" s="341" t="s">
        <v>607</v>
      </c>
    </row>
    <row r="72" spans="1:14" ht="16" customHeight="1">
      <c r="A72" s="595"/>
      <c r="B72" s="598"/>
      <c r="C72" s="252" t="s">
        <v>384</v>
      </c>
      <c r="D72" s="340" t="s">
        <v>607</v>
      </c>
      <c r="E72" s="340" t="s">
        <v>607</v>
      </c>
      <c r="F72" s="380" t="s">
        <v>406</v>
      </c>
      <c r="G72" s="380" t="s">
        <v>607</v>
      </c>
      <c r="H72" s="340" t="s">
        <v>607</v>
      </c>
      <c r="I72" s="336" t="s">
        <v>607</v>
      </c>
      <c r="J72" s="336" t="s">
        <v>607</v>
      </c>
      <c r="K72" s="340" t="s">
        <v>607</v>
      </c>
      <c r="L72" s="330" t="s">
        <v>128</v>
      </c>
      <c r="M72" s="330" t="s">
        <v>607</v>
      </c>
      <c r="N72" s="341" t="s">
        <v>607</v>
      </c>
    </row>
    <row r="73" spans="1:14" ht="16" customHeight="1">
      <c r="A73" s="595"/>
      <c r="B73" s="598"/>
      <c r="C73" s="252" t="s">
        <v>386</v>
      </c>
      <c r="D73" s="340" t="s">
        <v>607</v>
      </c>
      <c r="E73" s="340" t="s">
        <v>607</v>
      </c>
      <c r="F73" s="380" t="s">
        <v>407</v>
      </c>
      <c r="G73" s="380" t="s">
        <v>607</v>
      </c>
      <c r="H73" s="340" t="s">
        <v>607</v>
      </c>
      <c r="I73" s="336" t="s">
        <v>607</v>
      </c>
      <c r="J73" s="336" t="s">
        <v>607</v>
      </c>
      <c r="K73" s="340" t="s">
        <v>607</v>
      </c>
      <c r="L73" s="330" t="s">
        <v>128</v>
      </c>
      <c r="M73" s="330" t="s">
        <v>607</v>
      </c>
      <c r="N73" s="341" t="s">
        <v>607</v>
      </c>
    </row>
    <row r="74" spans="1:14" ht="16" customHeight="1">
      <c r="A74" s="595"/>
      <c r="B74" s="598"/>
      <c r="C74" s="252" t="s">
        <v>388</v>
      </c>
      <c r="D74" s="340" t="s">
        <v>607</v>
      </c>
      <c r="E74" s="340" t="s">
        <v>607</v>
      </c>
      <c r="F74" s="380" t="s">
        <v>408</v>
      </c>
      <c r="G74" s="380" t="s">
        <v>607</v>
      </c>
      <c r="H74" s="340" t="s">
        <v>607</v>
      </c>
      <c r="I74" s="336" t="s">
        <v>607</v>
      </c>
      <c r="J74" s="336" t="s">
        <v>607</v>
      </c>
      <c r="K74" s="340" t="s">
        <v>607</v>
      </c>
      <c r="L74" s="330" t="s">
        <v>128</v>
      </c>
      <c r="M74" s="330" t="s">
        <v>607</v>
      </c>
      <c r="N74" s="341" t="s">
        <v>607</v>
      </c>
    </row>
    <row r="75" spans="1:14" ht="16" customHeight="1">
      <c r="A75" s="595"/>
      <c r="B75" s="598"/>
      <c r="C75" s="252" t="s">
        <v>380</v>
      </c>
      <c r="D75" s="340" t="s">
        <v>607</v>
      </c>
      <c r="E75" s="340" t="s">
        <v>607</v>
      </c>
      <c r="F75" s="380" t="s">
        <v>409</v>
      </c>
      <c r="G75" s="380" t="s">
        <v>607</v>
      </c>
      <c r="H75" s="340" t="s">
        <v>607</v>
      </c>
      <c r="I75" s="336" t="s">
        <v>607</v>
      </c>
      <c r="J75" s="336" t="s">
        <v>607</v>
      </c>
      <c r="K75" s="340" t="s">
        <v>607</v>
      </c>
      <c r="L75" s="330" t="s">
        <v>128</v>
      </c>
      <c r="M75" s="330" t="s">
        <v>607</v>
      </c>
      <c r="N75" s="341" t="s">
        <v>607</v>
      </c>
    </row>
    <row r="76" spans="1:14" ht="16" customHeight="1">
      <c r="A76" s="595"/>
      <c r="B76" s="598"/>
      <c r="C76" s="252" t="s">
        <v>382</v>
      </c>
      <c r="D76" s="340" t="s">
        <v>607</v>
      </c>
      <c r="E76" s="340" t="s">
        <v>607</v>
      </c>
      <c r="F76" s="380" t="s">
        <v>410</v>
      </c>
      <c r="G76" s="380" t="s">
        <v>607</v>
      </c>
      <c r="H76" s="340" t="s">
        <v>607</v>
      </c>
      <c r="I76" s="336" t="s">
        <v>607</v>
      </c>
      <c r="J76" s="336" t="s">
        <v>607</v>
      </c>
      <c r="K76" s="340" t="s">
        <v>607</v>
      </c>
      <c r="L76" s="330" t="s">
        <v>128</v>
      </c>
      <c r="M76" s="330" t="s">
        <v>607</v>
      </c>
      <c r="N76" s="341" t="s">
        <v>607</v>
      </c>
    </row>
    <row r="77" spans="1:14" ht="16" customHeight="1">
      <c r="A77" s="595"/>
      <c r="B77" s="598"/>
      <c r="C77" s="252" t="s">
        <v>384</v>
      </c>
      <c r="D77" s="340" t="s">
        <v>607</v>
      </c>
      <c r="E77" s="340" t="s">
        <v>607</v>
      </c>
      <c r="F77" s="380" t="s">
        <v>411</v>
      </c>
      <c r="G77" s="380" t="s">
        <v>607</v>
      </c>
      <c r="H77" s="340" t="s">
        <v>607</v>
      </c>
      <c r="I77" s="336" t="s">
        <v>607</v>
      </c>
      <c r="J77" s="336" t="s">
        <v>607</v>
      </c>
      <c r="K77" s="340" t="s">
        <v>607</v>
      </c>
      <c r="L77" s="330" t="s">
        <v>128</v>
      </c>
      <c r="M77" s="330" t="s">
        <v>607</v>
      </c>
      <c r="N77" s="341" t="s">
        <v>607</v>
      </c>
    </row>
    <row r="78" spans="1:14" ht="16" customHeight="1">
      <c r="A78" s="595"/>
      <c r="B78" s="598"/>
      <c r="C78" s="252" t="s">
        <v>386</v>
      </c>
      <c r="D78" s="340" t="s">
        <v>607</v>
      </c>
      <c r="E78" s="340" t="s">
        <v>607</v>
      </c>
      <c r="F78" s="380" t="s">
        <v>412</v>
      </c>
      <c r="G78" s="380" t="s">
        <v>607</v>
      </c>
      <c r="H78" s="340" t="s">
        <v>607</v>
      </c>
      <c r="I78" s="336" t="s">
        <v>607</v>
      </c>
      <c r="J78" s="336" t="s">
        <v>607</v>
      </c>
      <c r="K78" s="340" t="s">
        <v>607</v>
      </c>
      <c r="L78" s="330" t="s">
        <v>128</v>
      </c>
      <c r="M78" s="330" t="s">
        <v>607</v>
      </c>
      <c r="N78" s="341" t="s">
        <v>607</v>
      </c>
    </row>
    <row r="79" spans="1:14" ht="16" customHeight="1">
      <c r="A79" s="595"/>
      <c r="B79" s="598"/>
      <c r="C79" s="252" t="s">
        <v>388</v>
      </c>
      <c r="D79" s="340" t="s">
        <v>607</v>
      </c>
      <c r="E79" s="340" t="s">
        <v>607</v>
      </c>
      <c r="F79" s="380" t="s">
        <v>413</v>
      </c>
      <c r="G79" s="380" t="s">
        <v>607</v>
      </c>
      <c r="H79" s="340" t="s">
        <v>607</v>
      </c>
      <c r="I79" s="336" t="s">
        <v>607</v>
      </c>
      <c r="J79" s="336" t="s">
        <v>607</v>
      </c>
      <c r="K79" s="340" t="s">
        <v>607</v>
      </c>
      <c r="L79" s="330" t="s">
        <v>128</v>
      </c>
      <c r="M79" s="330" t="s">
        <v>607</v>
      </c>
      <c r="N79" s="341" t="s">
        <v>607</v>
      </c>
    </row>
    <row r="80" spans="1:14" ht="16" customHeight="1">
      <c r="A80" s="595"/>
      <c r="B80" s="598"/>
      <c r="C80" s="252" t="s">
        <v>380</v>
      </c>
      <c r="D80" s="340" t="s">
        <v>607</v>
      </c>
      <c r="E80" s="340" t="s">
        <v>607</v>
      </c>
      <c r="F80" s="380" t="s">
        <v>414</v>
      </c>
      <c r="G80" s="380" t="s">
        <v>607</v>
      </c>
      <c r="H80" s="340" t="s">
        <v>607</v>
      </c>
      <c r="I80" s="336" t="s">
        <v>607</v>
      </c>
      <c r="J80" s="336" t="s">
        <v>607</v>
      </c>
      <c r="K80" s="340" t="s">
        <v>607</v>
      </c>
      <c r="L80" s="330" t="s">
        <v>128</v>
      </c>
      <c r="M80" s="330" t="s">
        <v>607</v>
      </c>
      <c r="N80" s="341" t="s">
        <v>607</v>
      </c>
    </row>
    <row r="81" spans="1:14" ht="16" customHeight="1">
      <c r="A81" s="595"/>
      <c r="B81" s="598"/>
      <c r="C81" s="252" t="s">
        <v>382</v>
      </c>
      <c r="D81" s="340" t="s">
        <v>607</v>
      </c>
      <c r="E81" s="340" t="s">
        <v>607</v>
      </c>
      <c r="F81" s="380" t="s">
        <v>415</v>
      </c>
      <c r="G81" s="380" t="s">
        <v>607</v>
      </c>
      <c r="H81" s="340" t="s">
        <v>607</v>
      </c>
      <c r="I81" s="336" t="s">
        <v>607</v>
      </c>
      <c r="J81" s="336" t="s">
        <v>607</v>
      </c>
      <c r="K81" s="340" t="s">
        <v>607</v>
      </c>
      <c r="L81" s="330" t="s">
        <v>128</v>
      </c>
      <c r="M81" s="330" t="s">
        <v>607</v>
      </c>
      <c r="N81" s="341" t="s">
        <v>607</v>
      </c>
    </row>
    <row r="82" spans="1:14" ht="16" customHeight="1">
      <c r="A82" s="596"/>
      <c r="B82" s="599"/>
      <c r="C82" s="256" t="s">
        <v>384</v>
      </c>
      <c r="D82" s="334" t="s">
        <v>607</v>
      </c>
      <c r="E82" s="334" t="s">
        <v>607</v>
      </c>
      <c r="F82" s="381" t="s">
        <v>416</v>
      </c>
      <c r="G82" s="381" t="s">
        <v>607</v>
      </c>
      <c r="H82" s="334" t="s">
        <v>607</v>
      </c>
      <c r="I82" s="337" t="s">
        <v>607</v>
      </c>
      <c r="J82" s="337" t="s">
        <v>607</v>
      </c>
      <c r="K82" s="334" t="s">
        <v>607</v>
      </c>
      <c r="L82" s="329" t="s">
        <v>128</v>
      </c>
      <c r="M82" s="329" t="s">
        <v>607</v>
      </c>
      <c r="N82" s="339" t="s">
        <v>607</v>
      </c>
    </row>
    <row r="83" spans="1:14" ht="16" customHeight="1">
      <c r="A83" s="253">
        <v>4</v>
      </c>
      <c r="B83" s="254" t="s">
        <v>417</v>
      </c>
      <c r="C83" s="257" t="s">
        <v>418</v>
      </c>
      <c r="D83" s="253" t="s">
        <v>607</v>
      </c>
      <c r="E83" s="253" t="s">
        <v>607</v>
      </c>
      <c r="F83" s="253" t="s">
        <v>607</v>
      </c>
      <c r="G83" s="253" t="s">
        <v>607</v>
      </c>
      <c r="H83" s="253" t="s">
        <v>607</v>
      </c>
      <c r="I83" s="255" t="s">
        <v>419</v>
      </c>
      <c r="J83" s="258" t="s">
        <v>420</v>
      </c>
      <c r="K83" s="259" t="s">
        <v>607</v>
      </c>
      <c r="L83" s="253" t="s">
        <v>421</v>
      </c>
      <c r="M83" s="259" t="s">
        <v>422</v>
      </c>
      <c r="N83" s="258" t="s">
        <v>607</v>
      </c>
    </row>
    <row r="84" spans="1:14" ht="16" customHeight="1">
      <c r="A84" s="253">
        <v>5</v>
      </c>
      <c r="B84" s="254" t="s">
        <v>423</v>
      </c>
      <c r="C84" s="258" t="s">
        <v>424</v>
      </c>
      <c r="D84" s="253" t="s">
        <v>607</v>
      </c>
      <c r="E84" s="253" t="s">
        <v>607</v>
      </c>
      <c r="F84" s="253" t="s">
        <v>607</v>
      </c>
      <c r="G84" s="253" t="s">
        <v>607</v>
      </c>
      <c r="H84" s="253" t="s">
        <v>607</v>
      </c>
      <c r="I84" s="255" t="s">
        <v>425</v>
      </c>
      <c r="J84" s="255" t="s">
        <v>607</v>
      </c>
      <c r="K84" s="253" t="s">
        <v>607</v>
      </c>
      <c r="L84" s="253" t="s">
        <v>607</v>
      </c>
      <c r="M84" s="253" t="s">
        <v>607</v>
      </c>
      <c r="N84" s="255" t="s">
        <v>607</v>
      </c>
    </row>
    <row r="85" spans="1:14" ht="16" customHeight="1">
      <c r="A85" s="594">
        <v>6</v>
      </c>
      <c r="B85" s="597" t="s">
        <v>311</v>
      </c>
      <c r="C85" s="597" t="s">
        <v>426</v>
      </c>
      <c r="D85" s="340" t="s">
        <v>427</v>
      </c>
      <c r="E85" s="340" t="s">
        <v>607</v>
      </c>
      <c r="F85" s="330" t="s">
        <v>428</v>
      </c>
      <c r="G85" s="330" t="s">
        <v>607</v>
      </c>
      <c r="H85" s="340" t="s">
        <v>607</v>
      </c>
      <c r="I85" s="341" t="s">
        <v>429</v>
      </c>
      <c r="J85" s="336" t="s">
        <v>607</v>
      </c>
      <c r="K85" s="340" t="s">
        <v>607</v>
      </c>
      <c r="L85" s="330" t="s">
        <v>128</v>
      </c>
      <c r="M85" s="330" t="s">
        <v>430</v>
      </c>
      <c r="N85" s="341" t="s">
        <v>607</v>
      </c>
    </row>
    <row r="86" spans="1:14" ht="16" customHeight="1">
      <c r="A86" s="595"/>
      <c r="B86" s="598"/>
      <c r="C86" s="598"/>
      <c r="D86" s="340" t="s">
        <v>427</v>
      </c>
      <c r="E86" s="340" t="s">
        <v>607</v>
      </c>
      <c r="F86" s="330" t="s">
        <v>428</v>
      </c>
      <c r="G86" s="330" t="s">
        <v>607</v>
      </c>
      <c r="H86" s="340" t="s">
        <v>607</v>
      </c>
      <c r="I86" s="341" t="s">
        <v>431</v>
      </c>
      <c r="J86" s="336" t="s">
        <v>607</v>
      </c>
      <c r="K86" s="340" t="s">
        <v>607</v>
      </c>
      <c r="L86" s="330" t="s">
        <v>128</v>
      </c>
      <c r="M86" s="330" t="s">
        <v>430</v>
      </c>
      <c r="N86" s="341" t="s">
        <v>607</v>
      </c>
    </row>
    <row r="87" spans="1:14" ht="16" customHeight="1">
      <c r="A87" s="595"/>
      <c r="B87" s="598"/>
      <c r="C87" s="598"/>
      <c r="D87" s="340" t="s">
        <v>427</v>
      </c>
      <c r="E87" s="340" t="s">
        <v>607</v>
      </c>
      <c r="F87" s="330" t="s">
        <v>428</v>
      </c>
      <c r="G87" s="330" t="s">
        <v>607</v>
      </c>
      <c r="H87" s="340" t="s">
        <v>607</v>
      </c>
      <c r="I87" s="341" t="s">
        <v>432</v>
      </c>
      <c r="J87" s="336" t="s">
        <v>607</v>
      </c>
      <c r="K87" s="340" t="s">
        <v>607</v>
      </c>
      <c r="L87" s="330" t="s">
        <v>128</v>
      </c>
      <c r="M87" s="330" t="s">
        <v>430</v>
      </c>
      <c r="N87" s="341" t="s">
        <v>607</v>
      </c>
    </row>
    <row r="88" spans="1:14" ht="16" customHeight="1">
      <c r="A88" s="595"/>
      <c r="B88" s="598"/>
      <c r="C88" s="598"/>
      <c r="D88" s="340" t="s">
        <v>427</v>
      </c>
      <c r="E88" s="340" t="s">
        <v>607</v>
      </c>
      <c r="F88" s="330" t="s">
        <v>428</v>
      </c>
      <c r="G88" s="330" t="s">
        <v>607</v>
      </c>
      <c r="H88" s="340" t="s">
        <v>607</v>
      </c>
      <c r="I88" s="341" t="s">
        <v>433</v>
      </c>
      <c r="J88" s="336" t="s">
        <v>607</v>
      </c>
      <c r="K88" s="340" t="s">
        <v>607</v>
      </c>
      <c r="L88" s="330" t="s">
        <v>128</v>
      </c>
      <c r="M88" s="330" t="s">
        <v>430</v>
      </c>
      <c r="N88" s="341" t="s">
        <v>607</v>
      </c>
    </row>
    <row r="89" spans="1:14" ht="16" customHeight="1">
      <c r="A89" s="595"/>
      <c r="B89" s="598"/>
      <c r="C89" s="598"/>
      <c r="D89" s="340" t="s">
        <v>427</v>
      </c>
      <c r="E89" s="340" t="s">
        <v>607</v>
      </c>
      <c r="F89" s="330" t="s">
        <v>428</v>
      </c>
      <c r="G89" s="330" t="s">
        <v>607</v>
      </c>
      <c r="H89" s="340" t="s">
        <v>607</v>
      </c>
      <c r="I89" s="341" t="s">
        <v>434</v>
      </c>
      <c r="J89" s="336" t="s">
        <v>607</v>
      </c>
      <c r="K89" s="340" t="s">
        <v>607</v>
      </c>
      <c r="L89" s="330" t="s">
        <v>128</v>
      </c>
      <c r="M89" s="330" t="s">
        <v>430</v>
      </c>
      <c r="N89" s="341" t="s">
        <v>607</v>
      </c>
    </row>
    <row r="90" spans="1:14" ht="16" customHeight="1">
      <c r="A90" s="595"/>
      <c r="B90" s="598"/>
      <c r="C90" s="598"/>
      <c r="D90" s="340" t="s">
        <v>427</v>
      </c>
      <c r="E90" s="340" t="s">
        <v>607</v>
      </c>
      <c r="F90" s="330" t="s">
        <v>428</v>
      </c>
      <c r="G90" s="330" t="s">
        <v>607</v>
      </c>
      <c r="H90" s="340" t="s">
        <v>607</v>
      </c>
      <c r="I90" s="341" t="s">
        <v>435</v>
      </c>
      <c r="J90" s="336" t="s">
        <v>607</v>
      </c>
      <c r="K90" s="340" t="s">
        <v>607</v>
      </c>
      <c r="L90" s="330" t="s">
        <v>128</v>
      </c>
      <c r="M90" s="330" t="s">
        <v>430</v>
      </c>
      <c r="N90" s="341" t="s">
        <v>607</v>
      </c>
    </row>
    <row r="91" spans="1:14" ht="16" customHeight="1">
      <c r="A91" s="595"/>
      <c r="B91" s="598"/>
      <c r="C91" s="598"/>
      <c r="D91" s="340" t="s">
        <v>427</v>
      </c>
      <c r="E91" s="340" t="s">
        <v>607</v>
      </c>
      <c r="F91" s="330" t="s">
        <v>428</v>
      </c>
      <c r="G91" s="330" t="s">
        <v>607</v>
      </c>
      <c r="H91" s="340" t="s">
        <v>607</v>
      </c>
      <c r="I91" s="341" t="s">
        <v>436</v>
      </c>
      <c r="J91" s="336" t="s">
        <v>607</v>
      </c>
      <c r="K91" s="340" t="s">
        <v>607</v>
      </c>
      <c r="L91" s="330" t="s">
        <v>128</v>
      </c>
      <c r="M91" s="330" t="s">
        <v>430</v>
      </c>
      <c r="N91" s="341" t="s">
        <v>607</v>
      </c>
    </row>
    <row r="92" spans="1:14" ht="16" customHeight="1">
      <c r="A92" s="595"/>
      <c r="B92" s="598"/>
      <c r="C92" s="598"/>
      <c r="D92" s="340" t="s">
        <v>427</v>
      </c>
      <c r="E92" s="340" t="s">
        <v>607</v>
      </c>
      <c r="F92" s="330" t="s">
        <v>428</v>
      </c>
      <c r="G92" s="330" t="s">
        <v>607</v>
      </c>
      <c r="H92" s="340" t="s">
        <v>607</v>
      </c>
      <c r="I92" s="341" t="s">
        <v>437</v>
      </c>
      <c r="J92" s="336" t="s">
        <v>607</v>
      </c>
      <c r="K92" s="340" t="s">
        <v>607</v>
      </c>
      <c r="L92" s="330" t="s">
        <v>128</v>
      </c>
      <c r="M92" s="330" t="s">
        <v>430</v>
      </c>
      <c r="N92" s="341" t="s">
        <v>607</v>
      </c>
    </row>
    <row r="93" spans="1:14" ht="16" customHeight="1">
      <c r="A93" s="595"/>
      <c r="B93" s="598"/>
      <c r="C93" s="598"/>
      <c r="D93" s="340" t="s">
        <v>427</v>
      </c>
      <c r="E93" s="340" t="s">
        <v>607</v>
      </c>
      <c r="F93" s="330" t="s">
        <v>428</v>
      </c>
      <c r="G93" s="330" t="s">
        <v>607</v>
      </c>
      <c r="H93" s="340" t="s">
        <v>607</v>
      </c>
      <c r="I93" s="341" t="s">
        <v>438</v>
      </c>
      <c r="J93" s="336" t="s">
        <v>607</v>
      </c>
      <c r="K93" s="340" t="s">
        <v>607</v>
      </c>
      <c r="L93" s="330" t="s">
        <v>128</v>
      </c>
      <c r="M93" s="330" t="s">
        <v>430</v>
      </c>
      <c r="N93" s="341" t="s">
        <v>607</v>
      </c>
    </row>
    <row r="94" spans="1:14" ht="16" customHeight="1">
      <c r="A94" s="595"/>
      <c r="B94" s="598"/>
      <c r="C94" s="598"/>
      <c r="D94" s="340" t="s">
        <v>427</v>
      </c>
      <c r="E94" s="340" t="s">
        <v>607</v>
      </c>
      <c r="F94" s="330" t="s">
        <v>428</v>
      </c>
      <c r="G94" s="330" t="s">
        <v>607</v>
      </c>
      <c r="H94" s="340" t="s">
        <v>607</v>
      </c>
      <c r="I94" s="341" t="s">
        <v>439</v>
      </c>
      <c r="J94" s="336" t="s">
        <v>607</v>
      </c>
      <c r="K94" s="340" t="s">
        <v>607</v>
      </c>
      <c r="L94" s="330" t="s">
        <v>128</v>
      </c>
      <c r="M94" s="330" t="s">
        <v>430</v>
      </c>
      <c r="N94" s="341" t="s">
        <v>607</v>
      </c>
    </row>
    <row r="95" spans="1:14" ht="16" customHeight="1">
      <c r="A95" s="596"/>
      <c r="B95" s="599"/>
      <c r="C95" s="599"/>
      <c r="D95" s="334" t="s">
        <v>427</v>
      </c>
      <c r="E95" s="334" t="s">
        <v>607</v>
      </c>
      <c r="F95" s="329" t="s">
        <v>428</v>
      </c>
      <c r="G95" s="329" t="s">
        <v>607</v>
      </c>
      <c r="H95" s="334" t="s">
        <v>607</v>
      </c>
      <c r="I95" s="339" t="s">
        <v>440</v>
      </c>
      <c r="J95" s="337" t="s">
        <v>607</v>
      </c>
      <c r="K95" s="334" t="s">
        <v>607</v>
      </c>
      <c r="L95" s="329" t="s">
        <v>128</v>
      </c>
      <c r="M95" s="329" t="s">
        <v>430</v>
      </c>
      <c r="N95" s="339" t="s">
        <v>607</v>
      </c>
    </row>
    <row r="96" spans="1:14" ht="16" customHeight="1">
      <c r="A96" s="253">
        <v>7</v>
      </c>
      <c r="B96" s="254" t="s">
        <v>441</v>
      </c>
      <c r="C96" s="255" t="s">
        <v>607</v>
      </c>
      <c r="D96" s="253" t="s">
        <v>442</v>
      </c>
      <c r="E96" s="253" t="s">
        <v>607</v>
      </c>
      <c r="F96" s="253" t="s">
        <v>607</v>
      </c>
      <c r="G96" s="253" t="s">
        <v>607</v>
      </c>
      <c r="H96" s="253" t="s">
        <v>607</v>
      </c>
      <c r="I96" s="255" t="s">
        <v>607</v>
      </c>
      <c r="J96" s="255" t="s">
        <v>607</v>
      </c>
      <c r="K96" s="253" t="s">
        <v>607</v>
      </c>
      <c r="L96" s="253" t="s">
        <v>607</v>
      </c>
      <c r="M96" s="253" t="s">
        <v>607</v>
      </c>
      <c r="N96" s="258" t="s">
        <v>607</v>
      </c>
    </row>
    <row r="97" spans="1:14" ht="16" customHeight="1">
      <c r="A97" s="595">
        <v>8</v>
      </c>
      <c r="B97" s="597" t="s">
        <v>443</v>
      </c>
      <c r="C97" s="336" t="s">
        <v>444</v>
      </c>
      <c r="D97" s="340" t="s">
        <v>445</v>
      </c>
      <c r="E97" s="340" t="s">
        <v>607</v>
      </c>
      <c r="F97" s="340" t="s">
        <v>446</v>
      </c>
      <c r="G97" s="340" t="s">
        <v>447</v>
      </c>
      <c r="H97" s="340" t="s">
        <v>448</v>
      </c>
      <c r="I97" s="336" t="s">
        <v>449</v>
      </c>
      <c r="J97" s="336" t="s">
        <v>450</v>
      </c>
      <c r="K97" s="330"/>
      <c r="L97" s="340" t="s">
        <v>451</v>
      </c>
      <c r="M97" s="340" t="s">
        <v>452</v>
      </c>
      <c r="N97" s="336" t="s">
        <v>453</v>
      </c>
    </row>
    <row r="98" spans="1:14" ht="16" customHeight="1">
      <c r="A98" s="595"/>
      <c r="B98" s="599"/>
      <c r="C98" s="336" t="s">
        <v>454</v>
      </c>
      <c r="D98" s="340" t="s">
        <v>445</v>
      </c>
      <c r="E98" s="340" t="s">
        <v>607</v>
      </c>
      <c r="F98" s="340" t="s">
        <v>455</v>
      </c>
      <c r="G98" s="340" t="s">
        <v>447</v>
      </c>
      <c r="H98" s="340" t="s">
        <v>448</v>
      </c>
      <c r="I98" s="336" t="s">
        <v>456</v>
      </c>
      <c r="J98" s="336" t="s">
        <v>457</v>
      </c>
      <c r="K98" s="330"/>
      <c r="L98" s="340" t="s">
        <v>451</v>
      </c>
      <c r="M98" s="340" t="s">
        <v>452</v>
      </c>
      <c r="N98" s="336" t="s">
        <v>458</v>
      </c>
    </row>
    <row r="99" spans="1:14" ht="16" customHeight="1">
      <c r="A99" s="332">
        <v>9</v>
      </c>
      <c r="B99" s="260" t="s">
        <v>27</v>
      </c>
      <c r="C99" s="335" t="s">
        <v>459</v>
      </c>
      <c r="D99" s="332" t="s">
        <v>460</v>
      </c>
      <c r="E99" s="332" t="s">
        <v>607</v>
      </c>
      <c r="F99" s="332" t="s">
        <v>1147</v>
      </c>
      <c r="G99" s="332" t="s">
        <v>461</v>
      </c>
      <c r="H99" s="332" t="s">
        <v>607</v>
      </c>
      <c r="I99" s="335" t="s">
        <v>462</v>
      </c>
      <c r="J99" s="338" t="s">
        <v>463</v>
      </c>
      <c r="K99" s="328" t="s">
        <v>607</v>
      </c>
      <c r="L99" s="328" t="s">
        <v>607</v>
      </c>
      <c r="M99" s="328" t="s">
        <v>607</v>
      </c>
      <c r="N99" s="335" t="s">
        <v>464</v>
      </c>
    </row>
    <row r="100" spans="1:14" ht="16" customHeight="1">
      <c r="A100" s="594">
        <v>10</v>
      </c>
      <c r="B100" s="597" t="s">
        <v>308</v>
      </c>
      <c r="C100" s="335" t="s">
        <v>465</v>
      </c>
      <c r="D100" s="332" t="s">
        <v>607</v>
      </c>
      <c r="E100" s="332" t="s">
        <v>607</v>
      </c>
      <c r="F100" s="332" t="s">
        <v>466</v>
      </c>
      <c r="G100" s="332" t="s">
        <v>607</v>
      </c>
      <c r="H100" s="332" t="s">
        <v>607</v>
      </c>
      <c r="I100" s="335" t="s">
        <v>607</v>
      </c>
      <c r="J100" s="338" t="s">
        <v>607</v>
      </c>
      <c r="K100" s="332" t="s">
        <v>607</v>
      </c>
      <c r="L100" s="332" t="s">
        <v>128</v>
      </c>
      <c r="M100" s="332" t="s">
        <v>607</v>
      </c>
      <c r="N100" s="338" t="s">
        <v>607</v>
      </c>
    </row>
    <row r="101" spans="1:14" ht="16" customHeight="1">
      <c r="A101" s="596"/>
      <c r="B101" s="599"/>
      <c r="C101" s="337" t="s">
        <v>467</v>
      </c>
      <c r="D101" s="334" t="s">
        <v>607</v>
      </c>
      <c r="E101" s="334" t="s">
        <v>468</v>
      </c>
      <c r="F101" s="334" t="s">
        <v>469</v>
      </c>
      <c r="G101" s="334" t="s">
        <v>607</v>
      </c>
      <c r="H101" s="334" t="s">
        <v>470</v>
      </c>
      <c r="I101" s="337" t="s">
        <v>471</v>
      </c>
      <c r="J101" s="261" t="s">
        <v>472</v>
      </c>
      <c r="K101" s="334" t="s">
        <v>607</v>
      </c>
      <c r="L101" s="329" t="s">
        <v>473</v>
      </c>
      <c r="M101" s="334" t="s">
        <v>607</v>
      </c>
      <c r="N101" s="339" t="s">
        <v>607</v>
      </c>
    </row>
    <row r="102" spans="1:14" ht="16" customHeight="1">
      <c r="A102" s="253">
        <v>11</v>
      </c>
      <c r="B102" s="254" t="s">
        <v>309</v>
      </c>
      <c r="C102" s="255" t="s">
        <v>474</v>
      </c>
      <c r="D102" s="334" t="s">
        <v>475</v>
      </c>
      <c r="E102" s="334" t="s">
        <v>607</v>
      </c>
      <c r="F102" s="334" t="s">
        <v>476</v>
      </c>
      <c r="G102" s="253" t="s">
        <v>477</v>
      </c>
      <c r="H102" s="253" t="s">
        <v>478</v>
      </c>
      <c r="I102" s="255" t="s">
        <v>607</v>
      </c>
      <c r="J102" s="262" t="s">
        <v>479</v>
      </c>
      <c r="K102" s="259" t="s">
        <v>480</v>
      </c>
      <c r="L102" s="259" t="s">
        <v>481</v>
      </c>
      <c r="M102" s="259" t="s">
        <v>482</v>
      </c>
      <c r="N102" s="339" t="s">
        <v>607</v>
      </c>
    </row>
    <row r="103" spans="1:14" ht="16" customHeight="1">
      <c r="A103" s="594">
        <v>12</v>
      </c>
      <c r="B103" s="597" t="s">
        <v>483</v>
      </c>
      <c r="C103" s="336" t="s">
        <v>484</v>
      </c>
      <c r="D103" s="328" t="s">
        <v>485</v>
      </c>
      <c r="E103" s="340" t="s">
        <v>486</v>
      </c>
      <c r="F103" s="340" t="s">
        <v>487</v>
      </c>
      <c r="G103" s="340" t="s">
        <v>607</v>
      </c>
      <c r="H103" s="340" t="s">
        <v>607</v>
      </c>
      <c r="I103" s="336" t="s">
        <v>607</v>
      </c>
      <c r="J103" s="341" t="s">
        <v>607</v>
      </c>
      <c r="K103" s="330" t="s">
        <v>607</v>
      </c>
      <c r="L103" s="330" t="s">
        <v>607</v>
      </c>
      <c r="M103" s="330" t="s">
        <v>607</v>
      </c>
      <c r="N103" s="341" t="s">
        <v>488</v>
      </c>
    </row>
    <row r="104" spans="1:14" ht="16" customHeight="1">
      <c r="A104" s="596"/>
      <c r="B104" s="599"/>
      <c r="C104" s="337" t="s">
        <v>489</v>
      </c>
      <c r="D104" s="329" t="s">
        <v>490</v>
      </c>
      <c r="E104" s="329" t="s">
        <v>491</v>
      </c>
      <c r="F104" s="334" t="s">
        <v>487</v>
      </c>
      <c r="G104" s="334" t="s">
        <v>607</v>
      </c>
      <c r="H104" s="334" t="s">
        <v>607</v>
      </c>
      <c r="I104" s="336" t="s">
        <v>607</v>
      </c>
      <c r="J104" s="341" t="s">
        <v>607</v>
      </c>
      <c r="K104" s="330" t="s">
        <v>607</v>
      </c>
      <c r="L104" s="330" t="s">
        <v>607</v>
      </c>
      <c r="M104" s="330" t="s">
        <v>607</v>
      </c>
      <c r="N104" s="339" t="s">
        <v>492</v>
      </c>
    </row>
    <row r="105" spans="1:14" ht="16" customHeight="1">
      <c r="A105" s="253">
        <v>13</v>
      </c>
      <c r="B105" s="254" t="s">
        <v>493</v>
      </c>
      <c r="C105" s="255" t="s">
        <v>607</v>
      </c>
      <c r="D105" s="253" t="s">
        <v>607</v>
      </c>
      <c r="E105" s="253" t="s">
        <v>607</v>
      </c>
      <c r="F105" s="253" t="s">
        <v>607</v>
      </c>
      <c r="G105" s="253" t="s">
        <v>607</v>
      </c>
      <c r="H105" s="253" t="s">
        <v>607</v>
      </c>
      <c r="I105" s="255" t="s">
        <v>607</v>
      </c>
      <c r="J105" s="255" t="s">
        <v>607</v>
      </c>
      <c r="K105" s="253" t="s">
        <v>607</v>
      </c>
      <c r="L105" s="253" t="s">
        <v>607</v>
      </c>
      <c r="M105" s="253" t="s">
        <v>607</v>
      </c>
      <c r="N105" s="255" t="s">
        <v>607</v>
      </c>
    </row>
    <row r="106" spans="1:14" ht="16" customHeight="1">
      <c r="A106" s="253">
        <v>14</v>
      </c>
      <c r="B106" s="254" t="s">
        <v>494</v>
      </c>
      <c r="C106" s="255" t="s">
        <v>495</v>
      </c>
      <c r="D106" s="253" t="s">
        <v>496</v>
      </c>
      <c r="E106" s="253" t="s">
        <v>607</v>
      </c>
      <c r="F106" s="253" t="s">
        <v>497</v>
      </c>
      <c r="G106" s="253" t="s">
        <v>607</v>
      </c>
      <c r="H106" s="253" t="s">
        <v>498</v>
      </c>
      <c r="I106" s="255" t="s">
        <v>607</v>
      </c>
      <c r="J106" s="258" t="s">
        <v>499</v>
      </c>
      <c r="K106" s="259" t="s">
        <v>607</v>
      </c>
      <c r="L106" s="253" t="s">
        <v>128</v>
      </c>
      <c r="M106" s="259" t="s">
        <v>500</v>
      </c>
      <c r="N106" s="258" t="s">
        <v>607</v>
      </c>
    </row>
    <row r="107" spans="1:14" ht="16" customHeight="1">
      <c r="A107" s="253">
        <v>15</v>
      </c>
      <c r="B107" s="254" t="s">
        <v>1208</v>
      </c>
      <c r="C107" s="255" t="s">
        <v>502</v>
      </c>
      <c r="D107" s="253" t="s">
        <v>503</v>
      </c>
      <c r="E107" s="253" t="s">
        <v>607</v>
      </c>
      <c r="F107" s="253" t="s">
        <v>607</v>
      </c>
      <c r="G107" s="253" t="s">
        <v>607</v>
      </c>
      <c r="H107" s="253" t="s">
        <v>607</v>
      </c>
      <c r="I107" s="255" t="s">
        <v>504</v>
      </c>
      <c r="J107" s="258" t="s">
        <v>607</v>
      </c>
      <c r="K107" s="259" t="s">
        <v>505</v>
      </c>
      <c r="L107" s="253" t="s">
        <v>506</v>
      </c>
      <c r="M107" s="259" t="s">
        <v>507</v>
      </c>
      <c r="N107" s="258" t="s">
        <v>508</v>
      </c>
    </row>
    <row r="108" spans="1:14" ht="16" customHeight="1">
      <c r="A108" s="253">
        <v>16</v>
      </c>
      <c r="B108" s="254" t="s">
        <v>501</v>
      </c>
      <c r="C108" s="255" t="s">
        <v>509</v>
      </c>
      <c r="D108" s="253" t="s">
        <v>510</v>
      </c>
      <c r="E108" s="253" t="s">
        <v>607</v>
      </c>
      <c r="F108" s="253" t="s">
        <v>511</v>
      </c>
      <c r="G108" s="253" t="s">
        <v>607</v>
      </c>
      <c r="H108" s="253" t="s">
        <v>607</v>
      </c>
      <c r="I108" s="255" t="s">
        <v>607</v>
      </c>
      <c r="J108" s="258" t="s">
        <v>607</v>
      </c>
      <c r="K108" s="259" t="s">
        <v>512</v>
      </c>
      <c r="L108" s="253" t="s">
        <v>128</v>
      </c>
      <c r="M108" s="259" t="s">
        <v>607</v>
      </c>
      <c r="N108" s="258" t="s">
        <v>607</v>
      </c>
    </row>
    <row r="109" spans="1:14" ht="16" customHeight="1">
      <c r="A109" s="594">
        <v>17</v>
      </c>
      <c r="B109" s="597" t="s">
        <v>513</v>
      </c>
      <c r="C109" s="336" t="s">
        <v>514</v>
      </c>
      <c r="D109" s="340" t="s">
        <v>515</v>
      </c>
      <c r="E109" s="340" t="s">
        <v>516</v>
      </c>
      <c r="F109" s="594" t="s">
        <v>517</v>
      </c>
      <c r="G109" s="340" t="s">
        <v>607</v>
      </c>
      <c r="H109" s="340" t="s">
        <v>607</v>
      </c>
      <c r="I109" s="597" t="s">
        <v>518</v>
      </c>
      <c r="J109" s="603" t="s">
        <v>519</v>
      </c>
      <c r="K109" s="330" t="s">
        <v>607</v>
      </c>
      <c r="L109" s="330" t="s">
        <v>607</v>
      </c>
      <c r="M109" s="330" t="s">
        <v>607</v>
      </c>
      <c r="N109" s="341" t="s">
        <v>607</v>
      </c>
    </row>
    <row r="110" spans="1:14" ht="16" customHeight="1">
      <c r="A110" s="595"/>
      <c r="B110" s="598"/>
      <c r="C110" s="336" t="s">
        <v>520</v>
      </c>
      <c r="D110" s="340" t="s">
        <v>521</v>
      </c>
      <c r="E110" s="340" t="s">
        <v>522</v>
      </c>
      <c r="F110" s="605"/>
      <c r="G110" s="340" t="s">
        <v>607</v>
      </c>
      <c r="H110" s="340" t="s">
        <v>607</v>
      </c>
      <c r="I110" s="598"/>
      <c r="J110" s="606"/>
      <c r="K110" s="330" t="s">
        <v>607</v>
      </c>
      <c r="L110" s="330" t="s">
        <v>607</v>
      </c>
      <c r="M110" s="330" t="s">
        <v>607</v>
      </c>
      <c r="N110" s="341" t="s">
        <v>607</v>
      </c>
    </row>
    <row r="111" spans="1:14" ht="16" customHeight="1">
      <c r="A111" s="595"/>
      <c r="B111" s="598"/>
      <c r="C111" s="336" t="s">
        <v>523</v>
      </c>
      <c r="D111" s="340" t="s">
        <v>524</v>
      </c>
      <c r="E111" s="340" t="s">
        <v>525</v>
      </c>
      <c r="F111" s="605"/>
      <c r="G111" s="340" t="s">
        <v>607</v>
      </c>
      <c r="H111" s="340" t="s">
        <v>607</v>
      </c>
      <c r="I111" s="598"/>
      <c r="J111" s="606"/>
      <c r="K111" s="330" t="s">
        <v>607</v>
      </c>
      <c r="L111" s="330" t="s">
        <v>607</v>
      </c>
      <c r="M111" s="330" t="s">
        <v>607</v>
      </c>
      <c r="N111" s="341" t="s">
        <v>607</v>
      </c>
    </row>
    <row r="112" spans="1:14" ht="16" customHeight="1">
      <c r="A112" s="595"/>
      <c r="B112" s="598"/>
      <c r="C112" s="336" t="s">
        <v>526</v>
      </c>
      <c r="D112" s="340" t="s">
        <v>527</v>
      </c>
      <c r="E112" s="340" t="s">
        <v>528</v>
      </c>
      <c r="F112" s="605"/>
      <c r="G112" s="340" t="s">
        <v>607</v>
      </c>
      <c r="H112" s="340" t="s">
        <v>607</v>
      </c>
      <c r="I112" s="598"/>
      <c r="J112" s="606"/>
      <c r="K112" s="330" t="s">
        <v>607</v>
      </c>
      <c r="L112" s="330" t="s">
        <v>607</v>
      </c>
      <c r="M112" s="330" t="s">
        <v>607</v>
      </c>
      <c r="N112" s="341" t="s">
        <v>607</v>
      </c>
    </row>
    <row r="113" spans="1:14" ht="16" customHeight="1">
      <c r="A113" s="595"/>
      <c r="B113" s="598"/>
      <c r="C113" s="336" t="s">
        <v>529</v>
      </c>
      <c r="D113" s="605" t="s">
        <v>530</v>
      </c>
      <c r="E113" s="340" t="s">
        <v>531</v>
      </c>
      <c r="F113" s="605"/>
      <c r="G113" s="340" t="s">
        <v>607</v>
      </c>
      <c r="H113" s="340" t="s">
        <v>607</v>
      </c>
      <c r="I113" s="598"/>
      <c r="J113" s="606"/>
      <c r="K113" s="330" t="s">
        <v>607</v>
      </c>
      <c r="L113" s="330" t="s">
        <v>607</v>
      </c>
      <c r="M113" s="330" t="s">
        <v>607</v>
      </c>
      <c r="N113" s="341" t="s">
        <v>607</v>
      </c>
    </row>
    <row r="114" spans="1:14" ht="16" customHeight="1">
      <c r="A114" s="595"/>
      <c r="B114" s="598"/>
      <c r="C114" s="336" t="s">
        <v>532</v>
      </c>
      <c r="D114" s="605"/>
      <c r="E114" s="340" t="s">
        <v>533</v>
      </c>
      <c r="F114" s="605"/>
      <c r="G114" s="340" t="s">
        <v>607</v>
      </c>
      <c r="H114" s="340" t="s">
        <v>607</v>
      </c>
      <c r="I114" s="598"/>
      <c r="J114" s="606"/>
      <c r="K114" s="330" t="s">
        <v>607</v>
      </c>
      <c r="L114" s="330" t="s">
        <v>607</v>
      </c>
      <c r="M114" s="330" t="s">
        <v>607</v>
      </c>
      <c r="N114" s="341" t="s">
        <v>607</v>
      </c>
    </row>
    <row r="115" spans="1:14" ht="16" customHeight="1">
      <c r="A115" s="595"/>
      <c r="B115" s="598"/>
      <c r="C115" s="336" t="s">
        <v>534</v>
      </c>
      <c r="D115" s="605" t="s">
        <v>535</v>
      </c>
      <c r="E115" s="340" t="s">
        <v>536</v>
      </c>
      <c r="F115" s="605"/>
      <c r="G115" s="340" t="s">
        <v>607</v>
      </c>
      <c r="H115" s="340" t="s">
        <v>607</v>
      </c>
      <c r="I115" s="598"/>
      <c r="J115" s="606"/>
      <c r="K115" s="330" t="s">
        <v>607</v>
      </c>
      <c r="L115" s="330" t="s">
        <v>607</v>
      </c>
      <c r="M115" s="330" t="s">
        <v>607</v>
      </c>
      <c r="N115" s="341" t="s">
        <v>607</v>
      </c>
    </row>
    <row r="116" spans="1:14" ht="16" customHeight="1">
      <c r="A116" s="595"/>
      <c r="B116" s="598"/>
      <c r="C116" s="336" t="s">
        <v>537</v>
      </c>
      <c r="D116" s="605"/>
      <c r="E116" s="340" t="s">
        <v>538</v>
      </c>
      <c r="F116" s="605"/>
      <c r="G116" s="340" t="s">
        <v>607</v>
      </c>
      <c r="H116" s="340" t="s">
        <v>607</v>
      </c>
      <c r="I116" s="598"/>
      <c r="J116" s="606"/>
      <c r="K116" s="330" t="s">
        <v>607</v>
      </c>
      <c r="L116" s="330" t="s">
        <v>607</v>
      </c>
      <c r="M116" s="330" t="s">
        <v>607</v>
      </c>
      <c r="N116" s="341" t="s">
        <v>607</v>
      </c>
    </row>
    <row r="117" spans="1:14" ht="16" customHeight="1">
      <c r="A117" s="595"/>
      <c r="B117" s="598"/>
      <c r="C117" s="336" t="s">
        <v>539</v>
      </c>
      <c r="D117" s="605" t="s">
        <v>540</v>
      </c>
      <c r="E117" s="340" t="s">
        <v>541</v>
      </c>
      <c r="F117" s="340" t="s">
        <v>607</v>
      </c>
      <c r="G117" s="340" t="s">
        <v>607</v>
      </c>
      <c r="H117" s="340" t="s">
        <v>607</v>
      </c>
      <c r="K117" s="330" t="s">
        <v>607</v>
      </c>
      <c r="L117" s="330" t="s">
        <v>607</v>
      </c>
      <c r="M117" s="330" t="s">
        <v>607</v>
      </c>
      <c r="N117" s="341" t="s">
        <v>607</v>
      </c>
    </row>
    <row r="118" spans="1:14" ht="16" customHeight="1">
      <c r="A118" s="596"/>
      <c r="B118" s="599"/>
      <c r="C118" s="336" t="s">
        <v>542</v>
      </c>
      <c r="D118" s="596"/>
      <c r="E118" s="340" t="s">
        <v>543</v>
      </c>
      <c r="F118" s="340" t="s">
        <v>607</v>
      </c>
      <c r="G118" s="340" t="s">
        <v>607</v>
      </c>
      <c r="H118" s="340" t="s">
        <v>607</v>
      </c>
      <c r="K118" s="330" t="s">
        <v>607</v>
      </c>
      <c r="L118" s="330" t="s">
        <v>607</v>
      </c>
      <c r="M118" s="329" t="s">
        <v>607</v>
      </c>
      <c r="N118" s="341" t="s">
        <v>607</v>
      </c>
    </row>
    <row r="119" spans="1:14" ht="16" customHeight="1">
      <c r="A119" s="594">
        <v>18</v>
      </c>
      <c r="B119" s="597" t="s">
        <v>544</v>
      </c>
      <c r="C119" s="263" t="s">
        <v>1209</v>
      </c>
      <c r="D119" s="332" t="s">
        <v>545</v>
      </c>
      <c r="E119" s="332" t="s">
        <v>607</v>
      </c>
      <c r="F119" s="328" t="s">
        <v>546</v>
      </c>
      <c r="G119" s="332" t="s">
        <v>607</v>
      </c>
      <c r="H119" s="332" t="s">
        <v>547</v>
      </c>
      <c r="I119" s="338" t="s">
        <v>548</v>
      </c>
      <c r="J119" s="338" t="s">
        <v>549</v>
      </c>
      <c r="K119" s="328" t="s">
        <v>607</v>
      </c>
      <c r="L119" s="332" t="s">
        <v>128</v>
      </c>
      <c r="M119" s="330" t="s">
        <v>607</v>
      </c>
      <c r="N119" s="338" t="s">
        <v>607</v>
      </c>
    </row>
    <row r="120" spans="1:14" ht="16" customHeight="1">
      <c r="A120" s="595"/>
      <c r="B120" s="598"/>
      <c r="C120" s="264" t="s">
        <v>1210</v>
      </c>
      <c r="D120" s="340" t="s">
        <v>545</v>
      </c>
      <c r="E120" s="340" t="s">
        <v>607</v>
      </c>
      <c r="F120" s="330" t="s">
        <v>546</v>
      </c>
      <c r="G120" s="340" t="s">
        <v>607</v>
      </c>
      <c r="H120" s="340" t="s">
        <v>547</v>
      </c>
      <c r="I120" s="341" t="s">
        <v>548</v>
      </c>
      <c r="J120" s="341" t="s">
        <v>550</v>
      </c>
      <c r="K120" s="330" t="s">
        <v>607</v>
      </c>
      <c r="L120" s="340" t="s">
        <v>128</v>
      </c>
      <c r="M120" s="330" t="s">
        <v>607</v>
      </c>
      <c r="N120" s="341" t="s">
        <v>607</v>
      </c>
    </row>
    <row r="121" spans="1:14" ht="16" customHeight="1">
      <c r="A121" s="595"/>
      <c r="B121" s="598"/>
      <c r="C121" s="264" t="s">
        <v>1211</v>
      </c>
      <c r="D121" s="340" t="s">
        <v>545</v>
      </c>
      <c r="E121" s="340" t="s">
        <v>607</v>
      </c>
      <c r="F121" s="330" t="s">
        <v>546</v>
      </c>
      <c r="G121" s="340" t="s">
        <v>607</v>
      </c>
      <c r="H121" s="340" t="s">
        <v>547</v>
      </c>
      <c r="I121" s="341" t="s">
        <v>551</v>
      </c>
      <c r="J121" s="341" t="s">
        <v>552</v>
      </c>
      <c r="K121" s="330" t="s">
        <v>607</v>
      </c>
      <c r="L121" s="340" t="s">
        <v>128</v>
      </c>
      <c r="M121" s="330" t="s">
        <v>607</v>
      </c>
      <c r="N121" s="341" t="s">
        <v>607</v>
      </c>
    </row>
    <row r="122" spans="1:14" ht="16" customHeight="1">
      <c r="A122" s="595"/>
      <c r="B122" s="598"/>
      <c r="C122" s="264" t="s">
        <v>1212</v>
      </c>
      <c r="D122" s="340" t="s">
        <v>545</v>
      </c>
      <c r="E122" s="340" t="s">
        <v>607</v>
      </c>
      <c r="F122" s="330" t="s">
        <v>546</v>
      </c>
      <c r="G122" s="340" t="s">
        <v>607</v>
      </c>
      <c r="H122" s="340" t="s">
        <v>547</v>
      </c>
      <c r="I122" s="341" t="s">
        <v>553</v>
      </c>
      <c r="J122" s="341" t="s">
        <v>554</v>
      </c>
      <c r="K122" s="330" t="s">
        <v>607</v>
      </c>
      <c r="L122" s="340" t="s">
        <v>128</v>
      </c>
      <c r="M122" s="330" t="s">
        <v>607</v>
      </c>
      <c r="N122" s="341" t="s">
        <v>607</v>
      </c>
    </row>
    <row r="123" spans="1:14" ht="16" customHeight="1">
      <c r="A123" s="595"/>
      <c r="B123" s="598"/>
      <c r="C123" s="264" t="s">
        <v>1213</v>
      </c>
      <c r="D123" s="340" t="s">
        <v>545</v>
      </c>
      <c r="E123" s="340" t="s">
        <v>607</v>
      </c>
      <c r="F123" s="330" t="s">
        <v>546</v>
      </c>
      <c r="G123" s="340" t="s">
        <v>607</v>
      </c>
      <c r="H123" s="340" t="s">
        <v>547</v>
      </c>
      <c r="I123" s="341" t="s">
        <v>555</v>
      </c>
      <c r="J123" s="341" t="s">
        <v>556</v>
      </c>
      <c r="K123" s="330" t="s">
        <v>607</v>
      </c>
      <c r="L123" s="340" t="s">
        <v>128</v>
      </c>
      <c r="M123" s="330" t="s">
        <v>607</v>
      </c>
      <c r="N123" s="341" t="s">
        <v>607</v>
      </c>
    </row>
    <row r="124" spans="1:14" ht="16" customHeight="1">
      <c r="A124" s="595"/>
      <c r="B124" s="598"/>
      <c r="C124" s="264" t="s">
        <v>1214</v>
      </c>
      <c r="D124" s="340" t="s">
        <v>545</v>
      </c>
      <c r="E124" s="340" t="s">
        <v>607</v>
      </c>
      <c r="F124" s="330" t="s">
        <v>546</v>
      </c>
      <c r="G124" s="340" t="s">
        <v>607</v>
      </c>
      <c r="H124" s="340" t="s">
        <v>547</v>
      </c>
      <c r="I124" s="341" t="s">
        <v>557</v>
      </c>
      <c r="J124" s="341" t="s">
        <v>558</v>
      </c>
      <c r="K124" s="330" t="s">
        <v>607</v>
      </c>
      <c r="L124" s="340" t="s">
        <v>128</v>
      </c>
      <c r="M124" s="330" t="s">
        <v>607</v>
      </c>
      <c r="N124" s="341" t="s">
        <v>607</v>
      </c>
    </row>
    <row r="125" spans="1:14" ht="16" customHeight="1">
      <c r="A125" s="595"/>
      <c r="B125" s="598"/>
      <c r="C125" s="264" t="s">
        <v>1215</v>
      </c>
      <c r="D125" s="340" t="s">
        <v>545</v>
      </c>
      <c r="E125" s="340" t="s">
        <v>607</v>
      </c>
      <c r="F125" s="330" t="s">
        <v>546</v>
      </c>
      <c r="G125" s="340" t="s">
        <v>607</v>
      </c>
      <c r="H125" s="340" t="s">
        <v>547</v>
      </c>
      <c r="I125" s="341" t="s">
        <v>559</v>
      </c>
      <c r="J125" s="341" t="s">
        <v>558</v>
      </c>
      <c r="K125" s="330" t="s">
        <v>607</v>
      </c>
      <c r="L125" s="340" t="s">
        <v>128</v>
      </c>
      <c r="M125" s="330" t="s">
        <v>607</v>
      </c>
      <c r="N125" s="341" t="s">
        <v>607</v>
      </c>
    </row>
    <row r="126" spans="1:14" ht="16" customHeight="1">
      <c r="A126" s="595"/>
      <c r="B126" s="598"/>
      <c r="C126" s="264" t="s">
        <v>1216</v>
      </c>
      <c r="D126" s="340" t="s">
        <v>545</v>
      </c>
      <c r="E126" s="340" t="s">
        <v>607</v>
      </c>
      <c r="F126" s="330" t="s">
        <v>546</v>
      </c>
      <c r="G126" s="340" t="s">
        <v>607</v>
      </c>
      <c r="H126" s="340" t="s">
        <v>547</v>
      </c>
      <c r="I126" s="341" t="s">
        <v>560</v>
      </c>
      <c r="J126" s="341" t="s">
        <v>558</v>
      </c>
      <c r="K126" s="330" t="s">
        <v>607</v>
      </c>
      <c r="L126" s="340" t="s">
        <v>128</v>
      </c>
      <c r="M126" s="330" t="s">
        <v>607</v>
      </c>
      <c r="N126" s="341" t="s">
        <v>607</v>
      </c>
    </row>
    <row r="127" spans="1:14" ht="16" customHeight="1">
      <c r="A127" s="595"/>
      <c r="B127" s="598"/>
      <c r="C127" s="264" t="s">
        <v>1217</v>
      </c>
      <c r="D127" s="340" t="s">
        <v>545</v>
      </c>
      <c r="E127" s="340" t="s">
        <v>607</v>
      </c>
      <c r="F127" s="330" t="s">
        <v>546</v>
      </c>
      <c r="G127" s="340" t="s">
        <v>607</v>
      </c>
      <c r="H127" s="340" t="s">
        <v>547</v>
      </c>
      <c r="I127" s="341" t="s">
        <v>561</v>
      </c>
      <c r="J127" s="341" t="s">
        <v>556</v>
      </c>
      <c r="K127" s="330" t="s">
        <v>607</v>
      </c>
      <c r="L127" s="340" t="s">
        <v>128</v>
      </c>
      <c r="M127" s="330" t="s">
        <v>607</v>
      </c>
      <c r="N127" s="341" t="s">
        <v>607</v>
      </c>
    </row>
    <row r="128" spans="1:14" ht="16" customHeight="1">
      <c r="A128" s="595"/>
      <c r="B128" s="598"/>
      <c r="C128" s="264" t="s">
        <v>1218</v>
      </c>
      <c r="D128" s="340" t="s">
        <v>545</v>
      </c>
      <c r="E128" s="340" t="s">
        <v>607</v>
      </c>
      <c r="F128" s="330" t="s">
        <v>546</v>
      </c>
      <c r="G128" s="340" t="s">
        <v>607</v>
      </c>
      <c r="H128" s="340" t="s">
        <v>547</v>
      </c>
      <c r="I128" s="341" t="s">
        <v>562</v>
      </c>
      <c r="J128" s="341" t="s">
        <v>556</v>
      </c>
      <c r="K128" s="330" t="s">
        <v>607</v>
      </c>
      <c r="L128" s="340" t="s">
        <v>128</v>
      </c>
      <c r="M128" s="330" t="s">
        <v>607</v>
      </c>
      <c r="N128" s="341" t="s">
        <v>607</v>
      </c>
    </row>
    <row r="129" spans="1:14" ht="16" customHeight="1">
      <c r="A129" s="595"/>
      <c r="B129" s="598"/>
      <c r="C129" s="264" t="s">
        <v>1219</v>
      </c>
      <c r="D129" s="340" t="s">
        <v>545</v>
      </c>
      <c r="E129" s="340" t="s">
        <v>607</v>
      </c>
      <c r="F129" s="330" t="s">
        <v>546</v>
      </c>
      <c r="G129" s="340" t="s">
        <v>607</v>
      </c>
      <c r="H129" s="340" t="s">
        <v>547</v>
      </c>
      <c r="I129" s="341" t="s">
        <v>563</v>
      </c>
      <c r="J129" s="341" t="s">
        <v>558</v>
      </c>
      <c r="K129" s="330" t="s">
        <v>607</v>
      </c>
      <c r="L129" s="340" t="s">
        <v>128</v>
      </c>
      <c r="M129" s="330" t="s">
        <v>607</v>
      </c>
      <c r="N129" s="341" t="s">
        <v>607</v>
      </c>
    </row>
    <row r="130" spans="1:14" ht="16" customHeight="1">
      <c r="A130" s="595"/>
      <c r="B130" s="598"/>
      <c r="C130" s="264" t="s">
        <v>1220</v>
      </c>
      <c r="D130" s="340" t="s">
        <v>545</v>
      </c>
      <c r="E130" s="340" t="s">
        <v>607</v>
      </c>
      <c r="F130" s="330" t="s">
        <v>546</v>
      </c>
      <c r="G130" s="340" t="s">
        <v>607</v>
      </c>
      <c r="H130" s="340" t="s">
        <v>547</v>
      </c>
      <c r="I130" s="341" t="s">
        <v>564</v>
      </c>
      <c r="J130" s="341" t="s">
        <v>558</v>
      </c>
      <c r="K130" s="330" t="s">
        <v>607</v>
      </c>
      <c r="L130" s="340" t="s">
        <v>128</v>
      </c>
      <c r="M130" s="330" t="s">
        <v>607</v>
      </c>
      <c r="N130" s="341" t="s">
        <v>607</v>
      </c>
    </row>
    <row r="131" spans="1:14" ht="16" customHeight="1">
      <c r="A131" s="595"/>
      <c r="B131" s="598"/>
      <c r="C131" s="264" t="s">
        <v>1221</v>
      </c>
      <c r="D131" s="340" t="s">
        <v>545</v>
      </c>
      <c r="E131" s="340" t="s">
        <v>607</v>
      </c>
      <c r="F131" s="330" t="s">
        <v>546</v>
      </c>
      <c r="G131" s="340" t="s">
        <v>607</v>
      </c>
      <c r="H131" s="340" t="s">
        <v>547</v>
      </c>
      <c r="I131" s="341" t="s">
        <v>565</v>
      </c>
      <c r="J131" s="341" t="s">
        <v>566</v>
      </c>
      <c r="K131" s="330" t="s">
        <v>607</v>
      </c>
      <c r="L131" s="340" t="s">
        <v>128</v>
      </c>
      <c r="M131" s="330" t="s">
        <v>607</v>
      </c>
      <c r="N131" s="341" t="s">
        <v>607</v>
      </c>
    </row>
    <row r="132" spans="1:14" ht="16" customHeight="1">
      <c r="A132" s="595"/>
      <c r="B132" s="598"/>
      <c r="C132" s="264" t="s">
        <v>1222</v>
      </c>
      <c r="D132" s="340" t="s">
        <v>545</v>
      </c>
      <c r="E132" s="340" t="s">
        <v>607</v>
      </c>
      <c r="F132" s="330" t="s">
        <v>546</v>
      </c>
      <c r="G132" s="340" t="s">
        <v>607</v>
      </c>
      <c r="H132" s="340" t="s">
        <v>547</v>
      </c>
      <c r="I132" s="341" t="s">
        <v>567</v>
      </c>
      <c r="J132" s="341" t="s">
        <v>568</v>
      </c>
      <c r="K132" s="330" t="s">
        <v>607</v>
      </c>
      <c r="L132" s="340" t="s">
        <v>128</v>
      </c>
      <c r="M132" s="330" t="s">
        <v>607</v>
      </c>
      <c r="N132" s="341" t="s">
        <v>607</v>
      </c>
    </row>
    <row r="133" spans="1:14" ht="16" customHeight="1">
      <c r="A133" s="595"/>
      <c r="B133" s="598"/>
      <c r="C133" s="264" t="s">
        <v>1223</v>
      </c>
      <c r="D133" s="340" t="s">
        <v>545</v>
      </c>
      <c r="E133" s="340" t="s">
        <v>607</v>
      </c>
      <c r="F133" s="330" t="s">
        <v>546</v>
      </c>
      <c r="G133" s="340" t="s">
        <v>607</v>
      </c>
      <c r="H133" s="340" t="s">
        <v>547</v>
      </c>
      <c r="I133" s="341" t="s">
        <v>569</v>
      </c>
      <c r="J133" s="341" t="s">
        <v>570</v>
      </c>
      <c r="K133" s="330" t="s">
        <v>607</v>
      </c>
      <c r="L133" s="340" t="s">
        <v>128</v>
      </c>
      <c r="M133" s="330" t="s">
        <v>607</v>
      </c>
      <c r="N133" s="341" t="s">
        <v>607</v>
      </c>
    </row>
    <row r="134" spans="1:14" ht="16" customHeight="1">
      <c r="A134" s="595"/>
      <c r="B134" s="598"/>
      <c r="C134" s="264" t="s">
        <v>1224</v>
      </c>
      <c r="D134" s="340" t="s">
        <v>545</v>
      </c>
      <c r="E134" s="340" t="s">
        <v>607</v>
      </c>
      <c r="F134" s="330" t="s">
        <v>546</v>
      </c>
      <c r="G134" s="340" t="s">
        <v>607</v>
      </c>
      <c r="H134" s="340" t="s">
        <v>547</v>
      </c>
      <c r="I134" s="341" t="s">
        <v>569</v>
      </c>
      <c r="J134" s="341" t="s">
        <v>571</v>
      </c>
      <c r="K134" s="330" t="s">
        <v>607</v>
      </c>
      <c r="L134" s="340" t="s">
        <v>128</v>
      </c>
      <c r="M134" s="330" t="s">
        <v>607</v>
      </c>
      <c r="N134" s="341" t="s">
        <v>607</v>
      </c>
    </row>
    <row r="135" spans="1:14" ht="16" customHeight="1">
      <c r="A135" s="595"/>
      <c r="B135" s="598"/>
      <c r="C135" s="264" t="s">
        <v>1225</v>
      </c>
      <c r="D135" s="340" t="s">
        <v>545</v>
      </c>
      <c r="E135" s="340" t="s">
        <v>607</v>
      </c>
      <c r="F135" s="330" t="s">
        <v>546</v>
      </c>
      <c r="G135" s="340" t="s">
        <v>607</v>
      </c>
      <c r="H135" s="340" t="s">
        <v>547</v>
      </c>
      <c r="I135" s="341" t="s">
        <v>572</v>
      </c>
      <c r="J135" s="341" t="s">
        <v>573</v>
      </c>
      <c r="K135" s="330" t="s">
        <v>607</v>
      </c>
      <c r="L135" s="340" t="s">
        <v>128</v>
      </c>
      <c r="M135" s="330" t="s">
        <v>607</v>
      </c>
      <c r="N135" s="341" t="s">
        <v>607</v>
      </c>
    </row>
    <row r="136" spans="1:14" ht="16" customHeight="1">
      <c r="A136" s="595"/>
      <c r="B136" s="598"/>
      <c r="C136" s="264" t="s">
        <v>1226</v>
      </c>
      <c r="D136" s="340" t="s">
        <v>545</v>
      </c>
      <c r="E136" s="340" t="s">
        <v>607</v>
      </c>
      <c r="F136" s="330" t="s">
        <v>546</v>
      </c>
      <c r="G136" s="340" t="s">
        <v>607</v>
      </c>
      <c r="H136" s="340" t="s">
        <v>547</v>
      </c>
      <c r="I136" s="341" t="s">
        <v>574</v>
      </c>
      <c r="J136" s="341" t="s">
        <v>552</v>
      </c>
      <c r="K136" s="330" t="s">
        <v>607</v>
      </c>
      <c r="L136" s="340" t="s">
        <v>128</v>
      </c>
      <c r="M136" s="330" t="s">
        <v>607</v>
      </c>
      <c r="N136" s="341" t="s">
        <v>607</v>
      </c>
    </row>
    <row r="137" spans="1:14" ht="16" customHeight="1">
      <c r="A137" s="595"/>
      <c r="B137" s="598"/>
      <c r="C137" s="264" t="s">
        <v>1227</v>
      </c>
      <c r="D137" s="340" t="s">
        <v>545</v>
      </c>
      <c r="E137" s="340" t="s">
        <v>607</v>
      </c>
      <c r="F137" s="330" t="s">
        <v>546</v>
      </c>
      <c r="G137" s="340" t="s">
        <v>607</v>
      </c>
      <c r="H137" s="340" t="s">
        <v>547</v>
      </c>
      <c r="I137" s="341" t="s">
        <v>575</v>
      </c>
      <c r="J137" s="341" t="s">
        <v>552</v>
      </c>
      <c r="K137" s="330" t="s">
        <v>607</v>
      </c>
      <c r="L137" s="340" t="s">
        <v>128</v>
      </c>
      <c r="M137" s="330" t="s">
        <v>607</v>
      </c>
      <c r="N137" s="341" t="s">
        <v>607</v>
      </c>
    </row>
    <row r="138" spans="1:14" ht="16" customHeight="1">
      <c r="A138" s="595"/>
      <c r="B138" s="598"/>
      <c r="C138" s="264" t="s">
        <v>1228</v>
      </c>
      <c r="D138" s="340" t="s">
        <v>545</v>
      </c>
      <c r="E138" s="340" t="s">
        <v>607</v>
      </c>
      <c r="F138" s="330" t="s">
        <v>546</v>
      </c>
      <c r="G138" s="340" t="s">
        <v>607</v>
      </c>
      <c r="H138" s="340" t="s">
        <v>547</v>
      </c>
      <c r="I138" s="341" t="s">
        <v>576</v>
      </c>
      <c r="J138" s="341" t="s">
        <v>554</v>
      </c>
      <c r="K138" s="330" t="s">
        <v>607</v>
      </c>
      <c r="L138" s="340" t="s">
        <v>128</v>
      </c>
      <c r="M138" s="330" t="s">
        <v>607</v>
      </c>
      <c r="N138" s="341" t="s">
        <v>607</v>
      </c>
    </row>
    <row r="139" spans="1:14" ht="16" customHeight="1">
      <c r="A139" s="595"/>
      <c r="B139" s="598"/>
      <c r="C139" s="264" t="s">
        <v>1229</v>
      </c>
      <c r="D139" s="340" t="s">
        <v>545</v>
      </c>
      <c r="E139" s="340" t="s">
        <v>607</v>
      </c>
      <c r="F139" s="330" t="s">
        <v>546</v>
      </c>
      <c r="G139" s="340" t="s">
        <v>607</v>
      </c>
      <c r="H139" s="340" t="s">
        <v>547</v>
      </c>
      <c r="I139" s="341" t="s">
        <v>577</v>
      </c>
      <c r="J139" s="341" t="s">
        <v>556</v>
      </c>
      <c r="K139" s="330" t="s">
        <v>607</v>
      </c>
      <c r="L139" s="340" t="s">
        <v>128</v>
      </c>
      <c r="M139" s="330" t="s">
        <v>607</v>
      </c>
      <c r="N139" s="341" t="s">
        <v>607</v>
      </c>
    </row>
    <row r="140" spans="1:14" ht="16" customHeight="1">
      <c r="A140" s="595"/>
      <c r="B140" s="598"/>
      <c r="C140" s="264" t="s">
        <v>1230</v>
      </c>
      <c r="D140" s="340" t="s">
        <v>545</v>
      </c>
      <c r="E140" s="340" t="s">
        <v>607</v>
      </c>
      <c r="F140" s="330" t="s">
        <v>546</v>
      </c>
      <c r="G140" s="340" t="s">
        <v>607</v>
      </c>
      <c r="H140" s="340" t="s">
        <v>547</v>
      </c>
      <c r="I140" s="341" t="s">
        <v>578</v>
      </c>
      <c r="J140" s="341" t="s">
        <v>556</v>
      </c>
      <c r="K140" s="330" t="s">
        <v>607</v>
      </c>
      <c r="L140" s="340" t="s">
        <v>128</v>
      </c>
      <c r="M140" s="330" t="s">
        <v>607</v>
      </c>
      <c r="N140" s="341" t="s">
        <v>607</v>
      </c>
    </row>
    <row r="141" spans="1:14" ht="16" customHeight="1">
      <c r="A141" s="595"/>
      <c r="B141" s="598"/>
      <c r="C141" s="264" t="s">
        <v>1231</v>
      </c>
      <c r="D141" s="340" t="s">
        <v>545</v>
      </c>
      <c r="E141" s="340" t="s">
        <v>607</v>
      </c>
      <c r="F141" s="330" t="s">
        <v>546</v>
      </c>
      <c r="G141" s="340" t="s">
        <v>607</v>
      </c>
      <c r="H141" s="340" t="s">
        <v>547</v>
      </c>
      <c r="I141" s="341" t="s">
        <v>579</v>
      </c>
      <c r="J141" s="341" t="s">
        <v>558</v>
      </c>
      <c r="K141" s="330" t="s">
        <v>607</v>
      </c>
      <c r="L141" s="340" t="s">
        <v>128</v>
      </c>
      <c r="M141" s="330" t="s">
        <v>607</v>
      </c>
      <c r="N141" s="341" t="s">
        <v>607</v>
      </c>
    </row>
    <row r="142" spans="1:14" ht="16" customHeight="1">
      <c r="A142" s="595"/>
      <c r="B142" s="598"/>
      <c r="C142" s="264" t="s">
        <v>1232</v>
      </c>
      <c r="D142" s="340" t="s">
        <v>545</v>
      </c>
      <c r="E142" s="340" t="s">
        <v>607</v>
      </c>
      <c r="F142" s="330" t="s">
        <v>546</v>
      </c>
      <c r="G142" s="340" t="s">
        <v>607</v>
      </c>
      <c r="H142" s="340" t="s">
        <v>547</v>
      </c>
      <c r="I142" s="341" t="s">
        <v>580</v>
      </c>
      <c r="J142" s="341" t="s">
        <v>558</v>
      </c>
      <c r="K142" s="330" t="s">
        <v>607</v>
      </c>
      <c r="L142" s="340" t="s">
        <v>128</v>
      </c>
      <c r="M142" s="330" t="s">
        <v>607</v>
      </c>
      <c r="N142" s="341" t="s">
        <v>607</v>
      </c>
    </row>
    <row r="143" spans="1:14" ht="16" customHeight="1">
      <c r="A143" s="595"/>
      <c r="B143" s="598"/>
      <c r="C143" s="264" t="s">
        <v>1233</v>
      </c>
      <c r="D143" s="340" t="s">
        <v>545</v>
      </c>
      <c r="E143" s="340" t="s">
        <v>607</v>
      </c>
      <c r="F143" s="330" t="s">
        <v>546</v>
      </c>
      <c r="G143" s="340" t="s">
        <v>607</v>
      </c>
      <c r="H143" s="340" t="s">
        <v>547</v>
      </c>
      <c r="I143" s="341" t="s">
        <v>581</v>
      </c>
      <c r="J143" s="341" t="s">
        <v>550</v>
      </c>
      <c r="K143" s="330" t="s">
        <v>607</v>
      </c>
      <c r="L143" s="340" t="s">
        <v>128</v>
      </c>
      <c r="M143" s="330" t="s">
        <v>607</v>
      </c>
      <c r="N143" s="341" t="s">
        <v>607</v>
      </c>
    </row>
    <row r="144" spans="1:14" ht="16" customHeight="1">
      <c r="A144" s="595"/>
      <c r="B144" s="598"/>
      <c r="C144" s="264" t="s">
        <v>1234</v>
      </c>
      <c r="D144" s="340" t="s">
        <v>545</v>
      </c>
      <c r="E144" s="340" t="s">
        <v>607</v>
      </c>
      <c r="F144" s="330" t="s">
        <v>546</v>
      </c>
      <c r="G144" s="340" t="s">
        <v>607</v>
      </c>
      <c r="H144" s="340" t="s">
        <v>547</v>
      </c>
      <c r="I144" s="341" t="s">
        <v>582</v>
      </c>
      <c r="J144" s="341" t="s">
        <v>583</v>
      </c>
      <c r="K144" s="330" t="s">
        <v>607</v>
      </c>
      <c r="L144" s="340" t="s">
        <v>128</v>
      </c>
      <c r="M144" s="330" t="s">
        <v>607</v>
      </c>
      <c r="N144" s="341" t="s">
        <v>607</v>
      </c>
    </row>
    <row r="145" spans="1:14" ht="16" customHeight="1">
      <c r="A145" s="595"/>
      <c r="B145" s="598"/>
      <c r="C145" s="264" t="s">
        <v>1235</v>
      </c>
      <c r="D145" s="340" t="s">
        <v>545</v>
      </c>
      <c r="E145" s="340" t="s">
        <v>607</v>
      </c>
      <c r="F145" s="330" t="s">
        <v>546</v>
      </c>
      <c r="G145" s="340" t="s">
        <v>607</v>
      </c>
      <c r="H145" s="340" t="s">
        <v>547</v>
      </c>
      <c r="I145" s="341" t="s">
        <v>563</v>
      </c>
      <c r="J145" s="341" t="s">
        <v>584</v>
      </c>
      <c r="K145" s="330" t="s">
        <v>607</v>
      </c>
      <c r="L145" s="340" t="s">
        <v>128</v>
      </c>
      <c r="M145" s="330" t="s">
        <v>607</v>
      </c>
      <c r="N145" s="341" t="s">
        <v>607</v>
      </c>
    </row>
    <row r="146" spans="1:14" ht="16" customHeight="1">
      <c r="A146" s="595"/>
      <c r="B146" s="598"/>
      <c r="C146" s="264" t="s">
        <v>1236</v>
      </c>
      <c r="D146" s="340" t="s">
        <v>545</v>
      </c>
      <c r="E146" s="340" t="s">
        <v>607</v>
      </c>
      <c r="F146" s="330" t="s">
        <v>546</v>
      </c>
      <c r="G146" s="340" t="s">
        <v>607</v>
      </c>
      <c r="H146" s="340" t="s">
        <v>547</v>
      </c>
      <c r="I146" s="341" t="s">
        <v>575</v>
      </c>
      <c r="J146" s="341" t="s">
        <v>571</v>
      </c>
      <c r="K146" s="330" t="s">
        <v>607</v>
      </c>
      <c r="L146" s="340" t="s">
        <v>128</v>
      </c>
      <c r="M146" s="330" t="s">
        <v>607</v>
      </c>
      <c r="N146" s="341" t="s">
        <v>607</v>
      </c>
    </row>
    <row r="147" spans="1:14" ht="16" customHeight="1">
      <c r="A147" s="595"/>
      <c r="B147" s="598"/>
      <c r="C147" s="264" t="s">
        <v>1237</v>
      </c>
      <c r="D147" s="340" t="s">
        <v>545</v>
      </c>
      <c r="E147" s="340" t="s">
        <v>607</v>
      </c>
      <c r="F147" s="330" t="s">
        <v>546</v>
      </c>
      <c r="G147" s="340" t="s">
        <v>607</v>
      </c>
      <c r="H147" s="340" t="s">
        <v>547</v>
      </c>
      <c r="I147" s="341" t="s">
        <v>585</v>
      </c>
      <c r="J147" s="341" t="s">
        <v>573</v>
      </c>
      <c r="K147" s="330" t="s">
        <v>607</v>
      </c>
      <c r="L147" s="340" t="s">
        <v>128</v>
      </c>
      <c r="M147" s="330" t="s">
        <v>607</v>
      </c>
      <c r="N147" s="341" t="s">
        <v>607</v>
      </c>
    </row>
    <row r="148" spans="1:14" ht="16" customHeight="1">
      <c r="A148" s="595"/>
      <c r="B148" s="598"/>
      <c r="C148" s="264" t="s">
        <v>1238</v>
      </c>
      <c r="D148" s="340" t="s">
        <v>545</v>
      </c>
      <c r="E148" s="340" t="s">
        <v>607</v>
      </c>
      <c r="F148" s="330" t="s">
        <v>546</v>
      </c>
      <c r="G148" s="340" t="s">
        <v>607</v>
      </c>
      <c r="H148" s="340" t="s">
        <v>547</v>
      </c>
      <c r="I148" s="341" t="s">
        <v>586</v>
      </c>
      <c r="J148" s="341" t="s">
        <v>573</v>
      </c>
      <c r="K148" s="330" t="s">
        <v>607</v>
      </c>
      <c r="L148" s="340" t="s">
        <v>128</v>
      </c>
      <c r="M148" s="330" t="s">
        <v>607</v>
      </c>
      <c r="N148" s="341" t="s">
        <v>607</v>
      </c>
    </row>
    <row r="149" spans="1:14" ht="16" customHeight="1">
      <c r="A149" s="595"/>
      <c r="B149" s="598"/>
      <c r="C149" s="264" t="s">
        <v>1239</v>
      </c>
      <c r="D149" s="340" t="s">
        <v>545</v>
      </c>
      <c r="E149" s="340" t="s">
        <v>607</v>
      </c>
      <c r="F149" s="330" t="s">
        <v>546</v>
      </c>
      <c r="G149" s="340" t="s">
        <v>607</v>
      </c>
      <c r="H149" s="340" t="s">
        <v>547</v>
      </c>
      <c r="I149" s="341" t="s">
        <v>587</v>
      </c>
      <c r="J149" s="341" t="s">
        <v>568</v>
      </c>
      <c r="K149" s="330" t="s">
        <v>607</v>
      </c>
      <c r="L149" s="340" t="s">
        <v>128</v>
      </c>
      <c r="M149" s="330" t="s">
        <v>607</v>
      </c>
      <c r="N149" s="341" t="s">
        <v>607</v>
      </c>
    </row>
    <row r="150" spans="1:14" ht="16" customHeight="1">
      <c r="A150" s="595"/>
      <c r="B150" s="598"/>
      <c r="C150" s="264" t="s">
        <v>1240</v>
      </c>
      <c r="D150" s="340" t="s">
        <v>545</v>
      </c>
      <c r="E150" s="340" t="s">
        <v>607</v>
      </c>
      <c r="F150" s="330" t="s">
        <v>546</v>
      </c>
      <c r="G150" s="340" t="s">
        <v>607</v>
      </c>
      <c r="H150" s="340" t="s">
        <v>547</v>
      </c>
      <c r="I150" s="341" t="s">
        <v>588</v>
      </c>
      <c r="J150" s="341" t="s">
        <v>589</v>
      </c>
      <c r="K150" s="330" t="s">
        <v>607</v>
      </c>
      <c r="L150" s="340" t="s">
        <v>128</v>
      </c>
      <c r="M150" s="330" t="s">
        <v>607</v>
      </c>
      <c r="N150" s="341" t="s">
        <v>607</v>
      </c>
    </row>
    <row r="151" spans="1:14" ht="16" customHeight="1">
      <c r="A151" s="595"/>
      <c r="B151" s="598"/>
      <c r="C151" s="264" t="s">
        <v>1241</v>
      </c>
      <c r="D151" s="340" t="s">
        <v>545</v>
      </c>
      <c r="E151" s="340" t="s">
        <v>607</v>
      </c>
      <c r="F151" s="330" t="s">
        <v>546</v>
      </c>
      <c r="G151" s="340" t="s">
        <v>607</v>
      </c>
      <c r="H151" s="340" t="s">
        <v>547</v>
      </c>
      <c r="I151" s="341" t="s">
        <v>590</v>
      </c>
      <c r="J151" s="341" t="s">
        <v>549</v>
      </c>
      <c r="K151" s="330" t="s">
        <v>607</v>
      </c>
      <c r="L151" s="340" t="s">
        <v>128</v>
      </c>
      <c r="M151" s="330" t="s">
        <v>607</v>
      </c>
      <c r="N151" s="341" t="s">
        <v>607</v>
      </c>
    </row>
    <row r="152" spans="1:14" ht="16" customHeight="1">
      <c r="A152" s="595"/>
      <c r="B152" s="598"/>
      <c r="C152" s="264" t="s">
        <v>1242</v>
      </c>
      <c r="D152" s="340" t="s">
        <v>545</v>
      </c>
      <c r="E152" s="340" t="s">
        <v>607</v>
      </c>
      <c r="F152" s="330" t="s">
        <v>546</v>
      </c>
      <c r="G152" s="340" t="s">
        <v>607</v>
      </c>
      <c r="H152" s="340" t="s">
        <v>547</v>
      </c>
      <c r="I152" s="341" t="s">
        <v>591</v>
      </c>
      <c r="J152" s="341" t="s">
        <v>592</v>
      </c>
      <c r="K152" s="330" t="s">
        <v>607</v>
      </c>
      <c r="L152" s="340" t="s">
        <v>128</v>
      </c>
      <c r="M152" s="330" t="s">
        <v>607</v>
      </c>
      <c r="N152" s="341" t="s">
        <v>607</v>
      </c>
    </row>
    <row r="153" spans="1:14" ht="16" customHeight="1">
      <c r="A153" s="595"/>
      <c r="B153" s="598"/>
      <c r="C153" s="264" t="s">
        <v>1243</v>
      </c>
      <c r="D153" s="340" t="s">
        <v>545</v>
      </c>
      <c r="E153" s="340" t="s">
        <v>607</v>
      </c>
      <c r="F153" s="330" t="s">
        <v>546</v>
      </c>
      <c r="G153" s="340" t="s">
        <v>607</v>
      </c>
      <c r="H153" s="340" t="s">
        <v>547</v>
      </c>
      <c r="I153" s="341" t="s">
        <v>593</v>
      </c>
      <c r="J153" s="341" t="s">
        <v>583</v>
      </c>
      <c r="K153" s="330" t="s">
        <v>607</v>
      </c>
      <c r="L153" s="340" t="s">
        <v>128</v>
      </c>
      <c r="M153" s="330" t="s">
        <v>607</v>
      </c>
      <c r="N153" s="341" t="s">
        <v>607</v>
      </c>
    </row>
    <row r="154" spans="1:14" ht="16" customHeight="1">
      <c r="A154" s="595"/>
      <c r="B154" s="598"/>
      <c r="C154" s="264" t="s">
        <v>1244</v>
      </c>
      <c r="D154" s="340" t="s">
        <v>545</v>
      </c>
      <c r="E154" s="340" t="s">
        <v>607</v>
      </c>
      <c r="F154" s="330" t="s">
        <v>546</v>
      </c>
      <c r="G154" s="340" t="s">
        <v>607</v>
      </c>
      <c r="H154" s="340" t="s">
        <v>547</v>
      </c>
      <c r="I154" s="341" t="s">
        <v>594</v>
      </c>
      <c r="J154" s="341" t="s">
        <v>584</v>
      </c>
      <c r="K154" s="330" t="s">
        <v>607</v>
      </c>
      <c r="L154" s="340" t="s">
        <v>128</v>
      </c>
      <c r="M154" s="330" t="s">
        <v>607</v>
      </c>
      <c r="N154" s="341" t="s">
        <v>607</v>
      </c>
    </row>
    <row r="155" spans="1:14" ht="16" customHeight="1">
      <c r="A155" s="595"/>
      <c r="B155" s="598"/>
      <c r="C155" s="264" t="s">
        <v>1245</v>
      </c>
      <c r="D155" s="340" t="s">
        <v>545</v>
      </c>
      <c r="E155" s="340" t="s">
        <v>607</v>
      </c>
      <c r="F155" s="330" t="s">
        <v>546</v>
      </c>
      <c r="G155" s="340" t="s">
        <v>607</v>
      </c>
      <c r="H155" s="340" t="s">
        <v>547</v>
      </c>
      <c r="I155" s="341" t="s">
        <v>595</v>
      </c>
      <c r="J155" s="341" t="s">
        <v>552</v>
      </c>
      <c r="K155" s="330" t="s">
        <v>607</v>
      </c>
      <c r="L155" s="340" t="s">
        <v>128</v>
      </c>
      <c r="M155" s="330" t="s">
        <v>607</v>
      </c>
      <c r="N155" s="341" t="s">
        <v>607</v>
      </c>
    </row>
    <row r="156" spans="1:14" ht="16" customHeight="1">
      <c r="A156" s="595"/>
      <c r="B156" s="598"/>
      <c r="C156" s="264" t="s">
        <v>1246</v>
      </c>
      <c r="D156" s="340" t="s">
        <v>545</v>
      </c>
      <c r="E156" s="340" t="s">
        <v>607</v>
      </c>
      <c r="F156" s="330" t="s">
        <v>546</v>
      </c>
      <c r="G156" s="340" t="s">
        <v>607</v>
      </c>
      <c r="H156" s="340" t="s">
        <v>547</v>
      </c>
      <c r="I156" s="341" t="s">
        <v>596</v>
      </c>
      <c r="J156" s="341" t="s">
        <v>552</v>
      </c>
      <c r="K156" s="330" t="s">
        <v>607</v>
      </c>
      <c r="L156" s="340" t="s">
        <v>128</v>
      </c>
      <c r="M156" s="330" t="s">
        <v>607</v>
      </c>
      <c r="N156" s="341" t="s">
        <v>607</v>
      </c>
    </row>
    <row r="157" spans="1:14" ht="16" customHeight="1">
      <c r="A157" s="595"/>
      <c r="B157" s="598"/>
      <c r="C157" s="264" t="s">
        <v>1247</v>
      </c>
      <c r="D157" s="340" t="s">
        <v>545</v>
      </c>
      <c r="E157" s="340" t="s">
        <v>607</v>
      </c>
      <c r="F157" s="330" t="s">
        <v>546</v>
      </c>
      <c r="G157" s="340" t="s">
        <v>607</v>
      </c>
      <c r="H157" s="340" t="s">
        <v>547</v>
      </c>
      <c r="I157" s="341" t="s">
        <v>597</v>
      </c>
      <c r="J157" s="341" t="s">
        <v>573</v>
      </c>
      <c r="K157" s="330" t="s">
        <v>607</v>
      </c>
      <c r="L157" s="340" t="s">
        <v>128</v>
      </c>
      <c r="M157" s="330" t="s">
        <v>607</v>
      </c>
      <c r="N157" s="341" t="s">
        <v>607</v>
      </c>
    </row>
    <row r="158" spans="1:14" ht="16" customHeight="1">
      <c r="A158" s="595"/>
      <c r="B158" s="599"/>
      <c r="C158" s="264" t="s">
        <v>1248</v>
      </c>
      <c r="D158" s="340" t="s">
        <v>545</v>
      </c>
      <c r="E158" s="340" t="s">
        <v>607</v>
      </c>
      <c r="F158" s="329" t="s">
        <v>546</v>
      </c>
      <c r="G158" s="340" t="s">
        <v>607</v>
      </c>
      <c r="H158" s="340" t="s">
        <v>547</v>
      </c>
      <c r="I158" s="341" t="s">
        <v>598</v>
      </c>
      <c r="J158" s="341" t="s">
        <v>573</v>
      </c>
      <c r="K158" s="330" t="s">
        <v>607</v>
      </c>
      <c r="L158" s="340" t="s">
        <v>128</v>
      </c>
      <c r="M158" s="330" t="s">
        <v>607</v>
      </c>
      <c r="N158" s="341" t="s">
        <v>607</v>
      </c>
    </row>
    <row r="159" spans="1:14" ht="16" customHeight="1">
      <c r="A159" s="594">
        <v>19</v>
      </c>
      <c r="B159" s="597" t="s">
        <v>599</v>
      </c>
      <c r="C159" s="597" t="s">
        <v>600</v>
      </c>
      <c r="D159" s="265" t="s">
        <v>601</v>
      </c>
      <c r="E159" s="332" t="s">
        <v>607</v>
      </c>
      <c r="F159" s="340" t="s">
        <v>1148</v>
      </c>
      <c r="G159" s="332" t="s">
        <v>607</v>
      </c>
      <c r="H159" s="332" t="s">
        <v>607</v>
      </c>
      <c r="I159" s="335" t="s">
        <v>602</v>
      </c>
      <c r="J159" s="338"/>
      <c r="K159" s="328" t="s">
        <v>603</v>
      </c>
      <c r="L159" s="332" t="s">
        <v>604</v>
      </c>
      <c r="M159" s="328" t="s">
        <v>605</v>
      </c>
      <c r="N159" s="603" t="s">
        <v>606</v>
      </c>
    </row>
    <row r="160" spans="1:14" ht="16" customHeight="1">
      <c r="A160" s="596"/>
      <c r="B160" s="599"/>
      <c r="C160" s="599"/>
      <c r="D160" s="265" t="s">
        <v>601</v>
      </c>
      <c r="E160" s="334" t="s">
        <v>607</v>
      </c>
      <c r="F160" s="340" t="s">
        <v>1148</v>
      </c>
      <c r="G160" s="334" t="s">
        <v>607</v>
      </c>
      <c r="H160" s="334" t="s">
        <v>607</v>
      </c>
      <c r="I160" s="337" t="s">
        <v>602</v>
      </c>
      <c r="J160" s="339"/>
      <c r="K160" s="329" t="s">
        <v>607</v>
      </c>
      <c r="L160" s="334" t="s">
        <v>608</v>
      </c>
      <c r="M160" s="329" t="s">
        <v>609</v>
      </c>
      <c r="N160" s="604"/>
    </row>
    <row r="161" spans="1:14" ht="16" customHeight="1">
      <c r="A161" s="253">
        <v>20</v>
      </c>
      <c r="B161" s="254" t="s">
        <v>313</v>
      </c>
      <c r="C161" s="255" t="s">
        <v>610</v>
      </c>
      <c r="D161" s="253" t="s">
        <v>611</v>
      </c>
      <c r="E161" s="253" t="s">
        <v>607</v>
      </c>
      <c r="F161" s="253" t="s">
        <v>612</v>
      </c>
      <c r="G161" s="253" t="s">
        <v>607</v>
      </c>
      <c r="H161" s="253" t="s">
        <v>613</v>
      </c>
      <c r="I161" s="337" t="s">
        <v>607</v>
      </c>
      <c r="J161" s="258" t="s">
        <v>614</v>
      </c>
      <c r="K161" s="259" t="s">
        <v>607</v>
      </c>
      <c r="L161" s="253" t="s">
        <v>128</v>
      </c>
      <c r="M161" s="259" t="s">
        <v>607</v>
      </c>
      <c r="N161" s="258" t="s">
        <v>607</v>
      </c>
    </row>
    <row r="162" spans="1:14" ht="16" customHeight="1">
      <c r="A162" s="253">
        <v>21</v>
      </c>
      <c r="B162" s="254" t="s">
        <v>615</v>
      </c>
      <c r="C162" s="255" t="s">
        <v>616</v>
      </c>
      <c r="D162" s="253" t="s">
        <v>607</v>
      </c>
      <c r="E162" s="253" t="s">
        <v>607</v>
      </c>
      <c r="F162" s="253" t="s">
        <v>617</v>
      </c>
      <c r="G162" s="253" t="s">
        <v>607</v>
      </c>
      <c r="H162" s="253" t="s">
        <v>607</v>
      </c>
      <c r="I162" s="255" t="s">
        <v>607</v>
      </c>
      <c r="J162" s="258" t="s">
        <v>618</v>
      </c>
      <c r="K162" s="259" t="s">
        <v>607</v>
      </c>
      <c r="L162" s="253" t="s">
        <v>128</v>
      </c>
      <c r="M162" s="259" t="s">
        <v>607</v>
      </c>
      <c r="N162" s="258" t="s">
        <v>619</v>
      </c>
    </row>
    <row r="163" spans="1:14" ht="16" customHeight="1">
      <c r="A163" s="594">
        <v>22</v>
      </c>
      <c r="B163" s="597" t="s">
        <v>310</v>
      </c>
      <c r="C163" s="336" t="s">
        <v>620</v>
      </c>
      <c r="D163" s="340" t="s">
        <v>621</v>
      </c>
      <c r="E163" s="340" t="s">
        <v>607</v>
      </c>
      <c r="F163" s="340" t="s">
        <v>622</v>
      </c>
      <c r="G163" s="340" t="s">
        <v>607</v>
      </c>
      <c r="H163" s="340" t="s">
        <v>623</v>
      </c>
      <c r="I163" s="336" t="s">
        <v>607</v>
      </c>
      <c r="J163" s="341" t="s">
        <v>624</v>
      </c>
      <c r="K163" s="330" t="s">
        <v>607</v>
      </c>
      <c r="L163" s="340" t="s">
        <v>128</v>
      </c>
      <c r="M163" s="330" t="s">
        <v>607</v>
      </c>
      <c r="N163" s="341" t="s">
        <v>607</v>
      </c>
    </row>
    <row r="164" spans="1:14" ht="16" customHeight="1">
      <c r="A164" s="595"/>
      <c r="B164" s="598"/>
      <c r="C164" s="336" t="s">
        <v>625</v>
      </c>
      <c r="D164" s="340" t="s">
        <v>621</v>
      </c>
      <c r="E164" s="340" t="s">
        <v>607</v>
      </c>
      <c r="F164" s="340" t="s">
        <v>622</v>
      </c>
      <c r="G164" s="340" t="s">
        <v>607</v>
      </c>
      <c r="H164" s="340" t="s">
        <v>607</v>
      </c>
      <c r="I164" s="336" t="s">
        <v>607</v>
      </c>
      <c r="J164" s="341" t="s">
        <v>626</v>
      </c>
      <c r="K164" s="330" t="s">
        <v>607</v>
      </c>
      <c r="L164" s="340" t="s">
        <v>128</v>
      </c>
      <c r="M164" s="330" t="s">
        <v>607</v>
      </c>
      <c r="N164" s="341" t="s">
        <v>607</v>
      </c>
    </row>
    <row r="165" spans="1:14" ht="16" customHeight="1">
      <c r="A165" s="595"/>
      <c r="B165" s="598"/>
      <c r="C165" s="336" t="s">
        <v>627</v>
      </c>
      <c r="D165" s="340" t="s">
        <v>621</v>
      </c>
      <c r="E165" s="340" t="s">
        <v>607</v>
      </c>
      <c r="F165" s="340" t="s">
        <v>622</v>
      </c>
      <c r="G165" s="340" t="s">
        <v>607</v>
      </c>
      <c r="H165" s="340" t="s">
        <v>607</v>
      </c>
      <c r="I165" s="341" t="s">
        <v>628</v>
      </c>
      <c r="J165" s="341" t="s">
        <v>629</v>
      </c>
      <c r="K165" s="330" t="s">
        <v>607</v>
      </c>
      <c r="L165" s="340" t="s">
        <v>128</v>
      </c>
      <c r="M165" s="330" t="s">
        <v>607</v>
      </c>
      <c r="N165" s="341" t="s">
        <v>607</v>
      </c>
    </row>
    <row r="166" spans="1:14" ht="16" customHeight="1">
      <c r="A166" s="596"/>
      <c r="B166" s="599"/>
      <c r="C166" s="337" t="s">
        <v>630</v>
      </c>
      <c r="D166" s="334" t="s">
        <v>621</v>
      </c>
      <c r="E166" s="334" t="s">
        <v>607</v>
      </c>
      <c r="F166" s="334" t="s">
        <v>622</v>
      </c>
      <c r="G166" s="334" t="s">
        <v>607</v>
      </c>
      <c r="H166" s="334" t="s">
        <v>607</v>
      </c>
      <c r="I166" s="339" t="s">
        <v>631</v>
      </c>
      <c r="J166" s="339" t="s">
        <v>632</v>
      </c>
      <c r="K166" s="329" t="s">
        <v>607</v>
      </c>
      <c r="L166" s="334" t="s">
        <v>128</v>
      </c>
      <c r="M166" s="329" t="s">
        <v>607</v>
      </c>
      <c r="N166" s="339" t="s">
        <v>607</v>
      </c>
    </row>
  </sheetData>
  <mergeCells count="36">
    <mergeCell ref="A163:A166"/>
    <mergeCell ref="B163:B166"/>
    <mergeCell ref="A119:A158"/>
    <mergeCell ref="B119:B158"/>
    <mergeCell ref="A159:A160"/>
    <mergeCell ref="B159:B160"/>
    <mergeCell ref="C159:C160"/>
    <mergeCell ref="N159:N160"/>
    <mergeCell ref="A109:A118"/>
    <mergeCell ref="B109:B118"/>
    <mergeCell ref="F109:F116"/>
    <mergeCell ref="I109:I116"/>
    <mergeCell ref="J109:J116"/>
    <mergeCell ref="D113:D114"/>
    <mergeCell ref="D115:D116"/>
    <mergeCell ref="D117:D118"/>
    <mergeCell ref="A97:A98"/>
    <mergeCell ref="B97:B98"/>
    <mergeCell ref="A100:A101"/>
    <mergeCell ref="B100:B101"/>
    <mergeCell ref="A103:A104"/>
    <mergeCell ref="B103:B104"/>
    <mergeCell ref="N1:N2"/>
    <mergeCell ref="A3:A13"/>
    <mergeCell ref="B3:B13"/>
    <mergeCell ref="A15:A82"/>
    <mergeCell ref="B15:B82"/>
    <mergeCell ref="D1:I1"/>
    <mergeCell ref="J1:J2"/>
    <mergeCell ref="K1:M1"/>
    <mergeCell ref="A85:A95"/>
    <mergeCell ref="B85:B95"/>
    <mergeCell ref="C85:C95"/>
    <mergeCell ref="A1:A2"/>
    <mergeCell ref="B1:B2"/>
    <mergeCell ref="C1:C2"/>
  </mergeCells>
  <phoneticPr fontId="1" type="noConversion"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C1610-E719-9446-8A69-A8E45C945679}">
  <dimension ref="A1:M23"/>
  <sheetViews>
    <sheetView zoomScale="75" workbookViewId="0">
      <selection activeCell="I15" sqref="I15:I16"/>
    </sheetView>
  </sheetViews>
  <sheetFormatPr baseColWidth="10" defaultRowHeight="16"/>
  <cols>
    <col min="1" max="1" width="10.83203125" style="392"/>
    <col min="2" max="2" width="25.83203125" style="64" customWidth="1"/>
    <col min="3" max="3" width="46.6640625" style="65" customWidth="1"/>
    <col min="4" max="4" width="27.5" style="66" customWidth="1"/>
    <col min="5" max="6" width="24.5" style="66" customWidth="1"/>
    <col min="7" max="7" width="22.6640625" style="66" customWidth="1"/>
    <col min="8" max="10" width="15" style="66" customWidth="1"/>
    <col min="11" max="11" width="25" style="65" customWidth="1"/>
    <col min="12" max="12" width="31" style="66" customWidth="1"/>
    <col min="13" max="13" width="36.1640625" style="66" customWidth="1"/>
    <col min="14" max="16384" width="10.83203125" style="392"/>
  </cols>
  <sheetData>
    <row r="1" spans="1:13">
      <c r="A1" s="619" t="s">
        <v>1249</v>
      </c>
      <c r="B1" s="608" t="s">
        <v>31</v>
      </c>
      <c r="C1" s="608" t="s">
        <v>176</v>
      </c>
      <c r="D1" s="609" t="s">
        <v>87</v>
      </c>
      <c r="E1" s="610"/>
      <c r="F1" s="610"/>
      <c r="G1" s="611"/>
      <c r="H1" s="609" t="s">
        <v>88</v>
      </c>
      <c r="I1" s="611"/>
      <c r="J1" s="607" t="s">
        <v>89</v>
      </c>
      <c r="K1" s="607"/>
      <c r="L1" s="607"/>
      <c r="M1" s="607" t="s">
        <v>90</v>
      </c>
    </row>
    <row r="2" spans="1:13" ht="28">
      <c r="A2" s="619"/>
      <c r="B2" s="608"/>
      <c r="C2" s="608"/>
      <c r="D2" s="382" t="s">
        <v>91</v>
      </c>
      <c r="E2" s="382" t="s">
        <v>232</v>
      </c>
      <c r="F2" s="382" t="s">
        <v>233</v>
      </c>
      <c r="G2" s="382" t="s">
        <v>30</v>
      </c>
      <c r="H2" s="382" t="s">
        <v>234</v>
      </c>
      <c r="I2" s="382" t="s">
        <v>235</v>
      </c>
      <c r="J2" s="382" t="s">
        <v>96</v>
      </c>
      <c r="K2" s="382" t="s">
        <v>4</v>
      </c>
      <c r="L2" s="382" t="s">
        <v>97</v>
      </c>
      <c r="M2" s="607"/>
    </row>
    <row r="3" spans="1:13" ht="70">
      <c r="A3" s="394">
        <v>1</v>
      </c>
      <c r="B3" s="383" t="s">
        <v>236</v>
      </c>
      <c r="C3" s="383" t="s">
        <v>237</v>
      </c>
      <c r="D3" s="384"/>
      <c r="E3" s="384"/>
      <c r="F3" s="384"/>
      <c r="G3" s="384"/>
      <c r="H3" s="384"/>
      <c r="I3" s="384"/>
      <c r="J3" s="384"/>
      <c r="K3" s="384"/>
      <c r="L3" s="384"/>
      <c r="M3" s="384"/>
    </row>
    <row r="4" spans="1:13" ht="70">
      <c r="A4" s="394">
        <v>2</v>
      </c>
      <c r="B4" s="383" t="s">
        <v>238</v>
      </c>
      <c r="C4" s="383" t="s">
        <v>239</v>
      </c>
      <c r="D4" s="385">
        <v>0.31</v>
      </c>
      <c r="E4" s="385">
        <v>1.19</v>
      </c>
      <c r="F4" s="385" t="s">
        <v>240</v>
      </c>
      <c r="G4" s="386" t="s">
        <v>240</v>
      </c>
      <c r="H4" s="386" t="s">
        <v>240</v>
      </c>
      <c r="I4" s="386" t="s">
        <v>240</v>
      </c>
      <c r="J4" s="386" t="s">
        <v>240</v>
      </c>
      <c r="K4" s="384" t="s">
        <v>241</v>
      </c>
      <c r="L4" s="384" t="s">
        <v>242</v>
      </c>
      <c r="M4" s="386" t="s">
        <v>243</v>
      </c>
    </row>
    <row r="5" spans="1:13" ht="56">
      <c r="A5" s="394">
        <v>3</v>
      </c>
      <c r="B5" s="383" t="s">
        <v>63</v>
      </c>
      <c r="C5" s="383" t="s">
        <v>244</v>
      </c>
      <c r="D5" s="385">
        <v>0.84</v>
      </c>
      <c r="E5" s="386" t="s">
        <v>240</v>
      </c>
      <c r="F5" s="386" t="s">
        <v>240</v>
      </c>
      <c r="G5" s="386" t="s">
        <v>240</v>
      </c>
      <c r="H5" s="386" t="s">
        <v>240</v>
      </c>
      <c r="I5" s="386" t="s">
        <v>240</v>
      </c>
      <c r="J5" s="386" t="s">
        <v>240</v>
      </c>
      <c r="K5" s="384" t="s">
        <v>240</v>
      </c>
      <c r="L5" s="386" t="s">
        <v>240</v>
      </c>
      <c r="M5" s="386" t="s">
        <v>240</v>
      </c>
    </row>
    <row r="6" spans="1:13" ht="56">
      <c r="A6" s="394">
        <v>4</v>
      </c>
      <c r="B6" s="383" t="s">
        <v>29</v>
      </c>
      <c r="C6" s="383" t="s">
        <v>245</v>
      </c>
      <c r="D6" s="385">
        <f>18.59/9.8</f>
        <v>1.8969387755102038</v>
      </c>
      <c r="E6" s="385">
        <f>2.48/9.8</f>
        <v>0.2530612244897959</v>
      </c>
      <c r="F6" s="385" t="s">
        <v>240</v>
      </c>
      <c r="G6" s="385">
        <f>21.31/9.8</f>
        <v>2.1744897959183671</v>
      </c>
      <c r="H6" s="386" t="s">
        <v>240</v>
      </c>
      <c r="I6" s="386" t="s">
        <v>240</v>
      </c>
      <c r="J6" s="387">
        <v>46.3</v>
      </c>
      <c r="K6" s="384" t="s">
        <v>246</v>
      </c>
      <c r="L6" s="388">
        <f>J6*0.5</f>
        <v>23.15</v>
      </c>
      <c r="M6" s="386" t="s">
        <v>240</v>
      </c>
    </row>
    <row r="7" spans="1:13" ht="112">
      <c r="A7" s="394">
        <v>5</v>
      </c>
      <c r="B7" s="383" t="s">
        <v>247</v>
      </c>
      <c r="C7" s="383" t="s">
        <v>248</v>
      </c>
      <c r="D7" s="612" t="s">
        <v>249</v>
      </c>
      <c r="E7" s="612"/>
      <c r="F7" s="612"/>
      <c r="G7" s="612"/>
      <c r="H7" s="612"/>
      <c r="I7" s="612"/>
      <c r="J7" s="384" t="s">
        <v>250</v>
      </c>
      <c r="K7" s="384" t="s">
        <v>251</v>
      </c>
      <c r="L7" s="386" t="s">
        <v>240</v>
      </c>
      <c r="M7" s="384" t="s">
        <v>252</v>
      </c>
    </row>
    <row r="8" spans="1:13" ht="30" customHeight="1">
      <c r="A8" s="619">
        <v>6</v>
      </c>
      <c r="B8" s="613" t="s">
        <v>70</v>
      </c>
      <c r="C8" s="613" t="s">
        <v>253</v>
      </c>
      <c r="D8" s="614">
        <f xml:space="preserve"> 635.04/(50.4*(3000-100)/1000)</f>
        <v>4.3448275862068968</v>
      </c>
      <c r="E8" s="614">
        <f>(23.46+36.86)/50.4*(3000-100)/1000</f>
        <v>3.4707936507936505</v>
      </c>
      <c r="F8" s="612" t="s">
        <v>240</v>
      </c>
      <c r="G8" s="612" t="s">
        <v>240</v>
      </c>
      <c r="H8" s="612" t="s">
        <v>240</v>
      </c>
      <c r="I8" s="615" t="s">
        <v>240</v>
      </c>
      <c r="J8" s="384" t="s">
        <v>254</v>
      </c>
      <c r="K8" s="384" t="s">
        <v>255</v>
      </c>
      <c r="L8" s="389">
        <f>359/(50.4*(3000-100)/1000)</f>
        <v>2.4562123700054737</v>
      </c>
      <c r="M8" s="614">
        <f>757/(50.4*(3000-100)/1000)</f>
        <v>5.1792556102900935</v>
      </c>
    </row>
    <row r="9" spans="1:13" ht="30" customHeight="1">
      <c r="A9" s="619"/>
      <c r="B9" s="613"/>
      <c r="C9" s="613"/>
      <c r="D9" s="614"/>
      <c r="E9" s="614"/>
      <c r="F9" s="612"/>
      <c r="G9" s="612"/>
      <c r="H9" s="612"/>
      <c r="I9" s="616"/>
      <c r="J9" s="386" t="s">
        <v>256</v>
      </c>
      <c r="K9" s="384" t="s">
        <v>257</v>
      </c>
      <c r="L9" s="385">
        <f>398.447/ (50.4*(3000-100)/1000)</f>
        <v>2.7261015325670499</v>
      </c>
      <c r="M9" s="614"/>
    </row>
    <row r="10" spans="1:13" ht="30" customHeight="1">
      <c r="A10" s="619">
        <v>7</v>
      </c>
      <c r="B10" s="617" t="s">
        <v>258</v>
      </c>
      <c r="C10" s="617" t="s">
        <v>259</v>
      </c>
      <c r="D10" s="614">
        <f>72499.41/(554*0.36*0.212*1000)</f>
        <v>1.7146928853620327</v>
      </c>
      <c r="E10" s="614">
        <f>34523.53/(554*0.36*0.212*1000)</f>
        <v>0.81652045538829476</v>
      </c>
      <c r="F10" s="612" t="s">
        <v>240</v>
      </c>
      <c r="G10" s="612" t="s">
        <v>260</v>
      </c>
      <c r="H10" s="612" t="s">
        <v>261</v>
      </c>
      <c r="I10" s="612" t="s">
        <v>262</v>
      </c>
      <c r="J10" s="386" t="s">
        <v>263</v>
      </c>
      <c r="K10" s="384" t="s">
        <v>264</v>
      </c>
      <c r="L10" s="386" t="s">
        <v>265</v>
      </c>
      <c r="M10" s="617" t="s">
        <v>266</v>
      </c>
    </row>
    <row r="11" spans="1:13" ht="30" customHeight="1">
      <c r="A11" s="619"/>
      <c r="B11" s="617"/>
      <c r="C11" s="617"/>
      <c r="D11" s="614"/>
      <c r="E11" s="614"/>
      <c r="F11" s="612"/>
      <c r="G11" s="612"/>
      <c r="H11" s="612"/>
      <c r="I11" s="612"/>
      <c r="J11" s="386" t="s">
        <v>267</v>
      </c>
      <c r="K11" s="384" t="s">
        <v>268</v>
      </c>
      <c r="L11" s="386" t="s">
        <v>269</v>
      </c>
      <c r="M11" s="612"/>
    </row>
    <row r="12" spans="1:13" ht="30" customHeight="1">
      <c r="A12" s="619">
        <v>8</v>
      </c>
      <c r="B12" s="617" t="s">
        <v>270</v>
      </c>
      <c r="C12" s="617" t="s">
        <v>271</v>
      </c>
      <c r="D12" s="614">
        <f>3.18/0.274</f>
        <v>11.605839416058394</v>
      </c>
      <c r="E12" s="614"/>
      <c r="F12" s="614"/>
      <c r="G12" s="614"/>
      <c r="H12" s="612" t="s">
        <v>240</v>
      </c>
      <c r="I12" s="612" t="s">
        <v>240</v>
      </c>
      <c r="J12" s="386" t="s">
        <v>272</v>
      </c>
      <c r="K12" s="384" t="s">
        <v>246</v>
      </c>
      <c r="L12" s="390">
        <v>74</v>
      </c>
      <c r="M12" s="617">
        <f>5.45/0.274</f>
        <v>19.89051094890511</v>
      </c>
    </row>
    <row r="13" spans="1:13" ht="30" customHeight="1">
      <c r="A13" s="619"/>
      <c r="B13" s="617"/>
      <c r="C13" s="617"/>
      <c r="D13" s="614"/>
      <c r="E13" s="614"/>
      <c r="F13" s="614"/>
      <c r="G13" s="614"/>
      <c r="H13" s="612"/>
      <c r="I13" s="612"/>
      <c r="J13" s="386" t="s">
        <v>273</v>
      </c>
      <c r="K13" s="384" t="s">
        <v>257</v>
      </c>
      <c r="L13" s="390">
        <v>329.5</v>
      </c>
      <c r="M13" s="617"/>
    </row>
    <row r="14" spans="1:13" ht="30" customHeight="1">
      <c r="A14" s="619"/>
      <c r="B14" s="617"/>
      <c r="C14" s="617"/>
      <c r="D14" s="614"/>
      <c r="E14" s="614"/>
      <c r="F14" s="614"/>
      <c r="G14" s="614"/>
      <c r="H14" s="612"/>
      <c r="I14" s="612"/>
      <c r="J14" s="386" t="s">
        <v>274</v>
      </c>
      <c r="K14" s="384" t="s">
        <v>275</v>
      </c>
      <c r="L14" s="390">
        <v>196.2</v>
      </c>
      <c r="M14" s="617"/>
    </row>
    <row r="15" spans="1:13" ht="38" customHeight="1">
      <c r="A15" s="619"/>
      <c r="B15" s="617"/>
      <c r="C15" s="617" t="s">
        <v>276</v>
      </c>
      <c r="D15" s="614">
        <f>4.72/1.32</f>
        <v>3.5757575757575752</v>
      </c>
      <c r="E15" s="614"/>
      <c r="F15" s="614"/>
      <c r="G15" s="614"/>
      <c r="H15" s="612" t="s">
        <v>240</v>
      </c>
      <c r="I15" s="612" t="s">
        <v>240</v>
      </c>
      <c r="J15" s="386" t="s">
        <v>277</v>
      </c>
      <c r="K15" s="384" t="s">
        <v>246</v>
      </c>
      <c r="L15" s="391">
        <v>140.5</v>
      </c>
      <c r="M15" s="612">
        <f>7.13/1.32</f>
        <v>5.4015151515151514</v>
      </c>
    </row>
    <row r="16" spans="1:13" ht="38" customHeight="1">
      <c r="A16" s="619"/>
      <c r="B16" s="617"/>
      <c r="C16" s="617"/>
      <c r="D16" s="614"/>
      <c r="E16" s="614"/>
      <c r="F16" s="614"/>
      <c r="G16" s="614"/>
      <c r="H16" s="612"/>
      <c r="I16" s="612"/>
      <c r="J16" s="386" t="s">
        <v>240</v>
      </c>
      <c r="K16" s="384" t="s">
        <v>278</v>
      </c>
      <c r="L16" s="390">
        <v>429</v>
      </c>
      <c r="M16" s="612"/>
    </row>
    <row r="17" spans="1:13" ht="30" customHeight="1">
      <c r="A17" s="619">
        <v>9</v>
      </c>
      <c r="B17" s="617" t="s">
        <v>78</v>
      </c>
      <c r="C17" s="617" t="s">
        <v>279</v>
      </c>
      <c r="D17" s="614">
        <f>(2.68+0.23) /8.69*1.18</f>
        <v>0.39514384349827392</v>
      </c>
      <c r="E17" s="614">
        <f>(0.81+0.05)/8.69*1.18</f>
        <v>0.11677790563866514</v>
      </c>
      <c r="F17" s="614" t="s">
        <v>240</v>
      </c>
      <c r="G17" s="614">
        <f>0.12/8.69*1.18</f>
        <v>1.6294591484464903E-2</v>
      </c>
      <c r="H17" s="612" t="s">
        <v>240</v>
      </c>
      <c r="I17" s="612" t="s">
        <v>240</v>
      </c>
      <c r="J17" s="386" t="s">
        <v>280</v>
      </c>
      <c r="K17" s="384" t="s">
        <v>281</v>
      </c>
      <c r="L17" s="386" t="s">
        <v>282</v>
      </c>
      <c r="M17" s="614">
        <f>0.26/8.69*1.18</f>
        <v>3.5304948216340622E-2</v>
      </c>
    </row>
    <row r="18" spans="1:13" ht="30" customHeight="1">
      <c r="A18" s="619"/>
      <c r="B18" s="617"/>
      <c r="C18" s="617"/>
      <c r="D18" s="614"/>
      <c r="E18" s="614"/>
      <c r="F18" s="614"/>
      <c r="G18" s="614"/>
      <c r="H18" s="612"/>
      <c r="I18" s="612"/>
      <c r="J18" s="386" t="s">
        <v>283</v>
      </c>
      <c r="K18" s="384" t="s">
        <v>284</v>
      </c>
      <c r="L18" s="386" t="s">
        <v>285</v>
      </c>
      <c r="M18" s="614"/>
    </row>
    <row r="19" spans="1:13" ht="40" customHeight="1">
      <c r="A19" s="619">
        <v>10</v>
      </c>
      <c r="B19" s="617" t="s">
        <v>236</v>
      </c>
      <c r="C19" s="384" t="s">
        <v>297</v>
      </c>
      <c r="D19" s="385">
        <f>15462*0.1334/(12/5.16)</f>
        <v>886.93124399999988</v>
      </c>
      <c r="E19" s="385">
        <f>1/(12/5.16)</f>
        <v>0.43</v>
      </c>
      <c r="F19" s="386" t="s">
        <v>240</v>
      </c>
      <c r="G19" s="386" t="s">
        <v>240</v>
      </c>
      <c r="H19" s="618">
        <v>14000</v>
      </c>
      <c r="I19" s="612"/>
      <c r="J19" s="384" t="s">
        <v>286</v>
      </c>
      <c r="K19" s="384" t="s">
        <v>287</v>
      </c>
      <c r="L19" s="384" t="s">
        <v>288</v>
      </c>
      <c r="M19" s="385">
        <f>-959/(12/5.16)</f>
        <v>-412.37</v>
      </c>
    </row>
    <row r="20" spans="1:13" ht="40" customHeight="1">
      <c r="A20" s="619"/>
      <c r="B20" s="617"/>
      <c r="C20" s="384" t="s">
        <v>298</v>
      </c>
      <c r="D20" s="385">
        <f>15446*0.1334/(2186/5.16)</f>
        <v>4.8637517950594695</v>
      </c>
      <c r="E20" s="385">
        <f>133/(2186/5.16)</f>
        <v>0.31394327538883809</v>
      </c>
      <c r="F20" s="386" t="s">
        <v>240</v>
      </c>
      <c r="G20" s="386" t="s">
        <v>240</v>
      </c>
      <c r="H20" s="618">
        <v>25000</v>
      </c>
      <c r="I20" s="612"/>
      <c r="J20" s="384" t="s">
        <v>289</v>
      </c>
      <c r="K20" s="384" t="s">
        <v>287</v>
      </c>
      <c r="L20" s="384" t="s">
        <v>290</v>
      </c>
      <c r="M20" s="385">
        <f>2451/(2186/5.16)</f>
        <v>5.7855260750228732</v>
      </c>
    </row>
    <row r="21" spans="1:13" ht="40" customHeight="1">
      <c r="A21" s="619"/>
      <c r="B21" s="617"/>
      <c r="C21" s="384" t="s">
        <v>299</v>
      </c>
      <c r="D21" s="385">
        <f>15558*0.1334/(1242/5.16)</f>
        <v>8.6225893333333339</v>
      </c>
      <c r="E21" s="385">
        <f>46/(1242/5.16)</f>
        <v>0.19111111111111112</v>
      </c>
      <c r="F21" s="386" t="s">
        <v>240</v>
      </c>
      <c r="G21" s="386" t="s">
        <v>240</v>
      </c>
      <c r="H21" s="618">
        <v>25000</v>
      </c>
      <c r="I21" s="612"/>
      <c r="J21" s="384" t="s">
        <v>291</v>
      </c>
      <c r="K21" s="384" t="s">
        <v>287</v>
      </c>
      <c r="L21" s="384" t="s">
        <v>292</v>
      </c>
      <c r="M21" s="385">
        <f>1499/(1242/5.16)</f>
        <v>6.2277294685990343</v>
      </c>
    </row>
    <row r="22" spans="1:13" ht="40" customHeight="1">
      <c r="A22" s="619"/>
      <c r="B22" s="617"/>
      <c r="C22" s="384" t="s">
        <v>300</v>
      </c>
      <c r="D22" s="385">
        <f>15462*0.1334/(877/5.16)</f>
        <v>12.135889313568985</v>
      </c>
      <c r="E22" s="385">
        <f>65/(877/5.16)</f>
        <v>0.38244013683010258</v>
      </c>
      <c r="F22" s="386" t="s">
        <v>240</v>
      </c>
      <c r="G22" s="386" t="s">
        <v>240</v>
      </c>
      <c r="H22" s="618">
        <v>14000</v>
      </c>
      <c r="I22" s="612"/>
      <c r="J22" s="384" t="s">
        <v>293</v>
      </c>
      <c r="K22" s="384" t="s">
        <v>287</v>
      </c>
      <c r="L22" s="384" t="s">
        <v>294</v>
      </c>
      <c r="M22" s="385">
        <f>1002/(877/5.16)</f>
        <v>5.8954618015963511</v>
      </c>
    </row>
    <row r="23" spans="1:13" ht="40" customHeight="1">
      <c r="A23" s="619"/>
      <c r="B23" s="617"/>
      <c r="C23" s="384" t="s">
        <v>301</v>
      </c>
      <c r="D23" s="385">
        <f>15462*0.1334/(2209/5.16)</f>
        <v>4.8180963911272068</v>
      </c>
      <c r="E23" s="385">
        <f>215/(2209/5.16)</f>
        <v>0.50221819827976466</v>
      </c>
      <c r="F23" s="386" t="s">
        <v>240</v>
      </c>
      <c r="G23" s="386" t="s">
        <v>240</v>
      </c>
      <c r="H23" s="618">
        <v>14000</v>
      </c>
      <c r="I23" s="612"/>
      <c r="J23" s="384" t="s">
        <v>295</v>
      </c>
      <c r="K23" s="384" t="s">
        <v>287</v>
      </c>
      <c r="L23" s="384" t="s">
        <v>296</v>
      </c>
      <c r="M23" s="385">
        <f>2411/(2209/5.16)</f>
        <v>5.6318515165233141</v>
      </c>
    </row>
  </sheetData>
  <mergeCells count="57">
    <mergeCell ref="A19:A23"/>
    <mergeCell ref="A1:A2"/>
    <mergeCell ref="A8:A9"/>
    <mergeCell ref="A10:A11"/>
    <mergeCell ref="A12:A16"/>
    <mergeCell ref="A17:A18"/>
    <mergeCell ref="B19:B23"/>
    <mergeCell ref="H19:I19"/>
    <mergeCell ref="H20:I20"/>
    <mergeCell ref="H21:I21"/>
    <mergeCell ref="H22:I22"/>
    <mergeCell ref="H23:I23"/>
    <mergeCell ref="G17:G18"/>
    <mergeCell ref="H17:H18"/>
    <mergeCell ref="I17:I18"/>
    <mergeCell ref="M17:M18"/>
    <mergeCell ref="B12:B16"/>
    <mergeCell ref="C12:C14"/>
    <mergeCell ref="D12:G14"/>
    <mergeCell ref="H12:H14"/>
    <mergeCell ref="I12:I14"/>
    <mergeCell ref="M12:M14"/>
    <mergeCell ref="B17:B18"/>
    <mergeCell ref="C17:C18"/>
    <mergeCell ref="D17:D18"/>
    <mergeCell ref="E17:E18"/>
    <mergeCell ref="F17:F18"/>
    <mergeCell ref="C15:C16"/>
    <mergeCell ref="D15:G16"/>
    <mergeCell ref="H15:H16"/>
    <mergeCell ref="I15:I16"/>
    <mergeCell ref="M8:M9"/>
    <mergeCell ref="G10:G11"/>
    <mergeCell ref="H10:H11"/>
    <mergeCell ref="I10:I11"/>
    <mergeCell ref="M10:M11"/>
    <mergeCell ref="M15:M16"/>
    <mergeCell ref="B10:B11"/>
    <mergeCell ref="C10:C11"/>
    <mergeCell ref="D10:D11"/>
    <mergeCell ref="E10:E11"/>
    <mergeCell ref="F10:F11"/>
    <mergeCell ref="D7:I7"/>
    <mergeCell ref="B8:B9"/>
    <mergeCell ref="C8:C9"/>
    <mergeCell ref="D8:D9"/>
    <mergeCell ref="E8:E9"/>
    <mergeCell ref="F8:F9"/>
    <mergeCell ref="G8:G9"/>
    <mergeCell ref="H8:H9"/>
    <mergeCell ref="I8:I9"/>
    <mergeCell ref="M1:M2"/>
    <mergeCell ref="B1:B2"/>
    <mergeCell ref="C1:C2"/>
    <mergeCell ref="D1:G1"/>
    <mergeCell ref="H1:I1"/>
    <mergeCell ref="J1:L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41361-DBCD-6B4A-B279-713FDF121DF3}">
  <dimension ref="A1:M42"/>
  <sheetViews>
    <sheetView zoomScale="44" workbookViewId="0">
      <selection activeCell="C3" sqref="C3"/>
    </sheetView>
  </sheetViews>
  <sheetFormatPr baseColWidth="10" defaultRowHeight="18"/>
  <cols>
    <col min="1" max="1" width="10.83203125" style="392"/>
    <col min="2" max="2" width="52.5" style="56" customWidth="1"/>
    <col min="3" max="3" width="64.6640625" style="56" customWidth="1"/>
    <col min="4" max="4" width="25.1640625" style="56" customWidth="1"/>
    <col min="5" max="5" width="26.6640625" style="56" customWidth="1"/>
    <col min="6" max="6" width="35.6640625" style="56" bestFit="1" customWidth="1"/>
    <col min="7" max="7" width="25.5" style="56" bestFit="1" customWidth="1"/>
    <col min="8" max="8" width="24.1640625" style="56" customWidth="1"/>
    <col min="9" max="9" width="29.83203125" style="57" bestFit="1" customWidth="1"/>
    <col min="10" max="10" width="38" style="57" customWidth="1"/>
    <col min="11" max="11" width="29.33203125" style="56" bestFit="1" customWidth="1"/>
    <col min="12" max="12" width="28.33203125" style="57" bestFit="1" customWidth="1"/>
    <col min="13" max="13" width="36.1640625" style="57" bestFit="1" customWidth="1"/>
    <col min="14" max="16384" width="10.83203125" style="392"/>
  </cols>
  <sheetData>
    <row r="1" spans="1:13" s="393" customFormat="1">
      <c r="A1" s="566" t="s">
        <v>1249</v>
      </c>
      <c r="B1" s="620" t="s">
        <v>31</v>
      </c>
      <c r="C1" s="621" t="s">
        <v>176</v>
      </c>
      <c r="D1" s="622" t="s">
        <v>87</v>
      </c>
      <c r="E1" s="623"/>
      <c r="F1" s="623"/>
      <c r="G1" s="624"/>
      <c r="H1" s="621" t="s">
        <v>88</v>
      </c>
      <c r="I1" s="621"/>
      <c r="J1" s="620" t="s">
        <v>89</v>
      </c>
      <c r="K1" s="620"/>
      <c r="L1" s="620"/>
      <c r="M1" s="620" t="s">
        <v>90</v>
      </c>
    </row>
    <row r="2" spans="1:13" s="393" customFormat="1" ht="38">
      <c r="A2" s="566"/>
      <c r="B2" s="620"/>
      <c r="C2" s="621"/>
      <c r="D2" s="395" t="s">
        <v>91</v>
      </c>
      <c r="E2" s="395" t="s">
        <v>92</v>
      </c>
      <c r="F2" s="395" t="s">
        <v>93</v>
      </c>
      <c r="G2" s="395" t="s">
        <v>30</v>
      </c>
      <c r="H2" s="395" t="s">
        <v>94</v>
      </c>
      <c r="I2" s="395" t="s">
        <v>95</v>
      </c>
      <c r="J2" s="395" t="s">
        <v>96</v>
      </c>
      <c r="K2" s="395" t="s">
        <v>4</v>
      </c>
      <c r="L2" s="395" t="s">
        <v>97</v>
      </c>
      <c r="M2" s="620"/>
    </row>
    <row r="3" spans="1:13" ht="76">
      <c r="A3" s="331">
        <v>1</v>
      </c>
      <c r="B3" s="342" t="s">
        <v>12</v>
      </c>
      <c r="C3" s="342" t="s">
        <v>98</v>
      </c>
      <c r="D3" s="346">
        <v>7.1999999999999995E-2</v>
      </c>
      <c r="E3" s="41">
        <f>0.22+0.091</f>
        <v>0.311</v>
      </c>
      <c r="F3" s="342" t="s">
        <v>98</v>
      </c>
      <c r="G3" s="342" t="s">
        <v>98</v>
      </c>
      <c r="H3" s="342" t="s">
        <v>98</v>
      </c>
      <c r="I3" s="342" t="s">
        <v>98</v>
      </c>
      <c r="J3" s="343" t="s">
        <v>99</v>
      </c>
      <c r="K3" s="342" t="s">
        <v>100</v>
      </c>
      <c r="L3" s="343" t="s">
        <v>101</v>
      </c>
      <c r="M3" s="42">
        <v>7.0890000000000004</v>
      </c>
    </row>
    <row r="4" spans="1:13" ht="57">
      <c r="A4" s="580">
        <v>2</v>
      </c>
      <c r="B4" s="625" t="s">
        <v>13</v>
      </c>
      <c r="C4" s="342" t="s">
        <v>102</v>
      </c>
      <c r="D4" s="342" t="s">
        <v>98</v>
      </c>
      <c r="E4" s="345">
        <f>0.016/0.035</f>
        <v>0.45714285714285713</v>
      </c>
      <c r="F4" s="342" t="s">
        <v>98</v>
      </c>
      <c r="G4" s="342" t="s">
        <v>98</v>
      </c>
      <c r="H4" s="342" t="s">
        <v>98</v>
      </c>
      <c r="I4" s="342" t="s">
        <v>98</v>
      </c>
      <c r="J4" s="342" t="s">
        <v>98</v>
      </c>
      <c r="K4" s="342" t="s">
        <v>103</v>
      </c>
      <c r="L4" s="43">
        <v>0.02</v>
      </c>
      <c r="M4" s="343" t="s">
        <v>104</v>
      </c>
    </row>
    <row r="5" spans="1:13" ht="57">
      <c r="A5" s="580"/>
      <c r="B5" s="625"/>
      <c r="C5" s="342" t="s">
        <v>105</v>
      </c>
      <c r="D5" s="342" t="s">
        <v>98</v>
      </c>
      <c r="E5" s="342" t="s">
        <v>98</v>
      </c>
      <c r="F5" s="342" t="s">
        <v>98</v>
      </c>
      <c r="G5" s="342" t="s">
        <v>98</v>
      </c>
      <c r="H5" s="342" t="s">
        <v>98</v>
      </c>
      <c r="I5" s="342" t="s">
        <v>98</v>
      </c>
      <c r="J5" s="342" t="s">
        <v>98</v>
      </c>
      <c r="K5" s="342" t="s">
        <v>103</v>
      </c>
      <c r="L5" s="342" t="s">
        <v>98</v>
      </c>
      <c r="M5" s="343" t="s">
        <v>106</v>
      </c>
    </row>
    <row r="6" spans="1:13" ht="133">
      <c r="A6" s="331">
        <v>3</v>
      </c>
      <c r="B6" s="342" t="s">
        <v>14</v>
      </c>
      <c r="C6" s="342" t="s">
        <v>107</v>
      </c>
      <c r="D6" s="342">
        <v>0</v>
      </c>
      <c r="E6" s="344">
        <f>87410.4/330/430/3.2</f>
        <v>0.19249999999999998</v>
      </c>
      <c r="F6" s="627">
        <f>69829.5/330/430/3.2</f>
        <v>0.15378237315010571</v>
      </c>
      <c r="G6" s="628"/>
      <c r="H6" s="629">
        <v>798203.21</v>
      </c>
      <c r="I6" s="630"/>
      <c r="J6" s="343" t="s">
        <v>98</v>
      </c>
      <c r="K6" s="342" t="s">
        <v>103</v>
      </c>
      <c r="L6" s="343" t="s">
        <v>108</v>
      </c>
      <c r="M6" s="345">
        <v>0.51</v>
      </c>
    </row>
    <row r="7" spans="1:13" ht="19">
      <c r="A7" s="331">
        <v>4</v>
      </c>
      <c r="B7" s="625" t="s">
        <v>15</v>
      </c>
      <c r="C7" s="343" t="s">
        <v>109</v>
      </c>
      <c r="D7" s="342" t="s">
        <v>98</v>
      </c>
      <c r="E7" s="44">
        <f>3.53</f>
        <v>3.53</v>
      </c>
      <c r="F7" s="342" t="s">
        <v>98</v>
      </c>
      <c r="G7" s="342" t="s">
        <v>98</v>
      </c>
      <c r="H7" s="342" t="s">
        <v>98</v>
      </c>
      <c r="I7" s="342" t="s">
        <v>98</v>
      </c>
      <c r="J7" s="343" t="s">
        <v>110</v>
      </c>
      <c r="K7" s="342" t="s">
        <v>111</v>
      </c>
      <c r="L7" s="43">
        <f>1.69 * 4.8 /10</f>
        <v>0.81120000000000003</v>
      </c>
      <c r="M7" s="343" t="s">
        <v>112</v>
      </c>
    </row>
    <row r="8" spans="1:13" ht="19">
      <c r="A8" s="331">
        <v>5</v>
      </c>
      <c r="B8" s="625"/>
      <c r="C8" s="343" t="s">
        <v>113</v>
      </c>
      <c r="D8" s="342" t="s">
        <v>98</v>
      </c>
      <c r="E8" s="44">
        <f>2.96</f>
        <v>2.96</v>
      </c>
      <c r="F8" s="342" t="s">
        <v>98</v>
      </c>
      <c r="G8" s="342" t="s">
        <v>98</v>
      </c>
      <c r="H8" s="342" t="s">
        <v>98</v>
      </c>
      <c r="I8" s="342" t="s">
        <v>98</v>
      </c>
      <c r="J8" s="343" t="s">
        <v>114</v>
      </c>
      <c r="K8" s="342" t="s">
        <v>115</v>
      </c>
      <c r="L8" s="43">
        <f>1.64 * 4.8 /10</f>
        <v>0.7871999999999999</v>
      </c>
      <c r="M8" s="343" t="s">
        <v>116</v>
      </c>
    </row>
    <row r="9" spans="1:13" ht="19">
      <c r="A9" s="331">
        <v>6</v>
      </c>
      <c r="B9" s="625"/>
      <c r="C9" s="343" t="s">
        <v>117</v>
      </c>
      <c r="D9" s="342" t="s">
        <v>98</v>
      </c>
      <c r="E9" s="44">
        <f>2.72</f>
        <v>2.72</v>
      </c>
      <c r="F9" s="342" t="s">
        <v>98</v>
      </c>
      <c r="G9" s="342" t="s">
        <v>98</v>
      </c>
      <c r="H9" s="342" t="s">
        <v>98</v>
      </c>
      <c r="I9" s="342" t="s">
        <v>98</v>
      </c>
      <c r="J9" s="343" t="s">
        <v>118</v>
      </c>
      <c r="K9" s="342" t="s">
        <v>103</v>
      </c>
      <c r="L9" s="43">
        <f>1.68 * 4.8 /10</f>
        <v>0.80640000000000001</v>
      </c>
      <c r="M9" s="343" t="s">
        <v>119</v>
      </c>
    </row>
    <row r="10" spans="1:13" ht="19">
      <c r="A10" s="331">
        <v>7</v>
      </c>
      <c r="B10" s="625"/>
      <c r="C10" s="343" t="s">
        <v>120</v>
      </c>
      <c r="D10" s="342" t="s">
        <v>98</v>
      </c>
      <c r="E10" s="44">
        <f>0.58</f>
        <v>0.57999999999999996</v>
      </c>
      <c r="F10" s="342" t="s">
        <v>98</v>
      </c>
      <c r="G10" s="342" t="s">
        <v>98</v>
      </c>
      <c r="H10" s="342" t="s">
        <v>98</v>
      </c>
      <c r="I10" s="342" t="s">
        <v>98</v>
      </c>
      <c r="J10" s="343" t="s">
        <v>121</v>
      </c>
      <c r="K10" s="342" t="s">
        <v>122</v>
      </c>
      <c r="L10" s="43">
        <f>0.8 * 4.8 /10</f>
        <v>0.38400000000000001</v>
      </c>
      <c r="M10" s="343" t="s">
        <v>123</v>
      </c>
    </row>
    <row r="11" spans="1:13" ht="190">
      <c r="A11" s="580">
        <v>8</v>
      </c>
      <c r="B11" s="625" t="s">
        <v>16</v>
      </c>
      <c r="C11" s="342" t="s">
        <v>124</v>
      </c>
      <c r="D11" s="344">
        <f>(0.0000377+0.0000565)*100*1.16</f>
        <v>1.0927199999999998E-2</v>
      </c>
      <c r="E11" s="344">
        <f>(0.003+0.002)*100*1.16</f>
        <v>0.57999999999999996</v>
      </c>
      <c r="F11" s="344" t="s">
        <v>98</v>
      </c>
      <c r="G11" s="344" t="s">
        <v>98</v>
      </c>
      <c r="H11" s="344">
        <f>(0.0001+0.0000336+0.000024)*100*1.16</f>
        <v>1.8281599999999999E-2</v>
      </c>
      <c r="I11" s="345">
        <f>0.017*100*1.16</f>
        <v>1.972</v>
      </c>
      <c r="J11" s="343" t="s">
        <v>125</v>
      </c>
      <c r="K11" s="342" t="s">
        <v>126</v>
      </c>
      <c r="L11" s="45">
        <v>7.7000000000000002E-3</v>
      </c>
      <c r="M11" s="45">
        <v>8.9999999999999993E-3</v>
      </c>
    </row>
    <row r="12" spans="1:13" ht="190">
      <c r="A12" s="580"/>
      <c r="B12" s="625"/>
      <c r="C12" s="342" t="s">
        <v>1253</v>
      </c>
      <c r="D12" s="344">
        <f>(0.00022+0.0000565)*100*1.16</f>
        <v>3.2073999999999998E-2</v>
      </c>
      <c r="E12" s="344">
        <f>(0.003+0.002)*100*1.16</f>
        <v>0.57999999999999996</v>
      </c>
      <c r="F12" s="344" t="s">
        <v>98</v>
      </c>
      <c r="G12" s="344" t="s">
        <v>98</v>
      </c>
      <c r="H12" s="344">
        <f>(0.000334+0.0000336+0.000024)*100*1.16</f>
        <v>4.5425599999999997E-2</v>
      </c>
      <c r="I12" s="345" t="s">
        <v>98</v>
      </c>
      <c r="J12" s="46">
        <f>400 /40000</f>
        <v>0.01</v>
      </c>
      <c r="K12" s="342" t="s">
        <v>126</v>
      </c>
      <c r="L12" s="345">
        <f t="shared" ref="L12:M14" si="0">0.0077*100*1.16</f>
        <v>0.89319999999999999</v>
      </c>
      <c r="M12" s="345">
        <f t="shared" si="0"/>
        <v>0.89319999999999999</v>
      </c>
    </row>
    <row r="13" spans="1:13" ht="190">
      <c r="A13" s="580"/>
      <c r="B13" s="625"/>
      <c r="C13" s="342" t="s">
        <v>1254</v>
      </c>
      <c r="D13" s="344">
        <f>(0.00022+0.0000565)*100*1.16</f>
        <v>3.2073999999999998E-2</v>
      </c>
      <c r="E13" s="344">
        <f>(0.003+0.0028)*100*1.16</f>
        <v>0.67279999999999995</v>
      </c>
      <c r="F13" s="344" t="s">
        <v>98</v>
      </c>
      <c r="G13" s="344" t="s">
        <v>98</v>
      </c>
      <c r="H13" s="344">
        <f>(0.000334+0.0000336+0.000024)*100*1.16</f>
        <v>4.5425599999999997E-2</v>
      </c>
      <c r="I13" s="345" t="s">
        <v>98</v>
      </c>
      <c r="J13" s="46">
        <f>400 /40000</f>
        <v>0.01</v>
      </c>
      <c r="K13" s="342" t="s">
        <v>126</v>
      </c>
      <c r="L13" s="345">
        <f t="shared" si="0"/>
        <v>0.89319999999999999</v>
      </c>
      <c r="M13" s="345">
        <f t="shared" si="0"/>
        <v>0.89319999999999999</v>
      </c>
    </row>
    <row r="14" spans="1:13" ht="190">
      <c r="A14" s="580"/>
      <c r="B14" s="625"/>
      <c r="C14" s="342" t="s">
        <v>1255</v>
      </c>
      <c r="D14" s="344">
        <f>(0.00022+0.0000565)*100*1.16</f>
        <v>3.2073999999999998E-2</v>
      </c>
      <c r="E14" s="344">
        <f>(0.003+0.0045)*100*1.16</f>
        <v>0.86999999999999988</v>
      </c>
      <c r="F14" s="344" t="s">
        <v>98</v>
      </c>
      <c r="G14" s="344" t="s">
        <v>98</v>
      </c>
      <c r="H14" s="344">
        <f>(0.000334+0.0000336+0.000024)*100*1.16</f>
        <v>4.5425599999999997E-2</v>
      </c>
      <c r="I14" s="345">
        <f>0.003*100*1.16</f>
        <v>0.34799999999999998</v>
      </c>
      <c r="J14" s="46">
        <f>400 /40000</f>
        <v>0.01</v>
      </c>
      <c r="K14" s="342" t="s">
        <v>126</v>
      </c>
      <c r="L14" s="345">
        <f t="shared" si="0"/>
        <v>0.89319999999999999</v>
      </c>
      <c r="M14" s="345">
        <f t="shared" si="0"/>
        <v>0.89319999999999999</v>
      </c>
    </row>
    <row r="15" spans="1:13" ht="114">
      <c r="A15" s="580">
        <v>9</v>
      </c>
      <c r="B15" s="625" t="s">
        <v>17</v>
      </c>
      <c r="C15" s="342" t="s">
        <v>127</v>
      </c>
      <c r="D15" s="345">
        <f>0.0068/0.09</f>
        <v>7.5555555555555556E-2</v>
      </c>
      <c r="E15" s="345">
        <f>(0.034+0.016)/0.09</f>
        <v>0.55555555555555558</v>
      </c>
      <c r="F15" s="342" t="s">
        <v>98</v>
      </c>
      <c r="G15" s="342" t="s">
        <v>98</v>
      </c>
      <c r="H15" s="342" t="s">
        <v>98</v>
      </c>
      <c r="I15" s="342" t="s">
        <v>98</v>
      </c>
      <c r="J15" s="342" t="s">
        <v>98</v>
      </c>
      <c r="K15" s="342" t="s">
        <v>128</v>
      </c>
      <c r="L15" s="343" t="s">
        <v>98</v>
      </c>
      <c r="M15" s="343" t="s">
        <v>98</v>
      </c>
    </row>
    <row r="16" spans="1:13" ht="114">
      <c r="A16" s="580"/>
      <c r="B16" s="625"/>
      <c r="C16" s="342" t="s">
        <v>129</v>
      </c>
      <c r="D16" s="345">
        <f>0.0083/0.27</f>
        <v>3.0740740740740739E-2</v>
      </c>
      <c r="E16" s="345">
        <f>(0.105+0.048)/0.27</f>
        <v>0.56666666666666665</v>
      </c>
      <c r="F16" s="342" t="s">
        <v>98</v>
      </c>
      <c r="G16" s="342" t="s">
        <v>98</v>
      </c>
      <c r="H16" s="342" t="s">
        <v>98</v>
      </c>
      <c r="I16" s="342" t="s">
        <v>98</v>
      </c>
      <c r="J16" s="342" t="s">
        <v>98</v>
      </c>
      <c r="K16" s="342" t="s">
        <v>128</v>
      </c>
      <c r="L16" s="343" t="s">
        <v>98</v>
      </c>
      <c r="M16" s="343" t="s">
        <v>98</v>
      </c>
    </row>
    <row r="17" spans="1:13" ht="114">
      <c r="A17" s="580"/>
      <c r="B17" s="625"/>
      <c r="C17" s="342" t="s">
        <v>130</v>
      </c>
      <c r="D17" s="345">
        <f>0.0104/0.63</f>
        <v>1.6507936507936506E-2</v>
      </c>
      <c r="E17" s="345">
        <f>(0.227+0.111)/0.63</f>
        <v>0.53650793650793649</v>
      </c>
      <c r="F17" s="342" t="s">
        <v>98</v>
      </c>
      <c r="G17" s="342" t="s">
        <v>98</v>
      </c>
      <c r="H17" s="342" t="s">
        <v>98</v>
      </c>
      <c r="I17" s="342" t="s">
        <v>98</v>
      </c>
      <c r="J17" s="342" t="s">
        <v>98</v>
      </c>
      <c r="K17" s="342" t="s">
        <v>103</v>
      </c>
      <c r="L17" s="343" t="s">
        <v>98</v>
      </c>
      <c r="M17" s="343" t="s">
        <v>98</v>
      </c>
    </row>
    <row r="18" spans="1:13" ht="121" customHeight="1">
      <c r="A18" s="580">
        <v>10</v>
      </c>
      <c r="B18" s="625" t="s">
        <v>18</v>
      </c>
      <c r="C18" s="342" t="s">
        <v>131</v>
      </c>
      <c r="D18" s="344">
        <f>1*0.15/(48.38*1000/2135.76)</f>
        <v>6.6218272013228614E-3</v>
      </c>
      <c r="E18" s="342" t="s">
        <v>98</v>
      </c>
      <c r="F18" s="342" t="s">
        <v>98</v>
      </c>
      <c r="G18" s="342" t="s">
        <v>98</v>
      </c>
      <c r="H18" s="47">
        <v>6962</v>
      </c>
      <c r="I18" s="48">
        <v>5801</v>
      </c>
      <c r="J18" s="343" t="s">
        <v>132</v>
      </c>
      <c r="K18" s="342" t="s">
        <v>103</v>
      </c>
      <c r="L18" s="343" t="s">
        <v>98</v>
      </c>
      <c r="M18" s="342" t="s">
        <v>133</v>
      </c>
    </row>
    <row r="19" spans="1:13" ht="96" customHeight="1">
      <c r="A19" s="580"/>
      <c r="B19" s="625"/>
      <c r="C19" s="342" t="s">
        <v>134</v>
      </c>
      <c r="D19" s="49">
        <f>1*0.15</f>
        <v>0.15</v>
      </c>
      <c r="E19" s="342" t="s">
        <v>98</v>
      </c>
      <c r="F19" s="342" t="s">
        <v>98</v>
      </c>
      <c r="G19" s="342" t="s">
        <v>98</v>
      </c>
      <c r="H19" s="47">
        <v>6962</v>
      </c>
      <c r="I19" s="48">
        <v>5801</v>
      </c>
      <c r="J19" s="343" t="s">
        <v>135</v>
      </c>
      <c r="K19" s="342" t="s">
        <v>103</v>
      </c>
      <c r="L19" s="343" t="s">
        <v>98</v>
      </c>
      <c r="M19" s="342" t="s">
        <v>136</v>
      </c>
    </row>
    <row r="20" spans="1:13" ht="76">
      <c r="A20" s="580"/>
      <c r="B20" s="625"/>
      <c r="C20" s="342" t="s">
        <v>137</v>
      </c>
      <c r="D20" s="49">
        <f>1*0.15</f>
        <v>0.15</v>
      </c>
      <c r="E20" s="342" t="s">
        <v>98</v>
      </c>
      <c r="F20" s="342" t="s">
        <v>98</v>
      </c>
      <c r="G20" s="342" t="s">
        <v>98</v>
      </c>
      <c r="H20" s="47">
        <v>6962</v>
      </c>
      <c r="I20" s="48">
        <v>5801</v>
      </c>
      <c r="J20" s="343" t="s">
        <v>135</v>
      </c>
      <c r="K20" s="342" t="s">
        <v>103</v>
      </c>
      <c r="L20" s="343" t="s">
        <v>98</v>
      </c>
      <c r="M20" s="342" t="s">
        <v>138</v>
      </c>
    </row>
    <row r="21" spans="1:13" ht="57">
      <c r="A21" s="331">
        <v>11</v>
      </c>
      <c r="B21" s="342" t="s">
        <v>19</v>
      </c>
      <c r="C21" s="342" t="s">
        <v>139</v>
      </c>
      <c r="D21" s="344">
        <v>0.3</v>
      </c>
      <c r="E21" s="344">
        <f>1.79+0.82</f>
        <v>2.61</v>
      </c>
      <c r="F21" s="344">
        <v>0</v>
      </c>
      <c r="G21" s="50" t="s">
        <v>98</v>
      </c>
      <c r="H21" s="631">
        <v>389881.64</v>
      </c>
      <c r="I21" s="632"/>
      <c r="J21" s="343" t="s">
        <v>98</v>
      </c>
      <c r="K21" s="342" t="s">
        <v>103</v>
      </c>
      <c r="L21" s="344">
        <v>1.79</v>
      </c>
      <c r="M21" s="343" t="s">
        <v>98</v>
      </c>
    </row>
    <row r="22" spans="1:13" ht="165" customHeight="1">
      <c r="A22" s="331">
        <v>12</v>
      </c>
      <c r="B22" s="342" t="s">
        <v>20</v>
      </c>
      <c r="C22" s="342" t="s">
        <v>140</v>
      </c>
      <c r="D22" s="344">
        <f>(0.09+4.76)/3.9</f>
        <v>1.2435897435897436</v>
      </c>
      <c r="E22" s="344">
        <f>(5.92+1.97+0.46)/3.9</f>
        <v>2.141025641025641</v>
      </c>
      <c r="F22" s="342" t="s">
        <v>98</v>
      </c>
      <c r="G22" s="51" t="s">
        <v>98</v>
      </c>
      <c r="H22" s="633" t="s">
        <v>98</v>
      </c>
      <c r="I22" s="634"/>
      <c r="J22" s="52" t="s">
        <v>141</v>
      </c>
      <c r="K22" s="342" t="s">
        <v>142</v>
      </c>
      <c r="L22" s="51">
        <f>11.28+0.03+3.76</f>
        <v>15.069999999999999</v>
      </c>
      <c r="M22" s="51">
        <f>1.74</f>
        <v>1.74</v>
      </c>
    </row>
    <row r="23" spans="1:13" ht="77" customHeight="1">
      <c r="A23" s="331">
        <v>13</v>
      </c>
      <c r="B23" s="342" t="s">
        <v>21</v>
      </c>
      <c r="C23" s="342" t="s">
        <v>143</v>
      </c>
      <c r="D23" s="344">
        <f>1.38/0.0299</f>
        <v>46.153846153846153</v>
      </c>
      <c r="E23" s="344">
        <f>0.3/0.0299</f>
        <v>10.033444816053512</v>
      </c>
      <c r="F23" s="344">
        <f>0.8/0.0299</f>
        <v>26.755852842809368</v>
      </c>
      <c r="G23" s="51">
        <v>0</v>
      </c>
      <c r="H23" s="627" t="s">
        <v>98</v>
      </c>
      <c r="I23" s="634"/>
      <c r="J23" s="53">
        <v>8.9700000000000005E-6</v>
      </c>
      <c r="K23" s="342" t="s">
        <v>144</v>
      </c>
      <c r="L23" s="51" t="s">
        <v>98</v>
      </c>
      <c r="M23" s="344">
        <f>0.08/0.0299</f>
        <v>2.6755852842809364</v>
      </c>
    </row>
    <row r="24" spans="1:13" ht="57">
      <c r="A24" s="331">
        <v>14</v>
      </c>
      <c r="B24" s="342" t="s">
        <v>22</v>
      </c>
      <c r="C24" s="342" t="s">
        <v>145</v>
      </c>
      <c r="D24" s="633" t="s">
        <v>146</v>
      </c>
      <c r="E24" s="635"/>
      <c r="F24" s="635"/>
      <c r="G24" s="635"/>
      <c r="H24" s="635"/>
      <c r="I24" s="634"/>
      <c r="J24" s="343" t="s">
        <v>147</v>
      </c>
      <c r="K24" s="342" t="s">
        <v>148</v>
      </c>
      <c r="L24" s="343" t="s">
        <v>149</v>
      </c>
      <c r="M24" s="343" t="s">
        <v>150</v>
      </c>
    </row>
    <row r="25" spans="1:13" ht="265" customHeight="1">
      <c r="A25" s="580">
        <v>15</v>
      </c>
      <c r="B25" s="625" t="s">
        <v>23</v>
      </c>
      <c r="C25" s="342" t="s">
        <v>151</v>
      </c>
      <c r="D25" s="344">
        <f>13.35/0.45</f>
        <v>29.666666666666664</v>
      </c>
      <c r="E25" s="344">
        <f>2.06/0.45</f>
        <v>4.5777777777777775</v>
      </c>
      <c r="F25" s="344">
        <f>2.58/0.45</f>
        <v>5.7333333333333334</v>
      </c>
      <c r="G25" s="344">
        <f>1.07/0.45</f>
        <v>2.3777777777777778</v>
      </c>
      <c r="H25" s="626">
        <f>163796.4</f>
        <v>163796.4</v>
      </c>
      <c r="I25" s="626"/>
      <c r="J25" s="343" t="s">
        <v>98</v>
      </c>
      <c r="K25" s="342" t="s">
        <v>98</v>
      </c>
      <c r="L25" s="343" t="s">
        <v>98</v>
      </c>
      <c r="M25" s="343" t="s">
        <v>98</v>
      </c>
    </row>
    <row r="26" spans="1:13" ht="171">
      <c r="A26" s="580"/>
      <c r="B26" s="625"/>
      <c r="C26" s="342" t="s">
        <v>152</v>
      </c>
      <c r="D26" s="344">
        <f>13.35/0.45</f>
        <v>29.666666666666664</v>
      </c>
      <c r="E26" s="344">
        <f>2.75/0.45</f>
        <v>6.1111111111111107</v>
      </c>
      <c r="F26" s="344">
        <f>2.61/0.45</f>
        <v>5.8</v>
      </c>
      <c r="G26" s="344">
        <f>1.07/0.45</f>
        <v>2.3777777777777778</v>
      </c>
      <c r="H26" s="626">
        <v>168165.5</v>
      </c>
      <c r="I26" s="626"/>
      <c r="J26" s="343" t="s">
        <v>98</v>
      </c>
      <c r="K26" s="342" t="s">
        <v>98</v>
      </c>
      <c r="L26" s="343" t="s">
        <v>98</v>
      </c>
      <c r="M26" s="343" t="s">
        <v>98</v>
      </c>
    </row>
    <row r="27" spans="1:13" ht="133">
      <c r="A27" s="331">
        <v>16</v>
      </c>
      <c r="B27" s="342" t="s">
        <v>82</v>
      </c>
      <c r="C27" s="342" t="s">
        <v>153</v>
      </c>
      <c r="D27" s="346">
        <f>1124937.42*0.341</f>
        <v>383603.66022000002</v>
      </c>
      <c r="E27" s="346">
        <f>1124937.42*0.573</f>
        <v>644589.14165999985</v>
      </c>
      <c r="F27" s="346">
        <f>1124937.42*0.012</f>
        <v>13499.249039999999</v>
      </c>
      <c r="G27" s="346">
        <f>1124937.42*0.054</f>
        <v>60746.620679999993</v>
      </c>
      <c r="H27" s="636">
        <f>1124937.42*0.021</f>
        <v>23623.685819999999</v>
      </c>
      <c r="I27" s="636"/>
      <c r="J27" s="343" t="s">
        <v>98</v>
      </c>
      <c r="K27" s="342" t="s">
        <v>154</v>
      </c>
      <c r="L27" s="343">
        <v>962077.85</v>
      </c>
      <c r="M27" s="343">
        <v>-162859.57</v>
      </c>
    </row>
    <row r="28" spans="1:13" ht="57">
      <c r="A28" s="331">
        <v>17</v>
      </c>
      <c r="B28" s="342" t="s">
        <v>83</v>
      </c>
      <c r="C28" s="342" t="s">
        <v>98</v>
      </c>
      <c r="D28" s="54" t="s">
        <v>98</v>
      </c>
      <c r="E28" s="344">
        <v>10.933</v>
      </c>
      <c r="F28" s="343" t="s">
        <v>98</v>
      </c>
      <c r="G28" s="343" t="s">
        <v>98</v>
      </c>
      <c r="H28" s="343" t="s">
        <v>98</v>
      </c>
      <c r="I28" s="343" t="s">
        <v>98</v>
      </c>
      <c r="J28" s="343" t="s">
        <v>98</v>
      </c>
      <c r="K28" s="343" t="s">
        <v>98</v>
      </c>
      <c r="L28" s="343" t="s">
        <v>98</v>
      </c>
      <c r="M28" s="343" t="s">
        <v>98</v>
      </c>
    </row>
    <row r="29" spans="1:13" ht="114">
      <c r="A29" s="580">
        <v>18</v>
      </c>
      <c r="B29" s="625" t="s">
        <v>84</v>
      </c>
      <c r="C29" s="342" t="s">
        <v>155</v>
      </c>
      <c r="D29" s="637">
        <f>10.05+9.2</f>
        <v>19.25</v>
      </c>
      <c r="E29" s="637"/>
      <c r="F29" s="637"/>
      <c r="G29" s="637"/>
      <c r="H29" s="636">
        <v>229285.3</v>
      </c>
      <c r="I29" s="625"/>
      <c r="J29" s="343" t="s">
        <v>98</v>
      </c>
      <c r="K29" s="342" t="s">
        <v>156</v>
      </c>
      <c r="L29" s="42">
        <f>41585.41+456790.82</f>
        <v>498376.23</v>
      </c>
      <c r="M29" s="42">
        <v>9420.5499999999993</v>
      </c>
    </row>
    <row r="30" spans="1:13" ht="133">
      <c r="A30" s="580"/>
      <c r="B30" s="625"/>
      <c r="C30" s="342" t="s">
        <v>157</v>
      </c>
      <c r="D30" s="637">
        <f>7.04+6.18</f>
        <v>13.219999999999999</v>
      </c>
      <c r="E30" s="637"/>
      <c r="F30" s="637"/>
      <c r="G30" s="637"/>
      <c r="H30" s="636">
        <v>235482.04</v>
      </c>
      <c r="I30" s="636"/>
      <c r="J30" s="343" t="s">
        <v>98</v>
      </c>
      <c r="K30" s="342" t="s">
        <v>158</v>
      </c>
      <c r="L30" s="42">
        <f>72536.7+796772.24</f>
        <v>869308.94</v>
      </c>
      <c r="M30" s="42">
        <v>272192.71999999997</v>
      </c>
    </row>
    <row r="31" spans="1:13" ht="133">
      <c r="A31" s="580"/>
      <c r="B31" s="625"/>
      <c r="C31" s="342" t="s">
        <v>159</v>
      </c>
      <c r="D31" s="637">
        <f>5.97+5.11</f>
        <v>11.08</v>
      </c>
      <c r="E31" s="637"/>
      <c r="F31" s="637"/>
      <c r="G31" s="637"/>
      <c r="H31" s="636">
        <v>250740.77</v>
      </c>
      <c r="I31" s="636"/>
      <c r="J31" s="343" t="s">
        <v>98</v>
      </c>
      <c r="K31" s="342" t="s">
        <v>158</v>
      </c>
      <c r="L31" s="42">
        <f>72536.7+796772.24</f>
        <v>869308.94</v>
      </c>
      <c r="M31" s="42">
        <v>363299.55</v>
      </c>
    </row>
    <row r="32" spans="1:13" ht="133">
      <c r="A32" s="331">
        <v>19</v>
      </c>
      <c r="B32" s="342" t="s">
        <v>85</v>
      </c>
      <c r="C32" s="342" t="s">
        <v>160</v>
      </c>
      <c r="D32" s="344">
        <f>0.0142*1.17/0.56</f>
        <v>2.9667857142857142E-2</v>
      </c>
      <c r="E32" s="344">
        <f>(0.178+0.0153)*1.17/0.56</f>
        <v>0.40385892857142847</v>
      </c>
      <c r="F32" s="638">
        <f>(0.2367+0.0034)*1.17/0.56</f>
        <v>0.50163749999999985</v>
      </c>
      <c r="G32" s="638"/>
      <c r="H32" s="637">
        <f>0.0263*1.17/0.56</f>
        <v>5.4948214285714281E-2</v>
      </c>
      <c r="I32" s="637"/>
      <c r="J32" s="343" t="s">
        <v>161</v>
      </c>
      <c r="K32" s="342" t="s">
        <v>103</v>
      </c>
      <c r="L32" s="345">
        <v>0.9</v>
      </c>
      <c r="M32" s="343" t="s">
        <v>98</v>
      </c>
    </row>
    <row r="33" spans="1:13" ht="114">
      <c r="A33" s="580">
        <v>20</v>
      </c>
      <c r="B33" s="625" t="s">
        <v>86</v>
      </c>
      <c r="C33" s="342" t="s">
        <v>162</v>
      </c>
      <c r="D33" s="344">
        <f>1020/12547</f>
        <v>8.1294333306766553E-2</v>
      </c>
      <c r="E33" s="344">
        <f>(1794+14053)/12547</f>
        <v>1.2630110783454211</v>
      </c>
      <c r="F33" s="637">
        <f>(37926-(1020+1794+14053))/12547</f>
        <v>1.6784091814776441</v>
      </c>
      <c r="G33" s="637"/>
      <c r="H33" s="639" t="s">
        <v>163</v>
      </c>
      <c r="I33" s="625"/>
      <c r="J33" s="640" t="s">
        <v>164</v>
      </c>
      <c r="K33" s="625" t="s">
        <v>103</v>
      </c>
      <c r="L33" s="638">
        <v>2.71</v>
      </c>
      <c r="M33" s="640" t="s">
        <v>98</v>
      </c>
    </row>
    <row r="34" spans="1:13" ht="114">
      <c r="A34" s="580"/>
      <c r="B34" s="625"/>
      <c r="C34" s="342" t="s">
        <v>165</v>
      </c>
      <c r="D34" s="637">
        <f>126794 /12547</f>
        <v>10.105523232645254</v>
      </c>
      <c r="E34" s="637"/>
      <c r="F34" s="637"/>
      <c r="G34" s="637"/>
      <c r="H34" s="639" t="s">
        <v>163</v>
      </c>
      <c r="I34" s="625"/>
      <c r="J34" s="640"/>
      <c r="K34" s="625"/>
      <c r="L34" s="638"/>
      <c r="M34" s="640"/>
    </row>
    <row r="35" spans="1:13" ht="152">
      <c r="A35" s="580">
        <v>21</v>
      </c>
      <c r="B35" s="625" t="s">
        <v>24</v>
      </c>
      <c r="C35" s="342" t="s">
        <v>166</v>
      </c>
      <c r="D35" s="637">
        <v>1.9670000000000001</v>
      </c>
      <c r="E35" s="637"/>
      <c r="F35" s="637"/>
      <c r="G35" s="637"/>
      <c r="H35" s="625">
        <f>569432.9 -I35</f>
        <v>559352.9</v>
      </c>
      <c r="I35" s="640">
        <f>36*280</f>
        <v>10080</v>
      </c>
      <c r="J35" s="640"/>
      <c r="K35" s="625" t="s">
        <v>167</v>
      </c>
      <c r="L35" s="640" t="s">
        <v>168</v>
      </c>
      <c r="M35" s="55">
        <v>-2.0579999999999998</v>
      </c>
    </row>
    <row r="36" spans="1:13" ht="152">
      <c r="A36" s="580"/>
      <c r="B36" s="625"/>
      <c r="C36" s="342" t="s">
        <v>169</v>
      </c>
      <c r="D36" s="637">
        <v>1.952</v>
      </c>
      <c r="E36" s="637"/>
      <c r="F36" s="637"/>
      <c r="G36" s="637"/>
      <c r="H36" s="625"/>
      <c r="I36" s="640"/>
      <c r="J36" s="640"/>
      <c r="K36" s="625"/>
      <c r="L36" s="640"/>
      <c r="M36" s="55">
        <v>-2.0310000000000001</v>
      </c>
    </row>
    <row r="37" spans="1:13" ht="152">
      <c r="A37" s="580"/>
      <c r="B37" s="625"/>
      <c r="C37" s="342" t="s">
        <v>170</v>
      </c>
      <c r="D37" s="637">
        <v>0.85399999999999998</v>
      </c>
      <c r="E37" s="637"/>
      <c r="F37" s="637"/>
      <c r="G37" s="637"/>
      <c r="H37" s="625"/>
      <c r="I37" s="640"/>
      <c r="J37" s="640"/>
      <c r="K37" s="625"/>
      <c r="L37" s="640"/>
      <c r="M37" s="55">
        <v>-5.5E-2</v>
      </c>
    </row>
    <row r="38" spans="1:13" ht="152">
      <c r="A38" s="580"/>
      <c r="B38" s="625"/>
      <c r="C38" s="342" t="s">
        <v>171</v>
      </c>
      <c r="D38" s="637">
        <v>0.84</v>
      </c>
      <c r="E38" s="637"/>
      <c r="F38" s="637"/>
      <c r="G38" s="637"/>
      <c r="H38" s="625"/>
      <c r="I38" s="640"/>
      <c r="J38" s="640"/>
      <c r="K38" s="625"/>
      <c r="L38" s="640"/>
      <c r="M38" s="55">
        <v>-2.8000000000000001E-2</v>
      </c>
    </row>
    <row r="39" spans="1:13" ht="152">
      <c r="A39" s="580"/>
      <c r="B39" s="625"/>
      <c r="C39" s="342" t="s">
        <v>172</v>
      </c>
      <c r="D39" s="637">
        <v>0.54800000000000004</v>
      </c>
      <c r="E39" s="637"/>
      <c r="F39" s="637"/>
      <c r="G39" s="637"/>
      <c r="H39" s="625"/>
      <c r="I39" s="640"/>
      <c r="J39" s="640"/>
      <c r="K39" s="625"/>
      <c r="L39" s="640"/>
      <c r="M39" s="55">
        <v>0.496</v>
      </c>
    </row>
    <row r="40" spans="1:13" ht="152">
      <c r="A40" s="580"/>
      <c r="B40" s="625"/>
      <c r="C40" s="342" t="s">
        <v>173</v>
      </c>
      <c r="D40" s="637">
        <v>0.53300000000000003</v>
      </c>
      <c r="E40" s="637"/>
      <c r="F40" s="637"/>
      <c r="G40" s="637"/>
      <c r="H40" s="625"/>
      <c r="I40" s="640"/>
      <c r="J40" s="640"/>
      <c r="K40" s="625"/>
      <c r="L40" s="640"/>
      <c r="M40" s="55">
        <v>0.52300000000000002</v>
      </c>
    </row>
    <row r="41" spans="1:13" ht="152">
      <c r="A41" s="580"/>
      <c r="B41" s="625"/>
      <c r="C41" s="342" t="s">
        <v>174</v>
      </c>
      <c r="D41" s="637">
        <v>0.60199999999999998</v>
      </c>
      <c r="E41" s="637"/>
      <c r="F41" s="637"/>
      <c r="G41" s="637"/>
      <c r="H41" s="625"/>
      <c r="I41" s="640"/>
      <c r="J41" s="640"/>
      <c r="K41" s="625"/>
      <c r="L41" s="640"/>
      <c r="M41" s="55">
        <v>0.4</v>
      </c>
    </row>
    <row r="42" spans="1:13" ht="152">
      <c r="A42" s="580"/>
      <c r="B42" s="625"/>
      <c r="C42" s="342" t="s">
        <v>175</v>
      </c>
      <c r="D42" s="637">
        <v>0.53800000000000003</v>
      </c>
      <c r="E42" s="637"/>
      <c r="F42" s="637"/>
      <c r="G42" s="637"/>
      <c r="H42" s="625"/>
      <c r="I42" s="640"/>
      <c r="J42" s="640"/>
      <c r="K42" s="625"/>
      <c r="L42" s="640"/>
      <c r="M42" s="55">
        <v>0.51400000000000001</v>
      </c>
    </row>
  </sheetData>
  <mergeCells count="62">
    <mergeCell ref="A35:A42"/>
    <mergeCell ref="A33:A34"/>
    <mergeCell ref="A1:A2"/>
    <mergeCell ref="A4:A5"/>
    <mergeCell ref="A11:A14"/>
    <mergeCell ref="A15:A17"/>
    <mergeCell ref="A18:A20"/>
    <mergeCell ref="A25:A26"/>
    <mergeCell ref="A29:A31"/>
    <mergeCell ref="K35:K42"/>
    <mergeCell ref="L35:L42"/>
    <mergeCell ref="D36:G36"/>
    <mergeCell ref="D37:G37"/>
    <mergeCell ref="D38:G38"/>
    <mergeCell ref="D39:G39"/>
    <mergeCell ref="D40:G40"/>
    <mergeCell ref="D41:G41"/>
    <mergeCell ref="D42:G42"/>
    <mergeCell ref="K33:K34"/>
    <mergeCell ref="L33:L34"/>
    <mergeCell ref="M33:M34"/>
    <mergeCell ref="D34:G34"/>
    <mergeCell ref="H34:I34"/>
    <mergeCell ref="J33:J34"/>
    <mergeCell ref="B35:B42"/>
    <mergeCell ref="D35:G35"/>
    <mergeCell ref="H35:H42"/>
    <mergeCell ref="I35:I42"/>
    <mergeCell ref="J35:J42"/>
    <mergeCell ref="F32:G32"/>
    <mergeCell ref="H32:I32"/>
    <mergeCell ref="B33:B34"/>
    <mergeCell ref="F33:G33"/>
    <mergeCell ref="H33:I33"/>
    <mergeCell ref="H27:I27"/>
    <mergeCell ref="B29:B31"/>
    <mergeCell ref="D29:G29"/>
    <mergeCell ref="H29:I29"/>
    <mergeCell ref="D30:G30"/>
    <mergeCell ref="H30:I30"/>
    <mergeCell ref="D31:G31"/>
    <mergeCell ref="H31:I31"/>
    <mergeCell ref="B25:B26"/>
    <mergeCell ref="H25:I25"/>
    <mergeCell ref="H26:I26"/>
    <mergeCell ref="B4:B5"/>
    <mergeCell ref="F6:G6"/>
    <mergeCell ref="H6:I6"/>
    <mergeCell ref="B7:B10"/>
    <mergeCell ref="B11:B14"/>
    <mergeCell ref="B15:B17"/>
    <mergeCell ref="B18:B20"/>
    <mergeCell ref="H21:I21"/>
    <mergeCell ref="H22:I22"/>
    <mergeCell ref="H23:I23"/>
    <mergeCell ref="D24:I24"/>
    <mergeCell ref="M1:M2"/>
    <mergeCell ref="B1:B2"/>
    <mergeCell ref="C1:C2"/>
    <mergeCell ref="D1:G1"/>
    <mergeCell ref="H1:I1"/>
    <mergeCell ref="J1:L1"/>
  </mergeCells>
  <phoneticPr fontId="1" type="noConversion"/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ECB8E-3775-3A42-B6BA-9632E7500ADD}">
  <dimension ref="A1:N25"/>
  <sheetViews>
    <sheetView zoomScale="65" workbookViewId="0">
      <selection activeCell="B6" sqref="B6"/>
    </sheetView>
  </sheetViews>
  <sheetFormatPr baseColWidth="10" defaultRowHeight="16"/>
  <cols>
    <col min="1" max="1" width="10.83203125" style="348"/>
    <col min="2" max="2" width="113.5" style="348" customWidth="1"/>
    <col min="3" max="3" width="51.83203125" style="348" customWidth="1"/>
    <col min="4" max="4" width="10.83203125" style="348"/>
    <col min="5" max="5" width="16.1640625" style="348" customWidth="1"/>
    <col min="6" max="6" width="23.5" style="348" customWidth="1"/>
    <col min="7" max="7" width="17.1640625" style="348" customWidth="1"/>
    <col min="8" max="8" width="18.5" style="348" customWidth="1"/>
    <col min="9" max="9" width="21.6640625" style="348" customWidth="1"/>
    <col min="10" max="10" width="22.6640625" style="348" bestFit="1" customWidth="1"/>
    <col min="11" max="11" width="17.33203125" style="348" bestFit="1" customWidth="1"/>
    <col min="12" max="12" width="25.1640625" style="348" bestFit="1" customWidth="1"/>
    <col min="13" max="13" width="16.6640625" style="348" customWidth="1"/>
    <col min="14" max="14" width="15.83203125" style="348" customWidth="1"/>
    <col min="15" max="16384" width="10.83203125" style="348"/>
  </cols>
  <sheetData>
    <row r="1" spans="1:14">
      <c r="A1" s="641" t="s">
        <v>1249</v>
      </c>
      <c r="B1" s="641" t="s">
        <v>8</v>
      </c>
      <c r="C1" s="558" t="s">
        <v>176</v>
      </c>
      <c r="D1" s="641" t="s">
        <v>1250</v>
      </c>
      <c r="E1" s="519" t="s">
        <v>637</v>
      </c>
      <c r="F1" s="519"/>
      <c r="G1" s="519"/>
      <c r="H1" s="646"/>
      <c r="I1" s="558" t="s">
        <v>88</v>
      </c>
      <c r="J1" s="558"/>
      <c r="K1" s="641" t="s">
        <v>89</v>
      </c>
      <c r="L1" s="641"/>
      <c r="M1" s="641"/>
      <c r="N1" s="641" t="s">
        <v>90</v>
      </c>
    </row>
    <row r="2" spans="1:14" ht="51">
      <c r="A2" s="641"/>
      <c r="B2" s="641"/>
      <c r="C2" s="558"/>
      <c r="D2" s="641"/>
      <c r="E2" s="135" t="s">
        <v>91</v>
      </c>
      <c r="F2" s="215" t="s">
        <v>92</v>
      </c>
      <c r="G2" s="215" t="s">
        <v>93</v>
      </c>
      <c r="H2" s="215" t="s">
        <v>30</v>
      </c>
      <c r="I2" s="215" t="s">
        <v>638</v>
      </c>
      <c r="J2" s="215" t="s">
        <v>639</v>
      </c>
      <c r="K2" s="215" t="s">
        <v>96</v>
      </c>
      <c r="L2" s="215" t="s">
        <v>4</v>
      </c>
      <c r="M2" s="215" t="s">
        <v>97</v>
      </c>
      <c r="N2" s="642"/>
    </row>
    <row r="3" spans="1:14">
      <c r="A3" s="396">
        <v>1</v>
      </c>
      <c r="B3" s="396" t="s">
        <v>177</v>
      </c>
      <c r="C3" s="396" t="s">
        <v>641</v>
      </c>
      <c r="D3" s="396" t="s">
        <v>640</v>
      </c>
      <c r="E3" s="347" t="s">
        <v>642</v>
      </c>
      <c r="F3" s="347" t="s">
        <v>98</v>
      </c>
      <c r="G3" s="347" t="s">
        <v>98</v>
      </c>
      <c r="H3" s="347" t="s">
        <v>98</v>
      </c>
      <c r="I3" s="347" t="s">
        <v>98</v>
      </c>
      <c r="J3" s="347" t="s">
        <v>98</v>
      </c>
      <c r="K3" s="347" t="s">
        <v>98</v>
      </c>
      <c r="L3" s="347" t="s">
        <v>98</v>
      </c>
      <c r="M3" s="347" t="s">
        <v>98</v>
      </c>
      <c r="N3" s="89" t="s">
        <v>98</v>
      </c>
    </row>
    <row r="4" spans="1:14" ht="204">
      <c r="A4" s="396">
        <v>2</v>
      </c>
      <c r="B4" s="396" t="s">
        <v>178</v>
      </c>
      <c r="C4" s="397" t="s">
        <v>643</v>
      </c>
      <c r="D4" s="396" t="s">
        <v>640</v>
      </c>
      <c r="E4" s="649">
        <v>3.8</v>
      </c>
      <c r="F4" s="649"/>
      <c r="G4" s="649"/>
      <c r="H4" s="649"/>
      <c r="I4" s="649"/>
      <c r="J4" s="649"/>
      <c r="K4" s="348" t="s">
        <v>644</v>
      </c>
      <c r="L4" s="348" t="s">
        <v>645</v>
      </c>
      <c r="M4" s="348" t="s">
        <v>646</v>
      </c>
      <c r="N4" s="321" t="s">
        <v>647</v>
      </c>
    </row>
    <row r="5" spans="1:14" ht="34">
      <c r="A5" s="396">
        <v>3</v>
      </c>
      <c r="B5" s="396" t="s">
        <v>648</v>
      </c>
      <c r="C5" s="397" t="s">
        <v>649</v>
      </c>
      <c r="D5" s="396" t="s">
        <v>640</v>
      </c>
      <c r="E5" s="91">
        <v>1.4139999999999999</v>
      </c>
      <c r="F5" s="349">
        <v>0.16200000000000001</v>
      </c>
      <c r="G5" s="349">
        <v>15.43</v>
      </c>
      <c r="H5" s="92">
        <v>0</v>
      </c>
      <c r="I5" s="649">
        <v>17.350000000000001</v>
      </c>
      <c r="J5" s="649"/>
      <c r="K5" s="347" t="s">
        <v>98</v>
      </c>
      <c r="L5" s="347" t="s">
        <v>650</v>
      </c>
      <c r="M5" s="349">
        <v>2.1800000000000002</v>
      </c>
      <c r="N5" s="89" t="s">
        <v>98</v>
      </c>
    </row>
    <row r="6" spans="1:14" ht="17">
      <c r="A6" s="643">
        <v>4</v>
      </c>
      <c r="B6" s="396" t="s">
        <v>651</v>
      </c>
      <c r="C6" s="397" t="s">
        <v>652</v>
      </c>
      <c r="D6" s="396" t="s">
        <v>640</v>
      </c>
      <c r="E6" s="493" t="s">
        <v>98</v>
      </c>
      <c r="F6" s="493"/>
      <c r="G6" s="493"/>
      <c r="H6" s="493"/>
      <c r="I6" s="644">
        <v>530.48</v>
      </c>
      <c r="J6" s="644"/>
      <c r="K6" s="316" t="s">
        <v>98</v>
      </c>
      <c r="L6" s="316" t="s">
        <v>653</v>
      </c>
      <c r="M6" s="316" t="s">
        <v>98</v>
      </c>
      <c r="N6" s="318" t="s">
        <v>654</v>
      </c>
    </row>
    <row r="7" spans="1:14" ht="17">
      <c r="A7" s="643"/>
      <c r="B7" s="396"/>
      <c r="C7" s="397" t="s">
        <v>655</v>
      </c>
      <c r="D7" s="396"/>
      <c r="E7" s="648"/>
      <c r="F7" s="648"/>
      <c r="G7" s="648"/>
      <c r="H7" s="648"/>
      <c r="I7" s="650"/>
      <c r="J7" s="650"/>
      <c r="K7" s="348" t="s">
        <v>98</v>
      </c>
      <c r="L7" s="348" t="s">
        <v>653</v>
      </c>
      <c r="M7" s="348" t="s">
        <v>98</v>
      </c>
      <c r="N7" s="321" t="s">
        <v>656</v>
      </c>
    </row>
    <row r="8" spans="1:14" ht="17">
      <c r="A8" s="643"/>
      <c r="B8" s="396"/>
      <c r="C8" s="397" t="s">
        <v>657</v>
      </c>
      <c r="D8" s="396"/>
      <c r="E8" s="648"/>
      <c r="F8" s="648"/>
      <c r="G8" s="648"/>
      <c r="H8" s="648"/>
      <c r="I8" s="650"/>
      <c r="J8" s="650"/>
      <c r="K8" s="348" t="s">
        <v>98</v>
      </c>
      <c r="L8" s="348" t="s">
        <v>653</v>
      </c>
      <c r="M8" s="348" t="s">
        <v>98</v>
      </c>
      <c r="N8" s="321" t="s">
        <v>658</v>
      </c>
    </row>
    <row r="9" spans="1:14" ht="17">
      <c r="A9" s="643"/>
      <c r="B9" s="396"/>
      <c r="C9" s="397" t="s">
        <v>659</v>
      </c>
      <c r="D9" s="396"/>
      <c r="E9" s="648"/>
      <c r="F9" s="648"/>
      <c r="G9" s="648"/>
      <c r="H9" s="648"/>
      <c r="I9" s="650"/>
      <c r="J9" s="650"/>
      <c r="K9" s="348" t="s">
        <v>98</v>
      </c>
      <c r="L9" s="348" t="s">
        <v>653</v>
      </c>
      <c r="M9" s="348" t="s">
        <v>98</v>
      </c>
      <c r="N9" s="321" t="s">
        <v>660</v>
      </c>
    </row>
    <row r="10" spans="1:14" ht="17">
      <c r="A10" s="643"/>
      <c r="B10" s="396"/>
      <c r="C10" s="397" t="s">
        <v>661</v>
      </c>
      <c r="D10" s="396"/>
      <c r="E10" s="648"/>
      <c r="F10" s="648"/>
      <c r="G10" s="648"/>
      <c r="H10" s="648"/>
      <c r="I10" s="650"/>
      <c r="J10" s="650"/>
      <c r="K10" s="348" t="s">
        <v>98</v>
      </c>
      <c r="L10" s="348" t="s">
        <v>653</v>
      </c>
      <c r="M10" s="348" t="s">
        <v>98</v>
      </c>
      <c r="N10" s="321" t="s">
        <v>662</v>
      </c>
    </row>
    <row r="11" spans="1:14" ht="17">
      <c r="A11" s="643"/>
      <c r="B11" s="396"/>
      <c r="C11" s="397" t="s">
        <v>663</v>
      </c>
      <c r="D11" s="396"/>
      <c r="E11" s="494"/>
      <c r="F11" s="494"/>
      <c r="G11" s="494"/>
      <c r="H11" s="494"/>
      <c r="I11" s="645"/>
      <c r="J11" s="645"/>
      <c r="K11" s="317" t="s">
        <v>98</v>
      </c>
      <c r="L11" s="317" t="s">
        <v>653</v>
      </c>
      <c r="M11" s="317" t="s">
        <v>98</v>
      </c>
      <c r="N11" s="319" t="s">
        <v>664</v>
      </c>
    </row>
    <row r="12" spans="1:14">
      <c r="A12" s="643">
        <v>5</v>
      </c>
      <c r="B12" s="643" t="s">
        <v>665</v>
      </c>
      <c r="C12" s="396" t="s">
        <v>666</v>
      </c>
      <c r="D12" s="396" t="s">
        <v>640</v>
      </c>
      <c r="E12" s="644" t="s">
        <v>667</v>
      </c>
      <c r="F12" s="493"/>
      <c r="G12" s="493"/>
      <c r="H12" s="493"/>
      <c r="I12" s="493"/>
      <c r="J12" s="493"/>
      <c r="K12" s="348" t="s">
        <v>98</v>
      </c>
      <c r="L12" s="348" t="s">
        <v>98</v>
      </c>
      <c r="M12" s="348" t="s">
        <v>98</v>
      </c>
      <c r="N12" s="321" t="s">
        <v>98</v>
      </c>
    </row>
    <row r="13" spans="1:14">
      <c r="A13" s="643"/>
      <c r="B13" s="643"/>
      <c r="C13" s="396"/>
      <c r="D13" s="396"/>
      <c r="E13" s="645" t="s">
        <v>668</v>
      </c>
      <c r="F13" s="645"/>
      <c r="G13" s="645"/>
      <c r="H13" s="645"/>
      <c r="I13" s="645"/>
      <c r="J13" s="645"/>
      <c r="K13" s="317" t="s">
        <v>98</v>
      </c>
      <c r="L13" s="317" t="s">
        <v>98</v>
      </c>
      <c r="M13" s="317" t="s">
        <v>98</v>
      </c>
      <c r="N13" s="319" t="s">
        <v>98</v>
      </c>
    </row>
    <row r="14" spans="1:14">
      <c r="A14" s="643">
        <v>6</v>
      </c>
      <c r="B14" s="396" t="s">
        <v>179</v>
      </c>
      <c r="C14" s="396" t="s">
        <v>670</v>
      </c>
      <c r="D14" s="396" t="s">
        <v>669</v>
      </c>
      <c r="E14" s="348" t="s">
        <v>671</v>
      </c>
      <c r="F14" s="348" t="s">
        <v>672</v>
      </c>
      <c r="G14" s="348" t="s">
        <v>673</v>
      </c>
      <c r="H14" s="348" t="s">
        <v>98</v>
      </c>
      <c r="I14" s="348" t="s">
        <v>98</v>
      </c>
      <c r="J14" s="348" t="s">
        <v>98</v>
      </c>
      <c r="K14" s="316" t="s">
        <v>98</v>
      </c>
      <c r="L14" s="316" t="s">
        <v>98</v>
      </c>
      <c r="M14" s="316" t="s">
        <v>98</v>
      </c>
      <c r="N14" s="318" t="s">
        <v>98</v>
      </c>
    </row>
    <row r="15" spans="1:14">
      <c r="A15" s="643"/>
      <c r="B15" s="396"/>
      <c r="C15" s="396" t="s">
        <v>674</v>
      </c>
      <c r="D15" s="396"/>
      <c r="E15" s="317" t="s">
        <v>675</v>
      </c>
      <c r="F15" s="317" t="s">
        <v>676</v>
      </c>
      <c r="G15" s="317" t="s">
        <v>677</v>
      </c>
      <c r="H15" s="317" t="s">
        <v>98</v>
      </c>
      <c r="I15" s="317" t="s">
        <v>98</v>
      </c>
      <c r="J15" s="317" t="s">
        <v>98</v>
      </c>
      <c r="K15" s="317" t="s">
        <v>98</v>
      </c>
      <c r="L15" s="317" t="s">
        <v>98</v>
      </c>
      <c r="M15" s="317" t="s">
        <v>98</v>
      </c>
      <c r="N15" s="319" t="s">
        <v>98</v>
      </c>
    </row>
    <row r="16" spans="1:14">
      <c r="A16" s="396">
        <v>7</v>
      </c>
      <c r="B16" s="396" t="s">
        <v>678</v>
      </c>
      <c r="C16" s="396" t="s">
        <v>679</v>
      </c>
      <c r="D16" s="396" t="s">
        <v>669</v>
      </c>
      <c r="E16" s="647" t="s">
        <v>680</v>
      </c>
      <c r="F16" s="647"/>
      <c r="G16" s="647"/>
      <c r="H16" s="647"/>
      <c r="I16" s="647" t="s">
        <v>681</v>
      </c>
      <c r="J16" s="647"/>
      <c r="K16" s="317" t="s">
        <v>98</v>
      </c>
      <c r="L16" s="317" t="s">
        <v>98</v>
      </c>
      <c r="M16" s="317" t="s">
        <v>98</v>
      </c>
      <c r="N16" s="319" t="s">
        <v>98</v>
      </c>
    </row>
    <row r="17" spans="1:14">
      <c r="A17" s="396">
        <v>8</v>
      </c>
      <c r="B17" s="396" t="s">
        <v>180</v>
      </c>
      <c r="C17" s="396"/>
      <c r="D17" s="396" t="s">
        <v>669</v>
      </c>
      <c r="E17" s="347" t="s">
        <v>682</v>
      </c>
      <c r="F17" s="347" t="s">
        <v>683</v>
      </c>
      <c r="G17" s="347" t="s">
        <v>98</v>
      </c>
      <c r="H17" s="347" t="s">
        <v>98</v>
      </c>
      <c r="I17" s="347" t="s">
        <v>98</v>
      </c>
      <c r="J17" s="347" t="s">
        <v>98</v>
      </c>
      <c r="K17" s="347" t="s">
        <v>684</v>
      </c>
      <c r="L17" s="317" t="s">
        <v>645</v>
      </c>
      <c r="M17" s="94">
        <f>1.32*0.000151</f>
        <v>1.9932000000000004E-4</v>
      </c>
      <c r="N17" s="319" t="s">
        <v>98</v>
      </c>
    </row>
    <row r="18" spans="1:14">
      <c r="A18" s="396">
        <v>9</v>
      </c>
      <c r="B18" s="396" t="s">
        <v>181</v>
      </c>
      <c r="C18" s="396" t="s">
        <v>685</v>
      </c>
      <c r="D18" s="396" t="s">
        <v>669</v>
      </c>
      <c r="E18" s="348" t="s">
        <v>686</v>
      </c>
      <c r="F18" s="348" t="s">
        <v>687</v>
      </c>
      <c r="G18" s="347" t="s">
        <v>98</v>
      </c>
      <c r="H18" s="347" t="s">
        <v>98</v>
      </c>
      <c r="I18" s="347" t="s">
        <v>98</v>
      </c>
      <c r="J18" s="347" t="s">
        <v>98</v>
      </c>
      <c r="K18" s="347" t="s">
        <v>98</v>
      </c>
      <c r="L18" s="347" t="s">
        <v>98</v>
      </c>
      <c r="M18" s="347" t="s">
        <v>98</v>
      </c>
      <c r="N18" s="89" t="s">
        <v>98</v>
      </c>
    </row>
    <row r="19" spans="1:14">
      <c r="A19" s="643">
        <v>10</v>
      </c>
      <c r="B19" s="396" t="s">
        <v>182</v>
      </c>
      <c r="C19" s="396" t="s">
        <v>688</v>
      </c>
      <c r="D19" s="396" t="s">
        <v>669</v>
      </c>
      <c r="E19" s="316" t="s">
        <v>98</v>
      </c>
      <c r="F19" s="316" t="s">
        <v>689</v>
      </c>
      <c r="G19" s="316" t="s">
        <v>98</v>
      </c>
      <c r="H19" s="316" t="s">
        <v>690</v>
      </c>
      <c r="I19" s="493" t="s">
        <v>98</v>
      </c>
      <c r="J19" s="493"/>
      <c r="K19" s="316" t="s">
        <v>98</v>
      </c>
      <c r="L19" s="316" t="s">
        <v>645</v>
      </c>
      <c r="M19" s="316" t="s">
        <v>691</v>
      </c>
      <c r="N19" s="95" t="s">
        <v>692</v>
      </c>
    </row>
    <row r="20" spans="1:14">
      <c r="A20" s="643"/>
      <c r="B20" s="396"/>
      <c r="C20" s="396" t="s">
        <v>693</v>
      </c>
      <c r="D20" s="396"/>
      <c r="E20" s="348" t="s">
        <v>98</v>
      </c>
      <c r="F20" s="348" t="s">
        <v>694</v>
      </c>
      <c r="G20" s="348" t="s">
        <v>98</v>
      </c>
      <c r="H20" s="348" t="s">
        <v>695</v>
      </c>
      <c r="I20" s="648"/>
      <c r="J20" s="648"/>
      <c r="K20" s="348" t="s">
        <v>98</v>
      </c>
      <c r="L20" s="348" t="s">
        <v>645</v>
      </c>
      <c r="M20" s="348" t="s">
        <v>696</v>
      </c>
      <c r="N20" s="96" t="s">
        <v>697</v>
      </c>
    </row>
    <row r="21" spans="1:14">
      <c r="A21" s="643"/>
      <c r="B21" s="396"/>
      <c r="C21" s="396" t="s">
        <v>698</v>
      </c>
      <c r="D21" s="396"/>
      <c r="E21" s="348" t="s">
        <v>98</v>
      </c>
      <c r="F21" s="348" t="s">
        <v>699</v>
      </c>
      <c r="G21" s="348" t="s">
        <v>98</v>
      </c>
      <c r="H21" s="348" t="s">
        <v>700</v>
      </c>
      <c r="I21" s="648"/>
      <c r="J21" s="648"/>
      <c r="K21" s="348" t="s">
        <v>98</v>
      </c>
      <c r="L21" s="348" t="s">
        <v>645</v>
      </c>
      <c r="M21" s="348" t="s">
        <v>701</v>
      </c>
      <c r="N21" s="96" t="s">
        <v>702</v>
      </c>
    </row>
    <row r="22" spans="1:14">
      <c r="A22" s="643"/>
      <c r="B22" s="396"/>
      <c r="C22" s="396" t="s">
        <v>703</v>
      </c>
      <c r="D22" s="396"/>
      <c r="E22" s="348" t="s">
        <v>98</v>
      </c>
      <c r="F22" s="348" t="s">
        <v>704</v>
      </c>
      <c r="G22" s="348" t="s">
        <v>98</v>
      </c>
      <c r="H22" s="348" t="s">
        <v>705</v>
      </c>
      <c r="I22" s="648"/>
      <c r="J22" s="648"/>
      <c r="K22" s="348" t="s">
        <v>98</v>
      </c>
      <c r="L22" s="348" t="s">
        <v>645</v>
      </c>
      <c r="M22" s="348" t="s">
        <v>706</v>
      </c>
      <c r="N22" s="96" t="s">
        <v>707</v>
      </c>
    </row>
    <row r="23" spans="1:14">
      <c r="A23" s="643"/>
      <c r="B23" s="396"/>
      <c r="C23" s="396" t="s">
        <v>708</v>
      </c>
      <c r="D23" s="396"/>
      <c r="E23" s="348" t="s">
        <v>98</v>
      </c>
      <c r="F23" s="38" t="s">
        <v>709</v>
      </c>
      <c r="G23" s="348" t="s">
        <v>98</v>
      </c>
      <c r="H23" s="348" t="s">
        <v>710</v>
      </c>
      <c r="I23" s="648"/>
      <c r="J23" s="648"/>
      <c r="K23" s="348" t="s">
        <v>98</v>
      </c>
      <c r="L23" s="348" t="s">
        <v>645</v>
      </c>
      <c r="M23" s="348" t="s">
        <v>711</v>
      </c>
      <c r="N23" s="96" t="s">
        <v>712</v>
      </c>
    </row>
    <row r="24" spans="1:14">
      <c r="A24" s="643"/>
      <c r="B24" s="396"/>
      <c r="C24" s="396" t="s">
        <v>713</v>
      </c>
      <c r="D24" s="396"/>
      <c r="E24" s="317" t="s">
        <v>98</v>
      </c>
      <c r="F24" s="317">
        <v>0</v>
      </c>
      <c r="G24" s="317" t="s">
        <v>98</v>
      </c>
      <c r="H24" s="317" t="s">
        <v>714</v>
      </c>
      <c r="I24" s="494"/>
      <c r="J24" s="494"/>
      <c r="K24" s="317" t="s">
        <v>98</v>
      </c>
      <c r="L24" s="317" t="s">
        <v>645</v>
      </c>
      <c r="M24" s="317" t="s">
        <v>715</v>
      </c>
      <c r="N24" s="97" t="s">
        <v>716</v>
      </c>
    </row>
    <row r="25" spans="1:14" ht="51">
      <c r="A25" s="396">
        <v>11</v>
      </c>
      <c r="B25" s="396" t="s">
        <v>183</v>
      </c>
      <c r="C25" s="397" t="s">
        <v>717</v>
      </c>
      <c r="D25" s="396" t="s">
        <v>7</v>
      </c>
      <c r="E25" s="347" t="s">
        <v>718</v>
      </c>
      <c r="F25" s="347" t="s">
        <v>719</v>
      </c>
      <c r="G25" s="347" t="s">
        <v>720</v>
      </c>
      <c r="H25" s="347" t="s">
        <v>721</v>
      </c>
      <c r="I25" s="647" t="s">
        <v>722</v>
      </c>
      <c r="J25" s="647"/>
      <c r="K25" s="347" t="s">
        <v>98</v>
      </c>
      <c r="L25" s="347" t="s">
        <v>98</v>
      </c>
      <c r="M25" s="347" t="s">
        <v>98</v>
      </c>
      <c r="N25" s="89" t="s">
        <v>98</v>
      </c>
    </row>
  </sheetData>
  <mergeCells count="23">
    <mergeCell ref="A6:A11"/>
    <mergeCell ref="A12:A13"/>
    <mergeCell ref="A14:A15"/>
    <mergeCell ref="A19:A24"/>
    <mergeCell ref="E16:H16"/>
    <mergeCell ref="I16:J16"/>
    <mergeCell ref="I19:J24"/>
    <mergeCell ref="I25:J25"/>
    <mergeCell ref="E4:J4"/>
    <mergeCell ref="I5:J5"/>
    <mergeCell ref="E6:H11"/>
    <mergeCell ref="I6:J11"/>
    <mergeCell ref="A1:A2"/>
    <mergeCell ref="C1:C2"/>
    <mergeCell ref="E1:H1"/>
    <mergeCell ref="I1:J1"/>
    <mergeCell ref="D1:D2"/>
    <mergeCell ref="B1:B2"/>
    <mergeCell ref="K1:M1"/>
    <mergeCell ref="N1:N2"/>
    <mergeCell ref="B12:B13"/>
    <mergeCell ref="E12:J12"/>
    <mergeCell ref="E13:J1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SEC summary for EAS</vt:lpstr>
      <vt:lpstr>SEC summary for NS</vt:lpstr>
      <vt:lpstr>SEC summary for TAS</vt:lpstr>
      <vt:lpstr>SEC summary for VAS</vt:lpstr>
      <vt:lpstr>SEC for MAS</vt:lpstr>
      <vt:lpstr>Economic summary for TAS</vt:lpstr>
      <vt:lpstr>Economic summary for VAS</vt:lpstr>
      <vt:lpstr>Economic summary for MAS</vt:lpstr>
      <vt:lpstr>Economic summary for EAS</vt:lpstr>
      <vt:lpstr>Economic summary for 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少敏 郭</dc:creator>
  <cp:lastModifiedBy>少敏 郭</cp:lastModifiedBy>
  <dcterms:created xsi:type="dcterms:W3CDTF">2025-11-10T17:29:34Z</dcterms:created>
  <dcterms:modified xsi:type="dcterms:W3CDTF">2026-02-09T18:10:32Z</dcterms:modified>
</cp:coreProperties>
</file>