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CatherineMerrick\Documents\Dropbox\Papers, manuscripts and posters\2020 MALAR J Linda sirtuins (sub 21.04.20, rej 16.07)\Resubmission to Malar J 21.08.20\"/>
    </mc:Choice>
  </mc:AlternateContent>
  <bookViews>
    <workbookView xWindow="0" yWindow="0" windowWidth="20100" windowHeight="7935" firstSheet="4" activeTab="8"/>
  </bookViews>
  <sheets>
    <sheet name="3D7 Trophs 2 h" sheetId="124" r:id="rId1"/>
    <sheet name="3D7 Trophs 6 h" sheetId="125" r:id="rId2"/>
    <sheet name="3518 Trophs 2 h" sheetId="126" r:id="rId3"/>
    <sheet name="3518 Trophs 6 h" sheetId="127" r:id="rId4"/>
    <sheet name="9775 Trophs 2 h" sheetId="128" r:id="rId5"/>
    <sheet name="9775 Trophs 6 h" sheetId="130" r:id="rId6"/>
    <sheet name="10668 Trophs 2 h" sheetId="131" r:id="rId7"/>
    <sheet name="10668 Trophs 6 h" sheetId="132" r:id="rId8"/>
    <sheet name="3518 Rings 6 h" sheetId="133" r:id="rId9"/>
    <sheet name="3518 Rings 16 h" sheetId="134" r:id="rId10"/>
    <sheet name="dCt rings by strain_ref5 4 var" sheetId="76" state="hidden" r:id="rId11"/>
    <sheet name="9775 Rings 6 h" sheetId="137" r:id="rId12"/>
    <sheet name="9775 Rings 16 h" sheetId="138" r:id="rId13"/>
    <sheet name="RCN in rings by strain_ref5var" sheetId="25" state="hidden" r:id="rId14"/>
  </sheets>
  <calcPr calcId="162913" iterateCount="84"/>
</workbook>
</file>

<file path=xl/calcChain.xml><?xml version="1.0" encoding="utf-8"?>
<calcChain xmlns="http://schemas.openxmlformats.org/spreadsheetml/2006/main">
  <c r="K45" i="138" l="1"/>
  <c r="K46" i="138"/>
  <c r="K44" i="138"/>
  <c r="K42" i="138"/>
  <c r="K43" i="138"/>
  <c r="L43" i="138" s="1"/>
  <c r="K41" i="138"/>
  <c r="K39" i="138"/>
  <c r="K40" i="138"/>
  <c r="L40" i="138" s="1"/>
  <c r="K38" i="138"/>
  <c r="K36" i="138"/>
  <c r="K37" i="138"/>
  <c r="K35" i="138"/>
  <c r="L35" i="138" s="1"/>
  <c r="K33" i="138"/>
  <c r="K34" i="138"/>
  <c r="K32" i="138"/>
  <c r="K30" i="138"/>
  <c r="L30" i="138" s="1"/>
  <c r="K31" i="138"/>
  <c r="L31" i="138" s="1"/>
  <c r="K29" i="138"/>
  <c r="K27" i="138"/>
  <c r="K28" i="138"/>
  <c r="L28" i="138" s="1"/>
  <c r="K26" i="138"/>
  <c r="K24" i="138"/>
  <c r="K25" i="138"/>
  <c r="K23" i="138"/>
  <c r="L23" i="138" s="1"/>
  <c r="K21" i="138"/>
  <c r="K22" i="138"/>
  <c r="K20" i="138"/>
  <c r="K18" i="138"/>
  <c r="L18" i="138" s="1"/>
  <c r="K19" i="138"/>
  <c r="K17" i="138"/>
  <c r="K15" i="138"/>
  <c r="L15" i="138" s="1"/>
  <c r="K16" i="138"/>
  <c r="L16" i="138" s="1"/>
  <c r="K14" i="138"/>
  <c r="K12" i="138"/>
  <c r="K13" i="138"/>
  <c r="K11" i="138"/>
  <c r="L11" i="138" s="1"/>
  <c r="L46" i="138"/>
  <c r="L45" i="138"/>
  <c r="L44" i="138"/>
  <c r="L42" i="138"/>
  <c r="L41" i="138"/>
  <c r="L39" i="138"/>
  <c r="L38" i="138"/>
  <c r="L37" i="138"/>
  <c r="L36" i="138"/>
  <c r="L34" i="138"/>
  <c r="L33" i="138"/>
  <c r="L32" i="138"/>
  <c r="L29" i="138"/>
  <c r="L27" i="138"/>
  <c r="L26" i="138"/>
  <c r="L25" i="138"/>
  <c r="L24" i="138"/>
  <c r="L22" i="138"/>
  <c r="L21" i="138"/>
  <c r="L20" i="138"/>
  <c r="L19" i="138"/>
  <c r="L17" i="138"/>
  <c r="L14" i="138"/>
  <c r="L13" i="138"/>
  <c r="L12" i="138"/>
  <c r="K45" i="137"/>
  <c r="K46" i="137"/>
  <c r="L46" i="137" s="1"/>
  <c r="K44" i="137"/>
  <c r="K42" i="137"/>
  <c r="K43" i="137"/>
  <c r="K41" i="137"/>
  <c r="K39" i="137"/>
  <c r="L39" i="137" s="1"/>
  <c r="K40" i="137"/>
  <c r="K38" i="137"/>
  <c r="K36" i="137"/>
  <c r="K37" i="137"/>
  <c r="L37" i="137" s="1"/>
  <c r="K35" i="137"/>
  <c r="K33" i="137"/>
  <c r="K34" i="137"/>
  <c r="L34" i="137" s="1"/>
  <c r="K32" i="137"/>
  <c r="K30" i="137"/>
  <c r="K31" i="137"/>
  <c r="K29" i="137"/>
  <c r="K27" i="137"/>
  <c r="L27" i="137" s="1"/>
  <c r="K28" i="137"/>
  <c r="K26" i="137"/>
  <c r="K24" i="137"/>
  <c r="K25" i="137"/>
  <c r="L25" i="137" s="1"/>
  <c r="K23" i="137"/>
  <c r="K21" i="137"/>
  <c r="K22" i="137"/>
  <c r="L22" i="137" s="1"/>
  <c r="K20" i="137"/>
  <c r="K18" i="137"/>
  <c r="K19" i="137"/>
  <c r="K17" i="137"/>
  <c r="K15" i="137"/>
  <c r="L15" i="137" s="1"/>
  <c r="K16" i="137"/>
  <c r="K14" i="137"/>
  <c r="K12" i="137"/>
  <c r="K13" i="137"/>
  <c r="L13" i="137" s="1"/>
  <c r="K11" i="137"/>
  <c r="L45" i="137"/>
  <c r="L44" i="137"/>
  <c r="L43" i="137"/>
  <c r="L42" i="137"/>
  <c r="L41" i="137"/>
  <c r="L40" i="137"/>
  <c r="L38" i="137"/>
  <c r="L36" i="137"/>
  <c r="L35" i="137"/>
  <c r="L33" i="137"/>
  <c r="L32" i="137"/>
  <c r="L31" i="137"/>
  <c r="L30" i="137"/>
  <c r="L29" i="137"/>
  <c r="L28" i="137"/>
  <c r="L26" i="137"/>
  <c r="L24" i="137"/>
  <c r="L23" i="137"/>
  <c r="L21" i="137"/>
  <c r="L20" i="137"/>
  <c r="L19" i="137"/>
  <c r="L18" i="137"/>
  <c r="L17" i="137"/>
  <c r="L16" i="137"/>
  <c r="L14" i="137"/>
  <c r="L12" i="137"/>
  <c r="L11" i="137"/>
  <c r="E45" i="137"/>
  <c r="E46" i="137"/>
  <c r="E44" i="137"/>
  <c r="E42" i="137"/>
  <c r="E43" i="137"/>
  <c r="E41" i="137"/>
  <c r="E39" i="137"/>
  <c r="E40" i="137"/>
  <c r="F40" i="137" s="1"/>
  <c r="E38" i="137"/>
  <c r="E36" i="137"/>
  <c r="E37" i="137"/>
  <c r="E35" i="137"/>
  <c r="E33" i="137"/>
  <c r="E34" i="137"/>
  <c r="E32" i="137"/>
  <c r="E30" i="137"/>
  <c r="E31" i="137"/>
  <c r="E29" i="137"/>
  <c r="E27" i="137"/>
  <c r="E28" i="137"/>
  <c r="E26" i="137"/>
  <c r="E24" i="137"/>
  <c r="E25" i="137"/>
  <c r="E23" i="137"/>
  <c r="E21" i="137"/>
  <c r="E22" i="137"/>
  <c r="E20" i="137"/>
  <c r="E18" i="137"/>
  <c r="E19" i="137"/>
  <c r="E17" i="137"/>
  <c r="E15" i="137"/>
  <c r="E16" i="137"/>
  <c r="E14" i="137"/>
  <c r="E12" i="137"/>
  <c r="E13" i="137"/>
  <c r="E11" i="137"/>
  <c r="F46" i="137"/>
  <c r="F45" i="137"/>
  <c r="F44" i="137"/>
  <c r="F43" i="137"/>
  <c r="F42" i="137"/>
  <c r="F41" i="137"/>
  <c r="F39" i="137"/>
  <c r="F38" i="137"/>
  <c r="F37" i="137"/>
  <c r="F36" i="137"/>
  <c r="F35" i="137"/>
  <c r="F34" i="137"/>
  <c r="F33" i="137"/>
  <c r="F32" i="137"/>
  <c r="F31" i="137"/>
  <c r="F30" i="137"/>
  <c r="F29" i="137"/>
  <c r="F28" i="137"/>
  <c r="F27" i="137"/>
  <c r="F26" i="137"/>
  <c r="F25" i="137"/>
  <c r="F24" i="137"/>
  <c r="F23" i="137"/>
  <c r="F22" i="137"/>
  <c r="F21" i="137"/>
  <c r="F20" i="137"/>
  <c r="F19" i="137"/>
  <c r="F18" i="137"/>
  <c r="F17" i="137"/>
  <c r="F16" i="137"/>
  <c r="F15" i="137"/>
  <c r="F14" i="137"/>
  <c r="F13" i="137"/>
  <c r="F12" i="137"/>
  <c r="F11" i="137"/>
  <c r="E45" i="138"/>
  <c r="E46" i="138"/>
  <c r="E44" i="138"/>
  <c r="E42" i="138"/>
  <c r="E43" i="138"/>
  <c r="E41" i="138"/>
  <c r="E39" i="138"/>
  <c r="E40" i="138"/>
  <c r="E38" i="138"/>
  <c r="E36" i="138"/>
  <c r="E37" i="138"/>
  <c r="E35" i="138"/>
  <c r="E32" i="138"/>
  <c r="E30" i="138"/>
  <c r="E31" i="138"/>
  <c r="E29" i="138"/>
  <c r="E27" i="138"/>
  <c r="E28" i="138"/>
  <c r="E26" i="138"/>
  <c r="E24" i="138"/>
  <c r="E25" i="138"/>
  <c r="E23" i="138"/>
  <c r="E21" i="138"/>
  <c r="E22" i="138"/>
  <c r="E20" i="138"/>
  <c r="E18" i="138"/>
  <c r="E19" i="138"/>
  <c r="E17" i="138"/>
  <c r="E15" i="138"/>
  <c r="E16" i="138"/>
  <c r="E14" i="138"/>
  <c r="E12" i="138"/>
  <c r="E13" i="138"/>
  <c r="E11" i="138"/>
  <c r="F46" i="138"/>
  <c r="F45" i="138"/>
  <c r="F44" i="138"/>
  <c r="F43" i="138"/>
  <c r="F42" i="138"/>
  <c r="F41" i="138"/>
  <c r="F40" i="138"/>
  <c r="F39" i="138"/>
  <c r="F38" i="138"/>
  <c r="F37" i="138"/>
  <c r="F36" i="138"/>
  <c r="F35" i="138"/>
  <c r="F32" i="138"/>
  <c r="F31" i="138"/>
  <c r="F30" i="138"/>
  <c r="F29" i="138"/>
  <c r="F28" i="138"/>
  <c r="F27" i="138"/>
  <c r="F26" i="138"/>
  <c r="F25" i="138"/>
  <c r="F24" i="138"/>
  <c r="F23" i="138"/>
  <c r="F22" i="138"/>
  <c r="F21" i="138"/>
  <c r="F20" i="138"/>
  <c r="F19" i="138"/>
  <c r="F18" i="138"/>
  <c r="F17" i="138"/>
  <c r="F16" i="138"/>
  <c r="F15" i="138"/>
  <c r="F14" i="138"/>
  <c r="F13" i="138"/>
  <c r="F12" i="138"/>
  <c r="F11" i="138"/>
  <c r="K150" i="138"/>
  <c r="K151" i="138"/>
  <c r="K149" i="138"/>
  <c r="K147" i="138"/>
  <c r="K148" i="138"/>
  <c r="L148" i="138" s="1"/>
  <c r="K146" i="138"/>
  <c r="K144" i="138"/>
  <c r="K145" i="138"/>
  <c r="K143" i="138"/>
  <c r="L143" i="138" s="1"/>
  <c r="K141" i="138"/>
  <c r="K142" i="138"/>
  <c r="K140" i="138"/>
  <c r="K138" i="138"/>
  <c r="L138" i="138" s="1"/>
  <c r="K139" i="138"/>
  <c r="K137" i="138"/>
  <c r="K135" i="138"/>
  <c r="K136" i="138"/>
  <c r="K134" i="138"/>
  <c r="K132" i="138"/>
  <c r="K133" i="138"/>
  <c r="K131" i="138"/>
  <c r="L131" i="138" s="1"/>
  <c r="K129" i="138"/>
  <c r="K130" i="138"/>
  <c r="K128" i="138"/>
  <c r="K126" i="138"/>
  <c r="K127" i="138"/>
  <c r="K125" i="138"/>
  <c r="K123" i="138"/>
  <c r="K124" i="138"/>
  <c r="L124" i="138" s="1"/>
  <c r="K122" i="138"/>
  <c r="K120" i="138"/>
  <c r="K121" i="138"/>
  <c r="K119" i="138"/>
  <c r="L119" i="138" s="1"/>
  <c r="K117" i="138"/>
  <c r="K118" i="138"/>
  <c r="K116" i="138"/>
  <c r="K114" i="138"/>
  <c r="L114" i="138" s="1"/>
  <c r="K115" i="138"/>
  <c r="K113" i="138"/>
  <c r="K111" i="138"/>
  <c r="K112" i="138"/>
  <c r="K110" i="138"/>
  <c r="K108" i="138"/>
  <c r="K109" i="138"/>
  <c r="K107" i="138"/>
  <c r="L107" i="138" s="1"/>
  <c r="K105" i="138"/>
  <c r="K106" i="138"/>
  <c r="K104" i="138"/>
  <c r="K102" i="138"/>
  <c r="K103" i="138"/>
  <c r="K101" i="138"/>
  <c r="K99" i="138"/>
  <c r="K100" i="138"/>
  <c r="L100" i="138" s="1"/>
  <c r="K98" i="138"/>
  <c r="K96" i="138"/>
  <c r="K97" i="138"/>
  <c r="K95" i="138"/>
  <c r="L95" i="138" s="1"/>
  <c r="K93" i="138"/>
  <c r="K94" i="138"/>
  <c r="K92" i="138"/>
  <c r="K90" i="138"/>
  <c r="L90" i="138" s="1"/>
  <c r="K91" i="138"/>
  <c r="K89" i="138"/>
  <c r="K87" i="138"/>
  <c r="K88" i="138"/>
  <c r="K86" i="138"/>
  <c r="K84" i="138"/>
  <c r="K85" i="138"/>
  <c r="K83" i="138"/>
  <c r="L83" i="138" s="1"/>
  <c r="K81" i="138"/>
  <c r="K82" i="138"/>
  <c r="K80" i="138"/>
  <c r="K78" i="138"/>
  <c r="K79" i="138"/>
  <c r="K77" i="138"/>
  <c r="K75" i="138"/>
  <c r="K76" i="138"/>
  <c r="L76" i="138" s="1"/>
  <c r="K74" i="138"/>
  <c r="K72" i="138"/>
  <c r="K73" i="138"/>
  <c r="K71" i="138"/>
  <c r="L71" i="138" s="1"/>
  <c r="K67" i="138"/>
  <c r="K68" i="138"/>
  <c r="K66" i="138"/>
  <c r="K64" i="138"/>
  <c r="L64" i="138" s="1"/>
  <c r="K65" i="138"/>
  <c r="K63" i="138"/>
  <c r="K61" i="138"/>
  <c r="K62" i="138"/>
  <c r="K60" i="138"/>
  <c r="K56" i="138"/>
  <c r="K57" i="138"/>
  <c r="K55" i="138"/>
  <c r="L55" i="138" s="1"/>
  <c r="K53" i="138"/>
  <c r="K54" i="138"/>
  <c r="K52" i="138"/>
  <c r="K51" i="138"/>
  <c r="L51" i="138" s="1"/>
  <c r="K50" i="138"/>
  <c r="K49" i="138"/>
  <c r="L151" i="138"/>
  <c r="L150" i="138"/>
  <c r="L149" i="138"/>
  <c r="L147" i="138"/>
  <c r="L146" i="138"/>
  <c r="L139" i="138"/>
  <c r="L137" i="138"/>
  <c r="L136" i="138"/>
  <c r="L135" i="138"/>
  <c r="L134" i="138"/>
  <c r="L127" i="138"/>
  <c r="L126" i="138"/>
  <c r="L125" i="138"/>
  <c r="L123" i="138"/>
  <c r="L122" i="138"/>
  <c r="L115" i="138"/>
  <c r="L113" i="138"/>
  <c r="L112" i="138"/>
  <c r="L111" i="138"/>
  <c r="L110" i="138"/>
  <c r="L103" i="138"/>
  <c r="L102" i="138"/>
  <c r="L101" i="138"/>
  <c r="L99" i="138"/>
  <c r="L98" i="138"/>
  <c r="L91" i="138"/>
  <c r="L89" i="138"/>
  <c r="L88" i="138"/>
  <c r="L87" i="138"/>
  <c r="L86" i="138"/>
  <c r="L79" i="138"/>
  <c r="L78" i="138"/>
  <c r="L77" i="138"/>
  <c r="L75" i="138"/>
  <c r="L74" i="138"/>
  <c r="L68" i="138"/>
  <c r="L67" i="138"/>
  <c r="L66" i="138"/>
  <c r="L65" i="138"/>
  <c r="L63" i="138"/>
  <c r="L57" i="138"/>
  <c r="L56" i="138"/>
  <c r="L54" i="138"/>
  <c r="L53" i="138"/>
  <c r="L52" i="138"/>
  <c r="L145" i="138"/>
  <c r="L144" i="138"/>
  <c r="L142" i="138"/>
  <c r="L141" i="138"/>
  <c r="L140" i="138"/>
  <c r="L133" i="138"/>
  <c r="L132" i="138"/>
  <c r="L130" i="138"/>
  <c r="L129" i="138"/>
  <c r="L128" i="138"/>
  <c r="L121" i="138"/>
  <c r="L120" i="138"/>
  <c r="L118" i="138"/>
  <c r="L117" i="138"/>
  <c r="L116" i="138"/>
  <c r="L109" i="138"/>
  <c r="L108" i="138"/>
  <c r="L106" i="138"/>
  <c r="L105" i="138"/>
  <c r="L104" i="138"/>
  <c r="L97" i="138"/>
  <c r="L96" i="138"/>
  <c r="L94" i="138"/>
  <c r="L93" i="138"/>
  <c r="L92" i="138"/>
  <c r="L85" i="138"/>
  <c r="L84" i="138"/>
  <c r="L82" i="138"/>
  <c r="L81" i="138"/>
  <c r="L80" i="138"/>
  <c r="L73" i="138"/>
  <c r="L72" i="138"/>
  <c r="L62" i="138"/>
  <c r="L61" i="138"/>
  <c r="L60" i="138"/>
  <c r="L50" i="138"/>
  <c r="L49" i="138"/>
  <c r="K70" i="138"/>
  <c r="L70" i="138" s="1"/>
  <c r="K69" i="138"/>
  <c r="K59" i="138"/>
  <c r="L59" i="138" s="1"/>
  <c r="K58" i="138"/>
  <c r="L58" i="138" s="1"/>
  <c r="K48" i="138"/>
  <c r="L48" i="138" s="1"/>
  <c r="K47" i="138"/>
  <c r="L47" i="138" s="1"/>
  <c r="L69" i="138"/>
  <c r="E150" i="138"/>
  <c r="E149" i="138"/>
  <c r="E147" i="138"/>
  <c r="E146" i="138"/>
  <c r="E144" i="138"/>
  <c r="E143" i="138"/>
  <c r="E141" i="138"/>
  <c r="E140" i="138"/>
  <c r="E138" i="138"/>
  <c r="E137" i="138"/>
  <c r="E135" i="138"/>
  <c r="E134" i="138"/>
  <c r="E132" i="138"/>
  <c r="E131" i="138"/>
  <c r="E129" i="138"/>
  <c r="E128" i="138"/>
  <c r="E126" i="138"/>
  <c r="E125" i="138"/>
  <c r="E123" i="138"/>
  <c r="E122" i="138"/>
  <c r="E120" i="138"/>
  <c r="E119" i="138"/>
  <c r="E117" i="138"/>
  <c r="E116" i="138"/>
  <c r="E114" i="138"/>
  <c r="E113" i="138"/>
  <c r="E111" i="138"/>
  <c r="E110" i="138"/>
  <c r="E108" i="138"/>
  <c r="E107" i="138"/>
  <c r="E105" i="138"/>
  <c r="E104" i="138"/>
  <c r="E102" i="138"/>
  <c r="E101" i="138"/>
  <c r="E99" i="138"/>
  <c r="E98" i="138"/>
  <c r="E96" i="138"/>
  <c r="E95" i="138"/>
  <c r="E93" i="138"/>
  <c r="E92" i="138"/>
  <c r="E90" i="138"/>
  <c r="E89" i="138"/>
  <c r="E87" i="138"/>
  <c r="E86" i="138"/>
  <c r="E84" i="138"/>
  <c r="E83" i="138"/>
  <c r="E81" i="138"/>
  <c r="E80" i="138"/>
  <c r="E78" i="138"/>
  <c r="E77" i="138"/>
  <c r="E75" i="138"/>
  <c r="E74" i="138"/>
  <c r="E72" i="138"/>
  <c r="E71" i="138"/>
  <c r="E70" i="138"/>
  <c r="E69" i="138"/>
  <c r="E67" i="138"/>
  <c r="E66" i="138"/>
  <c r="E64" i="138"/>
  <c r="E63" i="138"/>
  <c r="E61" i="138"/>
  <c r="E60" i="138"/>
  <c r="E59" i="138"/>
  <c r="E58" i="138"/>
  <c r="E56" i="138"/>
  <c r="E55" i="138"/>
  <c r="E53" i="138"/>
  <c r="E52" i="138"/>
  <c r="E50" i="138"/>
  <c r="E49" i="138"/>
  <c r="E48" i="138"/>
  <c r="E47" i="138"/>
  <c r="F150" i="138"/>
  <c r="F149" i="138"/>
  <c r="F147" i="138"/>
  <c r="F146" i="138"/>
  <c r="F144" i="138"/>
  <c r="F143" i="138"/>
  <c r="F141" i="138"/>
  <c r="F140" i="138"/>
  <c r="F138" i="138"/>
  <c r="F137" i="138"/>
  <c r="F135" i="138"/>
  <c r="F134" i="138"/>
  <c r="F132" i="138"/>
  <c r="F131" i="138"/>
  <c r="F129" i="138"/>
  <c r="F128" i="138"/>
  <c r="F126" i="138"/>
  <c r="F125" i="138"/>
  <c r="F123" i="138"/>
  <c r="F122" i="138"/>
  <c r="F120" i="138"/>
  <c r="F119" i="138"/>
  <c r="F117" i="138"/>
  <c r="F116" i="138"/>
  <c r="F114" i="138"/>
  <c r="F113" i="138"/>
  <c r="F111" i="138"/>
  <c r="F110" i="138"/>
  <c r="F108" i="138"/>
  <c r="F107" i="138"/>
  <c r="F105" i="138"/>
  <c r="F104" i="138"/>
  <c r="F102" i="138"/>
  <c r="F101" i="138"/>
  <c r="F99" i="138"/>
  <c r="F98" i="138"/>
  <c r="F96" i="138"/>
  <c r="F95" i="138"/>
  <c r="F93" i="138"/>
  <c r="F92" i="138"/>
  <c r="F90" i="138"/>
  <c r="F89" i="138"/>
  <c r="F87" i="138"/>
  <c r="F86" i="138"/>
  <c r="F84" i="138"/>
  <c r="F83" i="138"/>
  <c r="F81" i="138"/>
  <c r="F80" i="138"/>
  <c r="F78" i="138"/>
  <c r="F77" i="138"/>
  <c r="F75" i="138"/>
  <c r="F74" i="138"/>
  <c r="F72" i="138"/>
  <c r="F71" i="138"/>
  <c r="F70" i="138"/>
  <c r="F69" i="138"/>
  <c r="F67" i="138"/>
  <c r="F66" i="138"/>
  <c r="F64" i="138"/>
  <c r="F63" i="138"/>
  <c r="F61" i="138"/>
  <c r="F60" i="138"/>
  <c r="F59" i="138"/>
  <c r="F58" i="138"/>
  <c r="F56" i="138"/>
  <c r="F55" i="138"/>
  <c r="F53" i="138"/>
  <c r="F52" i="138"/>
  <c r="F50" i="138"/>
  <c r="F49" i="138"/>
  <c r="F48" i="138"/>
  <c r="F47" i="138"/>
  <c r="K129" i="137"/>
  <c r="K130" i="137"/>
  <c r="L130" i="137" s="1"/>
  <c r="K128" i="137"/>
  <c r="K126" i="137"/>
  <c r="K127" i="137"/>
  <c r="L127" i="137" s="1"/>
  <c r="K125" i="137"/>
  <c r="K123" i="137"/>
  <c r="K124" i="137"/>
  <c r="K122" i="137"/>
  <c r="K120" i="137"/>
  <c r="L120" i="137" s="1"/>
  <c r="K121" i="137"/>
  <c r="K119" i="137"/>
  <c r="K117" i="137"/>
  <c r="K118" i="137"/>
  <c r="L118" i="137" s="1"/>
  <c r="K116" i="137"/>
  <c r="K114" i="137"/>
  <c r="K115" i="137"/>
  <c r="L115" i="137" s="1"/>
  <c r="K113" i="137"/>
  <c r="K111" i="137"/>
  <c r="K112" i="137"/>
  <c r="K110" i="137"/>
  <c r="K108" i="137"/>
  <c r="L108" i="137" s="1"/>
  <c r="K109" i="137"/>
  <c r="K107" i="137"/>
  <c r="K105" i="137"/>
  <c r="K106" i="137"/>
  <c r="L106" i="137" s="1"/>
  <c r="K104" i="137"/>
  <c r="K102" i="137"/>
  <c r="K103" i="137"/>
  <c r="L103" i="137" s="1"/>
  <c r="K101" i="137"/>
  <c r="L101" i="137" s="1"/>
  <c r="K99" i="137"/>
  <c r="K100" i="137"/>
  <c r="K98" i="137"/>
  <c r="L98" i="137" s="1"/>
  <c r="K96" i="137"/>
  <c r="K97" i="137"/>
  <c r="K95" i="137"/>
  <c r="K94" i="137"/>
  <c r="K93" i="137"/>
  <c r="L93" i="137" s="1"/>
  <c r="K92" i="137"/>
  <c r="K91" i="137"/>
  <c r="K90" i="137"/>
  <c r="K89" i="137"/>
  <c r="L89" i="137" s="1"/>
  <c r="K88" i="137"/>
  <c r="K87" i="137"/>
  <c r="K86" i="137"/>
  <c r="K85" i="137"/>
  <c r="L85" i="137" s="1"/>
  <c r="K84" i="137"/>
  <c r="K83" i="137"/>
  <c r="K82" i="137"/>
  <c r="K81" i="137"/>
  <c r="L81" i="137" s="1"/>
  <c r="K80" i="137"/>
  <c r="K79" i="137"/>
  <c r="K78" i="137"/>
  <c r="L78" i="137" s="1"/>
  <c r="K77" i="137"/>
  <c r="L77" i="137" s="1"/>
  <c r="K76" i="137"/>
  <c r="K75" i="137"/>
  <c r="K74" i="137"/>
  <c r="L74" i="137" s="1"/>
  <c r="K73" i="137"/>
  <c r="L73" i="137" s="1"/>
  <c r="K72" i="137"/>
  <c r="K71" i="137"/>
  <c r="K70" i="137"/>
  <c r="L70" i="137" s="1"/>
  <c r="K69" i="137"/>
  <c r="L69" i="137" s="1"/>
  <c r="K68" i="137"/>
  <c r="K67" i="137"/>
  <c r="K66" i="137"/>
  <c r="K65" i="137"/>
  <c r="L65" i="137" s="1"/>
  <c r="K64" i="137"/>
  <c r="K63" i="137"/>
  <c r="K62" i="137"/>
  <c r="K61" i="137"/>
  <c r="L61" i="137" s="1"/>
  <c r="K60" i="137"/>
  <c r="K59" i="137"/>
  <c r="K58" i="137"/>
  <c r="K57" i="137"/>
  <c r="L57" i="137" s="1"/>
  <c r="K56" i="137"/>
  <c r="K55" i="137"/>
  <c r="K54" i="137"/>
  <c r="K53" i="137"/>
  <c r="L53" i="137" s="1"/>
  <c r="K52" i="137"/>
  <c r="K51" i="137"/>
  <c r="K50" i="137"/>
  <c r="K49" i="137"/>
  <c r="L49" i="137" s="1"/>
  <c r="K48" i="137"/>
  <c r="K47" i="137"/>
  <c r="L129" i="137"/>
  <c r="L128" i="137"/>
  <c r="L126" i="137"/>
  <c r="L125" i="137"/>
  <c r="L124" i="137"/>
  <c r="L123" i="137"/>
  <c r="L122" i="137"/>
  <c r="L121" i="137"/>
  <c r="L119" i="137"/>
  <c r="L117" i="137"/>
  <c r="L116" i="137"/>
  <c r="L114" i="137"/>
  <c r="L113" i="137"/>
  <c r="L112" i="137"/>
  <c r="L111" i="137"/>
  <c r="L110" i="137"/>
  <c r="L109" i="137"/>
  <c r="L107" i="137"/>
  <c r="E98" i="137"/>
  <c r="F98" i="137" s="1"/>
  <c r="E99" i="137"/>
  <c r="F99" i="137"/>
  <c r="L105" i="137"/>
  <c r="L104" i="137"/>
  <c r="L102" i="137"/>
  <c r="L100" i="137"/>
  <c r="L99" i="137"/>
  <c r="L97" i="137"/>
  <c r="L96" i="137"/>
  <c r="L95" i="137"/>
  <c r="E129" i="137"/>
  <c r="E128" i="137"/>
  <c r="E126" i="137"/>
  <c r="E125" i="137"/>
  <c r="E123" i="137"/>
  <c r="E122" i="137"/>
  <c r="E120" i="137"/>
  <c r="E119" i="137"/>
  <c r="E117" i="137"/>
  <c r="E116" i="137"/>
  <c r="E114" i="137"/>
  <c r="E113" i="137"/>
  <c r="E111" i="137"/>
  <c r="E110" i="137"/>
  <c r="E108" i="137"/>
  <c r="E107" i="137"/>
  <c r="E105" i="137"/>
  <c r="E104" i="137"/>
  <c r="E102" i="137"/>
  <c r="E101" i="137"/>
  <c r="E96" i="137"/>
  <c r="E95" i="137"/>
  <c r="L94" i="137"/>
  <c r="L92" i="137"/>
  <c r="L91" i="137"/>
  <c r="L90" i="137"/>
  <c r="L88" i="137"/>
  <c r="L87" i="137"/>
  <c r="L86" i="137"/>
  <c r="L84" i="137"/>
  <c r="L83" i="137"/>
  <c r="L82" i="137"/>
  <c r="L80" i="137"/>
  <c r="L79" i="137"/>
  <c r="F129" i="137"/>
  <c r="F128" i="137"/>
  <c r="F126" i="137"/>
  <c r="F125" i="137"/>
  <c r="F123" i="137"/>
  <c r="F122" i="137"/>
  <c r="F120" i="137"/>
  <c r="F119" i="137"/>
  <c r="F117" i="137"/>
  <c r="F116" i="137"/>
  <c r="F114" i="137"/>
  <c r="F113" i="137"/>
  <c r="F111" i="137"/>
  <c r="F110" i="137"/>
  <c r="F108" i="137"/>
  <c r="F107" i="137"/>
  <c r="F105" i="137"/>
  <c r="F104" i="137"/>
  <c r="F102" i="137"/>
  <c r="F101" i="137"/>
  <c r="F96" i="137"/>
  <c r="F95" i="137"/>
  <c r="E94" i="137"/>
  <c r="E93" i="137"/>
  <c r="E92" i="137"/>
  <c r="E91" i="137"/>
  <c r="E90" i="137"/>
  <c r="E89" i="137"/>
  <c r="E88" i="137"/>
  <c r="E87" i="137"/>
  <c r="E86" i="137"/>
  <c r="E85" i="137"/>
  <c r="F85" i="137" s="1"/>
  <c r="E84" i="137"/>
  <c r="E83" i="137"/>
  <c r="E82" i="137"/>
  <c r="E81" i="137"/>
  <c r="E80" i="137"/>
  <c r="E79" i="137"/>
  <c r="E78" i="137"/>
  <c r="E77" i="137"/>
  <c r="E76" i="137"/>
  <c r="E75" i="137"/>
  <c r="E74" i="137"/>
  <c r="E73" i="137"/>
  <c r="E72" i="137"/>
  <c r="E71" i="137"/>
  <c r="E70" i="137"/>
  <c r="E69" i="137"/>
  <c r="E68" i="137"/>
  <c r="E67" i="137"/>
  <c r="E66" i="137"/>
  <c r="E65" i="137"/>
  <c r="E64" i="137"/>
  <c r="E63" i="137"/>
  <c r="E62" i="137"/>
  <c r="E61" i="137"/>
  <c r="E60" i="137"/>
  <c r="E59" i="137"/>
  <c r="E58" i="137"/>
  <c r="E57" i="137"/>
  <c r="E56" i="137"/>
  <c r="E55" i="137"/>
  <c r="E54" i="137"/>
  <c r="E53" i="137"/>
  <c r="E52" i="137"/>
  <c r="E51" i="137"/>
  <c r="E50" i="137"/>
  <c r="E49" i="137"/>
  <c r="E48" i="137"/>
  <c r="E47" i="137"/>
  <c r="F94" i="137"/>
  <c r="F93" i="137"/>
  <c r="F92" i="137"/>
  <c r="F91" i="137"/>
  <c r="F90" i="137"/>
  <c r="F89" i="137"/>
  <c r="F88" i="137"/>
  <c r="F87" i="137"/>
  <c r="F86" i="137"/>
  <c r="F84" i="137"/>
  <c r="F83" i="137"/>
  <c r="F82" i="137"/>
  <c r="F81" i="137"/>
  <c r="F80" i="137"/>
  <c r="F79" i="137"/>
  <c r="L76" i="137"/>
  <c r="L75" i="137"/>
  <c r="L72" i="137"/>
  <c r="L71" i="137"/>
  <c r="L68" i="137"/>
  <c r="L67" i="137"/>
  <c r="L66" i="137"/>
  <c r="L64" i="137"/>
  <c r="L63" i="137"/>
  <c r="F78" i="137"/>
  <c r="F77" i="137"/>
  <c r="F76" i="137"/>
  <c r="F75" i="137"/>
  <c r="F74" i="137"/>
  <c r="F73" i="137"/>
  <c r="F72" i="137"/>
  <c r="F71" i="137"/>
  <c r="F70" i="137"/>
  <c r="F69" i="137"/>
  <c r="F68" i="137"/>
  <c r="F67" i="137"/>
  <c r="F66" i="137"/>
  <c r="F65" i="137"/>
  <c r="F64" i="137"/>
  <c r="F63" i="137"/>
  <c r="L62" i="137"/>
  <c r="L60" i="137"/>
  <c r="L59" i="137"/>
  <c r="L58" i="137"/>
  <c r="L56" i="137"/>
  <c r="L55" i="137"/>
  <c r="L54" i="137"/>
  <c r="L52" i="137"/>
  <c r="L51" i="137"/>
  <c r="L50" i="137"/>
  <c r="L48" i="137"/>
  <c r="L47" i="137"/>
  <c r="F62" i="137"/>
  <c r="F61" i="137"/>
  <c r="F60" i="137"/>
  <c r="F59" i="137"/>
  <c r="F58" i="137"/>
  <c r="F57" i="137"/>
  <c r="F56" i="137"/>
  <c r="F55" i="137"/>
  <c r="F54" i="137"/>
  <c r="F53" i="137"/>
  <c r="F52" i="137"/>
  <c r="F51" i="137"/>
  <c r="F50" i="137"/>
  <c r="F49" i="137"/>
  <c r="F48" i="137"/>
  <c r="F47" i="137"/>
  <c r="BC34" i="138"/>
  <c r="AZ34" i="138"/>
  <c r="AW34" i="138"/>
  <c r="AT34" i="138"/>
  <c r="AQ34" i="138"/>
  <c r="AN34" i="138"/>
  <c r="AK34" i="138"/>
  <c r="AH34" i="138"/>
  <c r="AE34" i="138"/>
  <c r="AB34" i="138"/>
  <c r="V34" i="138"/>
  <c r="BC33" i="138"/>
  <c r="AZ33" i="138"/>
  <c r="AW33" i="138"/>
  <c r="AT33" i="138"/>
  <c r="AU29" i="138" s="1"/>
  <c r="AQ33" i="138"/>
  <c r="AN33" i="138"/>
  <c r="AK33" i="138"/>
  <c r="AH33" i="138"/>
  <c r="AI30" i="138" s="1"/>
  <c r="AE33" i="138"/>
  <c r="AB33" i="138"/>
  <c r="V33" i="138"/>
  <c r="BC32" i="138"/>
  <c r="AZ32" i="138"/>
  <c r="AW32" i="138"/>
  <c r="AT32" i="138"/>
  <c r="AQ32" i="138"/>
  <c r="AN32" i="138"/>
  <c r="AK32" i="138"/>
  <c r="AH32" i="138"/>
  <c r="AE32" i="138"/>
  <c r="AB32" i="138"/>
  <c r="Y32" i="138"/>
  <c r="V32" i="138"/>
  <c r="AB31" i="138"/>
  <c r="Y31" i="138"/>
  <c r="V31" i="138"/>
  <c r="BC30" i="138"/>
  <c r="AZ30" i="138"/>
  <c r="AW30" i="138"/>
  <c r="AT30" i="138"/>
  <c r="AQ30" i="138"/>
  <c r="AN30" i="138"/>
  <c r="AK30" i="138"/>
  <c r="AH30" i="138"/>
  <c r="AE30" i="138"/>
  <c r="AB30" i="138"/>
  <c r="AC30" i="138" s="1"/>
  <c r="Y30" i="138"/>
  <c r="V30" i="138"/>
  <c r="BC29" i="138"/>
  <c r="AZ29" i="138"/>
  <c r="AW29" i="138"/>
  <c r="AT29" i="138"/>
  <c r="AQ29" i="138"/>
  <c r="AN29" i="138"/>
  <c r="AK29" i="138"/>
  <c r="AH29" i="138"/>
  <c r="AE29" i="138"/>
  <c r="AB29" i="138"/>
  <c r="Y29" i="138"/>
  <c r="Z30" i="138" s="1"/>
  <c r="V29" i="138"/>
  <c r="BC28" i="138"/>
  <c r="AZ28" i="138"/>
  <c r="AW28" i="138"/>
  <c r="AT28" i="138"/>
  <c r="AQ28" i="138"/>
  <c r="AN28" i="138"/>
  <c r="AK28" i="138"/>
  <c r="AH28" i="138"/>
  <c r="AE28" i="138"/>
  <c r="AB28" i="138"/>
  <c r="Y28" i="138"/>
  <c r="V28" i="138"/>
  <c r="BC27" i="138"/>
  <c r="AZ27" i="138"/>
  <c r="AW27" i="138"/>
  <c r="AT27" i="138"/>
  <c r="AQ27" i="138"/>
  <c r="AN27" i="138"/>
  <c r="AK27" i="138"/>
  <c r="AH27" i="138"/>
  <c r="AE27" i="138"/>
  <c r="AB27" i="138"/>
  <c r="Y27" i="138"/>
  <c r="V27" i="138"/>
  <c r="BC26" i="138"/>
  <c r="AZ26" i="138"/>
  <c r="AW26" i="138"/>
  <c r="AT26" i="138"/>
  <c r="AQ26" i="138"/>
  <c r="AN26" i="138"/>
  <c r="AK26" i="138"/>
  <c r="AH26" i="138"/>
  <c r="AE26" i="138"/>
  <c r="AB26" i="138"/>
  <c r="Y26" i="138"/>
  <c r="V26" i="138"/>
  <c r="AB25" i="138"/>
  <c r="Y25" i="138"/>
  <c r="V25" i="138"/>
  <c r="BC24" i="138"/>
  <c r="AZ24" i="138"/>
  <c r="AW24" i="138"/>
  <c r="AT24" i="138"/>
  <c r="AQ24" i="138"/>
  <c r="AN24" i="138"/>
  <c r="AK24" i="138"/>
  <c r="AH24" i="138"/>
  <c r="AE24" i="138"/>
  <c r="AB24" i="138"/>
  <c r="Y24" i="138"/>
  <c r="V24" i="138"/>
  <c r="BC23" i="138"/>
  <c r="AZ23" i="138"/>
  <c r="AW23" i="138"/>
  <c r="AT23" i="138"/>
  <c r="AQ23" i="138"/>
  <c r="AN23" i="138"/>
  <c r="AK23" i="138"/>
  <c r="AH23" i="138"/>
  <c r="AE23" i="138"/>
  <c r="AB23" i="138"/>
  <c r="Y23" i="138"/>
  <c r="V23" i="138"/>
  <c r="BC22" i="138"/>
  <c r="AZ22" i="138"/>
  <c r="AW22" i="138"/>
  <c r="AT22" i="138"/>
  <c r="AQ22" i="138"/>
  <c r="AN22" i="138"/>
  <c r="AK22" i="138"/>
  <c r="AH22" i="138"/>
  <c r="AE22" i="138"/>
  <c r="AB22" i="138"/>
  <c r="Y22" i="138"/>
  <c r="V22" i="138"/>
  <c r="BC21" i="138"/>
  <c r="AZ21" i="138"/>
  <c r="AW21" i="138"/>
  <c r="AT21" i="138"/>
  <c r="AQ21" i="138"/>
  <c r="AN21" i="138"/>
  <c r="AK21" i="138"/>
  <c r="AH21" i="138"/>
  <c r="AE21" i="138"/>
  <c r="AB21" i="138"/>
  <c r="Y21" i="138"/>
  <c r="V21" i="138"/>
  <c r="BC20" i="138"/>
  <c r="AZ20" i="138"/>
  <c r="AW20" i="138"/>
  <c r="AT20" i="138"/>
  <c r="AQ20" i="138"/>
  <c r="AN20" i="138"/>
  <c r="AK20" i="138"/>
  <c r="AH20" i="138"/>
  <c r="AE20" i="138"/>
  <c r="AB20" i="138"/>
  <c r="Y20" i="138"/>
  <c r="Z17" i="138" s="1"/>
  <c r="V20" i="138"/>
  <c r="AB19" i="138"/>
  <c r="Y19" i="138"/>
  <c r="V19" i="138"/>
  <c r="BC18" i="138"/>
  <c r="AZ18" i="138"/>
  <c r="AW18" i="138"/>
  <c r="AT18" i="138"/>
  <c r="AQ18" i="138"/>
  <c r="AN18" i="138"/>
  <c r="AK18" i="138"/>
  <c r="AH18" i="138"/>
  <c r="AE18" i="138"/>
  <c r="AB18" i="138"/>
  <c r="Y18" i="138"/>
  <c r="V18" i="138"/>
  <c r="BC17" i="138"/>
  <c r="AZ17" i="138"/>
  <c r="AW17" i="138"/>
  <c r="AT17" i="138"/>
  <c r="AQ17" i="138"/>
  <c r="AN17" i="138"/>
  <c r="AK17" i="138"/>
  <c r="AH17" i="138"/>
  <c r="AE17" i="138"/>
  <c r="AB17" i="138"/>
  <c r="Y17" i="138"/>
  <c r="V17" i="138"/>
  <c r="BC16" i="138"/>
  <c r="AZ16" i="138"/>
  <c r="AW16" i="138"/>
  <c r="AT16" i="138"/>
  <c r="AQ16" i="138"/>
  <c r="AN16" i="138"/>
  <c r="AB16" i="138"/>
  <c r="Y16" i="138"/>
  <c r="V16" i="138"/>
  <c r="BC15" i="138"/>
  <c r="AZ15" i="138"/>
  <c r="AW15" i="138"/>
  <c r="AT15" i="138"/>
  <c r="AQ15" i="138"/>
  <c r="AN15" i="138"/>
  <c r="AK15" i="138"/>
  <c r="AH15" i="138"/>
  <c r="AE15" i="138"/>
  <c r="AB15" i="138"/>
  <c r="Y15" i="138"/>
  <c r="V15" i="138"/>
  <c r="BC14" i="138"/>
  <c r="AZ14" i="138"/>
  <c r="AW14" i="138"/>
  <c r="AT14" i="138"/>
  <c r="AQ14" i="138"/>
  <c r="AN14" i="138"/>
  <c r="AK14" i="138"/>
  <c r="AH14" i="138"/>
  <c r="AE14" i="138"/>
  <c r="AB14" i="138"/>
  <c r="Y14" i="138"/>
  <c r="V14" i="138"/>
  <c r="AB13" i="138"/>
  <c r="Y13" i="138"/>
  <c r="V13" i="138"/>
  <c r="BC12" i="138"/>
  <c r="AZ12" i="138"/>
  <c r="AW12" i="138"/>
  <c r="AT12" i="138"/>
  <c r="AQ12" i="138"/>
  <c r="AN12" i="138"/>
  <c r="AK12" i="138"/>
  <c r="AH12" i="138"/>
  <c r="AE12" i="138"/>
  <c r="AB12" i="138"/>
  <c r="Y12" i="138"/>
  <c r="V12" i="138"/>
  <c r="BC11" i="138"/>
  <c r="AZ11" i="138"/>
  <c r="AW11" i="138"/>
  <c r="AT11" i="138"/>
  <c r="AQ11" i="138"/>
  <c r="AN11" i="138"/>
  <c r="AK11" i="138"/>
  <c r="AH11" i="138"/>
  <c r="AE11" i="138"/>
  <c r="AB11" i="138"/>
  <c r="Y11" i="138"/>
  <c r="V11" i="138"/>
  <c r="BC34" i="137"/>
  <c r="AZ34" i="137"/>
  <c r="AW34" i="137"/>
  <c r="AB34" i="137"/>
  <c r="Y34" i="137"/>
  <c r="V34" i="137"/>
  <c r="BC33" i="137"/>
  <c r="AZ33" i="137"/>
  <c r="AW33" i="137"/>
  <c r="AT33" i="137"/>
  <c r="AQ33" i="137"/>
  <c r="AN33" i="137"/>
  <c r="AK33" i="137"/>
  <c r="AH33" i="137"/>
  <c r="AE33" i="137"/>
  <c r="AB33" i="137"/>
  <c r="Y33" i="137"/>
  <c r="V33" i="137"/>
  <c r="BC32" i="137"/>
  <c r="AZ32" i="137"/>
  <c r="AW32" i="137"/>
  <c r="AT32" i="137"/>
  <c r="AQ32" i="137"/>
  <c r="AN32" i="137"/>
  <c r="AK32" i="137"/>
  <c r="AH32" i="137"/>
  <c r="AE32" i="137"/>
  <c r="AB32" i="137"/>
  <c r="Y32" i="137"/>
  <c r="V32" i="137"/>
  <c r="AB31" i="137"/>
  <c r="Y31" i="137"/>
  <c r="V31" i="137"/>
  <c r="BC30" i="137"/>
  <c r="AZ30" i="137"/>
  <c r="AW30" i="137"/>
  <c r="AT30" i="137"/>
  <c r="AQ30" i="137"/>
  <c r="AR29" i="137" s="1"/>
  <c r="AN30" i="137"/>
  <c r="AK30" i="137"/>
  <c r="AH30" i="137"/>
  <c r="AE30" i="137"/>
  <c r="AB30" i="137"/>
  <c r="AC30" i="137" s="1"/>
  <c r="Y30" i="137"/>
  <c r="V30" i="137"/>
  <c r="W30" i="137" s="1"/>
  <c r="BC29" i="137"/>
  <c r="AZ29" i="137"/>
  <c r="AW29" i="137"/>
  <c r="AT29" i="137"/>
  <c r="AQ29" i="137"/>
  <c r="AN29" i="137"/>
  <c r="AO30" i="137" s="1"/>
  <c r="AK29" i="137"/>
  <c r="AH29" i="137"/>
  <c r="AE29" i="137"/>
  <c r="AC29" i="137"/>
  <c r="AB29" i="137"/>
  <c r="Y29" i="137"/>
  <c r="Z30" i="137" s="1"/>
  <c r="V29" i="137"/>
  <c r="BC28" i="137"/>
  <c r="AZ28" i="137"/>
  <c r="AW28" i="137"/>
  <c r="AB28" i="137"/>
  <c r="Y28" i="137"/>
  <c r="V28" i="137"/>
  <c r="BC27" i="137"/>
  <c r="AZ27" i="137"/>
  <c r="AW27" i="137"/>
  <c r="AT27" i="137"/>
  <c r="AQ27" i="137"/>
  <c r="AN27" i="137"/>
  <c r="AK27" i="137"/>
  <c r="AH27" i="137"/>
  <c r="AE27" i="137"/>
  <c r="AB27" i="137"/>
  <c r="Y27" i="137"/>
  <c r="V27" i="137"/>
  <c r="BC26" i="137"/>
  <c r="AZ26" i="137"/>
  <c r="AW26" i="137"/>
  <c r="AT26" i="137"/>
  <c r="AQ26" i="137"/>
  <c r="AN26" i="137"/>
  <c r="AK26" i="137"/>
  <c r="AH26" i="137"/>
  <c r="AE26" i="137"/>
  <c r="AB26" i="137"/>
  <c r="Y26" i="137"/>
  <c r="V26" i="137"/>
  <c r="AB25" i="137"/>
  <c r="Y25" i="137"/>
  <c r="V25" i="137"/>
  <c r="BC24" i="137"/>
  <c r="AZ24" i="137"/>
  <c r="AW24" i="137"/>
  <c r="AT24" i="137"/>
  <c r="AQ24" i="137"/>
  <c r="AN24" i="137"/>
  <c r="AK24" i="137"/>
  <c r="AH24" i="137"/>
  <c r="AE24" i="137"/>
  <c r="AB24" i="137"/>
  <c r="Y24" i="137"/>
  <c r="V24" i="137"/>
  <c r="BC23" i="137"/>
  <c r="AZ23" i="137"/>
  <c r="AW23" i="137"/>
  <c r="AT23" i="137"/>
  <c r="AQ23" i="137"/>
  <c r="AN23" i="137"/>
  <c r="AK23" i="137"/>
  <c r="AH23" i="137"/>
  <c r="AE23" i="137"/>
  <c r="AB23" i="137"/>
  <c r="Y23" i="137"/>
  <c r="V23" i="137"/>
  <c r="BC22" i="137"/>
  <c r="AZ22" i="137"/>
  <c r="AW22" i="137"/>
  <c r="AB22" i="137"/>
  <c r="Y22" i="137"/>
  <c r="V22" i="137"/>
  <c r="BC21" i="137"/>
  <c r="AZ21" i="137"/>
  <c r="AW21" i="137"/>
  <c r="AT21" i="137"/>
  <c r="AQ21" i="137"/>
  <c r="AN21" i="137"/>
  <c r="AK21" i="137"/>
  <c r="AH21" i="137"/>
  <c r="AE21" i="137"/>
  <c r="AB21" i="137"/>
  <c r="Y21" i="137"/>
  <c r="V21" i="137"/>
  <c r="BC20" i="137"/>
  <c r="AZ20" i="137"/>
  <c r="AW20" i="137"/>
  <c r="AT20" i="137"/>
  <c r="AQ20" i="137"/>
  <c r="AN20" i="137"/>
  <c r="AK20" i="137"/>
  <c r="AH20" i="137"/>
  <c r="AE20" i="137"/>
  <c r="AB20" i="137"/>
  <c r="Y20" i="137"/>
  <c r="V20" i="137"/>
  <c r="AB19" i="137"/>
  <c r="Y19" i="137"/>
  <c r="V19" i="137"/>
  <c r="BC18" i="137"/>
  <c r="AZ18" i="137"/>
  <c r="AT18" i="137"/>
  <c r="AQ18" i="137"/>
  <c r="AN18" i="137"/>
  <c r="AK18" i="137"/>
  <c r="AH18" i="137"/>
  <c r="AE18" i="137"/>
  <c r="AB18" i="137"/>
  <c r="Y18" i="137"/>
  <c r="V18" i="137"/>
  <c r="BC17" i="137"/>
  <c r="AZ17" i="137"/>
  <c r="AT17" i="137"/>
  <c r="AQ17" i="137"/>
  <c r="AN17" i="137"/>
  <c r="AK17" i="137"/>
  <c r="AH17" i="137"/>
  <c r="AE17" i="137"/>
  <c r="AB17" i="137"/>
  <c r="Y17" i="137"/>
  <c r="V17" i="137"/>
  <c r="BC16" i="137"/>
  <c r="AZ16" i="137"/>
  <c r="AW16" i="137"/>
  <c r="AB16" i="137"/>
  <c r="Y16" i="137"/>
  <c r="V16" i="137"/>
  <c r="BC15" i="137"/>
  <c r="AZ15" i="137"/>
  <c r="AW15" i="137"/>
  <c r="AT15" i="137"/>
  <c r="AQ15" i="137"/>
  <c r="AN15" i="137"/>
  <c r="AK15" i="137"/>
  <c r="AH15" i="137"/>
  <c r="AE15" i="137"/>
  <c r="AB15" i="137"/>
  <c r="Y15" i="137"/>
  <c r="V15" i="137"/>
  <c r="BC14" i="137"/>
  <c r="AZ14" i="137"/>
  <c r="AW14" i="137"/>
  <c r="AT14" i="137"/>
  <c r="AQ14" i="137"/>
  <c r="AN14" i="137"/>
  <c r="AK14" i="137"/>
  <c r="AH14" i="137"/>
  <c r="AE14" i="137"/>
  <c r="AB14" i="137"/>
  <c r="Y14" i="137"/>
  <c r="V14" i="137"/>
  <c r="AB13" i="137"/>
  <c r="Y13" i="137"/>
  <c r="V13" i="137"/>
  <c r="BC12" i="137"/>
  <c r="AZ12" i="137"/>
  <c r="AW12" i="137"/>
  <c r="AT12" i="137"/>
  <c r="AQ12" i="137"/>
  <c r="AN12" i="137"/>
  <c r="AK12" i="137"/>
  <c r="AH12" i="137"/>
  <c r="AE12" i="137"/>
  <c r="AB12" i="137"/>
  <c r="AC11" i="137" s="1"/>
  <c r="Y12" i="137"/>
  <c r="V12" i="137"/>
  <c r="BC11" i="137"/>
  <c r="AZ11" i="137"/>
  <c r="AW11" i="137"/>
  <c r="AT11" i="137"/>
  <c r="AQ11" i="137"/>
  <c r="AN11" i="137"/>
  <c r="AO12" i="137" s="1"/>
  <c r="AK11" i="137"/>
  <c r="AH11" i="137"/>
  <c r="AE11" i="137"/>
  <c r="AB11" i="137"/>
  <c r="Y11" i="137"/>
  <c r="V11" i="137"/>
  <c r="K153" i="134"/>
  <c r="K154" i="134"/>
  <c r="K152" i="134"/>
  <c r="L152" i="134" s="1"/>
  <c r="K150" i="134"/>
  <c r="K151" i="134"/>
  <c r="K149" i="134"/>
  <c r="K141" i="134"/>
  <c r="K142" i="134"/>
  <c r="L142" i="134" s="1"/>
  <c r="K140" i="134"/>
  <c r="K138" i="134"/>
  <c r="K139" i="134"/>
  <c r="L139" i="134" s="1"/>
  <c r="K137" i="134"/>
  <c r="K129" i="134"/>
  <c r="K130" i="134"/>
  <c r="K128" i="134"/>
  <c r="L128" i="134" s="1"/>
  <c r="K126" i="134"/>
  <c r="K127" i="134"/>
  <c r="K125" i="134"/>
  <c r="K117" i="134"/>
  <c r="K118" i="134"/>
  <c r="L118" i="134" s="1"/>
  <c r="K116" i="134"/>
  <c r="K115" i="134"/>
  <c r="K113" i="134"/>
  <c r="L113" i="134" s="1"/>
  <c r="K105" i="134"/>
  <c r="K106" i="134"/>
  <c r="K104" i="134"/>
  <c r="K102" i="134"/>
  <c r="K103" i="134"/>
  <c r="L103" i="134" s="1"/>
  <c r="K101" i="134"/>
  <c r="K93" i="134"/>
  <c r="K94" i="134"/>
  <c r="L94" i="134" s="1"/>
  <c r="K92" i="134"/>
  <c r="K90" i="134"/>
  <c r="K91" i="134"/>
  <c r="K89" i="134"/>
  <c r="L89" i="134" s="1"/>
  <c r="L154" i="134"/>
  <c r="L153" i="134"/>
  <c r="L151" i="134"/>
  <c r="L150" i="134"/>
  <c r="L149" i="134"/>
  <c r="L141" i="134"/>
  <c r="L140" i="134"/>
  <c r="L138" i="134"/>
  <c r="L137" i="134"/>
  <c r="L130" i="134"/>
  <c r="L129" i="134"/>
  <c r="L127" i="134"/>
  <c r="L126" i="134"/>
  <c r="L125" i="134"/>
  <c r="L117" i="134"/>
  <c r="L116" i="134"/>
  <c r="L115" i="134"/>
  <c r="L106" i="134"/>
  <c r="L105" i="134"/>
  <c r="L104" i="134"/>
  <c r="L102" i="134"/>
  <c r="L101" i="134"/>
  <c r="L93" i="134"/>
  <c r="L92" i="134"/>
  <c r="L91" i="134"/>
  <c r="L90" i="134"/>
  <c r="K81" i="134"/>
  <c r="K82" i="134"/>
  <c r="K80" i="134"/>
  <c r="K78" i="134"/>
  <c r="K79" i="134"/>
  <c r="K77" i="134"/>
  <c r="Z18" i="138" l="1"/>
  <c r="AC29" i="138"/>
  <c r="AL18" i="138"/>
  <c r="AX17" i="138"/>
  <c r="AC24" i="138"/>
  <c r="BD30" i="138"/>
  <c r="BA29" i="138"/>
  <c r="AF18" i="138"/>
  <c r="AR17" i="138"/>
  <c r="AX30" i="138"/>
  <c r="AF12" i="138"/>
  <c r="AI29" i="138"/>
  <c r="AU30" i="138"/>
  <c r="BD18" i="138"/>
  <c r="AL12" i="138"/>
  <c r="Z11" i="138"/>
  <c r="AC12" i="138"/>
  <c r="AX11" i="138"/>
  <c r="Z24" i="138"/>
  <c r="W29" i="138"/>
  <c r="AO30" i="138"/>
  <c r="W12" i="138"/>
  <c r="AR11" i="138"/>
  <c r="BD12" i="138"/>
  <c r="W30" i="138"/>
  <c r="BA12" i="138"/>
  <c r="AF24" i="138"/>
  <c r="BD24" i="138"/>
  <c r="BD11" i="138"/>
  <c r="W18" i="138"/>
  <c r="AF17" i="138"/>
  <c r="AR18" i="138"/>
  <c r="BA18" i="138"/>
  <c r="W24" i="138"/>
  <c r="AI24" i="138"/>
  <c r="AU23" i="138"/>
  <c r="AF30" i="138"/>
  <c r="AF11" i="138"/>
  <c r="AR12" i="138"/>
  <c r="Z12" i="138"/>
  <c r="AC18" i="138"/>
  <c r="AR24" i="138"/>
  <c r="BD17" i="138"/>
  <c r="W24" i="137"/>
  <c r="Z24" i="137"/>
  <c r="AO29" i="137"/>
  <c r="W11" i="137"/>
  <c r="Z12" i="137"/>
  <c r="AI18" i="137"/>
  <c r="AU18" i="137"/>
  <c r="AI23" i="137"/>
  <c r="AU23" i="137"/>
  <c r="AO11" i="137"/>
  <c r="W12" i="137"/>
  <c r="AI11" i="137"/>
  <c r="AU12" i="137"/>
  <c r="W17" i="137"/>
  <c r="BA24" i="137"/>
  <c r="AC24" i="137"/>
  <c r="AX18" i="137"/>
  <c r="BA12" i="137"/>
  <c r="Z17" i="137"/>
  <c r="AO24" i="137"/>
  <c r="AR12" i="137"/>
  <c r="AC18" i="137"/>
  <c r="AU29" i="137"/>
  <c r="W29" i="137"/>
  <c r="AF17" i="137"/>
  <c r="AR17" i="137"/>
  <c r="AF24" i="137"/>
  <c r="AF30" i="137"/>
  <c r="AR30" i="137"/>
  <c r="BA30" i="137"/>
  <c r="AC17" i="137"/>
  <c r="AO17" i="137"/>
  <c r="W23" i="137"/>
  <c r="AI29" i="137"/>
  <c r="AU11" i="137"/>
  <c r="AC12" i="137"/>
  <c r="W18" i="137"/>
  <c r="BA18" i="137"/>
  <c r="AI24" i="137"/>
  <c r="BA23" i="137"/>
  <c r="AL30" i="137"/>
  <c r="AU30" i="137"/>
  <c r="BD30" i="137"/>
  <c r="AI12" i="137"/>
  <c r="Z29" i="137"/>
  <c r="AL12" i="137"/>
  <c r="AX12" i="137"/>
  <c r="BD17" i="137"/>
  <c r="AU24" i="137"/>
  <c r="BD24" i="137"/>
  <c r="AU12" i="138"/>
  <c r="AU18" i="138"/>
  <c r="AL24" i="138"/>
  <c r="AO12" i="138"/>
  <c r="AO18" i="138"/>
  <c r="AO24" i="138"/>
  <c r="BA24" i="138"/>
  <c r="AR30" i="138"/>
  <c r="AL11" i="138"/>
  <c r="AX12" i="138"/>
  <c r="AL17" i="138"/>
  <c r="AX18" i="138"/>
  <c r="AX24" i="138"/>
  <c r="AO29" i="138"/>
  <c r="BA30" i="138"/>
  <c r="AI12" i="138"/>
  <c r="AI18" i="138"/>
  <c r="AL30" i="138"/>
  <c r="AC23" i="138"/>
  <c r="AO23" i="138"/>
  <c r="BA23" i="138"/>
  <c r="AU24" i="138"/>
  <c r="W11" i="138"/>
  <c r="AC11" i="138"/>
  <c r="AI11" i="138"/>
  <c r="AO11" i="138"/>
  <c r="AU11" i="138"/>
  <c r="BA11" i="138"/>
  <c r="W17" i="138"/>
  <c r="AC17" i="138"/>
  <c r="AI17" i="138"/>
  <c r="AO17" i="138"/>
  <c r="AU17" i="138"/>
  <c r="BA17" i="138"/>
  <c r="Z29" i="138"/>
  <c r="AF29" i="138"/>
  <c r="AL29" i="138"/>
  <c r="AR29" i="138"/>
  <c r="AX29" i="138"/>
  <c r="BD29" i="138"/>
  <c r="W23" i="138"/>
  <c r="AI23" i="138"/>
  <c r="Z23" i="138"/>
  <c r="AF23" i="138"/>
  <c r="AL23" i="138"/>
  <c r="AR23" i="138"/>
  <c r="AX23" i="138"/>
  <c r="BD23" i="138"/>
  <c r="BA11" i="137"/>
  <c r="AI17" i="137"/>
  <c r="BA17" i="137"/>
  <c r="AX17" i="137"/>
  <c r="AO23" i="137"/>
  <c r="AX24" i="137"/>
  <c r="AF29" i="137"/>
  <c r="BA29" i="137"/>
  <c r="AF12" i="137"/>
  <c r="BD12" i="137"/>
  <c r="AL17" i="137"/>
  <c r="AR24" i="137"/>
  <c r="AI30" i="137"/>
  <c r="AO18" i="137"/>
  <c r="AU17" i="137"/>
  <c r="AL24" i="137"/>
  <c r="AX30" i="137"/>
  <c r="AL29" i="137"/>
  <c r="AX29" i="137"/>
  <c r="BD29" i="137"/>
  <c r="BD18" i="137"/>
  <c r="Z11" i="137"/>
  <c r="AF11" i="137"/>
  <c r="AL11" i="137"/>
  <c r="AR11" i="137"/>
  <c r="AX11" i="137"/>
  <c r="BD11" i="137"/>
  <c r="Z18" i="137"/>
  <c r="AF18" i="137"/>
  <c r="AL18" i="137"/>
  <c r="AR18" i="137"/>
  <c r="Z23" i="137"/>
  <c r="AF23" i="137"/>
  <c r="AL23" i="137"/>
  <c r="AR23" i="137"/>
  <c r="AX23" i="137"/>
  <c r="BD23" i="137"/>
  <c r="AC23" i="137"/>
  <c r="L82" i="134"/>
  <c r="L81" i="134"/>
  <c r="L80" i="134"/>
  <c r="L79" i="134"/>
  <c r="L78" i="134"/>
  <c r="L77" i="134"/>
  <c r="K69" i="134"/>
  <c r="K70" i="134"/>
  <c r="K68" i="134"/>
  <c r="K66" i="134"/>
  <c r="K67" i="134"/>
  <c r="K65" i="134"/>
  <c r="K57" i="134"/>
  <c r="L57" i="134" s="1"/>
  <c r="K58" i="134"/>
  <c r="K56" i="134"/>
  <c r="K54" i="134"/>
  <c r="K55" i="134"/>
  <c r="L55" i="134" s="1"/>
  <c r="K53" i="134"/>
  <c r="L70" i="134"/>
  <c r="L69" i="134"/>
  <c r="L68" i="134"/>
  <c r="L67" i="134"/>
  <c r="L66" i="134"/>
  <c r="L65" i="134"/>
  <c r="L58" i="134"/>
  <c r="L56" i="134"/>
  <c r="L54" i="134"/>
  <c r="L53" i="134"/>
  <c r="K147" i="134"/>
  <c r="K148" i="134"/>
  <c r="K146" i="134"/>
  <c r="K144" i="134"/>
  <c r="L144" i="134" s="1"/>
  <c r="K145" i="134"/>
  <c r="K143" i="134"/>
  <c r="K135" i="134"/>
  <c r="K136" i="134"/>
  <c r="L136" i="134" s="1"/>
  <c r="K134" i="134"/>
  <c r="K132" i="134"/>
  <c r="K133" i="134"/>
  <c r="K131" i="134"/>
  <c r="L131" i="134" s="1"/>
  <c r="K123" i="134"/>
  <c r="K124" i="134"/>
  <c r="K122" i="134"/>
  <c r="K120" i="134"/>
  <c r="L120" i="134" s="1"/>
  <c r="K121" i="134"/>
  <c r="K119" i="134"/>
  <c r="K111" i="134"/>
  <c r="K112" i="134"/>
  <c r="L112" i="134" s="1"/>
  <c r="K110" i="134"/>
  <c r="K108" i="134"/>
  <c r="K109" i="134"/>
  <c r="K107" i="134"/>
  <c r="K99" i="134"/>
  <c r="K100" i="134"/>
  <c r="K98" i="134"/>
  <c r="K96" i="134"/>
  <c r="L96" i="134" s="1"/>
  <c r="K97" i="134"/>
  <c r="K95" i="134"/>
  <c r="K87" i="134"/>
  <c r="L87" i="134" s="1"/>
  <c r="K88" i="134"/>
  <c r="L88" i="134" s="1"/>
  <c r="K86" i="134"/>
  <c r="L86" i="134" s="1"/>
  <c r="K84" i="134"/>
  <c r="K85" i="134"/>
  <c r="L85" i="134" s="1"/>
  <c r="K83" i="134"/>
  <c r="L83" i="134" s="1"/>
  <c r="K75" i="134"/>
  <c r="K76" i="134"/>
  <c r="K74" i="134"/>
  <c r="K72" i="134"/>
  <c r="L72" i="134" s="1"/>
  <c r="K73" i="134"/>
  <c r="K71" i="134"/>
  <c r="K63" i="134"/>
  <c r="K64" i="134"/>
  <c r="K62" i="134"/>
  <c r="K60" i="134"/>
  <c r="K61" i="134"/>
  <c r="K59" i="134"/>
  <c r="L59" i="134" s="1"/>
  <c r="K51" i="134"/>
  <c r="K52" i="134"/>
  <c r="K50" i="134"/>
  <c r="K48" i="134"/>
  <c r="L48" i="134" s="1"/>
  <c r="K49" i="134"/>
  <c r="K47" i="134"/>
  <c r="K45" i="134"/>
  <c r="K46" i="134"/>
  <c r="L46" i="134" s="1"/>
  <c r="K44" i="134"/>
  <c r="K42" i="134"/>
  <c r="K43" i="134"/>
  <c r="K41" i="134"/>
  <c r="L41" i="134" s="1"/>
  <c r="K39" i="134"/>
  <c r="K40" i="134"/>
  <c r="K38" i="134"/>
  <c r="K36" i="134"/>
  <c r="K37" i="134"/>
  <c r="K35" i="134"/>
  <c r="K33" i="134"/>
  <c r="K34" i="134"/>
  <c r="L34" i="134" s="1"/>
  <c r="K32" i="134"/>
  <c r="K30" i="134"/>
  <c r="K31" i="134"/>
  <c r="K29" i="134"/>
  <c r="L29" i="134" s="1"/>
  <c r="K27" i="134"/>
  <c r="K28" i="134"/>
  <c r="K26" i="134"/>
  <c r="K24" i="134"/>
  <c r="K25" i="134"/>
  <c r="K23" i="134"/>
  <c r="K21" i="134"/>
  <c r="K22" i="134"/>
  <c r="L22" i="134" s="1"/>
  <c r="K20" i="134"/>
  <c r="K18" i="134"/>
  <c r="K19" i="134"/>
  <c r="K17" i="134"/>
  <c r="L17" i="134" s="1"/>
  <c r="K15" i="134"/>
  <c r="K16" i="134"/>
  <c r="K14" i="134"/>
  <c r="K12" i="134"/>
  <c r="K13" i="134"/>
  <c r="K11" i="134"/>
  <c r="L148" i="134"/>
  <c r="L147" i="134"/>
  <c r="L146" i="134"/>
  <c r="L145" i="134"/>
  <c r="L143" i="134"/>
  <c r="L135" i="134"/>
  <c r="L134" i="134"/>
  <c r="L133" i="134"/>
  <c r="L132" i="134"/>
  <c r="L124" i="134"/>
  <c r="L123" i="134"/>
  <c r="L122" i="134"/>
  <c r="L121" i="134"/>
  <c r="L119" i="134"/>
  <c r="L111" i="134"/>
  <c r="L110" i="134"/>
  <c r="L109" i="134"/>
  <c r="L108" i="134"/>
  <c r="L107" i="134"/>
  <c r="L100" i="134"/>
  <c r="L99" i="134"/>
  <c r="L98" i="134"/>
  <c r="L97" i="134"/>
  <c r="L95" i="134"/>
  <c r="L84" i="134"/>
  <c r="L76" i="134"/>
  <c r="L75" i="134"/>
  <c r="L74" i="134"/>
  <c r="L73" i="134"/>
  <c r="L71" i="134"/>
  <c r="L64" i="134"/>
  <c r="L63" i="134"/>
  <c r="L62" i="134"/>
  <c r="L61" i="134"/>
  <c r="L60" i="134"/>
  <c r="L52" i="134"/>
  <c r="L51" i="134"/>
  <c r="L50" i="134"/>
  <c r="L49" i="134"/>
  <c r="L47" i="134"/>
  <c r="E153" i="134"/>
  <c r="E152" i="134"/>
  <c r="E150" i="134"/>
  <c r="E149" i="134"/>
  <c r="E147" i="134"/>
  <c r="E146" i="134"/>
  <c r="E144" i="134"/>
  <c r="E143" i="134"/>
  <c r="E141" i="134"/>
  <c r="E140" i="134"/>
  <c r="E138" i="134"/>
  <c r="E137" i="134"/>
  <c r="E135" i="134"/>
  <c r="E134" i="134"/>
  <c r="E132" i="134"/>
  <c r="E131" i="134"/>
  <c r="E129" i="134"/>
  <c r="E128" i="134"/>
  <c r="E126" i="134"/>
  <c r="E125" i="134"/>
  <c r="E123" i="134"/>
  <c r="E122" i="134"/>
  <c r="E120" i="134"/>
  <c r="E119" i="134"/>
  <c r="E117" i="134"/>
  <c r="E116" i="134"/>
  <c r="E114" i="134"/>
  <c r="E113" i="134"/>
  <c r="E111" i="134"/>
  <c r="E110" i="134"/>
  <c r="E108" i="134"/>
  <c r="E107" i="134"/>
  <c r="E105" i="134"/>
  <c r="E104" i="134"/>
  <c r="E102" i="134"/>
  <c r="E101" i="134"/>
  <c r="E99" i="134"/>
  <c r="E98" i="134"/>
  <c r="E96" i="134"/>
  <c r="E95" i="134"/>
  <c r="E93" i="134"/>
  <c r="E92" i="134"/>
  <c r="E90" i="134"/>
  <c r="E89" i="134"/>
  <c r="E87" i="134"/>
  <c r="E86" i="134"/>
  <c r="E84" i="134"/>
  <c r="E83" i="134"/>
  <c r="E81" i="134"/>
  <c r="E80" i="134"/>
  <c r="E78" i="134"/>
  <c r="E77" i="134"/>
  <c r="E75" i="134"/>
  <c r="E74" i="134"/>
  <c r="E72" i="134"/>
  <c r="E71" i="134"/>
  <c r="E69" i="134"/>
  <c r="E68" i="134"/>
  <c r="E66" i="134"/>
  <c r="E65" i="134"/>
  <c r="E63" i="134"/>
  <c r="E62" i="134"/>
  <c r="E60" i="134"/>
  <c r="E59" i="134"/>
  <c r="E57" i="134"/>
  <c r="E56" i="134"/>
  <c r="E54" i="134"/>
  <c r="E53" i="134"/>
  <c r="E51" i="134"/>
  <c r="E50" i="134"/>
  <c r="E48" i="134"/>
  <c r="E47" i="134"/>
  <c r="E45" i="134"/>
  <c r="E46" i="134"/>
  <c r="E44" i="134"/>
  <c r="E42" i="134"/>
  <c r="F42" i="134" s="1"/>
  <c r="E43" i="134"/>
  <c r="F43" i="134" s="1"/>
  <c r="E41" i="134"/>
  <c r="E39" i="134"/>
  <c r="F39" i="134" s="1"/>
  <c r="E40" i="134"/>
  <c r="F40" i="134" s="1"/>
  <c r="E38" i="134"/>
  <c r="E36" i="134"/>
  <c r="F36" i="134" s="1"/>
  <c r="E37" i="134"/>
  <c r="F37" i="134" s="1"/>
  <c r="E35" i="134"/>
  <c r="E33" i="134"/>
  <c r="E34" i="134"/>
  <c r="F34" i="134" s="1"/>
  <c r="E32" i="134"/>
  <c r="E30" i="134"/>
  <c r="F30" i="134" s="1"/>
  <c r="E31" i="134"/>
  <c r="F31" i="134" s="1"/>
  <c r="E29" i="134"/>
  <c r="E28" i="134"/>
  <c r="E26" i="134"/>
  <c r="E24" i="134"/>
  <c r="E25" i="134"/>
  <c r="F25" i="134" s="1"/>
  <c r="E23" i="134"/>
  <c r="E21" i="134"/>
  <c r="F21" i="134" s="1"/>
  <c r="E22" i="134"/>
  <c r="F22" i="134" s="1"/>
  <c r="E20" i="134"/>
  <c r="E18" i="134"/>
  <c r="F18" i="134" s="1"/>
  <c r="E19" i="134"/>
  <c r="F19" i="134" s="1"/>
  <c r="E17" i="134"/>
  <c r="E15" i="134"/>
  <c r="E16" i="134"/>
  <c r="F16" i="134" s="1"/>
  <c r="E14" i="134"/>
  <c r="E12" i="134"/>
  <c r="E13" i="134"/>
  <c r="E11" i="134"/>
  <c r="F153" i="134"/>
  <c r="F152" i="134"/>
  <c r="F150" i="134"/>
  <c r="F149" i="134"/>
  <c r="F147" i="134"/>
  <c r="F146" i="134"/>
  <c r="F144" i="134"/>
  <c r="F143" i="134"/>
  <c r="F141" i="134"/>
  <c r="F140" i="134"/>
  <c r="F138" i="134"/>
  <c r="F137" i="134"/>
  <c r="F135" i="134"/>
  <c r="F134" i="134"/>
  <c r="F132" i="134"/>
  <c r="F131" i="134"/>
  <c r="F129" i="134"/>
  <c r="F128" i="134"/>
  <c r="F126" i="134"/>
  <c r="F125" i="134"/>
  <c r="F123" i="134"/>
  <c r="F122" i="134"/>
  <c r="F120" i="134"/>
  <c r="F119" i="134"/>
  <c r="F117" i="134"/>
  <c r="F116" i="134"/>
  <c r="F114" i="134"/>
  <c r="F113" i="134"/>
  <c r="F111" i="134"/>
  <c r="F110" i="134"/>
  <c r="F108" i="134"/>
  <c r="F107" i="134"/>
  <c r="F105" i="134"/>
  <c r="F104" i="134"/>
  <c r="F102" i="134"/>
  <c r="F101" i="134"/>
  <c r="F99" i="134"/>
  <c r="F98" i="134"/>
  <c r="F96" i="134"/>
  <c r="F95" i="134"/>
  <c r="F93" i="134"/>
  <c r="F92" i="134"/>
  <c r="F90" i="134"/>
  <c r="F89" i="134"/>
  <c r="F87" i="134"/>
  <c r="F86" i="134"/>
  <c r="F84" i="134"/>
  <c r="F83" i="134"/>
  <c r="F81" i="134"/>
  <c r="F80" i="134"/>
  <c r="F78" i="134"/>
  <c r="F77" i="134"/>
  <c r="F75" i="134"/>
  <c r="F74" i="134"/>
  <c r="F72" i="134"/>
  <c r="F71" i="134"/>
  <c r="F69" i="134"/>
  <c r="F68" i="134"/>
  <c r="F66" i="134"/>
  <c r="F65" i="134"/>
  <c r="F63" i="134"/>
  <c r="F62" i="134"/>
  <c r="F60" i="134"/>
  <c r="F59" i="134"/>
  <c r="F57" i="134"/>
  <c r="F56" i="134"/>
  <c r="F54" i="134"/>
  <c r="F53" i="134"/>
  <c r="F51" i="134"/>
  <c r="F50" i="134"/>
  <c r="F48" i="134"/>
  <c r="F47" i="134"/>
  <c r="BC34" i="134"/>
  <c r="AZ34" i="134"/>
  <c r="AW34" i="134"/>
  <c r="AT34" i="134"/>
  <c r="AQ34" i="134"/>
  <c r="AN34" i="134"/>
  <c r="AK34" i="134"/>
  <c r="AH34" i="134"/>
  <c r="AE34" i="134"/>
  <c r="AB34" i="134"/>
  <c r="Y34" i="134"/>
  <c r="V34" i="134"/>
  <c r="BC33" i="134"/>
  <c r="AZ33" i="134"/>
  <c r="AW33" i="134"/>
  <c r="AT33" i="134"/>
  <c r="AQ33" i="134"/>
  <c r="AN33" i="134"/>
  <c r="AK33" i="134"/>
  <c r="AH33" i="134"/>
  <c r="AE33" i="134"/>
  <c r="AB33" i="134"/>
  <c r="Y33" i="134"/>
  <c r="V33" i="134"/>
  <c r="BC32" i="134"/>
  <c r="AZ32" i="134"/>
  <c r="AW32" i="134"/>
  <c r="AT32" i="134"/>
  <c r="AQ32" i="134"/>
  <c r="AN32" i="134"/>
  <c r="AK32" i="134"/>
  <c r="AH32" i="134"/>
  <c r="AE32" i="134"/>
  <c r="AB32" i="134"/>
  <c r="Y32" i="134"/>
  <c r="V32" i="134"/>
  <c r="AB31" i="134"/>
  <c r="Y31" i="134"/>
  <c r="V31" i="134"/>
  <c r="BC30" i="134"/>
  <c r="AZ30" i="134"/>
  <c r="AW30" i="134"/>
  <c r="AT30" i="134"/>
  <c r="AQ30" i="134"/>
  <c r="AN30" i="134"/>
  <c r="AK30" i="134"/>
  <c r="AH30" i="134"/>
  <c r="AE30" i="134"/>
  <c r="AB30" i="134"/>
  <c r="Y30" i="134"/>
  <c r="V30" i="134"/>
  <c r="BC29" i="134"/>
  <c r="AZ29" i="134"/>
  <c r="AW29" i="134"/>
  <c r="AT29" i="134"/>
  <c r="AQ29" i="134"/>
  <c r="AN29" i="134"/>
  <c r="AK29" i="134"/>
  <c r="AH29" i="134"/>
  <c r="AE29" i="134"/>
  <c r="AB29" i="134"/>
  <c r="Y29" i="134"/>
  <c r="V29" i="134"/>
  <c r="BC28" i="134"/>
  <c r="AZ28" i="134"/>
  <c r="AW28" i="134"/>
  <c r="AT28" i="134"/>
  <c r="AQ28" i="134"/>
  <c r="AN28" i="134"/>
  <c r="AK28" i="134"/>
  <c r="AH28" i="134"/>
  <c r="AE28" i="134"/>
  <c r="AB28" i="134"/>
  <c r="Y28" i="134"/>
  <c r="V28" i="134"/>
  <c r="BC27" i="134"/>
  <c r="AZ27" i="134"/>
  <c r="AW27" i="134"/>
  <c r="AQ27" i="134"/>
  <c r="AN27" i="134"/>
  <c r="AK27" i="134"/>
  <c r="AH27" i="134"/>
  <c r="AE27" i="134"/>
  <c r="AB27" i="134"/>
  <c r="Y27" i="134"/>
  <c r="V27" i="134"/>
  <c r="BC26" i="134"/>
  <c r="AZ26" i="134"/>
  <c r="AW26" i="134"/>
  <c r="AT26" i="134"/>
  <c r="AQ26" i="134"/>
  <c r="AN26" i="134"/>
  <c r="AK26" i="134"/>
  <c r="AH26" i="134"/>
  <c r="AE26" i="134"/>
  <c r="AB26" i="134"/>
  <c r="Y26" i="134"/>
  <c r="V26" i="134"/>
  <c r="AB25" i="134"/>
  <c r="Y25" i="134"/>
  <c r="V25" i="134"/>
  <c r="BC24" i="134"/>
  <c r="AZ24" i="134"/>
  <c r="AW24" i="134"/>
  <c r="AT24" i="134"/>
  <c r="AQ24" i="134"/>
  <c r="AN24" i="134"/>
  <c r="AK24" i="134"/>
  <c r="AH24" i="134"/>
  <c r="AE24" i="134"/>
  <c r="AB24" i="134"/>
  <c r="Y24" i="134"/>
  <c r="V24" i="134"/>
  <c r="BC23" i="134"/>
  <c r="AZ23" i="134"/>
  <c r="AW23" i="134"/>
  <c r="AT23" i="134"/>
  <c r="AQ23" i="134"/>
  <c r="AN23" i="134"/>
  <c r="AK23" i="134"/>
  <c r="AH23" i="134"/>
  <c r="AE23" i="134"/>
  <c r="AB23" i="134"/>
  <c r="Y23" i="134"/>
  <c r="V23" i="134"/>
  <c r="BC22" i="134"/>
  <c r="AZ22" i="134"/>
  <c r="AW22" i="134"/>
  <c r="AT22" i="134"/>
  <c r="AQ22" i="134"/>
  <c r="AN22" i="134"/>
  <c r="AK22" i="134"/>
  <c r="AH22" i="134"/>
  <c r="AE22" i="134"/>
  <c r="AB22" i="134"/>
  <c r="Y22" i="134"/>
  <c r="V22" i="134"/>
  <c r="BC21" i="134"/>
  <c r="AZ21" i="134"/>
  <c r="AW21" i="134"/>
  <c r="AT21" i="134"/>
  <c r="AQ21" i="134"/>
  <c r="AN21" i="134"/>
  <c r="AK21" i="134"/>
  <c r="AH21" i="134"/>
  <c r="AE21" i="134"/>
  <c r="AB21" i="134"/>
  <c r="Y21" i="134"/>
  <c r="V21" i="134"/>
  <c r="BC20" i="134"/>
  <c r="AZ20" i="134"/>
  <c r="AW20" i="134"/>
  <c r="AT20" i="134"/>
  <c r="AQ20" i="134"/>
  <c r="AN20" i="134"/>
  <c r="AK20" i="134"/>
  <c r="AH20" i="134"/>
  <c r="AE20" i="134"/>
  <c r="AB20" i="134"/>
  <c r="Y20" i="134"/>
  <c r="V20" i="134"/>
  <c r="AB19" i="134"/>
  <c r="Y19" i="134"/>
  <c r="V19" i="134"/>
  <c r="BC18" i="134"/>
  <c r="AZ18" i="134"/>
  <c r="AW18" i="134"/>
  <c r="AT18" i="134"/>
  <c r="AQ18" i="134"/>
  <c r="AN18" i="134"/>
  <c r="AK18" i="134"/>
  <c r="AH18" i="134"/>
  <c r="AE18" i="134"/>
  <c r="AB18" i="134"/>
  <c r="Y18" i="134"/>
  <c r="V18" i="134"/>
  <c r="BC17" i="134"/>
  <c r="AZ17" i="134"/>
  <c r="AW17" i="134"/>
  <c r="AT17" i="134"/>
  <c r="AQ17" i="134"/>
  <c r="AN17" i="134"/>
  <c r="AK17" i="134"/>
  <c r="AH17" i="134"/>
  <c r="AE17" i="134"/>
  <c r="AB17" i="134"/>
  <c r="Y17" i="134"/>
  <c r="V17" i="134"/>
  <c r="BC16" i="134"/>
  <c r="AZ16" i="134"/>
  <c r="AW16" i="134"/>
  <c r="AT16" i="134"/>
  <c r="AQ16" i="134"/>
  <c r="AN16" i="134"/>
  <c r="AK16" i="134"/>
  <c r="AH16" i="134"/>
  <c r="AE16" i="134"/>
  <c r="AB16" i="134"/>
  <c r="Y16" i="134"/>
  <c r="V16" i="134"/>
  <c r="BC15" i="134"/>
  <c r="AZ15" i="134"/>
  <c r="AW15" i="134"/>
  <c r="AT15" i="134"/>
  <c r="AQ15" i="134"/>
  <c r="AN15" i="134"/>
  <c r="AK15" i="134"/>
  <c r="AH15" i="134"/>
  <c r="AE15" i="134"/>
  <c r="AB15" i="134"/>
  <c r="Y15" i="134"/>
  <c r="V15" i="134"/>
  <c r="BC14" i="134"/>
  <c r="AZ14" i="134"/>
  <c r="AW14" i="134"/>
  <c r="AT14" i="134"/>
  <c r="AQ14" i="134"/>
  <c r="AN14" i="134"/>
  <c r="AK14" i="134"/>
  <c r="AH14" i="134"/>
  <c r="AE14" i="134"/>
  <c r="AB14" i="134"/>
  <c r="Y14" i="134"/>
  <c r="V14" i="134"/>
  <c r="AB13" i="134"/>
  <c r="Y13" i="134"/>
  <c r="V13" i="134"/>
  <c r="BC12" i="134"/>
  <c r="AZ12" i="134"/>
  <c r="AW12" i="134"/>
  <c r="AT12" i="134"/>
  <c r="AQ12" i="134"/>
  <c r="AN12" i="134"/>
  <c r="AK12" i="134"/>
  <c r="AH12" i="134"/>
  <c r="AE12" i="134"/>
  <c r="AB12" i="134"/>
  <c r="Y12" i="134"/>
  <c r="V12" i="134"/>
  <c r="BC11" i="134"/>
  <c r="AZ11" i="134"/>
  <c r="AW11" i="134"/>
  <c r="AT11" i="134"/>
  <c r="AQ11" i="134"/>
  <c r="AN11" i="134"/>
  <c r="AK11" i="134"/>
  <c r="AH11" i="134"/>
  <c r="AE11" i="134"/>
  <c r="AB11" i="134"/>
  <c r="Y11" i="134"/>
  <c r="V11" i="134"/>
  <c r="L45" i="134"/>
  <c r="L44" i="134"/>
  <c r="L43" i="134"/>
  <c r="L42" i="134"/>
  <c r="L40" i="134"/>
  <c r="L39" i="134"/>
  <c r="L38" i="134"/>
  <c r="L37" i="134"/>
  <c r="L36" i="134"/>
  <c r="L35" i="134"/>
  <c r="L33" i="134"/>
  <c r="L32" i="134"/>
  <c r="L31" i="134"/>
  <c r="L30" i="134"/>
  <c r="L28" i="134"/>
  <c r="L27" i="134"/>
  <c r="L26" i="134"/>
  <c r="L25" i="134"/>
  <c r="L24" i="134"/>
  <c r="L23" i="134"/>
  <c r="L21" i="134"/>
  <c r="L20" i="134"/>
  <c r="L19" i="134"/>
  <c r="L18" i="134"/>
  <c r="L16" i="134"/>
  <c r="L15" i="134"/>
  <c r="L14" i="134"/>
  <c r="L13" i="134"/>
  <c r="L12" i="134"/>
  <c r="L11" i="134"/>
  <c r="F46" i="134"/>
  <c r="F45" i="134"/>
  <c r="F44" i="134"/>
  <c r="F41" i="134"/>
  <c r="F38" i="134"/>
  <c r="F35" i="134"/>
  <c r="F33" i="134"/>
  <c r="F32" i="134"/>
  <c r="F29" i="134"/>
  <c r="F28" i="134"/>
  <c r="F26" i="134"/>
  <c r="F24" i="134"/>
  <c r="F23" i="134"/>
  <c r="F20" i="134"/>
  <c r="F17" i="134"/>
  <c r="F15" i="134"/>
  <c r="F14" i="134"/>
  <c r="F13" i="134"/>
  <c r="F12" i="134"/>
  <c r="F11" i="134"/>
  <c r="BC34" i="133"/>
  <c r="AZ34" i="133"/>
  <c r="AW34" i="133"/>
  <c r="AT34" i="133"/>
  <c r="AQ34" i="133"/>
  <c r="AN34" i="133"/>
  <c r="AK34" i="133"/>
  <c r="AH34" i="133"/>
  <c r="AE34" i="133"/>
  <c r="AB34" i="133"/>
  <c r="Y34" i="133"/>
  <c r="V34" i="133"/>
  <c r="BC33" i="133"/>
  <c r="AZ33" i="133"/>
  <c r="AW33" i="133"/>
  <c r="AT33" i="133"/>
  <c r="AQ33" i="133"/>
  <c r="AN33" i="133"/>
  <c r="AK33" i="133"/>
  <c r="AH33" i="133"/>
  <c r="AE33" i="133"/>
  <c r="AB33" i="133"/>
  <c r="Y33" i="133"/>
  <c r="V33" i="133"/>
  <c r="BC32" i="133"/>
  <c r="AZ32" i="133"/>
  <c r="AW32" i="133"/>
  <c r="AT32" i="133"/>
  <c r="AQ32" i="133"/>
  <c r="AN32" i="133"/>
  <c r="AK32" i="133"/>
  <c r="AH32" i="133"/>
  <c r="AE32" i="133"/>
  <c r="AB32" i="133"/>
  <c r="Y32" i="133"/>
  <c r="V32" i="133"/>
  <c r="AB31" i="133"/>
  <c r="Y31" i="133"/>
  <c r="V31" i="133"/>
  <c r="BD30" i="133"/>
  <c r="BC30" i="133"/>
  <c r="AZ30" i="133"/>
  <c r="AW30" i="133"/>
  <c r="AT30" i="133"/>
  <c r="AQ30" i="133"/>
  <c r="AR30" i="133" s="1"/>
  <c r="AN30" i="133"/>
  <c r="AK30" i="133"/>
  <c r="AH30" i="133"/>
  <c r="AF30" i="133"/>
  <c r="AE30" i="133"/>
  <c r="AB30" i="133"/>
  <c r="Y30" i="133"/>
  <c r="Z29" i="133" s="1"/>
  <c r="V30" i="133"/>
  <c r="BC29" i="133"/>
  <c r="BD29" i="133" s="1"/>
  <c r="AZ29" i="133"/>
  <c r="BA30" i="133" s="1"/>
  <c r="AW29" i="133"/>
  <c r="AX29" i="133" s="1"/>
  <c r="AT29" i="133"/>
  <c r="AR29" i="133"/>
  <c r="AQ29" i="133"/>
  <c r="AN29" i="133"/>
  <c r="AK29" i="133"/>
  <c r="AL30" i="133" s="1"/>
  <c r="AH29" i="133"/>
  <c r="AF29" i="133"/>
  <c r="AE29" i="133"/>
  <c r="AB29" i="133"/>
  <c r="AC30" i="133" s="1"/>
  <c r="Y29" i="133"/>
  <c r="V29" i="133"/>
  <c r="BC28" i="133"/>
  <c r="AZ28" i="133"/>
  <c r="AW28" i="133"/>
  <c r="AT28" i="133"/>
  <c r="AQ28" i="133"/>
  <c r="AN28" i="133"/>
  <c r="AK28" i="133"/>
  <c r="AH28" i="133"/>
  <c r="AE28" i="133"/>
  <c r="AB28" i="133"/>
  <c r="Y28" i="133"/>
  <c r="V28" i="133"/>
  <c r="BC27" i="133"/>
  <c r="AZ27" i="133"/>
  <c r="AW27" i="133"/>
  <c r="AT27" i="133"/>
  <c r="AQ27" i="133"/>
  <c r="AN27" i="133"/>
  <c r="AK27" i="133"/>
  <c r="AH27" i="133"/>
  <c r="AE27" i="133"/>
  <c r="AB27" i="133"/>
  <c r="Y27" i="133"/>
  <c r="V27" i="133"/>
  <c r="BC26" i="133"/>
  <c r="AZ26" i="133"/>
  <c r="AW26" i="133"/>
  <c r="AT26" i="133"/>
  <c r="AQ26" i="133"/>
  <c r="AN26" i="133"/>
  <c r="AK26" i="133"/>
  <c r="AH26" i="133"/>
  <c r="AE26" i="133"/>
  <c r="AB26" i="133"/>
  <c r="Y26" i="133"/>
  <c r="V26" i="133"/>
  <c r="AB25" i="133"/>
  <c r="Y25" i="133"/>
  <c r="V25" i="133"/>
  <c r="BC24" i="133"/>
  <c r="AZ24" i="133"/>
  <c r="AW24" i="133"/>
  <c r="AT24" i="133"/>
  <c r="AQ24" i="133"/>
  <c r="AN24" i="133"/>
  <c r="AK24" i="133"/>
  <c r="AH24" i="133"/>
  <c r="AE24" i="133"/>
  <c r="AB24" i="133"/>
  <c r="Y24" i="133"/>
  <c r="V24" i="133"/>
  <c r="BC23" i="133"/>
  <c r="AZ23" i="133"/>
  <c r="BA24" i="133" s="1"/>
  <c r="AW23" i="133"/>
  <c r="AT23" i="133"/>
  <c r="AU24" i="133" s="1"/>
  <c r="AQ23" i="133"/>
  <c r="AN23" i="133"/>
  <c r="AO24" i="133" s="1"/>
  <c r="AK23" i="133"/>
  <c r="AH23" i="133"/>
  <c r="AI24" i="133" s="1"/>
  <c r="AE23" i="133"/>
  <c r="AB23" i="133"/>
  <c r="AC24" i="133" s="1"/>
  <c r="Y23" i="133"/>
  <c r="Z24" i="133" s="1"/>
  <c r="V23" i="133"/>
  <c r="W24" i="133" s="1"/>
  <c r="BC22" i="133"/>
  <c r="AZ22" i="133"/>
  <c r="AW22" i="133"/>
  <c r="AT22" i="133"/>
  <c r="AQ22" i="133"/>
  <c r="AN22" i="133"/>
  <c r="AK22" i="133"/>
  <c r="AH22" i="133"/>
  <c r="AE22" i="133"/>
  <c r="AB22" i="133"/>
  <c r="Y22" i="133"/>
  <c r="V22" i="133"/>
  <c r="BC21" i="133"/>
  <c r="AZ21" i="133"/>
  <c r="AW21" i="133"/>
  <c r="AT21" i="133"/>
  <c r="AQ21" i="133"/>
  <c r="AN21" i="133"/>
  <c r="AK21" i="133"/>
  <c r="AH21" i="133"/>
  <c r="AE21" i="133"/>
  <c r="AB21" i="133"/>
  <c r="Y21" i="133"/>
  <c r="V21" i="133"/>
  <c r="BC20" i="133"/>
  <c r="AZ20" i="133"/>
  <c r="AW20" i="133"/>
  <c r="AT20" i="133"/>
  <c r="AQ20" i="133"/>
  <c r="AN20" i="133"/>
  <c r="AK20" i="133"/>
  <c r="AH20" i="133"/>
  <c r="AE20" i="133"/>
  <c r="AB20" i="133"/>
  <c r="Y20" i="133"/>
  <c r="V20" i="133"/>
  <c r="AB19" i="133"/>
  <c r="Y19" i="133"/>
  <c r="V19" i="133"/>
  <c r="BC18" i="133"/>
  <c r="AZ18" i="133"/>
  <c r="AW18" i="133"/>
  <c r="AU18" i="133"/>
  <c r="AT18" i="133"/>
  <c r="AQ18" i="133"/>
  <c r="AN18" i="133"/>
  <c r="AK18" i="133"/>
  <c r="AI18" i="133"/>
  <c r="AH18" i="133"/>
  <c r="AE18" i="133"/>
  <c r="AC18" i="133"/>
  <c r="AB18" i="133"/>
  <c r="Y18" i="133"/>
  <c r="W18" i="133"/>
  <c r="V18" i="133"/>
  <c r="BC17" i="133"/>
  <c r="BD18" i="133" s="1"/>
  <c r="AZ17" i="133"/>
  <c r="BA17" i="133" s="1"/>
  <c r="AW17" i="133"/>
  <c r="AX18" i="133" s="1"/>
  <c r="AU17" i="133"/>
  <c r="AT17" i="133"/>
  <c r="AQ17" i="133"/>
  <c r="AN17" i="133"/>
  <c r="AO18" i="133" s="1"/>
  <c r="AK17" i="133"/>
  <c r="AI17" i="133"/>
  <c r="AH17" i="133"/>
  <c r="AE17" i="133"/>
  <c r="AF18" i="133" s="1"/>
  <c r="AC17" i="133"/>
  <c r="AB17" i="133"/>
  <c r="Y17" i="133"/>
  <c r="Z18" i="133" s="1"/>
  <c r="W17" i="133"/>
  <c r="V17" i="133"/>
  <c r="BC16" i="133"/>
  <c r="AZ16" i="133"/>
  <c r="AW16" i="133"/>
  <c r="AT16" i="133"/>
  <c r="AQ16" i="133"/>
  <c r="AN16" i="133"/>
  <c r="AK16" i="133"/>
  <c r="AH16" i="133"/>
  <c r="AE16" i="133"/>
  <c r="AB16" i="133"/>
  <c r="Y16" i="133"/>
  <c r="V16" i="133"/>
  <c r="BC15" i="133"/>
  <c r="AZ15" i="133"/>
  <c r="AW15" i="133"/>
  <c r="AT15" i="133"/>
  <c r="AQ15" i="133"/>
  <c r="AN15" i="133"/>
  <c r="AK15" i="133"/>
  <c r="AH15" i="133"/>
  <c r="AE15" i="133"/>
  <c r="AB15" i="133"/>
  <c r="Y15" i="133"/>
  <c r="V15" i="133"/>
  <c r="BC14" i="133"/>
  <c r="AZ14" i="133"/>
  <c r="AW14" i="133"/>
  <c r="AT14" i="133"/>
  <c r="AQ14" i="133"/>
  <c r="AN14" i="133"/>
  <c r="AK14" i="133"/>
  <c r="AH14" i="133"/>
  <c r="AE14" i="133"/>
  <c r="AB14" i="133"/>
  <c r="Y14" i="133"/>
  <c r="V14" i="133"/>
  <c r="AB13" i="133"/>
  <c r="Y13" i="133"/>
  <c r="Z11" i="133" s="1"/>
  <c r="V13" i="133"/>
  <c r="BC12" i="133"/>
  <c r="AZ12" i="133"/>
  <c r="AW12" i="133"/>
  <c r="AT12" i="133"/>
  <c r="AQ12" i="133"/>
  <c r="AN12" i="133"/>
  <c r="AK12" i="133"/>
  <c r="AH12" i="133"/>
  <c r="AE12" i="133"/>
  <c r="AB12" i="133"/>
  <c r="Y12" i="133"/>
  <c r="V12" i="133"/>
  <c r="BC11" i="133"/>
  <c r="AZ11" i="133"/>
  <c r="BA12" i="133" s="1"/>
  <c r="AW11" i="133"/>
  <c r="AT11" i="133"/>
  <c r="AU12" i="133" s="1"/>
  <c r="AQ11" i="133"/>
  <c r="AR12" i="133" s="1"/>
  <c r="AN11" i="133"/>
  <c r="AK11" i="133"/>
  <c r="AL12" i="133" s="1"/>
  <c r="AH11" i="133"/>
  <c r="AF11" i="133"/>
  <c r="AE11" i="133"/>
  <c r="AB11" i="133"/>
  <c r="AC12" i="133" s="1"/>
  <c r="Y11" i="133"/>
  <c r="Z12" i="133" s="1"/>
  <c r="V11" i="133"/>
  <c r="W12" i="133" s="1"/>
  <c r="K153" i="133"/>
  <c r="L153" i="133" s="1"/>
  <c r="K154" i="133"/>
  <c r="K152" i="133"/>
  <c r="K150" i="133"/>
  <c r="K151" i="133"/>
  <c r="L151" i="133" s="1"/>
  <c r="K149" i="133"/>
  <c r="K147" i="133"/>
  <c r="K148" i="133"/>
  <c r="K146" i="133"/>
  <c r="L146" i="133" s="1"/>
  <c r="K144" i="133"/>
  <c r="K145" i="133"/>
  <c r="K143" i="133"/>
  <c r="K141" i="133"/>
  <c r="L141" i="133" s="1"/>
  <c r="K142" i="133"/>
  <c r="K140" i="133"/>
  <c r="K138" i="133"/>
  <c r="K139" i="133"/>
  <c r="L139" i="133" s="1"/>
  <c r="K137" i="133"/>
  <c r="K135" i="133"/>
  <c r="K136" i="133"/>
  <c r="K134" i="133"/>
  <c r="L134" i="133" s="1"/>
  <c r="K132" i="133"/>
  <c r="K133" i="133"/>
  <c r="L133" i="133" s="1"/>
  <c r="K131" i="133"/>
  <c r="K129" i="133"/>
  <c r="L129" i="133" s="1"/>
  <c r="K130" i="133"/>
  <c r="K128" i="133"/>
  <c r="K126" i="133"/>
  <c r="K127" i="133"/>
  <c r="L127" i="133" s="1"/>
  <c r="K125" i="133"/>
  <c r="K123" i="133"/>
  <c r="K124" i="133"/>
  <c r="K122" i="133"/>
  <c r="L122" i="133" s="1"/>
  <c r="K120" i="133"/>
  <c r="K121" i="133"/>
  <c r="K119" i="133"/>
  <c r="K117" i="133"/>
  <c r="L117" i="133" s="1"/>
  <c r="K118" i="133"/>
  <c r="K116" i="133"/>
  <c r="K114" i="133"/>
  <c r="K115" i="133"/>
  <c r="L115" i="133" s="1"/>
  <c r="K113" i="133"/>
  <c r="K111" i="133"/>
  <c r="K112" i="133"/>
  <c r="K110" i="133"/>
  <c r="L110" i="133" s="1"/>
  <c r="K108" i="133"/>
  <c r="K109" i="133"/>
  <c r="K107" i="133"/>
  <c r="K105" i="133"/>
  <c r="L105" i="133" s="1"/>
  <c r="K106" i="133"/>
  <c r="K104" i="133"/>
  <c r="K102" i="133"/>
  <c r="K103" i="133"/>
  <c r="L103" i="133" s="1"/>
  <c r="K101" i="133"/>
  <c r="K99" i="133"/>
  <c r="K100" i="133"/>
  <c r="K98" i="133"/>
  <c r="L98" i="133" s="1"/>
  <c r="K96" i="133"/>
  <c r="K97" i="133"/>
  <c r="K95" i="133"/>
  <c r="K93" i="133"/>
  <c r="L93" i="133" s="1"/>
  <c r="K94" i="133"/>
  <c r="K92" i="133"/>
  <c r="K90" i="133"/>
  <c r="K91" i="133"/>
  <c r="L91" i="133" s="1"/>
  <c r="K89" i="133"/>
  <c r="K87" i="133"/>
  <c r="K88" i="133"/>
  <c r="K86" i="133"/>
  <c r="L86" i="133" s="1"/>
  <c r="K84" i="133"/>
  <c r="K85" i="133"/>
  <c r="K83" i="133"/>
  <c r="K81" i="133"/>
  <c r="L81" i="133" s="1"/>
  <c r="K82" i="133"/>
  <c r="L82" i="133" s="1"/>
  <c r="K80" i="133"/>
  <c r="K78" i="133"/>
  <c r="K79" i="133"/>
  <c r="L79" i="133" s="1"/>
  <c r="K77" i="133"/>
  <c r="L77" i="133" s="1"/>
  <c r="K75" i="133"/>
  <c r="K76" i="133"/>
  <c r="K74" i="133"/>
  <c r="L74" i="133" s="1"/>
  <c r="K72" i="133"/>
  <c r="K73" i="133"/>
  <c r="K71" i="133"/>
  <c r="K69" i="133"/>
  <c r="L69" i="133" s="1"/>
  <c r="K70" i="133"/>
  <c r="K68" i="133"/>
  <c r="L68" i="133" s="1"/>
  <c r="K66" i="133"/>
  <c r="K67" i="133"/>
  <c r="L67" i="133" s="1"/>
  <c r="K65" i="133"/>
  <c r="K63" i="133"/>
  <c r="K64" i="133"/>
  <c r="K62" i="133"/>
  <c r="L62" i="133" s="1"/>
  <c r="K60" i="133"/>
  <c r="K61" i="133"/>
  <c r="K59" i="133"/>
  <c r="K57" i="133"/>
  <c r="L57" i="133" s="1"/>
  <c r="K58" i="133"/>
  <c r="K56" i="133"/>
  <c r="K54" i="133"/>
  <c r="K55" i="133"/>
  <c r="L55" i="133" s="1"/>
  <c r="K53" i="133"/>
  <c r="K51" i="133"/>
  <c r="K52" i="133"/>
  <c r="K50" i="133"/>
  <c r="L50" i="133" s="1"/>
  <c r="K48" i="133"/>
  <c r="K49" i="133"/>
  <c r="K47" i="133"/>
  <c r="K45" i="133"/>
  <c r="K46" i="133"/>
  <c r="K44" i="133"/>
  <c r="K42" i="133"/>
  <c r="K43" i="133"/>
  <c r="L43" i="133" s="1"/>
  <c r="K41" i="133"/>
  <c r="K39" i="133"/>
  <c r="K40" i="133"/>
  <c r="K38" i="133"/>
  <c r="L38" i="133" s="1"/>
  <c r="K36" i="133"/>
  <c r="K37" i="133"/>
  <c r="K35" i="133"/>
  <c r="K33" i="133"/>
  <c r="K34" i="133"/>
  <c r="K32" i="133"/>
  <c r="K30" i="133"/>
  <c r="K31" i="133"/>
  <c r="L31" i="133" s="1"/>
  <c r="K29" i="133"/>
  <c r="K27" i="133"/>
  <c r="K28" i="133"/>
  <c r="K26" i="133"/>
  <c r="L26" i="133" s="1"/>
  <c r="K24" i="133"/>
  <c r="K25" i="133"/>
  <c r="K23" i="133"/>
  <c r="K21" i="133"/>
  <c r="K22" i="133"/>
  <c r="K20" i="133"/>
  <c r="K18" i="133"/>
  <c r="K19" i="133"/>
  <c r="L19" i="133" s="1"/>
  <c r="K17" i="133"/>
  <c r="K15" i="133"/>
  <c r="K16" i="133"/>
  <c r="K14" i="133"/>
  <c r="L14" i="133" s="1"/>
  <c r="K12" i="133"/>
  <c r="K13" i="133"/>
  <c r="K11" i="133"/>
  <c r="L58" i="133"/>
  <c r="L56" i="133"/>
  <c r="L54" i="133"/>
  <c r="L53" i="133"/>
  <c r="L70" i="133"/>
  <c r="L66" i="133"/>
  <c r="L65" i="133"/>
  <c r="L80" i="133"/>
  <c r="L78" i="133"/>
  <c r="L94" i="133"/>
  <c r="L92" i="133"/>
  <c r="L90" i="133"/>
  <c r="L89" i="133"/>
  <c r="L106" i="133"/>
  <c r="L104" i="133"/>
  <c r="L102" i="133"/>
  <c r="L101" i="133"/>
  <c r="L118" i="133"/>
  <c r="L116" i="133"/>
  <c r="L114" i="133"/>
  <c r="L113" i="133"/>
  <c r="L130" i="133"/>
  <c r="L128" i="133"/>
  <c r="L126" i="133"/>
  <c r="L125" i="133"/>
  <c r="L142" i="133"/>
  <c r="L140" i="133"/>
  <c r="L138" i="133"/>
  <c r="L137" i="133"/>
  <c r="L154" i="133"/>
  <c r="L152" i="133"/>
  <c r="L150" i="133"/>
  <c r="L149" i="133"/>
  <c r="L136" i="133"/>
  <c r="L135" i="133"/>
  <c r="L132" i="133"/>
  <c r="L131" i="133"/>
  <c r="L148" i="133"/>
  <c r="L147" i="133"/>
  <c r="L145" i="133"/>
  <c r="L144" i="133"/>
  <c r="L143" i="133"/>
  <c r="L124" i="133"/>
  <c r="L123" i="133"/>
  <c r="L121" i="133"/>
  <c r="L120" i="133"/>
  <c r="L119" i="133"/>
  <c r="L112" i="133"/>
  <c r="L111" i="133"/>
  <c r="L109" i="133"/>
  <c r="L108" i="133"/>
  <c r="L107" i="133"/>
  <c r="L100" i="133"/>
  <c r="L99" i="133"/>
  <c r="L97" i="133"/>
  <c r="L96" i="133"/>
  <c r="L95" i="133"/>
  <c r="L88" i="133"/>
  <c r="L87" i="133"/>
  <c r="L85" i="133"/>
  <c r="L84" i="133"/>
  <c r="L83" i="133"/>
  <c r="L76" i="133"/>
  <c r="L75" i="133"/>
  <c r="L73" i="133"/>
  <c r="L72" i="133"/>
  <c r="L71" i="133"/>
  <c r="L64" i="133"/>
  <c r="L63" i="133"/>
  <c r="L61" i="133"/>
  <c r="L60" i="133"/>
  <c r="L59" i="133"/>
  <c r="L52" i="133"/>
  <c r="L51" i="133"/>
  <c r="L49" i="133"/>
  <c r="L48" i="133"/>
  <c r="L47" i="133"/>
  <c r="E52" i="133"/>
  <c r="F52" i="133" s="1"/>
  <c r="E154" i="133"/>
  <c r="E152" i="133"/>
  <c r="F152" i="133" s="1"/>
  <c r="E151" i="133"/>
  <c r="F151" i="133" s="1"/>
  <c r="E149" i="133"/>
  <c r="F149" i="133" s="1"/>
  <c r="E148" i="133"/>
  <c r="E146" i="133"/>
  <c r="F146" i="133" s="1"/>
  <c r="E145" i="133"/>
  <c r="F145" i="133" s="1"/>
  <c r="E143" i="133"/>
  <c r="F143" i="133" s="1"/>
  <c r="E142" i="133"/>
  <c r="E140" i="133"/>
  <c r="F140" i="133" s="1"/>
  <c r="E139" i="133"/>
  <c r="F139" i="133" s="1"/>
  <c r="E137" i="133"/>
  <c r="F137" i="133" s="1"/>
  <c r="E136" i="133"/>
  <c r="E134" i="133"/>
  <c r="F134" i="133" s="1"/>
  <c r="E133" i="133"/>
  <c r="F133" i="133" s="1"/>
  <c r="E131" i="133"/>
  <c r="F131" i="133" s="1"/>
  <c r="E130" i="133"/>
  <c r="E128" i="133"/>
  <c r="F128" i="133" s="1"/>
  <c r="E127" i="133"/>
  <c r="F127" i="133" s="1"/>
  <c r="E125" i="133"/>
  <c r="F125" i="133" s="1"/>
  <c r="E124" i="133"/>
  <c r="E122" i="133"/>
  <c r="F122" i="133" s="1"/>
  <c r="E121" i="133"/>
  <c r="F121" i="133" s="1"/>
  <c r="E119" i="133"/>
  <c r="F119" i="133" s="1"/>
  <c r="E118" i="133"/>
  <c r="E116" i="133"/>
  <c r="F116" i="133" s="1"/>
  <c r="E115" i="133"/>
  <c r="F115" i="133" s="1"/>
  <c r="E113" i="133"/>
  <c r="F113" i="133" s="1"/>
  <c r="E112" i="133"/>
  <c r="E110" i="133"/>
  <c r="F110" i="133" s="1"/>
  <c r="E109" i="133"/>
  <c r="F109" i="133" s="1"/>
  <c r="E107" i="133"/>
  <c r="F107" i="133" s="1"/>
  <c r="E106" i="133"/>
  <c r="E104" i="133"/>
  <c r="F104" i="133" s="1"/>
  <c r="E103" i="133"/>
  <c r="F103" i="133" s="1"/>
  <c r="E101" i="133"/>
  <c r="F101" i="133" s="1"/>
  <c r="E100" i="133"/>
  <c r="E98" i="133"/>
  <c r="F98" i="133" s="1"/>
  <c r="E97" i="133"/>
  <c r="F97" i="133" s="1"/>
  <c r="E95" i="133"/>
  <c r="F95" i="133" s="1"/>
  <c r="E94" i="133"/>
  <c r="E92" i="133"/>
  <c r="F92" i="133" s="1"/>
  <c r="E91" i="133"/>
  <c r="F91" i="133" s="1"/>
  <c r="E89" i="133"/>
  <c r="F89" i="133" s="1"/>
  <c r="E88" i="133"/>
  <c r="E86" i="133"/>
  <c r="F86" i="133" s="1"/>
  <c r="E85" i="133"/>
  <c r="F85" i="133" s="1"/>
  <c r="E83" i="133"/>
  <c r="F83" i="133" s="1"/>
  <c r="E82" i="133"/>
  <c r="E80" i="133"/>
  <c r="F80" i="133" s="1"/>
  <c r="E79" i="133"/>
  <c r="F79" i="133" s="1"/>
  <c r="E77" i="133"/>
  <c r="F77" i="133" s="1"/>
  <c r="E76" i="133"/>
  <c r="E74" i="133"/>
  <c r="F74" i="133" s="1"/>
  <c r="E73" i="133"/>
  <c r="F73" i="133" s="1"/>
  <c r="E71" i="133"/>
  <c r="F71" i="133" s="1"/>
  <c r="E70" i="133"/>
  <c r="E68" i="133"/>
  <c r="F68" i="133" s="1"/>
  <c r="E67" i="133"/>
  <c r="F67" i="133" s="1"/>
  <c r="E65" i="133"/>
  <c r="F65" i="133" s="1"/>
  <c r="E64" i="133"/>
  <c r="E62" i="133"/>
  <c r="F62" i="133" s="1"/>
  <c r="E61" i="133"/>
  <c r="F61" i="133" s="1"/>
  <c r="E59" i="133"/>
  <c r="F59" i="133" s="1"/>
  <c r="E58" i="133"/>
  <c r="E56" i="133"/>
  <c r="F56" i="133" s="1"/>
  <c r="E55" i="133"/>
  <c r="F55" i="133" s="1"/>
  <c r="E53" i="133"/>
  <c r="F53" i="133" s="1"/>
  <c r="E50" i="133"/>
  <c r="E49" i="133"/>
  <c r="F49" i="133" s="1"/>
  <c r="E47" i="133"/>
  <c r="F47" i="133" s="1"/>
  <c r="E45" i="133"/>
  <c r="F45" i="133" s="1"/>
  <c r="E46" i="133"/>
  <c r="E44" i="133"/>
  <c r="F44" i="133" s="1"/>
  <c r="E42" i="133"/>
  <c r="E43" i="133"/>
  <c r="F43" i="133" s="1"/>
  <c r="E41" i="133"/>
  <c r="E39" i="133"/>
  <c r="F39" i="133" s="1"/>
  <c r="E40" i="133"/>
  <c r="E38" i="133"/>
  <c r="F38" i="133" s="1"/>
  <c r="E36" i="133"/>
  <c r="E37" i="133"/>
  <c r="E35" i="133"/>
  <c r="F35" i="133" s="1"/>
  <c r="E33" i="133"/>
  <c r="F33" i="133" s="1"/>
  <c r="E34" i="133"/>
  <c r="E32" i="133"/>
  <c r="F32" i="133" s="1"/>
  <c r="E30" i="133"/>
  <c r="E31" i="133"/>
  <c r="F31" i="133" s="1"/>
  <c r="E29" i="133"/>
  <c r="E27" i="133"/>
  <c r="F27" i="133" s="1"/>
  <c r="E28" i="133"/>
  <c r="E26" i="133"/>
  <c r="F26" i="133" s="1"/>
  <c r="E24" i="133"/>
  <c r="E25" i="133"/>
  <c r="F25" i="133" s="1"/>
  <c r="E23" i="133"/>
  <c r="F23" i="133" s="1"/>
  <c r="E21" i="133"/>
  <c r="F21" i="133" s="1"/>
  <c r="E22" i="133"/>
  <c r="E20" i="133"/>
  <c r="F20" i="133" s="1"/>
  <c r="E18" i="133"/>
  <c r="E19" i="133"/>
  <c r="F19" i="133" s="1"/>
  <c r="E17" i="133"/>
  <c r="E15" i="133"/>
  <c r="F15" i="133" s="1"/>
  <c r="E16" i="133"/>
  <c r="E14" i="133"/>
  <c r="F14" i="133" s="1"/>
  <c r="E12" i="133"/>
  <c r="E13" i="133"/>
  <c r="F13" i="133" s="1"/>
  <c r="E11" i="133"/>
  <c r="F11" i="133" s="1"/>
  <c r="F154" i="133"/>
  <c r="F148" i="133"/>
  <c r="F142" i="133"/>
  <c r="F136" i="133"/>
  <c r="F130" i="133"/>
  <c r="F124" i="133"/>
  <c r="F118" i="133"/>
  <c r="F112" i="133"/>
  <c r="F106" i="133"/>
  <c r="F100" i="133"/>
  <c r="F94" i="133"/>
  <c r="F88" i="133"/>
  <c r="F82" i="133"/>
  <c r="F76" i="133"/>
  <c r="F70" i="133"/>
  <c r="F64" i="133"/>
  <c r="F58" i="133"/>
  <c r="F50" i="133"/>
  <c r="L46" i="133"/>
  <c r="L45" i="133"/>
  <c r="L44" i="133"/>
  <c r="L42" i="133"/>
  <c r="L41" i="133"/>
  <c r="L40" i="133"/>
  <c r="L39" i="133"/>
  <c r="L37" i="133"/>
  <c r="L36" i="133"/>
  <c r="L35" i="133"/>
  <c r="L34" i="133"/>
  <c r="L33" i="133"/>
  <c r="L32" i="133"/>
  <c r="L30" i="133"/>
  <c r="L29" i="133"/>
  <c r="L28" i="133"/>
  <c r="L27" i="133"/>
  <c r="L25" i="133"/>
  <c r="L24" i="133"/>
  <c r="L23" i="133"/>
  <c r="L22" i="133"/>
  <c r="L21" i="133"/>
  <c r="L20" i="133"/>
  <c r="L18" i="133"/>
  <c r="L17" i="133"/>
  <c r="L16" i="133"/>
  <c r="L15" i="133"/>
  <c r="L13" i="133"/>
  <c r="L12" i="133"/>
  <c r="L11" i="133"/>
  <c r="F46" i="133"/>
  <c r="F42" i="133"/>
  <c r="F41" i="133"/>
  <c r="F40" i="133"/>
  <c r="F37" i="133"/>
  <c r="F36" i="133"/>
  <c r="F34" i="133"/>
  <c r="F30" i="133"/>
  <c r="F29" i="133"/>
  <c r="F28" i="133"/>
  <c r="F24" i="133"/>
  <c r="F22" i="133"/>
  <c r="F18" i="133"/>
  <c r="F17" i="133"/>
  <c r="F16" i="133"/>
  <c r="F12" i="133"/>
  <c r="K45" i="132"/>
  <c r="K46" i="132"/>
  <c r="K44" i="132"/>
  <c r="L44" i="132" s="1"/>
  <c r="K42" i="132"/>
  <c r="K43" i="132"/>
  <c r="K41" i="132"/>
  <c r="K39" i="132"/>
  <c r="L39" i="132" s="1"/>
  <c r="K40" i="132"/>
  <c r="K38" i="132"/>
  <c r="K36" i="132"/>
  <c r="K37" i="132"/>
  <c r="K35" i="132"/>
  <c r="K33" i="132"/>
  <c r="K34" i="132"/>
  <c r="K32" i="132"/>
  <c r="L32" i="132" s="1"/>
  <c r="K30" i="132"/>
  <c r="K31" i="132"/>
  <c r="K29" i="132"/>
  <c r="K27" i="132"/>
  <c r="L27" i="132" s="1"/>
  <c r="K28" i="132"/>
  <c r="K26" i="132"/>
  <c r="K24" i="132"/>
  <c r="K25" i="132"/>
  <c r="K23" i="132"/>
  <c r="K21" i="132"/>
  <c r="K22" i="132"/>
  <c r="K20" i="132"/>
  <c r="L20" i="132" s="1"/>
  <c r="K18" i="132"/>
  <c r="K19" i="132"/>
  <c r="K17" i="132"/>
  <c r="K15" i="132"/>
  <c r="L15" i="132" s="1"/>
  <c r="K16" i="132"/>
  <c r="K14" i="132"/>
  <c r="K12" i="132"/>
  <c r="K13" i="132"/>
  <c r="K11" i="132"/>
  <c r="E45" i="132"/>
  <c r="E46" i="132"/>
  <c r="E44" i="132"/>
  <c r="F44" i="132" s="1"/>
  <c r="E42" i="132"/>
  <c r="E43" i="132"/>
  <c r="E41" i="132"/>
  <c r="E39" i="132"/>
  <c r="E40" i="132"/>
  <c r="E38" i="132"/>
  <c r="E36" i="132"/>
  <c r="E37" i="132"/>
  <c r="E35" i="132"/>
  <c r="E33" i="132"/>
  <c r="E34" i="132"/>
  <c r="E32" i="132"/>
  <c r="E30" i="132"/>
  <c r="E31" i="132"/>
  <c r="E29" i="132"/>
  <c r="E27" i="132"/>
  <c r="E28" i="132"/>
  <c r="E26" i="132"/>
  <c r="E24" i="132"/>
  <c r="E25" i="132"/>
  <c r="E23" i="132"/>
  <c r="E21" i="132"/>
  <c r="E22" i="132"/>
  <c r="E20" i="132"/>
  <c r="F20" i="132" s="1"/>
  <c r="E18" i="132"/>
  <c r="E19" i="132"/>
  <c r="E17" i="132"/>
  <c r="E15" i="132"/>
  <c r="E16" i="132"/>
  <c r="E14" i="132"/>
  <c r="E12" i="132"/>
  <c r="E13" i="132"/>
  <c r="E11" i="132"/>
  <c r="AB30" i="132"/>
  <c r="AB31" i="132"/>
  <c r="AB32" i="132"/>
  <c r="AB33" i="132"/>
  <c r="AC30" i="132" s="1"/>
  <c r="AB34" i="132"/>
  <c r="AB29" i="132"/>
  <c r="Y30" i="132"/>
  <c r="Y31" i="132"/>
  <c r="Y32" i="132"/>
  <c r="Y33" i="132"/>
  <c r="Z30" i="132" s="1"/>
  <c r="Y34" i="132"/>
  <c r="Y29" i="132"/>
  <c r="V30" i="132"/>
  <c r="V31" i="132"/>
  <c r="V32" i="132"/>
  <c r="V33" i="132"/>
  <c r="W30" i="132" s="1"/>
  <c r="V34" i="132"/>
  <c r="V29" i="132"/>
  <c r="AB24" i="132"/>
  <c r="AB25" i="132"/>
  <c r="AB26" i="132"/>
  <c r="AB27" i="132"/>
  <c r="AC24" i="132" s="1"/>
  <c r="AB28" i="132"/>
  <c r="AB23" i="132"/>
  <c r="Y24" i="132"/>
  <c r="Y25" i="132"/>
  <c r="Y26" i="132"/>
  <c r="Y27" i="132"/>
  <c r="Z23" i="132" s="1"/>
  <c r="Y28" i="132"/>
  <c r="Y23" i="132"/>
  <c r="V24" i="132"/>
  <c r="V25" i="132"/>
  <c r="V26" i="132"/>
  <c r="W24" i="132" s="1"/>
  <c r="V27" i="132"/>
  <c r="V28" i="132"/>
  <c r="V23" i="132"/>
  <c r="AB18" i="132"/>
  <c r="AB19" i="132"/>
  <c r="AB20" i="132"/>
  <c r="AB21" i="132"/>
  <c r="AC18" i="132" s="1"/>
  <c r="AB22" i="132"/>
  <c r="AB17" i="132"/>
  <c r="Y18" i="132"/>
  <c r="Y19" i="132"/>
  <c r="Y20" i="132"/>
  <c r="Y21" i="132"/>
  <c r="Z18" i="132" s="1"/>
  <c r="Y22" i="132"/>
  <c r="Y17" i="132"/>
  <c r="V18" i="132"/>
  <c r="V19" i="132"/>
  <c r="V20" i="132"/>
  <c r="V21" i="132"/>
  <c r="V22" i="132"/>
  <c r="V17" i="132"/>
  <c r="Z29" i="132"/>
  <c r="AB16" i="132"/>
  <c r="Y16" i="132"/>
  <c r="V16" i="132"/>
  <c r="AB15" i="132"/>
  <c r="Y15" i="132"/>
  <c r="V15" i="132"/>
  <c r="AB14" i="132"/>
  <c r="Y14" i="132"/>
  <c r="V14" i="132"/>
  <c r="AB13" i="132"/>
  <c r="Y13" i="132"/>
  <c r="V13" i="132"/>
  <c r="AB12" i="132"/>
  <c r="Y12" i="132"/>
  <c r="Z11" i="132" s="1"/>
  <c r="V12" i="132"/>
  <c r="AB11" i="132"/>
  <c r="AC12" i="132" s="1"/>
  <c r="Y11" i="132"/>
  <c r="V11" i="132"/>
  <c r="W12" i="132" s="1"/>
  <c r="L46" i="132"/>
  <c r="L45" i="132"/>
  <c r="L43" i="132"/>
  <c r="L42" i="132"/>
  <c r="L41" i="132"/>
  <c r="L40" i="132"/>
  <c r="L38" i="132"/>
  <c r="L37" i="132"/>
  <c r="L36" i="132"/>
  <c r="L35" i="132"/>
  <c r="L34" i="132"/>
  <c r="L33" i="132"/>
  <c r="L31" i="132"/>
  <c r="L30" i="132"/>
  <c r="L29" i="132"/>
  <c r="L28" i="132"/>
  <c r="L26" i="132"/>
  <c r="L25" i="132"/>
  <c r="L24" i="132"/>
  <c r="L23" i="132"/>
  <c r="L22" i="132"/>
  <c r="L21" i="132"/>
  <c r="L19" i="132"/>
  <c r="L18" i="132"/>
  <c r="L17" i="132"/>
  <c r="L16" i="132"/>
  <c r="L14" i="132"/>
  <c r="L13" i="132"/>
  <c r="L12" i="132"/>
  <c r="L11" i="132"/>
  <c r="O7" i="132"/>
  <c r="O6" i="132"/>
  <c r="O5" i="132"/>
  <c r="O4" i="132"/>
  <c r="F46" i="132"/>
  <c r="F45" i="132"/>
  <c r="F43" i="132"/>
  <c r="F42" i="132"/>
  <c r="F41" i="132"/>
  <c r="F40" i="132"/>
  <c r="F39" i="132"/>
  <c r="F38" i="132"/>
  <c r="F37" i="132"/>
  <c r="F36" i="132"/>
  <c r="F35" i="132"/>
  <c r="F34" i="132"/>
  <c r="F33" i="132"/>
  <c r="F32" i="132"/>
  <c r="F31" i="132"/>
  <c r="F30" i="132"/>
  <c r="F29" i="132"/>
  <c r="F28" i="132"/>
  <c r="F27" i="132"/>
  <c r="F26" i="132"/>
  <c r="F25" i="132"/>
  <c r="F24" i="132"/>
  <c r="F23" i="132"/>
  <c r="F22" i="132"/>
  <c r="F21" i="132"/>
  <c r="F19" i="132"/>
  <c r="F18" i="132"/>
  <c r="F17" i="132"/>
  <c r="F16" i="132"/>
  <c r="F15" i="132"/>
  <c r="F14" i="132"/>
  <c r="F13" i="132"/>
  <c r="F12" i="132"/>
  <c r="F11" i="132"/>
  <c r="K7" i="132"/>
  <c r="K6" i="132"/>
  <c r="K5" i="132"/>
  <c r="K4" i="132"/>
  <c r="AB30" i="131"/>
  <c r="AB31" i="131"/>
  <c r="AB32" i="131"/>
  <c r="AB33" i="131"/>
  <c r="AC30" i="131" s="1"/>
  <c r="AB34" i="131"/>
  <c r="AB29" i="131"/>
  <c r="AB24" i="131"/>
  <c r="AB25" i="131"/>
  <c r="AB26" i="131"/>
  <c r="AB27" i="131"/>
  <c r="AC24" i="131" s="1"/>
  <c r="AB28" i="131"/>
  <c r="AB23" i="131"/>
  <c r="AB18" i="131"/>
  <c r="AB19" i="131"/>
  <c r="AB20" i="131"/>
  <c r="AB21" i="131"/>
  <c r="AC18" i="131" s="1"/>
  <c r="AB22" i="131"/>
  <c r="AB17" i="131"/>
  <c r="Y30" i="131"/>
  <c r="Y31" i="131"/>
  <c r="Y32" i="131"/>
  <c r="Y33" i="131"/>
  <c r="Z29" i="131" s="1"/>
  <c r="Y34" i="131"/>
  <c r="Y29" i="131"/>
  <c r="Y24" i="131"/>
  <c r="Y25" i="131"/>
  <c r="Y26" i="131"/>
  <c r="Y27" i="131"/>
  <c r="Z23" i="131" s="1"/>
  <c r="Y28" i="131"/>
  <c r="Y23" i="131"/>
  <c r="Y18" i="131"/>
  <c r="Y19" i="131"/>
  <c r="Y20" i="131"/>
  <c r="Y21" i="131"/>
  <c r="Z17" i="131" s="1"/>
  <c r="Y22" i="131"/>
  <c r="Y17" i="131"/>
  <c r="V30" i="131"/>
  <c r="V31" i="131"/>
  <c r="V32" i="131"/>
  <c r="V33" i="131"/>
  <c r="V34" i="131"/>
  <c r="V29" i="131"/>
  <c r="V24" i="131"/>
  <c r="V25" i="131"/>
  <c r="V26" i="131"/>
  <c r="V27" i="131"/>
  <c r="W24" i="131" s="1"/>
  <c r="V28" i="131"/>
  <c r="V23" i="131"/>
  <c r="V18" i="131"/>
  <c r="V19" i="131"/>
  <c r="V20" i="131"/>
  <c r="V21" i="131"/>
  <c r="W18" i="131" s="1"/>
  <c r="V22" i="131"/>
  <c r="V17" i="131"/>
  <c r="K45" i="131"/>
  <c r="L45" i="131" s="1"/>
  <c r="K46" i="131"/>
  <c r="K44" i="131"/>
  <c r="L44" i="131" s="1"/>
  <c r="K42" i="131"/>
  <c r="K43" i="131"/>
  <c r="L43" i="131" s="1"/>
  <c r="K41" i="131"/>
  <c r="K39" i="131"/>
  <c r="K40" i="131"/>
  <c r="K38" i="131"/>
  <c r="K36" i="131"/>
  <c r="L36" i="131" s="1"/>
  <c r="K37" i="131"/>
  <c r="K35" i="131"/>
  <c r="K33" i="131"/>
  <c r="K34" i="131"/>
  <c r="L34" i="131" s="1"/>
  <c r="K32" i="131"/>
  <c r="K30" i="131"/>
  <c r="K31" i="131"/>
  <c r="L31" i="131" s="1"/>
  <c r="K29" i="131"/>
  <c r="K27" i="131"/>
  <c r="K28" i="131"/>
  <c r="K26" i="131"/>
  <c r="K24" i="131"/>
  <c r="L24" i="131" s="1"/>
  <c r="K25" i="131"/>
  <c r="K23" i="131"/>
  <c r="K21" i="131"/>
  <c r="K22" i="131"/>
  <c r="L22" i="131" s="1"/>
  <c r="K20" i="131"/>
  <c r="K18" i="131"/>
  <c r="K19" i="131"/>
  <c r="L19" i="131" s="1"/>
  <c r="K17" i="131"/>
  <c r="K15" i="131"/>
  <c r="K16" i="131"/>
  <c r="K14" i="131"/>
  <c r="K12" i="131"/>
  <c r="L12" i="131" s="1"/>
  <c r="K13" i="131"/>
  <c r="K11" i="131"/>
  <c r="E45" i="131"/>
  <c r="E46" i="131"/>
  <c r="E44" i="131"/>
  <c r="E42" i="131"/>
  <c r="E43" i="131"/>
  <c r="E41" i="131"/>
  <c r="E39" i="131"/>
  <c r="E40" i="131"/>
  <c r="E38" i="131"/>
  <c r="E36" i="131"/>
  <c r="E37" i="131"/>
  <c r="E35" i="131"/>
  <c r="E33" i="131"/>
  <c r="E34" i="131"/>
  <c r="E32" i="131"/>
  <c r="E30" i="131"/>
  <c r="E31" i="131"/>
  <c r="E29" i="131"/>
  <c r="E27" i="131"/>
  <c r="E28" i="131"/>
  <c r="E26" i="131"/>
  <c r="E24" i="131"/>
  <c r="E25" i="131"/>
  <c r="E23" i="131"/>
  <c r="E21" i="131"/>
  <c r="E22" i="131"/>
  <c r="E20" i="131"/>
  <c r="E18" i="131"/>
  <c r="E19" i="131"/>
  <c r="E17" i="131"/>
  <c r="E15" i="131"/>
  <c r="E16" i="131"/>
  <c r="E14" i="131"/>
  <c r="E12" i="131"/>
  <c r="E13" i="131"/>
  <c r="E11" i="131"/>
  <c r="Z30" i="131"/>
  <c r="W30" i="131"/>
  <c r="Z24" i="131"/>
  <c r="AB16" i="131"/>
  <c r="Y16" i="131"/>
  <c r="V16" i="131"/>
  <c r="AB15" i="131"/>
  <c r="Y15" i="131"/>
  <c r="V15" i="131"/>
  <c r="AB14" i="131"/>
  <c r="Y14" i="131"/>
  <c r="V14" i="131"/>
  <c r="AB13" i="131"/>
  <c r="Y13" i="131"/>
  <c r="V13" i="131"/>
  <c r="AB12" i="131"/>
  <c r="Y12" i="131"/>
  <c r="Z11" i="131" s="1"/>
  <c r="V12" i="131"/>
  <c r="AB11" i="131"/>
  <c r="AC12" i="131" s="1"/>
  <c r="Y11" i="131"/>
  <c r="V11" i="131"/>
  <c r="W12" i="131" s="1"/>
  <c r="L46" i="131"/>
  <c r="L42" i="131"/>
  <c r="L41" i="131"/>
  <c r="L40" i="131"/>
  <c r="L39" i="131"/>
  <c r="L38" i="131"/>
  <c r="L37" i="131"/>
  <c r="L35" i="131"/>
  <c r="L33" i="131"/>
  <c r="L32" i="131"/>
  <c r="L30" i="131"/>
  <c r="L29" i="131"/>
  <c r="L28" i="131"/>
  <c r="L27" i="131"/>
  <c r="L26" i="131"/>
  <c r="L25" i="131"/>
  <c r="L23" i="131"/>
  <c r="L21" i="131"/>
  <c r="L20" i="131"/>
  <c r="L18" i="131"/>
  <c r="L17" i="131"/>
  <c r="L16" i="131"/>
  <c r="L15" i="131"/>
  <c r="L14" i="131"/>
  <c r="L13" i="131"/>
  <c r="L11" i="131"/>
  <c r="O7" i="131"/>
  <c r="O6" i="131"/>
  <c r="O5" i="131"/>
  <c r="O4" i="131"/>
  <c r="F46" i="131"/>
  <c r="F45" i="131"/>
  <c r="F44" i="131"/>
  <c r="F43" i="131"/>
  <c r="F42" i="131"/>
  <c r="F41" i="131"/>
  <c r="F40" i="131"/>
  <c r="F39" i="131"/>
  <c r="F38" i="131"/>
  <c r="F37" i="131"/>
  <c r="F36" i="131"/>
  <c r="F35" i="131"/>
  <c r="F34" i="131"/>
  <c r="F33" i="131"/>
  <c r="F32" i="131"/>
  <c r="F31" i="131"/>
  <c r="F30" i="131"/>
  <c r="F29" i="131"/>
  <c r="F28" i="131"/>
  <c r="F27" i="131"/>
  <c r="F26" i="131"/>
  <c r="F25" i="131"/>
  <c r="F24" i="131"/>
  <c r="F23" i="131"/>
  <c r="F22" i="131"/>
  <c r="F21" i="131"/>
  <c r="F20" i="131"/>
  <c r="F19" i="131"/>
  <c r="F18" i="131"/>
  <c r="F17" i="131"/>
  <c r="F16" i="131"/>
  <c r="F15" i="131"/>
  <c r="F14" i="131"/>
  <c r="F13" i="131"/>
  <c r="F12" i="131"/>
  <c r="F11" i="131"/>
  <c r="K7" i="131"/>
  <c r="K6" i="131"/>
  <c r="K5" i="131"/>
  <c r="K4" i="131"/>
  <c r="K45" i="130"/>
  <c r="K46" i="130"/>
  <c r="K44" i="130"/>
  <c r="K42" i="130"/>
  <c r="K43" i="130"/>
  <c r="K41" i="130"/>
  <c r="L41" i="130" s="1"/>
  <c r="K39" i="130"/>
  <c r="K40" i="130"/>
  <c r="K38" i="130"/>
  <c r="K36" i="130"/>
  <c r="L36" i="130" s="1"/>
  <c r="K37" i="130"/>
  <c r="K35" i="130"/>
  <c r="K33" i="130"/>
  <c r="K34" i="130"/>
  <c r="K32" i="130"/>
  <c r="K30" i="130"/>
  <c r="K31" i="130"/>
  <c r="K29" i="130"/>
  <c r="L29" i="130" s="1"/>
  <c r="K27" i="130"/>
  <c r="K28" i="130"/>
  <c r="K26" i="130"/>
  <c r="K24" i="130"/>
  <c r="L24" i="130" s="1"/>
  <c r="K25" i="130"/>
  <c r="K23" i="130"/>
  <c r="K21" i="130"/>
  <c r="K22" i="130"/>
  <c r="K20" i="130"/>
  <c r="K18" i="130"/>
  <c r="K19" i="130"/>
  <c r="K17" i="130"/>
  <c r="L17" i="130" s="1"/>
  <c r="K15" i="130"/>
  <c r="K16" i="130"/>
  <c r="K14" i="130"/>
  <c r="K12" i="130"/>
  <c r="L12" i="130" s="1"/>
  <c r="K13" i="130"/>
  <c r="K11" i="130"/>
  <c r="E45" i="130"/>
  <c r="E46" i="130"/>
  <c r="E44" i="130"/>
  <c r="E42" i="130"/>
  <c r="E43" i="130"/>
  <c r="E41" i="130"/>
  <c r="E39" i="130"/>
  <c r="E40" i="130"/>
  <c r="E38" i="130"/>
  <c r="E36" i="130"/>
  <c r="E37" i="130"/>
  <c r="E35" i="130"/>
  <c r="E33" i="130"/>
  <c r="E34" i="130"/>
  <c r="E32" i="130"/>
  <c r="E30" i="130"/>
  <c r="E31" i="130"/>
  <c r="E29" i="130"/>
  <c r="E27" i="130"/>
  <c r="E26" i="130"/>
  <c r="E24" i="130"/>
  <c r="E25" i="130"/>
  <c r="E23" i="130"/>
  <c r="E21" i="130"/>
  <c r="E22" i="130"/>
  <c r="E20" i="130"/>
  <c r="E18" i="130"/>
  <c r="E19" i="130"/>
  <c r="E17" i="130"/>
  <c r="E15" i="130"/>
  <c r="E16" i="130"/>
  <c r="E14" i="130"/>
  <c r="E12" i="130"/>
  <c r="E13" i="130"/>
  <c r="E11" i="130"/>
  <c r="AB30" i="130"/>
  <c r="AB31" i="130"/>
  <c r="AB32" i="130"/>
  <c r="AB33" i="130"/>
  <c r="AC30" i="130" s="1"/>
  <c r="AB34" i="130"/>
  <c r="AB29" i="130"/>
  <c r="AB24" i="130"/>
  <c r="AB25" i="130"/>
  <c r="AB26" i="130"/>
  <c r="AB27" i="130"/>
  <c r="AC24" i="130" s="1"/>
  <c r="AB28" i="130"/>
  <c r="AB23" i="130"/>
  <c r="AB18" i="130"/>
  <c r="AB19" i="130"/>
  <c r="AB20" i="130"/>
  <c r="AB21" i="130"/>
  <c r="AC17" i="130" s="1"/>
  <c r="AB22" i="130"/>
  <c r="AB17" i="130"/>
  <c r="Y30" i="130"/>
  <c r="Y31" i="130"/>
  <c r="Y32" i="130"/>
  <c r="Z29" i="130" s="1"/>
  <c r="Y33" i="130"/>
  <c r="Y34" i="130"/>
  <c r="Y29" i="130"/>
  <c r="Y24" i="130"/>
  <c r="Y25" i="130"/>
  <c r="Y26" i="130"/>
  <c r="Y27" i="130"/>
  <c r="Z23" i="130" s="1"/>
  <c r="Y28" i="130"/>
  <c r="Y23" i="130"/>
  <c r="Y18" i="130"/>
  <c r="Y20" i="130"/>
  <c r="Y21" i="130"/>
  <c r="Z17" i="130" s="1"/>
  <c r="Y22" i="130"/>
  <c r="Y17" i="130"/>
  <c r="V30" i="130"/>
  <c r="V31" i="130"/>
  <c r="V32" i="130"/>
  <c r="V33" i="130"/>
  <c r="W30" i="130" s="1"/>
  <c r="V34" i="130"/>
  <c r="V29" i="130"/>
  <c r="V24" i="130"/>
  <c r="V25" i="130"/>
  <c r="V26" i="130"/>
  <c r="V27" i="130"/>
  <c r="W24" i="130" s="1"/>
  <c r="V28" i="130"/>
  <c r="V23" i="130"/>
  <c r="V18" i="130"/>
  <c r="V19" i="130"/>
  <c r="V20" i="130"/>
  <c r="V21" i="130"/>
  <c r="W18" i="130" s="1"/>
  <c r="V22" i="130"/>
  <c r="V17" i="130"/>
  <c r="Z24" i="130"/>
  <c r="AC23" i="130"/>
  <c r="AC18" i="130"/>
  <c r="AB16" i="130"/>
  <c r="Y16" i="130"/>
  <c r="V16" i="130"/>
  <c r="AB15" i="130"/>
  <c r="Y15" i="130"/>
  <c r="V15" i="130"/>
  <c r="AB14" i="130"/>
  <c r="Y14" i="130"/>
  <c r="V14" i="130"/>
  <c r="AB13" i="130"/>
  <c r="Y13" i="130"/>
  <c r="V13" i="130"/>
  <c r="AB12" i="130"/>
  <c r="Y12" i="130"/>
  <c r="Z11" i="130" s="1"/>
  <c r="V12" i="130"/>
  <c r="AB11" i="130"/>
  <c r="AC12" i="130" s="1"/>
  <c r="Y11" i="130"/>
  <c r="V11" i="130"/>
  <c r="W12" i="130" s="1"/>
  <c r="L46" i="130"/>
  <c r="L45" i="130"/>
  <c r="L44" i="130"/>
  <c r="L43" i="130"/>
  <c r="L42" i="130"/>
  <c r="L40" i="130"/>
  <c r="L39" i="130"/>
  <c r="L38" i="130"/>
  <c r="L37" i="130"/>
  <c r="L35" i="130"/>
  <c r="L34" i="130"/>
  <c r="L33" i="130"/>
  <c r="L32" i="130"/>
  <c r="L31" i="130"/>
  <c r="L30" i="130"/>
  <c r="L28" i="130"/>
  <c r="L27" i="130"/>
  <c r="L26" i="130"/>
  <c r="L25" i="130"/>
  <c r="L23" i="130"/>
  <c r="L22" i="130"/>
  <c r="L21" i="130"/>
  <c r="L20" i="130"/>
  <c r="L19" i="130"/>
  <c r="L18" i="130"/>
  <c r="L16" i="130"/>
  <c r="L15" i="130"/>
  <c r="L14" i="130"/>
  <c r="L13" i="130"/>
  <c r="L11" i="130"/>
  <c r="O7" i="130"/>
  <c r="O6" i="130"/>
  <c r="O5" i="130"/>
  <c r="O4" i="130"/>
  <c r="F46" i="130"/>
  <c r="F45" i="130"/>
  <c r="F44" i="130"/>
  <c r="F43" i="130"/>
  <c r="F42" i="130"/>
  <c r="F41" i="130"/>
  <c r="F40" i="130"/>
  <c r="F39" i="130"/>
  <c r="F38" i="130"/>
  <c r="F37" i="130"/>
  <c r="F36" i="130"/>
  <c r="F35" i="130"/>
  <c r="F34" i="130"/>
  <c r="F33" i="130"/>
  <c r="F32" i="130"/>
  <c r="F31" i="130"/>
  <c r="F30" i="130"/>
  <c r="F29" i="130"/>
  <c r="F27" i="130"/>
  <c r="F26" i="130"/>
  <c r="F25" i="130"/>
  <c r="F24" i="130"/>
  <c r="F23" i="130"/>
  <c r="F22" i="130"/>
  <c r="F21" i="130"/>
  <c r="F20" i="130"/>
  <c r="F19" i="130"/>
  <c r="F18" i="130"/>
  <c r="F17" i="130"/>
  <c r="F16" i="130"/>
  <c r="F15" i="130"/>
  <c r="F14" i="130"/>
  <c r="F13" i="130"/>
  <c r="F12" i="130"/>
  <c r="F11" i="130"/>
  <c r="K7" i="130"/>
  <c r="K6" i="130"/>
  <c r="K5" i="130"/>
  <c r="K4" i="130"/>
  <c r="AB30" i="128"/>
  <c r="AB31" i="128"/>
  <c r="AB32" i="128"/>
  <c r="AB33" i="128"/>
  <c r="AC30" i="128" s="1"/>
  <c r="AB34" i="128"/>
  <c r="AB29" i="128"/>
  <c r="AB24" i="128"/>
  <c r="AB25" i="128"/>
  <c r="AB26" i="128"/>
  <c r="AB27" i="128"/>
  <c r="AB28" i="128"/>
  <c r="AB23" i="128"/>
  <c r="AB18" i="128"/>
  <c r="AB19" i="128"/>
  <c r="AB20" i="128"/>
  <c r="AB21" i="128"/>
  <c r="AC18" i="128" s="1"/>
  <c r="AB22" i="128"/>
  <c r="AB17" i="128"/>
  <c r="Y30" i="128"/>
  <c r="Z30" i="128" s="1"/>
  <c r="Y31" i="128"/>
  <c r="Y32" i="128"/>
  <c r="Y33" i="128"/>
  <c r="Y34" i="128"/>
  <c r="Y29" i="128"/>
  <c r="Y24" i="128"/>
  <c r="Y25" i="128"/>
  <c r="Y26" i="128"/>
  <c r="Y27" i="128"/>
  <c r="Z23" i="128" s="1"/>
  <c r="Y28" i="128"/>
  <c r="Y23" i="128"/>
  <c r="Y18" i="128"/>
  <c r="Y19" i="128"/>
  <c r="Y20" i="128"/>
  <c r="Y21" i="128"/>
  <c r="Z18" i="128" s="1"/>
  <c r="Y22" i="128"/>
  <c r="Y17" i="128"/>
  <c r="V30" i="128"/>
  <c r="V31" i="128"/>
  <c r="V32" i="128"/>
  <c r="V33" i="128"/>
  <c r="V34" i="128"/>
  <c r="V29" i="128"/>
  <c r="V24" i="128"/>
  <c r="V25" i="128"/>
  <c r="V26" i="128"/>
  <c r="V27" i="128"/>
  <c r="W24" i="128" s="1"/>
  <c r="V28" i="128"/>
  <c r="V23" i="128"/>
  <c r="V18" i="128"/>
  <c r="V19" i="128"/>
  <c r="V20" i="128"/>
  <c r="V21" i="128"/>
  <c r="V22" i="128"/>
  <c r="V17" i="128"/>
  <c r="W30" i="128"/>
  <c r="W29" i="128"/>
  <c r="AC24" i="128"/>
  <c r="Z24" i="128"/>
  <c r="W18" i="128"/>
  <c r="AB16" i="128"/>
  <c r="Y16" i="128"/>
  <c r="V16" i="128"/>
  <c r="AB15" i="128"/>
  <c r="Y15" i="128"/>
  <c r="V15" i="128"/>
  <c r="AB14" i="128"/>
  <c r="Y14" i="128"/>
  <c r="V14" i="128"/>
  <c r="AB13" i="128"/>
  <c r="Y13" i="128"/>
  <c r="V13" i="128"/>
  <c r="AB12" i="128"/>
  <c r="Y12" i="128"/>
  <c r="Z11" i="128" s="1"/>
  <c r="V12" i="128"/>
  <c r="AB11" i="128"/>
  <c r="AC12" i="128" s="1"/>
  <c r="Y11" i="128"/>
  <c r="V11" i="128"/>
  <c r="W12" i="128" s="1"/>
  <c r="K45" i="128"/>
  <c r="K46" i="128"/>
  <c r="K44" i="128"/>
  <c r="K42" i="128"/>
  <c r="K43" i="128"/>
  <c r="K41" i="128"/>
  <c r="K39" i="128"/>
  <c r="K40" i="128"/>
  <c r="K38" i="128"/>
  <c r="K36" i="128"/>
  <c r="K37" i="128"/>
  <c r="K35" i="128"/>
  <c r="K33" i="128"/>
  <c r="K34" i="128"/>
  <c r="K32" i="128"/>
  <c r="K30" i="128"/>
  <c r="K31" i="128"/>
  <c r="K29" i="128"/>
  <c r="K27" i="128"/>
  <c r="K28" i="128"/>
  <c r="K26" i="128"/>
  <c r="K24" i="128"/>
  <c r="K25" i="128"/>
  <c r="K23" i="128"/>
  <c r="K21" i="128"/>
  <c r="K22" i="128"/>
  <c r="K20" i="128"/>
  <c r="K18" i="128"/>
  <c r="K19" i="128"/>
  <c r="K17" i="128"/>
  <c r="K15" i="128"/>
  <c r="K16" i="128"/>
  <c r="K14" i="128"/>
  <c r="K12" i="128"/>
  <c r="K13" i="128"/>
  <c r="K11" i="128"/>
  <c r="E45" i="128"/>
  <c r="E46" i="128"/>
  <c r="E44" i="128"/>
  <c r="E42" i="128"/>
  <c r="E43" i="128"/>
  <c r="E41" i="128"/>
  <c r="E39" i="128"/>
  <c r="E40" i="128"/>
  <c r="E38" i="128"/>
  <c r="E36" i="128"/>
  <c r="E37" i="128"/>
  <c r="E35" i="128"/>
  <c r="E33" i="128"/>
  <c r="E34" i="128"/>
  <c r="E32" i="128"/>
  <c r="E30" i="128"/>
  <c r="E31" i="128"/>
  <c r="E29" i="128"/>
  <c r="E27" i="128"/>
  <c r="E28" i="128"/>
  <c r="E26" i="128"/>
  <c r="E24" i="128"/>
  <c r="E25" i="128"/>
  <c r="E23" i="128"/>
  <c r="E21" i="128"/>
  <c r="E22" i="128"/>
  <c r="E20" i="128"/>
  <c r="E18" i="128"/>
  <c r="E19" i="128"/>
  <c r="E17" i="128"/>
  <c r="E15" i="128"/>
  <c r="E16" i="128"/>
  <c r="E14" i="128"/>
  <c r="E12" i="128"/>
  <c r="E13" i="128"/>
  <c r="E11" i="128"/>
  <c r="AF30" i="134" l="1"/>
  <c r="AR30" i="134"/>
  <c r="BD30" i="134"/>
  <c r="AR17" i="134"/>
  <c r="AU23" i="134"/>
  <c r="W23" i="134"/>
  <c r="BA30" i="134"/>
  <c r="AL11" i="134"/>
  <c r="BD29" i="134"/>
  <c r="AX11" i="134"/>
  <c r="AF12" i="134"/>
  <c r="BD11" i="134"/>
  <c r="BD18" i="134"/>
  <c r="AL12" i="134"/>
  <c r="AX18" i="134"/>
  <c r="AC24" i="134"/>
  <c r="W18" i="134"/>
  <c r="W24" i="134"/>
  <c r="AF29" i="134"/>
  <c r="Z11" i="134"/>
  <c r="Z30" i="134"/>
  <c r="AC12" i="134"/>
  <c r="AO12" i="134"/>
  <c r="AL17" i="134"/>
  <c r="AL24" i="134"/>
  <c r="AC30" i="134"/>
  <c r="AL30" i="134"/>
  <c r="W12" i="134"/>
  <c r="AR12" i="134"/>
  <c r="BA12" i="134"/>
  <c r="Z12" i="134"/>
  <c r="Z18" i="134"/>
  <c r="BD17" i="134"/>
  <c r="AC23" i="134"/>
  <c r="AO24" i="134"/>
  <c r="AX24" i="134"/>
  <c r="BA23" i="134"/>
  <c r="W30" i="134"/>
  <c r="AX29" i="134"/>
  <c r="AI12" i="134"/>
  <c r="BD12" i="134"/>
  <c r="AC18" i="134"/>
  <c r="AO18" i="134"/>
  <c r="AF24" i="134"/>
  <c r="BA24" i="134"/>
  <c r="AX12" i="134"/>
  <c r="AF11" i="134"/>
  <c r="AF18" i="134"/>
  <c r="AR18" i="134"/>
  <c r="BA17" i="134"/>
  <c r="Z17" i="134"/>
  <c r="Z24" i="134"/>
  <c r="AI23" i="134"/>
  <c r="AU24" i="134"/>
  <c r="BD24" i="134"/>
  <c r="AI24" i="134"/>
  <c r="Z29" i="134"/>
  <c r="AR29" i="134"/>
  <c r="AR11" i="134"/>
  <c r="AF17" i="134"/>
  <c r="AO23" i="134"/>
  <c r="AL29" i="134"/>
  <c r="AU30" i="134"/>
  <c r="AX30" i="134"/>
  <c r="AX17" i="134"/>
  <c r="AU12" i="134"/>
  <c r="AI18" i="134"/>
  <c r="AR24" i="134"/>
  <c r="AO30" i="134"/>
  <c r="AL18" i="134"/>
  <c r="AU18" i="134"/>
  <c r="AI30" i="134"/>
  <c r="BA18" i="134"/>
  <c r="W11" i="134"/>
  <c r="AC11" i="134"/>
  <c r="AI11" i="134"/>
  <c r="AO11" i="134"/>
  <c r="AU11" i="134"/>
  <c r="BA11" i="134"/>
  <c r="Z23" i="134"/>
  <c r="AF23" i="134"/>
  <c r="AL23" i="134"/>
  <c r="AR23" i="134"/>
  <c r="AX23" i="134"/>
  <c r="BD23" i="134"/>
  <c r="W29" i="134"/>
  <c r="AC29" i="134"/>
  <c r="AI29" i="134"/>
  <c r="AO29" i="134"/>
  <c r="AU29" i="134"/>
  <c r="BA29" i="134"/>
  <c r="W17" i="134"/>
  <c r="AC17" i="134"/>
  <c r="AI17" i="134"/>
  <c r="AO17" i="134"/>
  <c r="AU17" i="134"/>
  <c r="AL11" i="133"/>
  <c r="AF12" i="133"/>
  <c r="AO12" i="133"/>
  <c r="AX12" i="133"/>
  <c r="AO17" i="133"/>
  <c r="BA18" i="133"/>
  <c r="AF24" i="133"/>
  <c r="AR24" i="133"/>
  <c r="BD24" i="133"/>
  <c r="W30" i="133"/>
  <c r="AL29" i="133"/>
  <c r="AU30" i="133"/>
  <c r="Z30" i="133"/>
  <c r="AX30" i="133"/>
  <c r="AR18" i="133"/>
  <c r="AO30" i="133"/>
  <c r="AI12" i="133"/>
  <c r="AR11" i="133"/>
  <c r="BD12" i="133"/>
  <c r="AL18" i="133"/>
  <c r="AL24" i="133"/>
  <c r="AX24" i="133"/>
  <c r="AI30" i="133"/>
  <c r="W11" i="133"/>
  <c r="AC11" i="133"/>
  <c r="AI11" i="133"/>
  <c r="AO11" i="133"/>
  <c r="AU11" i="133"/>
  <c r="BA11" i="133"/>
  <c r="Z23" i="133"/>
  <c r="AF23" i="133"/>
  <c r="AL23" i="133"/>
  <c r="AR23" i="133"/>
  <c r="AX23" i="133"/>
  <c r="BD23" i="133"/>
  <c r="Z17" i="133"/>
  <c r="AF17" i="133"/>
  <c r="AL17" i="133"/>
  <c r="AR17" i="133"/>
  <c r="AX17" i="133"/>
  <c r="BD17" i="133"/>
  <c r="W29" i="133"/>
  <c r="AC29" i="133"/>
  <c r="AI29" i="133"/>
  <c r="AO29" i="133"/>
  <c r="AU29" i="133"/>
  <c r="BA29" i="133"/>
  <c r="AX11" i="133"/>
  <c r="BD11" i="133"/>
  <c r="W23" i="133"/>
  <c r="AC23" i="133"/>
  <c r="AI23" i="133"/>
  <c r="AO23" i="133"/>
  <c r="AU23" i="133"/>
  <c r="BA23" i="133"/>
  <c r="Z24" i="132"/>
  <c r="Z17" i="132"/>
  <c r="W18" i="132"/>
  <c r="W29" i="132"/>
  <c r="AC29" i="132"/>
  <c r="W23" i="132"/>
  <c r="AC23" i="132"/>
  <c r="W17" i="132"/>
  <c r="AC17" i="132"/>
  <c r="W11" i="132"/>
  <c r="AC11" i="132"/>
  <c r="Z12" i="132"/>
  <c r="W29" i="131"/>
  <c r="AC29" i="131"/>
  <c r="W23" i="131"/>
  <c r="AC23" i="131"/>
  <c r="W17" i="131"/>
  <c r="AC17" i="131"/>
  <c r="Z18" i="131"/>
  <c r="W11" i="131"/>
  <c r="AC11" i="131"/>
  <c r="Z12" i="131"/>
  <c r="Z18" i="130"/>
  <c r="W23" i="130"/>
  <c r="W17" i="130"/>
  <c r="W29" i="130"/>
  <c r="AC29" i="130"/>
  <c r="Z30" i="130"/>
  <c r="W11" i="130"/>
  <c r="AC11" i="130"/>
  <c r="Z12" i="130"/>
  <c r="AC29" i="128"/>
  <c r="Z29" i="128"/>
  <c r="Z17" i="128"/>
  <c r="W23" i="128"/>
  <c r="AC23" i="128"/>
  <c r="W17" i="128"/>
  <c r="AC17" i="128"/>
  <c r="AC11" i="128"/>
  <c r="Z12" i="128"/>
  <c r="W11" i="128"/>
  <c r="L46" i="128"/>
  <c r="L45" i="128"/>
  <c r="L44" i="128"/>
  <c r="L43" i="128"/>
  <c r="L42" i="128"/>
  <c r="L41" i="128"/>
  <c r="L40" i="128"/>
  <c r="L39" i="128"/>
  <c r="L38" i="128"/>
  <c r="L37" i="128"/>
  <c r="L36" i="128"/>
  <c r="L35" i="128"/>
  <c r="L34" i="128"/>
  <c r="L33" i="128"/>
  <c r="L32" i="128"/>
  <c r="L31" i="128"/>
  <c r="L30" i="128"/>
  <c r="L29" i="128"/>
  <c r="L28" i="128"/>
  <c r="L27" i="128"/>
  <c r="L26" i="128"/>
  <c r="L25" i="128"/>
  <c r="L24" i="128"/>
  <c r="L23" i="128"/>
  <c r="L22" i="128"/>
  <c r="L21" i="128"/>
  <c r="L20" i="128"/>
  <c r="L19" i="128"/>
  <c r="L18" i="128"/>
  <c r="L17" i="128"/>
  <c r="L16" i="128"/>
  <c r="L15" i="128"/>
  <c r="L14" i="128"/>
  <c r="L13" i="128"/>
  <c r="L12" i="128"/>
  <c r="L11" i="128"/>
  <c r="O7" i="128"/>
  <c r="O6" i="128"/>
  <c r="O5" i="128"/>
  <c r="O4" i="128"/>
  <c r="F46" i="128"/>
  <c r="F45" i="128"/>
  <c r="F44" i="128"/>
  <c r="F43" i="128"/>
  <c r="F42" i="128"/>
  <c r="F41" i="128"/>
  <c r="F40" i="128"/>
  <c r="F39" i="128"/>
  <c r="F38" i="128"/>
  <c r="F37" i="128"/>
  <c r="F36" i="128"/>
  <c r="F35" i="128"/>
  <c r="F34" i="128"/>
  <c r="F33" i="128"/>
  <c r="F32" i="128"/>
  <c r="F31" i="128"/>
  <c r="F30" i="128"/>
  <c r="F29" i="128"/>
  <c r="F28" i="128"/>
  <c r="F27" i="128"/>
  <c r="F26" i="128"/>
  <c r="F25" i="128"/>
  <c r="F24" i="128"/>
  <c r="F23" i="128"/>
  <c r="F22" i="128"/>
  <c r="F21" i="128"/>
  <c r="F20" i="128"/>
  <c r="F19" i="128"/>
  <c r="F18" i="128"/>
  <c r="F17" i="128"/>
  <c r="F16" i="128"/>
  <c r="F15" i="128"/>
  <c r="F14" i="128"/>
  <c r="F13" i="128"/>
  <c r="F12" i="128"/>
  <c r="F11" i="128"/>
  <c r="K7" i="128"/>
  <c r="K6" i="128"/>
  <c r="K5" i="128"/>
  <c r="K4" i="128"/>
  <c r="E45" i="127"/>
  <c r="E46" i="127"/>
  <c r="E44" i="127"/>
  <c r="E42" i="127"/>
  <c r="E43" i="127"/>
  <c r="E41" i="127"/>
  <c r="E39" i="127"/>
  <c r="E40" i="127"/>
  <c r="E38" i="127"/>
  <c r="E36" i="127"/>
  <c r="E37" i="127"/>
  <c r="E35" i="127"/>
  <c r="E33" i="127"/>
  <c r="E34" i="127"/>
  <c r="E32" i="127"/>
  <c r="E30" i="127"/>
  <c r="E31" i="127"/>
  <c r="E29" i="127"/>
  <c r="E27" i="127"/>
  <c r="E28" i="127"/>
  <c r="E26" i="127"/>
  <c r="E24" i="127"/>
  <c r="E25" i="127"/>
  <c r="E23" i="127"/>
  <c r="E21" i="127"/>
  <c r="E22" i="127"/>
  <c r="E20" i="127"/>
  <c r="E18" i="127"/>
  <c r="E19" i="127"/>
  <c r="E17" i="127"/>
  <c r="E15" i="127"/>
  <c r="E16" i="127"/>
  <c r="E14" i="127"/>
  <c r="E12" i="127"/>
  <c r="E13" i="127"/>
  <c r="E11" i="127"/>
  <c r="K45" i="127"/>
  <c r="K46" i="127"/>
  <c r="K44" i="127"/>
  <c r="K42" i="127"/>
  <c r="L42" i="127" s="1"/>
  <c r="K43" i="127"/>
  <c r="K41" i="127"/>
  <c r="K39" i="127"/>
  <c r="K40" i="127"/>
  <c r="K38" i="127"/>
  <c r="K36" i="127"/>
  <c r="K37" i="127"/>
  <c r="K35" i="127"/>
  <c r="L35" i="127" s="1"/>
  <c r="K33" i="127"/>
  <c r="K34" i="127"/>
  <c r="K32" i="127"/>
  <c r="K30" i="127"/>
  <c r="L30" i="127" s="1"/>
  <c r="K31" i="127"/>
  <c r="K29" i="127"/>
  <c r="K27" i="127"/>
  <c r="K28" i="127"/>
  <c r="K26" i="127"/>
  <c r="K24" i="127"/>
  <c r="K25" i="127"/>
  <c r="K23" i="127"/>
  <c r="L23" i="127" s="1"/>
  <c r="K21" i="127"/>
  <c r="K22" i="127"/>
  <c r="K20" i="127"/>
  <c r="K18" i="127"/>
  <c r="L18" i="127" s="1"/>
  <c r="K19" i="127"/>
  <c r="K17" i="127"/>
  <c r="K15" i="127"/>
  <c r="K16" i="127"/>
  <c r="K14" i="127"/>
  <c r="K12" i="127"/>
  <c r="K13" i="127"/>
  <c r="K11" i="127"/>
  <c r="L11" i="127" s="1"/>
  <c r="AB30" i="127"/>
  <c r="AB31" i="127"/>
  <c r="AB32" i="127"/>
  <c r="AB33" i="127"/>
  <c r="AB34" i="127"/>
  <c r="AB29" i="127"/>
  <c r="AB24" i="127"/>
  <c r="AB25" i="127"/>
  <c r="AB26" i="127"/>
  <c r="AC24" i="127" s="1"/>
  <c r="AB27" i="127"/>
  <c r="AB28" i="127"/>
  <c r="AB23" i="127"/>
  <c r="AB18" i="127"/>
  <c r="AB19" i="127"/>
  <c r="AB20" i="127"/>
  <c r="AB21" i="127"/>
  <c r="AB22" i="127"/>
  <c r="AB17" i="127"/>
  <c r="Y30" i="127"/>
  <c r="Y31" i="127"/>
  <c r="Y32" i="127"/>
  <c r="Z29" i="127" s="1"/>
  <c r="Y33" i="127"/>
  <c r="Y34" i="127"/>
  <c r="Y29" i="127"/>
  <c r="Y28" i="127"/>
  <c r="Y24" i="127"/>
  <c r="Y25" i="127"/>
  <c r="Y26" i="127"/>
  <c r="Y27" i="127"/>
  <c r="Y23" i="127"/>
  <c r="Y18" i="127"/>
  <c r="Y19" i="127"/>
  <c r="Y20" i="127"/>
  <c r="Y21" i="127"/>
  <c r="Y22" i="127"/>
  <c r="Y17" i="127"/>
  <c r="V30" i="127"/>
  <c r="V31" i="127"/>
  <c r="V32" i="127"/>
  <c r="V33" i="127"/>
  <c r="V34" i="127"/>
  <c r="V29" i="127"/>
  <c r="V24" i="127"/>
  <c r="V25" i="127"/>
  <c r="V26" i="127"/>
  <c r="V27" i="127"/>
  <c r="V28" i="127"/>
  <c r="V23" i="127"/>
  <c r="V18" i="127"/>
  <c r="V19" i="127"/>
  <c r="V20" i="127"/>
  <c r="V21" i="127"/>
  <c r="V22" i="127"/>
  <c r="V17" i="127"/>
  <c r="Z23" i="127"/>
  <c r="AB16" i="127"/>
  <c r="Y16" i="127"/>
  <c r="V16" i="127"/>
  <c r="AB15" i="127"/>
  <c r="Y15" i="127"/>
  <c r="V15" i="127"/>
  <c r="AB14" i="127"/>
  <c r="Y14" i="127"/>
  <c r="V14" i="127"/>
  <c r="AB13" i="127"/>
  <c r="Y13" i="127"/>
  <c r="V13" i="127"/>
  <c r="AB12" i="127"/>
  <c r="Y12" i="127"/>
  <c r="V12" i="127"/>
  <c r="AB11" i="127"/>
  <c r="AC12" i="127" s="1"/>
  <c r="Y11" i="127"/>
  <c r="V11" i="127"/>
  <c r="L46" i="127"/>
  <c r="L45" i="127"/>
  <c r="L44" i="127"/>
  <c r="L43" i="127"/>
  <c r="L41" i="127"/>
  <c r="L40" i="127"/>
  <c r="L39" i="127"/>
  <c r="L38" i="127"/>
  <c r="L37" i="127"/>
  <c r="L36" i="127"/>
  <c r="L34" i="127"/>
  <c r="L33" i="127"/>
  <c r="L32" i="127"/>
  <c r="L31" i="127"/>
  <c r="L29" i="127"/>
  <c r="L28" i="127"/>
  <c r="L27" i="127"/>
  <c r="L26" i="127"/>
  <c r="L25" i="127"/>
  <c r="L24" i="127"/>
  <c r="L22" i="127"/>
  <c r="L21" i="127"/>
  <c r="L20" i="127"/>
  <c r="L19" i="127"/>
  <c r="L17" i="127"/>
  <c r="L16" i="127"/>
  <c r="L15" i="127"/>
  <c r="L14" i="127"/>
  <c r="L13" i="127"/>
  <c r="L12" i="127"/>
  <c r="O7" i="127"/>
  <c r="O6" i="127"/>
  <c r="O5" i="127"/>
  <c r="O4" i="127"/>
  <c r="F46" i="127"/>
  <c r="F45" i="127"/>
  <c r="F44" i="127"/>
  <c r="F43" i="127"/>
  <c r="F42" i="127"/>
  <c r="F41" i="127"/>
  <c r="F40" i="127"/>
  <c r="F39" i="127"/>
  <c r="F38" i="127"/>
  <c r="F37" i="127"/>
  <c r="F36" i="127"/>
  <c r="F35" i="127"/>
  <c r="F34" i="127"/>
  <c r="F33" i="127"/>
  <c r="F32" i="127"/>
  <c r="F31" i="127"/>
  <c r="F30" i="127"/>
  <c r="F29" i="127"/>
  <c r="F28" i="127"/>
  <c r="F27" i="127"/>
  <c r="F26" i="127"/>
  <c r="F25" i="127"/>
  <c r="F24" i="127"/>
  <c r="F23" i="127"/>
  <c r="F22" i="127"/>
  <c r="F21" i="127"/>
  <c r="F20" i="127"/>
  <c r="F19" i="127"/>
  <c r="F18" i="127"/>
  <c r="F17" i="127"/>
  <c r="F16" i="127"/>
  <c r="F15" i="127"/>
  <c r="F14" i="127"/>
  <c r="F13" i="127"/>
  <c r="F12" i="127"/>
  <c r="F11" i="127"/>
  <c r="K45" i="126"/>
  <c r="K46" i="126"/>
  <c r="K44" i="126"/>
  <c r="K42" i="126"/>
  <c r="K43" i="126"/>
  <c r="K41" i="126"/>
  <c r="K39" i="126"/>
  <c r="L39" i="126" s="1"/>
  <c r="K40" i="126"/>
  <c r="K38" i="126"/>
  <c r="K36" i="126"/>
  <c r="K37" i="126"/>
  <c r="L37" i="126" s="1"/>
  <c r="K35" i="126"/>
  <c r="K33" i="126"/>
  <c r="K34" i="126"/>
  <c r="K32" i="126"/>
  <c r="K30" i="126"/>
  <c r="K31" i="126"/>
  <c r="K29" i="126"/>
  <c r="K27" i="126"/>
  <c r="L27" i="126" s="1"/>
  <c r="K28" i="126"/>
  <c r="K26" i="126"/>
  <c r="K24" i="126"/>
  <c r="K25" i="126"/>
  <c r="L25" i="126" s="1"/>
  <c r="K23" i="126"/>
  <c r="K21" i="126"/>
  <c r="K22" i="126"/>
  <c r="K20" i="126"/>
  <c r="K18" i="126"/>
  <c r="K19" i="126"/>
  <c r="K17" i="126"/>
  <c r="K15" i="126"/>
  <c r="L15" i="126" s="1"/>
  <c r="K16" i="126"/>
  <c r="K14" i="126"/>
  <c r="K12" i="126"/>
  <c r="K13" i="126"/>
  <c r="L13" i="126" s="1"/>
  <c r="K11" i="126"/>
  <c r="E45" i="126"/>
  <c r="E46" i="126"/>
  <c r="E44" i="126"/>
  <c r="E42" i="126"/>
  <c r="E43" i="126"/>
  <c r="E41" i="126"/>
  <c r="E39" i="126"/>
  <c r="E40" i="126"/>
  <c r="E38" i="126"/>
  <c r="E36" i="126"/>
  <c r="E37" i="126"/>
  <c r="E35" i="126"/>
  <c r="E33" i="126"/>
  <c r="E34" i="126"/>
  <c r="E32" i="126"/>
  <c r="E30" i="126"/>
  <c r="E31" i="126"/>
  <c r="E29" i="126"/>
  <c r="E27" i="126"/>
  <c r="E28" i="126"/>
  <c r="E26" i="126"/>
  <c r="E24" i="126"/>
  <c r="E25" i="126"/>
  <c r="E23" i="126"/>
  <c r="E21" i="126"/>
  <c r="E22" i="126"/>
  <c r="E20" i="126"/>
  <c r="E18" i="126"/>
  <c r="E19" i="126"/>
  <c r="E17" i="126"/>
  <c r="E15" i="126"/>
  <c r="E16" i="126"/>
  <c r="E14" i="126"/>
  <c r="E12" i="126"/>
  <c r="E13" i="126"/>
  <c r="E11" i="126"/>
  <c r="F11" i="126" s="1"/>
  <c r="L46" i="126"/>
  <c r="L45" i="126"/>
  <c r="L44" i="126"/>
  <c r="L43" i="126"/>
  <c r="L42" i="126"/>
  <c r="L41" i="126"/>
  <c r="L40" i="126"/>
  <c r="L38" i="126"/>
  <c r="L36" i="126"/>
  <c r="L35" i="126"/>
  <c r="L34" i="126"/>
  <c r="L33" i="126"/>
  <c r="L32" i="126"/>
  <c r="L31" i="126"/>
  <c r="L30" i="126"/>
  <c r="L29" i="126"/>
  <c r="L28" i="126"/>
  <c r="L26" i="126"/>
  <c r="L24" i="126"/>
  <c r="L23" i="126"/>
  <c r="L22" i="126"/>
  <c r="L21" i="126"/>
  <c r="L20" i="126"/>
  <c r="L19" i="126"/>
  <c r="L18" i="126"/>
  <c r="L17" i="126"/>
  <c r="L16" i="126"/>
  <c r="L14" i="126"/>
  <c r="L12" i="126"/>
  <c r="L11" i="126"/>
  <c r="O7" i="126"/>
  <c r="O6" i="126"/>
  <c r="O5" i="126"/>
  <c r="O4" i="126"/>
  <c r="AB30" i="126"/>
  <c r="AB31" i="126"/>
  <c r="AB32" i="126"/>
  <c r="AB33" i="126"/>
  <c r="AB34" i="126"/>
  <c r="AB29" i="126"/>
  <c r="AB24" i="126"/>
  <c r="AB25" i="126"/>
  <c r="AB26" i="126"/>
  <c r="AB27" i="126"/>
  <c r="AC24" i="126" s="1"/>
  <c r="AB28" i="126"/>
  <c r="AB23" i="126"/>
  <c r="AB18" i="126"/>
  <c r="AB19" i="126"/>
  <c r="AB20" i="126"/>
  <c r="AB21" i="126"/>
  <c r="AB22" i="126"/>
  <c r="AB17" i="126"/>
  <c r="AC18" i="126" s="1"/>
  <c r="Y30" i="126"/>
  <c r="Y31" i="126"/>
  <c r="Y32" i="126"/>
  <c r="Y33" i="126"/>
  <c r="Z30" i="126" s="1"/>
  <c r="Y34" i="126"/>
  <c r="Y29" i="126"/>
  <c r="Y24" i="126"/>
  <c r="Y25" i="126"/>
  <c r="Y26" i="126"/>
  <c r="Y27" i="126"/>
  <c r="Y28" i="126"/>
  <c r="Y23" i="126"/>
  <c r="Z23" i="126" s="1"/>
  <c r="Y18" i="126"/>
  <c r="Y19" i="126"/>
  <c r="Y20" i="126"/>
  <c r="Y21" i="126"/>
  <c r="Z18" i="126" s="1"/>
  <c r="Y22" i="126"/>
  <c r="Y17" i="126"/>
  <c r="V30" i="126"/>
  <c r="V31" i="126"/>
  <c r="V32" i="126"/>
  <c r="V33" i="126"/>
  <c r="V34" i="126"/>
  <c r="V29" i="126"/>
  <c r="V24" i="126"/>
  <c r="V25" i="126"/>
  <c r="V26" i="126"/>
  <c r="V27" i="126"/>
  <c r="W24" i="126" s="1"/>
  <c r="V28" i="126"/>
  <c r="V23" i="126"/>
  <c r="V18" i="126"/>
  <c r="V19" i="126"/>
  <c r="V20" i="126"/>
  <c r="V21" i="126"/>
  <c r="V22" i="126"/>
  <c r="V17" i="126"/>
  <c r="W18" i="126"/>
  <c r="AB16" i="126"/>
  <c r="Y16" i="126"/>
  <c r="V16" i="126"/>
  <c r="AB15" i="126"/>
  <c r="Y15" i="126"/>
  <c r="V15" i="126"/>
  <c r="AB14" i="126"/>
  <c r="Y14" i="126"/>
  <c r="V14" i="126"/>
  <c r="AB13" i="126"/>
  <c r="Y13" i="126"/>
  <c r="V13" i="126"/>
  <c r="AB12" i="126"/>
  <c r="Y12" i="126"/>
  <c r="V12" i="126"/>
  <c r="AB11" i="126"/>
  <c r="AC12" i="126" s="1"/>
  <c r="Y11" i="126"/>
  <c r="V11" i="126"/>
  <c r="F46" i="126"/>
  <c r="F45" i="126"/>
  <c r="F44" i="126"/>
  <c r="F43" i="126"/>
  <c r="F42" i="126"/>
  <c r="F41" i="126"/>
  <c r="F40" i="126"/>
  <c r="F39" i="126"/>
  <c r="F38" i="126"/>
  <c r="F37" i="126"/>
  <c r="F36" i="126"/>
  <c r="F35" i="126"/>
  <c r="F34" i="126"/>
  <c r="F33" i="126"/>
  <c r="F32" i="126"/>
  <c r="F31" i="126"/>
  <c r="F30" i="126"/>
  <c r="F29" i="126"/>
  <c r="F28" i="126"/>
  <c r="F27" i="126"/>
  <c r="F26" i="126"/>
  <c r="F25" i="126"/>
  <c r="F24" i="126"/>
  <c r="F23" i="126"/>
  <c r="F22" i="126"/>
  <c r="F21" i="126"/>
  <c r="F20" i="126"/>
  <c r="F19" i="126"/>
  <c r="F18" i="126"/>
  <c r="F17" i="126"/>
  <c r="F16" i="126"/>
  <c r="F15" i="126"/>
  <c r="F14" i="126"/>
  <c r="F13" i="126"/>
  <c r="F12" i="126"/>
  <c r="K7" i="126"/>
  <c r="K6" i="126"/>
  <c r="K5" i="126"/>
  <c r="K4" i="126"/>
  <c r="AJ46" i="125"/>
  <c r="AJ45" i="125"/>
  <c r="AJ44" i="125"/>
  <c r="AJ43" i="125"/>
  <c r="AJ42" i="125"/>
  <c r="AJ41" i="125"/>
  <c r="AJ40" i="125"/>
  <c r="AK39" i="125"/>
  <c r="AJ39" i="125"/>
  <c r="AJ38" i="125"/>
  <c r="AK38" i="125" s="1"/>
  <c r="AJ37" i="125"/>
  <c r="AJ36" i="125"/>
  <c r="AJ35" i="125"/>
  <c r="AJ34" i="125"/>
  <c r="AJ33" i="125"/>
  <c r="AJ32" i="125"/>
  <c r="AJ31" i="125"/>
  <c r="AJ30" i="125"/>
  <c r="AK30" i="125" s="1"/>
  <c r="AJ29" i="125"/>
  <c r="AK29" i="125" s="1"/>
  <c r="AJ28" i="125"/>
  <c r="AJ27" i="125"/>
  <c r="AJ26" i="125"/>
  <c r="AJ25" i="125"/>
  <c r="AJ24" i="125"/>
  <c r="AJ23" i="125"/>
  <c r="AJ22" i="125"/>
  <c r="AJ21" i="125"/>
  <c r="AK21" i="125" s="1"/>
  <c r="AK20" i="125"/>
  <c r="AJ20" i="125"/>
  <c r="AJ19" i="125"/>
  <c r="AJ18" i="125"/>
  <c r="AJ17" i="125"/>
  <c r="AJ16" i="125"/>
  <c r="AJ15" i="125"/>
  <c r="AJ14" i="125"/>
  <c r="AJ13" i="125"/>
  <c r="AJ12" i="125"/>
  <c r="AJ11" i="125"/>
  <c r="AK12" i="125" s="1"/>
  <c r="AG46" i="125"/>
  <c r="AG45" i="125"/>
  <c r="AG44" i="125"/>
  <c r="AG43" i="125"/>
  <c r="AH38" i="125" s="1"/>
  <c r="AG42" i="125"/>
  <c r="AG41" i="125"/>
  <c r="AG40" i="125"/>
  <c r="AH39" i="125"/>
  <c r="AG39" i="125"/>
  <c r="AG38" i="125"/>
  <c r="AG37" i="125"/>
  <c r="AG36" i="125"/>
  <c r="AG35" i="125"/>
  <c r="AG34" i="125"/>
  <c r="AG33" i="125"/>
  <c r="AG32" i="125"/>
  <c r="AG31" i="125"/>
  <c r="AG30" i="125"/>
  <c r="AG29" i="125"/>
  <c r="AH29" i="125" s="1"/>
  <c r="AG28" i="125"/>
  <c r="AG27" i="125"/>
  <c r="AG26" i="125"/>
  <c r="AG25" i="125"/>
  <c r="AG24" i="125"/>
  <c r="AG23" i="125"/>
  <c r="AH21" i="125" s="1"/>
  <c r="AG22" i="125"/>
  <c r="AG21" i="125"/>
  <c r="AH20" i="125"/>
  <c r="AG20" i="125"/>
  <c r="AG19" i="125"/>
  <c r="AG18" i="125"/>
  <c r="AG17" i="125"/>
  <c r="AG16" i="125"/>
  <c r="AG15" i="125"/>
  <c r="AG14" i="125"/>
  <c r="AG13" i="125"/>
  <c r="AG12" i="125"/>
  <c r="AG11" i="125"/>
  <c r="AH12" i="125" s="1"/>
  <c r="AD46" i="125"/>
  <c r="AD45" i="125"/>
  <c r="AD44" i="125"/>
  <c r="AD43" i="125"/>
  <c r="AD41" i="125"/>
  <c r="AD40" i="125"/>
  <c r="AD39" i="125"/>
  <c r="AE39" i="125" s="1"/>
  <c r="AD38" i="125"/>
  <c r="AE38" i="125" s="1"/>
  <c r="AD37" i="125"/>
  <c r="AD36" i="125"/>
  <c r="AD35" i="125"/>
  <c r="AD34" i="125"/>
  <c r="AD33" i="125"/>
  <c r="AD32" i="125"/>
  <c r="AD31" i="125"/>
  <c r="AD30" i="125"/>
  <c r="AE30" i="125" s="1"/>
  <c r="AE29" i="125"/>
  <c r="AD29" i="125"/>
  <c r="AD28" i="125"/>
  <c r="AD27" i="125"/>
  <c r="AD26" i="125"/>
  <c r="AD25" i="125"/>
  <c r="AD24" i="125"/>
  <c r="AD23" i="125"/>
  <c r="AD22" i="125"/>
  <c r="AD21" i="125"/>
  <c r="AD20" i="125"/>
  <c r="AE21" i="125" s="1"/>
  <c r="AD19" i="125"/>
  <c r="AD18" i="125"/>
  <c r="AD17" i="125"/>
  <c r="AD16" i="125"/>
  <c r="AD15" i="125"/>
  <c r="AD14" i="125"/>
  <c r="AD13" i="125"/>
  <c r="AE12" i="125"/>
  <c r="AD12" i="125"/>
  <c r="AD11" i="125"/>
  <c r="AE11" i="125" s="1"/>
  <c r="Q45" i="125"/>
  <c r="Q46" i="125"/>
  <c r="R46" i="125" s="1"/>
  <c r="Q44" i="125"/>
  <c r="Q42" i="125"/>
  <c r="Q43" i="125"/>
  <c r="Q41" i="125"/>
  <c r="Q39" i="125"/>
  <c r="Q40" i="125"/>
  <c r="Q38" i="125"/>
  <c r="Q36" i="125"/>
  <c r="R36" i="125" s="1"/>
  <c r="Q37" i="125"/>
  <c r="Q35" i="125"/>
  <c r="Q33" i="125"/>
  <c r="Q34" i="125"/>
  <c r="R34" i="125" s="1"/>
  <c r="Q32" i="125"/>
  <c r="Q30" i="125"/>
  <c r="Q31" i="125"/>
  <c r="Q29" i="125"/>
  <c r="Q27" i="125"/>
  <c r="Q28" i="125"/>
  <c r="Q26" i="125"/>
  <c r="Q24" i="125"/>
  <c r="R24" i="125" s="1"/>
  <c r="Q25" i="125"/>
  <c r="Q23" i="125"/>
  <c r="Q21" i="125"/>
  <c r="Q22" i="125"/>
  <c r="R22" i="125" s="1"/>
  <c r="Q20" i="125"/>
  <c r="Q18" i="125"/>
  <c r="Q19" i="125"/>
  <c r="Q17" i="125"/>
  <c r="Q15" i="125"/>
  <c r="Q16" i="125"/>
  <c r="Q14" i="125"/>
  <c r="Q12" i="125"/>
  <c r="R12" i="125" s="1"/>
  <c r="Q13" i="125"/>
  <c r="Q11" i="125"/>
  <c r="R45" i="125"/>
  <c r="R44" i="125"/>
  <c r="R43" i="125"/>
  <c r="R42" i="125"/>
  <c r="R41" i="125"/>
  <c r="R40" i="125"/>
  <c r="R39" i="125"/>
  <c r="R38" i="125"/>
  <c r="R37" i="125"/>
  <c r="R35" i="125"/>
  <c r="R33" i="125"/>
  <c r="R32" i="125"/>
  <c r="R31" i="125"/>
  <c r="R30" i="125"/>
  <c r="R29" i="125"/>
  <c r="R28" i="125"/>
  <c r="R27" i="125"/>
  <c r="R26" i="125"/>
  <c r="R25" i="125"/>
  <c r="R23" i="125"/>
  <c r="R21" i="125"/>
  <c r="R20" i="125"/>
  <c r="R19" i="125"/>
  <c r="R18" i="125"/>
  <c r="R17" i="125"/>
  <c r="R16" i="125"/>
  <c r="R15" i="125"/>
  <c r="R14" i="125"/>
  <c r="R13" i="125"/>
  <c r="R11" i="125"/>
  <c r="S7" i="125"/>
  <c r="S6" i="125"/>
  <c r="S5" i="125"/>
  <c r="S4" i="125"/>
  <c r="E41" i="125"/>
  <c r="E46" i="125"/>
  <c r="E45" i="125"/>
  <c r="E44" i="125"/>
  <c r="E43" i="125"/>
  <c r="E42" i="125"/>
  <c r="E40" i="125"/>
  <c r="E39" i="125"/>
  <c r="E38" i="125"/>
  <c r="E37" i="125"/>
  <c r="E36" i="125"/>
  <c r="E35" i="125"/>
  <c r="E34" i="125"/>
  <c r="E33" i="125"/>
  <c r="E32" i="125"/>
  <c r="E31" i="125"/>
  <c r="E30" i="125"/>
  <c r="E29" i="125"/>
  <c r="E28" i="125"/>
  <c r="E27" i="125"/>
  <c r="E26" i="125"/>
  <c r="E25" i="125"/>
  <c r="E24" i="125"/>
  <c r="E23" i="125"/>
  <c r="E21" i="125"/>
  <c r="E22" i="125"/>
  <c r="E20" i="125"/>
  <c r="E18" i="125"/>
  <c r="E19" i="125"/>
  <c r="E17" i="125"/>
  <c r="E15" i="125"/>
  <c r="E16" i="125"/>
  <c r="E14" i="125"/>
  <c r="K45" i="125"/>
  <c r="L45" i="125" s="1"/>
  <c r="K46" i="125"/>
  <c r="K44" i="125"/>
  <c r="K42" i="125"/>
  <c r="L42" i="125" s="1"/>
  <c r="K43" i="125"/>
  <c r="K41" i="125"/>
  <c r="K39" i="125"/>
  <c r="K40" i="125"/>
  <c r="K38" i="125"/>
  <c r="K36" i="125"/>
  <c r="K37" i="125"/>
  <c r="K35" i="125"/>
  <c r="K33" i="125"/>
  <c r="L33" i="125" s="1"/>
  <c r="K34" i="125"/>
  <c r="K32" i="125"/>
  <c r="K30" i="125"/>
  <c r="K31" i="125"/>
  <c r="L31" i="125" s="1"/>
  <c r="K29" i="125"/>
  <c r="K27" i="125"/>
  <c r="K28" i="125"/>
  <c r="K26" i="125"/>
  <c r="K24" i="125"/>
  <c r="K25" i="125"/>
  <c r="K23" i="125"/>
  <c r="L23" i="125" s="1"/>
  <c r="L26" i="125"/>
  <c r="L34" i="125"/>
  <c r="L25" i="125"/>
  <c r="L27" i="125"/>
  <c r="L29" i="125"/>
  <c r="L35" i="125"/>
  <c r="L37" i="125"/>
  <c r="L39" i="125"/>
  <c r="L41" i="125"/>
  <c r="L43" i="125"/>
  <c r="K22" i="125"/>
  <c r="K20" i="125"/>
  <c r="K18" i="125"/>
  <c r="L18" i="125" s="1"/>
  <c r="K19" i="125"/>
  <c r="K17" i="125"/>
  <c r="K15" i="125"/>
  <c r="K16" i="125"/>
  <c r="L16" i="125" s="1"/>
  <c r="K14" i="125"/>
  <c r="K12" i="125"/>
  <c r="K13" i="125"/>
  <c r="L13" i="125" s="1"/>
  <c r="K11" i="125"/>
  <c r="L46" i="125"/>
  <c r="L44" i="125"/>
  <c r="L40" i="125"/>
  <c r="L38" i="125"/>
  <c r="L36" i="125"/>
  <c r="L32" i="125"/>
  <c r="L30" i="125"/>
  <c r="L28" i="125"/>
  <c r="L24" i="125"/>
  <c r="L22" i="125"/>
  <c r="L20" i="125"/>
  <c r="L19" i="125"/>
  <c r="L17" i="125"/>
  <c r="L15" i="125"/>
  <c r="L14" i="125"/>
  <c r="L12" i="125"/>
  <c r="L11" i="125"/>
  <c r="O7" i="125"/>
  <c r="O6" i="125"/>
  <c r="O5" i="125"/>
  <c r="O4" i="125"/>
  <c r="W18" i="127" l="1"/>
  <c r="W30" i="127"/>
  <c r="AC18" i="127"/>
  <c r="W12" i="127"/>
  <c r="Z11" i="127"/>
  <c r="W24" i="127"/>
  <c r="Z17" i="127"/>
  <c r="Z24" i="127"/>
  <c r="Z30" i="127"/>
  <c r="AC30" i="127"/>
  <c r="Z17" i="126"/>
  <c r="W12" i="126"/>
  <c r="Z11" i="126"/>
  <c r="Z24" i="126"/>
  <c r="AC30" i="126"/>
  <c r="W30" i="126"/>
  <c r="W29" i="127"/>
  <c r="AC29" i="127"/>
  <c r="W23" i="127"/>
  <c r="AC23" i="127"/>
  <c r="W17" i="127"/>
  <c r="AC17" i="127"/>
  <c r="Z18" i="127"/>
  <c r="AC11" i="127"/>
  <c r="W11" i="127"/>
  <c r="Z12" i="127"/>
  <c r="Z29" i="126"/>
  <c r="AC29" i="126"/>
  <c r="W29" i="126"/>
  <c r="AC23" i="126"/>
  <c r="W23" i="126"/>
  <c r="W17" i="126"/>
  <c r="AC17" i="126"/>
  <c r="W11" i="126"/>
  <c r="AC11" i="126"/>
  <c r="Z12" i="126"/>
  <c r="AK11" i="125"/>
  <c r="AH11" i="125"/>
  <c r="AH30" i="125"/>
  <c r="AE20" i="125"/>
  <c r="E12" i="125"/>
  <c r="E13" i="125"/>
  <c r="F15" i="125"/>
  <c r="F27" i="125"/>
  <c r="F31" i="125"/>
  <c r="F35" i="125"/>
  <c r="F39" i="125"/>
  <c r="F43" i="125"/>
  <c r="E11" i="125"/>
  <c r="F45" i="125"/>
  <c r="F44" i="125"/>
  <c r="F42" i="125"/>
  <c r="F40" i="125"/>
  <c r="F37" i="125"/>
  <c r="F36" i="125"/>
  <c r="F33" i="125"/>
  <c r="F32" i="125"/>
  <c r="F28" i="125"/>
  <c r="F26" i="125"/>
  <c r="F24" i="125"/>
  <c r="F21" i="125"/>
  <c r="F16" i="125"/>
  <c r="F13" i="125"/>
  <c r="F12" i="125"/>
  <c r="F11" i="125"/>
  <c r="K7" i="125"/>
  <c r="K6" i="125"/>
  <c r="K5" i="125"/>
  <c r="K4" i="125"/>
  <c r="F46" i="125"/>
  <c r="F41" i="125"/>
  <c r="F38" i="125"/>
  <c r="F34" i="125"/>
  <c r="F30" i="125"/>
  <c r="F29" i="125"/>
  <c r="F25" i="125"/>
  <c r="F23" i="125"/>
  <c r="F22" i="125"/>
  <c r="F20" i="125"/>
  <c r="F19" i="125"/>
  <c r="F18" i="125"/>
  <c r="F17" i="125"/>
  <c r="F14" i="125"/>
  <c r="K4" i="124"/>
  <c r="O4" i="124"/>
  <c r="S4" i="124"/>
  <c r="K5" i="124"/>
  <c r="O5" i="124"/>
  <c r="S5" i="124"/>
  <c r="K6" i="124"/>
  <c r="O6" i="124"/>
  <c r="S6" i="124"/>
  <c r="K7" i="124"/>
  <c r="O7" i="124"/>
  <c r="S7" i="124"/>
  <c r="E11" i="124"/>
  <c r="F11" i="124" s="1"/>
  <c r="K11" i="124"/>
  <c r="L11" i="124" s="1"/>
  <c r="Q11" i="124"/>
  <c r="R11" i="124" s="1"/>
  <c r="AD11" i="124"/>
  <c r="AG11" i="124"/>
  <c r="AJ11" i="124"/>
  <c r="E12" i="124"/>
  <c r="F12" i="124" s="1"/>
  <c r="K12" i="124"/>
  <c r="L12" i="124" s="1"/>
  <c r="Q12" i="124"/>
  <c r="R12" i="124" s="1"/>
  <c r="AD12" i="124"/>
  <c r="AG12" i="124"/>
  <c r="AJ12" i="124"/>
  <c r="E13" i="124"/>
  <c r="F13" i="124" s="1"/>
  <c r="K13" i="124"/>
  <c r="L13" i="124" s="1"/>
  <c r="Q13" i="124"/>
  <c r="R13" i="124" s="1"/>
  <c r="AD13" i="124"/>
  <c r="AG13" i="124"/>
  <c r="AJ13" i="124"/>
  <c r="E14" i="124"/>
  <c r="F14" i="124" s="1"/>
  <c r="K14" i="124"/>
  <c r="L14" i="124" s="1"/>
  <c r="Q14" i="124"/>
  <c r="R14" i="124" s="1"/>
  <c r="AD14" i="124"/>
  <c r="AG14" i="124"/>
  <c r="AJ14" i="124"/>
  <c r="E15" i="124"/>
  <c r="F15" i="124" s="1"/>
  <c r="K15" i="124"/>
  <c r="L15" i="124" s="1"/>
  <c r="Q15" i="124"/>
  <c r="R15" i="124" s="1"/>
  <c r="AD15" i="124"/>
  <c r="AG15" i="124"/>
  <c r="AJ15" i="124"/>
  <c r="E16" i="124"/>
  <c r="F16" i="124" s="1"/>
  <c r="K16" i="124"/>
  <c r="L16" i="124" s="1"/>
  <c r="Q16" i="124"/>
  <c r="R16" i="124" s="1"/>
  <c r="AD16" i="124"/>
  <c r="AG16" i="124"/>
  <c r="AJ16" i="124"/>
  <c r="E17" i="124"/>
  <c r="F17" i="124" s="1"/>
  <c r="K17" i="124"/>
  <c r="L17" i="124" s="1"/>
  <c r="Q17" i="124"/>
  <c r="R17" i="124" s="1"/>
  <c r="AD17" i="124"/>
  <c r="AG17" i="124"/>
  <c r="AJ17" i="124"/>
  <c r="E18" i="124"/>
  <c r="F18" i="124" s="1"/>
  <c r="K18" i="124"/>
  <c r="L18" i="124" s="1"/>
  <c r="Q18" i="124"/>
  <c r="R18" i="124" s="1"/>
  <c r="AD18" i="124"/>
  <c r="AG18" i="124"/>
  <c r="AJ18" i="124"/>
  <c r="E19" i="124"/>
  <c r="F19" i="124"/>
  <c r="K19" i="124"/>
  <c r="L19" i="124" s="1"/>
  <c r="Q19" i="124"/>
  <c r="R19" i="124"/>
  <c r="AD19" i="124"/>
  <c r="AG19" i="124"/>
  <c r="AJ19" i="124"/>
  <c r="E20" i="124"/>
  <c r="F20" i="124"/>
  <c r="K20" i="124"/>
  <c r="L20" i="124" s="1"/>
  <c r="Q20" i="124"/>
  <c r="R20" i="124"/>
  <c r="AD20" i="124"/>
  <c r="AG20" i="124"/>
  <c r="AJ20" i="124"/>
  <c r="E21" i="124"/>
  <c r="F21" i="124"/>
  <c r="K21" i="124"/>
  <c r="L21" i="124" s="1"/>
  <c r="Q21" i="124"/>
  <c r="R21" i="124"/>
  <c r="AD21" i="124"/>
  <c r="AG21" i="124"/>
  <c r="AJ21" i="124"/>
  <c r="E22" i="124"/>
  <c r="F22" i="124"/>
  <c r="K22" i="124"/>
  <c r="L22" i="124" s="1"/>
  <c r="Q22" i="124"/>
  <c r="R22" i="124"/>
  <c r="AD22" i="124"/>
  <c r="AG22" i="124"/>
  <c r="AJ22" i="124"/>
  <c r="E23" i="124"/>
  <c r="F23" i="124" s="1"/>
  <c r="K23" i="124"/>
  <c r="L23" i="124" s="1"/>
  <c r="Q23" i="124"/>
  <c r="R23" i="124" s="1"/>
  <c r="AD23" i="124"/>
  <c r="AG23" i="124"/>
  <c r="AJ23" i="124"/>
  <c r="E24" i="124"/>
  <c r="F24" i="124" s="1"/>
  <c r="K24" i="124"/>
  <c r="L24" i="124" s="1"/>
  <c r="Q24" i="124"/>
  <c r="R24" i="124" s="1"/>
  <c r="AD24" i="124"/>
  <c r="AG24" i="124"/>
  <c r="AJ24" i="124"/>
  <c r="E25" i="124"/>
  <c r="F25" i="124" s="1"/>
  <c r="K25" i="124"/>
  <c r="L25" i="124" s="1"/>
  <c r="Q25" i="124"/>
  <c r="R25" i="124" s="1"/>
  <c r="AD25" i="124"/>
  <c r="AG25" i="124"/>
  <c r="AJ25" i="124"/>
  <c r="E26" i="124"/>
  <c r="F26" i="124" s="1"/>
  <c r="K26" i="124"/>
  <c r="L26" i="124" s="1"/>
  <c r="Q26" i="124"/>
  <c r="R26" i="124" s="1"/>
  <c r="AD26" i="124"/>
  <c r="AG26" i="124"/>
  <c r="AJ26" i="124"/>
  <c r="E27" i="124"/>
  <c r="F27" i="124" s="1"/>
  <c r="K27" i="124"/>
  <c r="L27" i="124" s="1"/>
  <c r="Q27" i="124"/>
  <c r="R27" i="124" s="1"/>
  <c r="AD27" i="124"/>
  <c r="AG27" i="124"/>
  <c r="AJ27" i="124"/>
  <c r="E28" i="124"/>
  <c r="F28" i="124" s="1"/>
  <c r="K28" i="124"/>
  <c r="L28" i="124" s="1"/>
  <c r="Q28" i="124"/>
  <c r="R28" i="124" s="1"/>
  <c r="AD28" i="124"/>
  <c r="AG28" i="124"/>
  <c r="AJ28" i="124"/>
  <c r="E29" i="124"/>
  <c r="F29" i="124" s="1"/>
  <c r="K29" i="124"/>
  <c r="L29" i="124" s="1"/>
  <c r="Q29" i="124"/>
  <c r="R29" i="124" s="1"/>
  <c r="AD29" i="124"/>
  <c r="AG29" i="124"/>
  <c r="AJ29" i="124"/>
  <c r="E30" i="124"/>
  <c r="F30" i="124" s="1"/>
  <c r="K30" i="124"/>
  <c r="L30" i="124" s="1"/>
  <c r="Q30" i="124"/>
  <c r="R30" i="124" s="1"/>
  <c r="AD30" i="124"/>
  <c r="AG30" i="124"/>
  <c r="AJ30" i="124"/>
  <c r="E31" i="124"/>
  <c r="F31" i="124" s="1"/>
  <c r="K31" i="124"/>
  <c r="L31" i="124" s="1"/>
  <c r="Q31" i="124"/>
  <c r="R31" i="124" s="1"/>
  <c r="AD31" i="124"/>
  <c r="AG31" i="124"/>
  <c r="AJ31" i="124"/>
  <c r="E32" i="124"/>
  <c r="F32" i="124" s="1"/>
  <c r="K32" i="124"/>
  <c r="L32" i="124" s="1"/>
  <c r="Q32" i="124"/>
  <c r="R32" i="124" s="1"/>
  <c r="AD32" i="124"/>
  <c r="AG32" i="124"/>
  <c r="AJ32" i="124"/>
  <c r="E33" i="124"/>
  <c r="F33" i="124" s="1"/>
  <c r="Q33" i="124"/>
  <c r="R33" i="124" s="1"/>
  <c r="AD33" i="124"/>
  <c r="AG33" i="124"/>
  <c r="AJ33" i="124"/>
  <c r="E34" i="124"/>
  <c r="F34" i="124" s="1"/>
  <c r="K34" i="124"/>
  <c r="L34" i="124" s="1"/>
  <c r="Q34" i="124"/>
  <c r="R34" i="124" s="1"/>
  <c r="AD34" i="124"/>
  <c r="AG34" i="124"/>
  <c r="AJ34" i="124"/>
  <c r="E35" i="124"/>
  <c r="F35" i="124" s="1"/>
  <c r="K35" i="124"/>
  <c r="L35" i="124" s="1"/>
  <c r="Q35" i="124"/>
  <c r="R35" i="124" s="1"/>
  <c r="AD35" i="124"/>
  <c r="AG35" i="124"/>
  <c r="AJ35" i="124"/>
  <c r="E36" i="124"/>
  <c r="F36" i="124" s="1"/>
  <c r="K36" i="124"/>
  <c r="L36" i="124" s="1"/>
  <c r="Q36" i="124"/>
  <c r="R36" i="124" s="1"/>
  <c r="AD36" i="124"/>
  <c r="AG36" i="124"/>
  <c r="AJ36" i="124"/>
  <c r="E37" i="124"/>
  <c r="F37" i="124" s="1"/>
  <c r="K37" i="124"/>
  <c r="L37" i="124" s="1"/>
  <c r="Q37" i="124"/>
  <c r="R37" i="124" s="1"/>
  <c r="AD37" i="124"/>
  <c r="AG37" i="124"/>
  <c r="AJ37" i="124"/>
  <c r="E38" i="124"/>
  <c r="F38" i="124"/>
  <c r="K38" i="124"/>
  <c r="L38" i="124" s="1"/>
  <c r="Q38" i="124"/>
  <c r="R38" i="124" s="1"/>
  <c r="AD38" i="124"/>
  <c r="AG38" i="124"/>
  <c r="AJ38" i="124"/>
  <c r="E39" i="124"/>
  <c r="F39" i="124" s="1"/>
  <c r="K39" i="124"/>
  <c r="L39" i="124" s="1"/>
  <c r="Q39" i="124"/>
  <c r="R39" i="124" s="1"/>
  <c r="AD39" i="124"/>
  <c r="AG39" i="124"/>
  <c r="AJ39" i="124"/>
  <c r="E40" i="124"/>
  <c r="F40" i="124" s="1"/>
  <c r="K40" i="124"/>
  <c r="L40" i="124" s="1"/>
  <c r="Q40" i="124"/>
  <c r="R40" i="124" s="1"/>
  <c r="AD40" i="124"/>
  <c r="AG40" i="124"/>
  <c r="AJ40" i="124"/>
  <c r="E41" i="124"/>
  <c r="F41" i="124" s="1"/>
  <c r="K41" i="124"/>
  <c r="L41" i="124" s="1"/>
  <c r="Q41" i="124"/>
  <c r="R41" i="124" s="1"/>
  <c r="AD41" i="124"/>
  <c r="AG41" i="124"/>
  <c r="AJ41" i="124"/>
  <c r="E42" i="124"/>
  <c r="F42" i="124" s="1"/>
  <c r="K42" i="124"/>
  <c r="L42" i="124" s="1"/>
  <c r="Q42" i="124"/>
  <c r="R42" i="124" s="1"/>
  <c r="AD42" i="124"/>
  <c r="AJ42" i="124"/>
  <c r="E43" i="124"/>
  <c r="F43" i="124" s="1"/>
  <c r="K43" i="124"/>
  <c r="L43" i="124"/>
  <c r="Q43" i="124"/>
  <c r="R43" i="124" s="1"/>
  <c r="AD43" i="124"/>
  <c r="AG43" i="124"/>
  <c r="AJ43" i="124"/>
  <c r="E44" i="124"/>
  <c r="F44" i="124" s="1"/>
  <c r="K44" i="124"/>
  <c r="L44" i="124" s="1"/>
  <c r="Q44" i="124"/>
  <c r="R44" i="124" s="1"/>
  <c r="AD44" i="124"/>
  <c r="AG44" i="124"/>
  <c r="AJ44" i="124"/>
  <c r="E45" i="124"/>
  <c r="F45" i="124" s="1"/>
  <c r="K45" i="124"/>
  <c r="L45" i="124" s="1"/>
  <c r="Q45" i="124"/>
  <c r="R45" i="124" s="1"/>
  <c r="AD45" i="124"/>
  <c r="AG45" i="124"/>
  <c r="AJ45" i="124"/>
  <c r="E46" i="124"/>
  <c r="F46" i="124"/>
  <c r="K46" i="124"/>
  <c r="L46" i="124" s="1"/>
  <c r="Q46" i="124"/>
  <c r="R46" i="124" s="1"/>
  <c r="AD46" i="124"/>
  <c r="AG46" i="124"/>
  <c r="AJ46" i="124"/>
  <c r="AK38" i="124" l="1"/>
  <c r="AH38" i="124"/>
  <c r="AH29" i="124"/>
  <c r="AH20" i="124"/>
  <c r="AE39" i="124"/>
  <c r="AK29" i="124"/>
  <c r="AK20" i="124"/>
  <c r="AE11" i="124"/>
  <c r="AH11" i="124"/>
  <c r="AE29" i="124"/>
  <c r="AE20" i="124"/>
  <c r="AK11" i="124"/>
  <c r="AK39" i="124"/>
  <c r="AE38" i="124"/>
  <c r="AH30" i="124"/>
  <c r="AK12" i="124"/>
  <c r="AE12" i="124"/>
  <c r="AK21" i="124"/>
  <c r="AE21" i="124"/>
  <c r="AH21" i="124"/>
  <c r="AH39" i="124"/>
  <c r="AK30" i="124"/>
  <c r="AE30" i="124"/>
  <c r="AH12" i="124"/>
  <c r="AW45" i="76" l="1"/>
  <c r="AW39" i="76"/>
  <c r="AW33" i="76"/>
  <c r="AW27" i="76"/>
  <c r="AW21" i="76"/>
  <c r="AW15" i="76"/>
  <c r="AW9" i="76"/>
  <c r="AW3" i="76"/>
  <c r="AT45" i="76"/>
  <c r="AT39" i="76"/>
  <c r="AT33" i="76"/>
  <c r="AT27" i="76"/>
  <c r="AT21" i="76"/>
  <c r="AT15" i="76"/>
  <c r="AT9" i="76"/>
  <c r="AT3" i="76"/>
  <c r="AQ45" i="76"/>
  <c r="AQ39" i="76"/>
  <c r="AQ33" i="76"/>
  <c r="AQ27" i="76"/>
  <c r="AQ21" i="76"/>
  <c r="AQ15" i="76"/>
  <c r="AQ9" i="76"/>
  <c r="AQ3" i="76"/>
  <c r="BX45" i="76"/>
  <c r="BX39" i="76"/>
  <c r="BX33" i="76"/>
  <c r="BX27" i="76"/>
  <c r="BU45" i="76"/>
  <c r="BU39" i="76"/>
  <c r="BU33" i="76"/>
  <c r="BU27" i="76"/>
  <c r="BR45" i="76"/>
  <c r="BR39" i="76"/>
  <c r="BR33" i="76"/>
  <c r="BR27" i="76"/>
  <c r="BO45" i="76"/>
  <c r="BO39" i="76"/>
  <c r="BO33" i="76"/>
  <c r="BO27" i="76"/>
  <c r="BL45" i="76"/>
  <c r="BL39" i="76"/>
  <c r="BL33" i="76"/>
  <c r="BL27" i="76"/>
  <c r="BI45" i="76"/>
  <c r="BI39" i="76"/>
  <c r="BI33" i="76"/>
  <c r="BI27" i="76"/>
  <c r="BF45" i="76"/>
  <c r="BF39" i="76"/>
  <c r="BF33" i="76"/>
  <c r="BF27" i="76"/>
  <c r="BC45" i="76"/>
  <c r="BC39" i="76"/>
  <c r="BC33" i="76"/>
  <c r="BC27" i="76"/>
  <c r="AZ45" i="76"/>
  <c r="AZ39" i="76"/>
  <c r="AZ33" i="76"/>
  <c r="AZ27" i="76"/>
  <c r="AM45" i="76"/>
  <c r="AM39" i="76"/>
  <c r="AM33" i="76"/>
  <c r="AM27" i="76"/>
  <c r="AJ45" i="76"/>
  <c r="AJ39" i="76"/>
  <c r="AJ33" i="76"/>
  <c r="AJ27" i="76"/>
  <c r="AG45" i="76"/>
  <c r="AG39" i="76"/>
  <c r="AG33" i="76"/>
  <c r="AG27" i="76"/>
  <c r="AD45" i="76"/>
  <c r="AD39" i="76"/>
  <c r="AD33" i="76"/>
  <c r="AD27" i="76"/>
  <c r="AA45" i="76"/>
  <c r="AA39" i="76"/>
  <c r="AA33" i="76"/>
  <c r="AA27" i="76"/>
  <c r="X45" i="76"/>
  <c r="X39" i="76"/>
  <c r="X33" i="76"/>
  <c r="X27" i="76"/>
  <c r="U45" i="76"/>
  <c r="U39" i="76"/>
  <c r="U33" i="76"/>
  <c r="U27" i="76"/>
  <c r="R45" i="76"/>
  <c r="R39" i="76"/>
  <c r="R33" i="76"/>
  <c r="R27" i="76"/>
  <c r="O45" i="76"/>
  <c r="O39" i="76"/>
  <c r="O33" i="76"/>
  <c r="O27" i="76"/>
  <c r="L45" i="76"/>
  <c r="L39" i="76"/>
  <c r="L33" i="76"/>
  <c r="L27" i="76"/>
  <c r="I45" i="76"/>
  <c r="I39" i="76"/>
  <c r="I33" i="76"/>
  <c r="I27" i="76"/>
  <c r="F45" i="76"/>
  <c r="F39" i="76"/>
  <c r="F33" i="76"/>
  <c r="F27" i="76"/>
  <c r="BX21" i="76"/>
  <c r="BX15" i="76"/>
  <c r="BX9" i="76"/>
  <c r="BX3" i="76"/>
  <c r="BY3" i="76" s="1"/>
  <c r="BY6" i="76"/>
  <c r="BY12" i="76"/>
  <c r="BY18" i="76"/>
  <c r="BU21" i="76"/>
  <c r="BU15" i="76"/>
  <c r="BU9" i="76"/>
  <c r="BU3" i="76"/>
  <c r="BR21" i="76"/>
  <c r="BR15" i="76"/>
  <c r="BR9" i="76"/>
  <c r="BR3" i="76"/>
  <c r="BO21" i="76"/>
  <c r="BO15" i="76"/>
  <c r="BO9" i="76"/>
  <c r="BO3" i="76"/>
  <c r="BL21" i="76"/>
  <c r="BL15" i="76"/>
  <c r="BL9" i="76"/>
  <c r="BL3" i="76"/>
  <c r="BI21" i="76"/>
  <c r="BI15" i="76"/>
  <c r="BI9" i="76"/>
  <c r="BI3" i="76"/>
  <c r="BF21" i="76"/>
  <c r="BF15" i="76"/>
  <c r="BF9" i="76"/>
  <c r="BF3" i="76"/>
  <c r="BC21" i="76"/>
  <c r="BC15" i="76"/>
  <c r="BC9" i="76"/>
  <c r="BC3" i="76"/>
  <c r="AZ21" i="76"/>
  <c r="AZ15" i="76"/>
  <c r="AZ9" i="76"/>
  <c r="AZ3" i="76"/>
  <c r="AM21" i="76"/>
  <c r="AM15" i="76"/>
  <c r="AM9" i="76"/>
  <c r="AM3" i="76"/>
  <c r="AJ21" i="76"/>
  <c r="AJ15" i="76"/>
  <c r="AJ9" i="76"/>
  <c r="AJ3" i="76"/>
  <c r="AG21" i="76"/>
  <c r="AG15" i="76"/>
  <c r="AG9" i="76"/>
  <c r="AG3" i="76"/>
  <c r="AD21" i="76"/>
  <c r="AD15" i="76"/>
  <c r="AD9" i="76"/>
  <c r="AD3" i="76"/>
  <c r="AA21" i="76"/>
  <c r="AA15" i="76"/>
  <c r="AA9" i="76"/>
  <c r="AA3" i="76"/>
  <c r="X21" i="76"/>
  <c r="X15" i="76"/>
  <c r="X9" i="76"/>
  <c r="X3" i="76"/>
  <c r="U21" i="76"/>
  <c r="U15" i="76"/>
  <c r="U9" i="76"/>
  <c r="U3" i="76"/>
  <c r="R21" i="76"/>
  <c r="R15" i="76"/>
  <c r="R9" i="76"/>
  <c r="R3" i="76"/>
  <c r="O21" i="76"/>
  <c r="O15" i="76"/>
  <c r="O9" i="76"/>
  <c r="O3" i="76"/>
  <c r="L21" i="76"/>
  <c r="L15" i="76"/>
  <c r="L9" i="76"/>
  <c r="L3" i="76"/>
  <c r="I21" i="76"/>
  <c r="I15" i="76"/>
  <c r="I9" i="76"/>
  <c r="I3" i="76"/>
  <c r="F21" i="76"/>
  <c r="F15" i="76"/>
  <c r="F9" i="76"/>
  <c r="F3" i="76"/>
  <c r="BY4" i="76" l="1"/>
  <c r="BY5" i="76"/>
  <c r="BY21" i="76"/>
  <c r="BY15" i="76"/>
  <c r="BY9" i="76"/>
  <c r="BJ36" i="76"/>
  <c r="BG36" i="76"/>
  <c r="BD36" i="76"/>
  <c r="AX36" i="76"/>
  <c r="AR36" i="76"/>
  <c r="AK36" i="76"/>
  <c r="AH36" i="76"/>
  <c r="AE36" i="76"/>
  <c r="Y36" i="76"/>
  <c r="S36" i="76"/>
  <c r="BM33" i="76"/>
  <c r="BY36" i="76"/>
  <c r="BV30" i="76"/>
  <c r="BS30" i="76"/>
  <c r="BP30" i="76"/>
  <c r="BM30" i="76"/>
  <c r="BJ30" i="76"/>
  <c r="BG30" i="76"/>
  <c r="BD30" i="76"/>
  <c r="BA30" i="76"/>
  <c r="AX30" i="76"/>
  <c r="AU30" i="76"/>
  <c r="AR30" i="76"/>
  <c r="AN30" i="76"/>
  <c r="AK30" i="76"/>
  <c r="AH30" i="76"/>
  <c r="AE30" i="76"/>
  <c r="AB30" i="76"/>
  <c r="Y30" i="76"/>
  <c r="V30" i="76"/>
  <c r="S30" i="76"/>
  <c r="P30" i="76"/>
  <c r="J30" i="76"/>
  <c r="J36" i="76"/>
  <c r="G30" i="76"/>
  <c r="G36" i="76"/>
  <c r="BY33" i="76"/>
  <c r="BV27" i="76"/>
  <c r="BS33" i="76"/>
  <c r="BP27" i="76"/>
  <c r="BP33" i="76"/>
  <c r="BM27" i="76"/>
  <c r="BJ33" i="76"/>
  <c r="BG27" i="76"/>
  <c r="BD27" i="76"/>
  <c r="BA33" i="76"/>
  <c r="AU33" i="76"/>
  <c r="AR33" i="76"/>
  <c r="AN27" i="76"/>
  <c r="AK33" i="76"/>
  <c r="AH27" i="76"/>
  <c r="AB33" i="76"/>
  <c r="V33" i="76"/>
  <c r="S33" i="76"/>
  <c r="P27" i="76"/>
  <c r="M33" i="76"/>
  <c r="J27" i="76"/>
  <c r="G27" i="76"/>
  <c r="G33" i="76"/>
  <c r="G18" i="76"/>
  <c r="AH12" i="76"/>
  <c r="J12" i="76"/>
  <c r="G12" i="76"/>
  <c r="BP9" i="76"/>
  <c r="BY24" i="76"/>
  <c r="BM6" i="76"/>
  <c r="BG24" i="76"/>
  <c r="BA6" i="76"/>
  <c r="AH24" i="76"/>
  <c r="AB6" i="76"/>
  <c r="P6" i="76"/>
  <c r="J6" i="76"/>
  <c r="J24" i="76"/>
  <c r="BV3" i="76"/>
  <c r="BS3" i="76"/>
  <c r="BP3" i="76"/>
  <c r="BM3" i="76"/>
  <c r="BJ3" i="76"/>
  <c r="BG3" i="76"/>
  <c r="BD3" i="76"/>
  <c r="BA3" i="76"/>
  <c r="AX3" i="76"/>
  <c r="AU3" i="76"/>
  <c r="AR3" i="76"/>
  <c r="AN3" i="76"/>
  <c r="AK3" i="76"/>
  <c r="AH3" i="76"/>
  <c r="AE3" i="76"/>
  <c r="AB3" i="76"/>
  <c r="Y3" i="76"/>
  <c r="V3" i="76"/>
  <c r="S3" i="76"/>
  <c r="P3" i="76"/>
  <c r="M3" i="76"/>
  <c r="J3" i="76"/>
  <c r="J5" i="76" s="1"/>
  <c r="G3" i="76"/>
  <c r="BY16" i="76" l="1"/>
  <c r="BY17" i="76"/>
  <c r="BY10" i="76"/>
  <c r="BY11" i="76"/>
  <c r="AK35" i="76"/>
  <c r="BJ9" i="76"/>
  <c r="AN33" i="76"/>
  <c r="AB9" i="76"/>
  <c r="BJ27" i="76"/>
  <c r="BJ28" i="76" s="1"/>
  <c r="BY30" i="76"/>
  <c r="AB36" i="76"/>
  <c r="AB35" i="76" s="1"/>
  <c r="BA36" i="76"/>
  <c r="BA34" i="76" s="1"/>
  <c r="BS36" i="76"/>
  <c r="BS34" i="76" s="1"/>
  <c r="P33" i="76"/>
  <c r="P35" i="76" s="1"/>
  <c r="AB5" i="76"/>
  <c r="S9" i="76"/>
  <c r="J28" i="76"/>
  <c r="AH28" i="76"/>
  <c r="J33" i="76"/>
  <c r="J35" i="76" s="1"/>
  <c r="AH33" i="76"/>
  <c r="AH35" i="76" s="1"/>
  <c r="BG33" i="76"/>
  <c r="BG35" i="76" s="1"/>
  <c r="V36" i="76"/>
  <c r="V35" i="76" s="1"/>
  <c r="AU36" i="76"/>
  <c r="AU35" i="76" s="1"/>
  <c r="AH6" i="76"/>
  <c r="AH5" i="76" s="1"/>
  <c r="AE12" i="76"/>
  <c r="BM24" i="76"/>
  <c r="BG28" i="76"/>
  <c r="P36" i="76"/>
  <c r="AN36" i="76"/>
  <c r="AN35" i="76" s="1"/>
  <c r="BM36" i="76"/>
  <c r="BM34" i="76" s="1"/>
  <c r="BM29" i="76"/>
  <c r="BM28" i="76"/>
  <c r="P29" i="76"/>
  <c r="P28" i="76"/>
  <c r="AN29" i="76"/>
  <c r="AN28" i="76"/>
  <c r="BD12" i="76"/>
  <c r="AN24" i="76"/>
  <c r="BG12" i="76"/>
  <c r="V27" i="76"/>
  <c r="V28" i="76" s="1"/>
  <c r="AB27" i="76"/>
  <c r="AU27" i="76"/>
  <c r="AU28" i="76" s="1"/>
  <c r="BA27" i="76"/>
  <c r="BS27" i="76"/>
  <c r="BS28" i="76" s="1"/>
  <c r="BY27" i="76"/>
  <c r="M36" i="76"/>
  <c r="M35" i="76" s="1"/>
  <c r="BV36" i="76"/>
  <c r="M39" i="76"/>
  <c r="Y39" i="76"/>
  <c r="AK39" i="76"/>
  <c r="AX39" i="76"/>
  <c r="BJ39" i="76"/>
  <c r="BV39" i="76"/>
  <c r="AK9" i="76"/>
  <c r="P24" i="76"/>
  <c r="AN6" i="76"/>
  <c r="AN4" i="76" s="1"/>
  <c r="BA24" i="76"/>
  <c r="BG6" i="76"/>
  <c r="BG5" i="76" s="1"/>
  <c r="AE9" i="76"/>
  <c r="BA9" i="76"/>
  <c r="BV12" i="76"/>
  <c r="AB15" i="76"/>
  <c r="BA15" i="76"/>
  <c r="Y33" i="76"/>
  <c r="Y34" i="76" s="1"/>
  <c r="AE33" i="76"/>
  <c r="AE34" i="76" s="1"/>
  <c r="AK34" i="76"/>
  <c r="AX33" i="76"/>
  <c r="AX34" i="76" s="1"/>
  <c r="BD33" i="76"/>
  <c r="BJ34" i="76"/>
  <c r="BV33" i="76"/>
  <c r="M30" i="76"/>
  <c r="AB24" i="76"/>
  <c r="BA5" i="76"/>
  <c r="M9" i="76"/>
  <c r="AR9" i="76"/>
  <c r="P12" i="76"/>
  <c r="AB12" i="76"/>
  <c r="AN12" i="76"/>
  <c r="BA12" i="76"/>
  <c r="BM12" i="76"/>
  <c r="S18" i="76"/>
  <c r="AE18" i="76"/>
  <c r="AR18" i="76"/>
  <c r="BD18" i="76"/>
  <c r="BP18" i="76"/>
  <c r="J21" i="76"/>
  <c r="J22" i="76" s="1"/>
  <c r="V21" i="76"/>
  <c r="AH21" i="76"/>
  <c r="AH22" i="76" s="1"/>
  <c r="AU21" i="76"/>
  <c r="BG21" i="76"/>
  <c r="BG22" i="76" s="1"/>
  <c r="BS21" i="76"/>
  <c r="M27" i="76"/>
  <c r="S27" i="76"/>
  <c r="Y27" i="76"/>
  <c r="Y28" i="76" s="1"/>
  <c r="AE27" i="76"/>
  <c r="AE28" i="76" s="1"/>
  <c r="AK27" i="76"/>
  <c r="AK29" i="76" s="1"/>
  <c r="AR27" i="76"/>
  <c r="AR28" i="76" s="1"/>
  <c r="AX27" i="76"/>
  <c r="AX29" i="76" s="1"/>
  <c r="BP28" i="76"/>
  <c r="J42" i="76"/>
  <c r="V42" i="76"/>
  <c r="AH42" i="76"/>
  <c r="AU42" i="76"/>
  <c r="BG42" i="76"/>
  <c r="BS42" i="76"/>
  <c r="M45" i="76"/>
  <c r="Y45" i="76"/>
  <c r="AK45" i="76"/>
  <c r="AX45" i="76"/>
  <c r="BJ45" i="76"/>
  <c r="BV45" i="76"/>
  <c r="P48" i="76"/>
  <c r="AB48" i="76"/>
  <c r="AN48" i="76"/>
  <c r="BA48" i="76"/>
  <c r="BM48" i="76"/>
  <c r="BY48" i="76"/>
  <c r="BJ24" i="76"/>
  <c r="BJ6" i="76"/>
  <c r="BJ5" i="76" s="1"/>
  <c r="AK24" i="76"/>
  <c r="AK6" i="76"/>
  <c r="BD9" i="76"/>
  <c r="BM4" i="76"/>
  <c r="BM5" i="76"/>
  <c r="M24" i="76"/>
  <c r="M6" i="76"/>
  <c r="M5" i="76" s="1"/>
  <c r="V24" i="76"/>
  <c r="V6" i="76"/>
  <c r="V4" i="76" s="1"/>
  <c r="V12" i="76"/>
  <c r="AU24" i="76"/>
  <c r="AU23" i="76" s="1"/>
  <c r="AU12" i="76"/>
  <c r="AU6" i="76"/>
  <c r="AU5" i="76" s="1"/>
  <c r="P4" i="76"/>
  <c r="P5" i="76"/>
  <c r="BS24" i="76"/>
  <c r="BS6" i="76"/>
  <c r="BS5" i="76" s="1"/>
  <c r="G9" i="76"/>
  <c r="J4" i="76"/>
  <c r="G24" i="76"/>
  <c r="G6" i="76"/>
  <c r="G4" i="76" s="1"/>
  <c r="AE24" i="76"/>
  <c r="AE6" i="76"/>
  <c r="AE4" i="76" s="1"/>
  <c r="BD24" i="76"/>
  <c r="BD6" i="76"/>
  <c r="BD4" i="76" s="1"/>
  <c r="V9" i="76"/>
  <c r="AU9" i="76"/>
  <c r="Y12" i="76"/>
  <c r="AX12" i="76"/>
  <c r="G15" i="76"/>
  <c r="S15" i="76"/>
  <c r="AE15" i="76"/>
  <c r="AR15" i="76"/>
  <c r="BD15" i="76"/>
  <c r="BP15" i="76"/>
  <c r="J18" i="76"/>
  <c r="V18" i="76"/>
  <c r="AH18" i="76"/>
  <c r="AU18" i="76"/>
  <c r="BG18" i="76"/>
  <c r="BS18" i="76"/>
  <c r="M21" i="76"/>
  <c r="Y21" i="76"/>
  <c r="AK21" i="76"/>
  <c r="AX21" i="76"/>
  <c r="BJ21" i="76"/>
  <c r="BV21" i="76"/>
  <c r="G28" i="76"/>
  <c r="G29" i="76"/>
  <c r="AK28" i="76"/>
  <c r="BD28" i="76"/>
  <c r="BD29" i="76"/>
  <c r="BV28" i="76"/>
  <c r="BV29" i="76"/>
  <c r="BP29" i="76"/>
  <c r="P15" i="76"/>
  <c r="AN15" i="76"/>
  <c r="BM15" i="76"/>
  <c r="V22" i="76"/>
  <c r="BJ4" i="76"/>
  <c r="Y24" i="76"/>
  <c r="Y6" i="76"/>
  <c r="Y4" i="76" s="1"/>
  <c r="AX24" i="76"/>
  <c r="AX6" i="76"/>
  <c r="AX5" i="76" s="1"/>
  <c r="BV24" i="76"/>
  <c r="BV6" i="76"/>
  <c r="BV5" i="76" s="1"/>
  <c r="P9" i="76"/>
  <c r="AN9" i="76"/>
  <c r="BM9" i="76"/>
  <c r="S12" i="76"/>
  <c r="AR12" i="76"/>
  <c r="AR11" i="76" s="1"/>
  <c r="BP12" i="76"/>
  <c r="BP11" i="76" s="1"/>
  <c r="J15" i="76"/>
  <c r="V15" i="76"/>
  <c r="AH15" i="76"/>
  <c r="AU15" i="76"/>
  <c r="BG15" i="76"/>
  <c r="BS15" i="76"/>
  <c r="M18" i="76"/>
  <c r="Y18" i="76"/>
  <c r="AK18" i="76"/>
  <c r="AX18" i="76"/>
  <c r="BJ18" i="76"/>
  <c r="BV18" i="76"/>
  <c r="P21" i="76"/>
  <c r="AB21" i="76"/>
  <c r="AN21" i="76"/>
  <c r="BA21" i="76"/>
  <c r="BM21" i="76"/>
  <c r="AB4" i="76"/>
  <c r="BA4" i="76"/>
  <c r="AH4" i="76"/>
  <c r="S24" i="76"/>
  <c r="S6" i="76"/>
  <c r="S4" i="76" s="1"/>
  <c r="AR24" i="76"/>
  <c r="AR6" i="76"/>
  <c r="AR4" i="76" s="1"/>
  <c r="BP24" i="76"/>
  <c r="BP6" i="76"/>
  <c r="BP5" i="76" s="1"/>
  <c r="J9" i="76"/>
  <c r="Y9" i="76"/>
  <c r="AH9" i="76"/>
  <c r="AX9" i="76"/>
  <c r="BG9" i="76"/>
  <c r="BV9" i="76"/>
  <c r="M12" i="76"/>
  <c r="AK12" i="76"/>
  <c r="BJ12" i="76"/>
  <c r="BS12" i="76"/>
  <c r="BS10" i="76" s="1"/>
  <c r="M15" i="76"/>
  <c r="Y15" i="76"/>
  <c r="AK15" i="76"/>
  <c r="AX15" i="76"/>
  <c r="BJ15" i="76"/>
  <c r="BV15" i="76"/>
  <c r="P18" i="76"/>
  <c r="AB18" i="76"/>
  <c r="AN18" i="76"/>
  <c r="BA18" i="76"/>
  <c r="BM18" i="76"/>
  <c r="G21" i="76"/>
  <c r="S21" i="76"/>
  <c r="AE21" i="76"/>
  <c r="AR21" i="76"/>
  <c r="BD21" i="76"/>
  <c r="BP21" i="76"/>
  <c r="AX35" i="76"/>
  <c r="G34" i="76"/>
  <c r="G35" i="76"/>
  <c r="S34" i="76"/>
  <c r="S35" i="76"/>
  <c r="AR34" i="76"/>
  <c r="AR35" i="76"/>
  <c r="BD34" i="76"/>
  <c r="BD35" i="76"/>
  <c r="BY34" i="76"/>
  <c r="BY35" i="76"/>
  <c r="BJ35" i="76"/>
  <c r="BG34" i="76"/>
  <c r="Y35" i="76"/>
  <c r="J29" i="76"/>
  <c r="AH29" i="76"/>
  <c r="BG29" i="76"/>
  <c r="BP36" i="76"/>
  <c r="BP35" i="76" s="1"/>
  <c r="P39" i="76"/>
  <c r="AB39" i="76"/>
  <c r="AN39" i="76"/>
  <c r="BA39" i="76"/>
  <c r="BM39" i="76"/>
  <c r="BY39" i="76"/>
  <c r="M42" i="76"/>
  <c r="Y42" i="76"/>
  <c r="Y40" i="76" s="1"/>
  <c r="AK42" i="76"/>
  <c r="AX42" i="76"/>
  <c r="AX41" i="76" s="1"/>
  <c r="BJ42" i="76"/>
  <c r="BV42" i="76"/>
  <c r="BV40" i="76" s="1"/>
  <c r="P45" i="76"/>
  <c r="AB45" i="76"/>
  <c r="AN45" i="76"/>
  <c r="BA45" i="76"/>
  <c r="BM45" i="76"/>
  <c r="BY45" i="76"/>
  <c r="G48" i="76"/>
  <c r="S48" i="76"/>
  <c r="AE48" i="76"/>
  <c r="AR48" i="76"/>
  <c r="BD48" i="76"/>
  <c r="BP48" i="76"/>
  <c r="G39" i="76"/>
  <c r="S39" i="76"/>
  <c r="AE39" i="76"/>
  <c r="AR39" i="76"/>
  <c r="BD39" i="76"/>
  <c r="BP39" i="76"/>
  <c r="P42" i="76"/>
  <c r="AB42" i="76"/>
  <c r="AN42" i="76"/>
  <c r="BA42" i="76"/>
  <c r="BM42" i="76"/>
  <c r="BY42" i="76"/>
  <c r="G45" i="76"/>
  <c r="S45" i="76"/>
  <c r="AE45" i="76"/>
  <c r="AR45" i="76"/>
  <c r="BD45" i="76"/>
  <c r="BP45" i="76"/>
  <c r="J48" i="76"/>
  <c r="V48" i="76"/>
  <c r="AH48" i="76"/>
  <c r="AU48" i="76"/>
  <c r="BG48" i="76"/>
  <c r="BS48" i="76"/>
  <c r="J39" i="76"/>
  <c r="V39" i="76"/>
  <c r="AH39" i="76"/>
  <c r="AU39" i="76"/>
  <c r="BG39" i="76"/>
  <c r="BS39" i="76"/>
  <c r="G42" i="76"/>
  <c r="S42" i="76"/>
  <c r="AE42" i="76"/>
  <c r="AR42" i="76"/>
  <c r="BD42" i="76"/>
  <c r="BP42" i="76"/>
  <c r="J45" i="76"/>
  <c r="V45" i="76"/>
  <c r="AH45" i="76"/>
  <c r="AU45" i="76"/>
  <c r="BG45" i="76"/>
  <c r="BS45" i="76"/>
  <c r="M48" i="76"/>
  <c r="Y48" i="76"/>
  <c r="Y46" i="76" s="1"/>
  <c r="AK48" i="76"/>
  <c r="AK46" i="76" s="1"/>
  <c r="AX48" i="76"/>
  <c r="BJ48" i="76"/>
  <c r="BV48" i="76"/>
  <c r="BV46" i="76" s="1"/>
  <c r="AX46" i="76" l="1"/>
  <c r="BS35" i="76"/>
  <c r="AE35" i="76"/>
  <c r="M34" i="76"/>
  <c r="BJ10" i="76"/>
  <c r="M4" i="76"/>
  <c r="BJ29" i="76"/>
  <c r="AX28" i="76"/>
  <c r="BG4" i="76"/>
  <c r="S10" i="76"/>
  <c r="P34" i="76"/>
  <c r="BS23" i="76"/>
  <c r="V23" i="76"/>
  <c r="AE11" i="76"/>
  <c r="AN34" i="76"/>
  <c r="M29" i="76"/>
  <c r="J23" i="76"/>
  <c r="BV34" i="76"/>
  <c r="BA35" i="76"/>
  <c r="AU29" i="76"/>
  <c r="AU34" i="76"/>
  <c r="AK41" i="76"/>
  <c r="AE29" i="76"/>
  <c r="AB34" i="76"/>
  <c r="M28" i="76"/>
  <c r="J34" i="76"/>
  <c r="BS22" i="76"/>
  <c r="BA11" i="76"/>
  <c r="AB16" i="76"/>
  <c r="AK11" i="76"/>
  <c r="AH23" i="76"/>
  <c r="AH34" i="76"/>
  <c r="AE10" i="76"/>
  <c r="S11" i="76"/>
  <c r="BP4" i="76"/>
  <c r="V34" i="76"/>
  <c r="Y29" i="76"/>
  <c r="AU22" i="76"/>
  <c r="AB11" i="76"/>
  <c r="BJ46" i="76"/>
  <c r="M46" i="76"/>
  <c r="BJ40" i="76"/>
  <c r="M41" i="76"/>
  <c r="BS29" i="76"/>
  <c r="V29" i="76"/>
  <c r="BM35" i="76"/>
  <c r="AN5" i="76"/>
  <c r="BA10" i="76"/>
  <c r="BG23" i="76"/>
  <c r="BA29" i="76"/>
  <c r="BA28" i="76"/>
  <c r="BV35" i="76"/>
  <c r="M10" i="76"/>
  <c r="AB10" i="76"/>
  <c r="S28" i="76"/>
  <c r="S29" i="76"/>
  <c r="BP10" i="76"/>
  <c r="AX4" i="76"/>
  <c r="AR29" i="76"/>
  <c r="BY29" i="76"/>
  <c r="BY28" i="76"/>
  <c r="AB29" i="76"/>
  <c r="AB28" i="76"/>
  <c r="BA17" i="76"/>
  <c r="AB17" i="76"/>
  <c r="AH46" i="76"/>
  <c r="AH47" i="76"/>
  <c r="BG40" i="76"/>
  <c r="BG41" i="76"/>
  <c r="J40" i="76"/>
  <c r="J41" i="76"/>
  <c r="AR47" i="76"/>
  <c r="AR46" i="76"/>
  <c r="BD41" i="76"/>
  <c r="BD40" i="76"/>
  <c r="G41" i="76"/>
  <c r="G40" i="76"/>
  <c r="BY46" i="76"/>
  <c r="BY47" i="76"/>
  <c r="AB46" i="76"/>
  <c r="AB47" i="76"/>
  <c r="AN40" i="76"/>
  <c r="AN41" i="76"/>
  <c r="AX40" i="76"/>
  <c r="BP34" i="76"/>
  <c r="BJ41" i="76"/>
  <c r="Y41" i="76"/>
  <c r="BV47" i="76"/>
  <c r="AX47" i="76"/>
  <c r="Y47" i="76"/>
  <c r="BP23" i="76"/>
  <c r="BP22" i="76"/>
  <c r="S23" i="76"/>
  <c r="S22" i="76"/>
  <c r="BJ17" i="76"/>
  <c r="BJ16" i="76"/>
  <c r="M17" i="76"/>
  <c r="M16" i="76"/>
  <c r="AX10" i="76"/>
  <c r="AX11" i="76"/>
  <c r="BA16" i="76"/>
  <c r="BM23" i="76"/>
  <c r="BM22" i="76"/>
  <c r="P22" i="76"/>
  <c r="P23" i="76"/>
  <c r="AH16" i="76"/>
  <c r="AH17" i="76"/>
  <c r="AN11" i="76"/>
  <c r="AN10" i="76"/>
  <c r="S5" i="76"/>
  <c r="BM16" i="76"/>
  <c r="BM17" i="76"/>
  <c r="BV23" i="76"/>
  <c r="BV22" i="76"/>
  <c r="Y22" i="76"/>
  <c r="Y23" i="76"/>
  <c r="AR16" i="76"/>
  <c r="AR17" i="76"/>
  <c r="Y5" i="76"/>
  <c r="BD5" i="76"/>
  <c r="AK10" i="76"/>
  <c r="AE5" i="76"/>
  <c r="AU4" i="76"/>
  <c r="M11" i="76"/>
  <c r="V46" i="76"/>
  <c r="V47" i="76"/>
  <c r="AU40" i="76"/>
  <c r="AU41" i="76"/>
  <c r="AE47" i="76"/>
  <c r="AE46" i="76"/>
  <c r="AR41" i="76"/>
  <c r="AR40" i="76"/>
  <c r="BM46" i="76"/>
  <c r="BM47" i="76"/>
  <c r="P46" i="76"/>
  <c r="P47" i="76"/>
  <c r="BY40" i="76"/>
  <c r="BY41" i="76"/>
  <c r="AB40" i="76"/>
  <c r="AB41" i="76"/>
  <c r="M40" i="76"/>
  <c r="BD23" i="76"/>
  <c r="BD22" i="76"/>
  <c r="G23" i="76"/>
  <c r="G22" i="76"/>
  <c r="AX17" i="76"/>
  <c r="AX16" i="76"/>
  <c r="AH11" i="76"/>
  <c r="AH10" i="76"/>
  <c r="BA22" i="76"/>
  <c r="BA23" i="76"/>
  <c r="BS16" i="76"/>
  <c r="BS17" i="76"/>
  <c r="V16" i="76"/>
  <c r="V17" i="76"/>
  <c r="P11" i="76"/>
  <c r="P10" i="76"/>
  <c r="AN16" i="76"/>
  <c r="AN17" i="76"/>
  <c r="BJ22" i="76"/>
  <c r="BJ23" i="76"/>
  <c r="M22" i="76"/>
  <c r="M23" i="76"/>
  <c r="AE17" i="76"/>
  <c r="AE16" i="76"/>
  <c r="AU11" i="76"/>
  <c r="AU10" i="76"/>
  <c r="BJ11" i="76"/>
  <c r="BS4" i="76"/>
  <c r="BS46" i="76"/>
  <c r="BS47" i="76"/>
  <c r="BG46" i="76"/>
  <c r="BG47" i="76"/>
  <c r="J46" i="76"/>
  <c r="J47" i="76"/>
  <c r="AH40" i="76"/>
  <c r="AH41" i="76"/>
  <c r="BP47" i="76"/>
  <c r="BP46" i="76"/>
  <c r="S47" i="76"/>
  <c r="S46" i="76"/>
  <c r="AE41" i="76"/>
  <c r="AE40" i="76"/>
  <c r="BA46" i="76"/>
  <c r="BA47" i="76"/>
  <c r="BM40" i="76"/>
  <c r="BM41" i="76"/>
  <c r="P40" i="76"/>
  <c r="P41" i="76"/>
  <c r="BV41" i="76"/>
  <c r="AK40" i="76"/>
  <c r="BJ47" i="76"/>
  <c r="AK47" i="76"/>
  <c r="M47" i="76"/>
  <c r="AR23" i="76"/>
  <c r="AR22" i="76"/>
  <c r="AK17" i="76"/>
  <c r="AK16" i="76"/>
  <c r="BV10" i="76"/>
  <c r="BV11" i="76"/>
  <c r="Y10" i="76"/>
  <c r="Y11" i="76"/>
  <c r="AN22" i="76"/>
  <c r="AN23" i="76"/>
  <c r="BG16" i="76"/>
  <c r="BG17" i="76"/>
  <c r="J16" i="76"/>
  <c r="J17" i="76"/>
  <c r="P16" i="76"/>
  <c r="P17" i="76"/>
  <c r="AX22" i="76"/>
  <c r="AX23" i="76"/>
  <c r="BP16" i="76"/>
  <c r="BP17" i="76"/>
  <c r="S17" i="76"/>
  <c r="S16" i="76"/>
  <c r="V11" i="76"/>
  <c r="V10" i="76"/>
  <c r="BD10" i="76"/>
  <c r="BD11" i="76"/>
  <c r="AK5" i="76"/>
  <c r="AK4" i="76"/>
  <c r="AU46" i="76"/>
  <c r="AU47" i="76"/>
  <c r="BS40" i="76"/>
  <c r="BS41" i="76"/>
  <c r="V40" i="76"/>
  <c r="V41" i="76"/>
  <c r="BD47" i="76"/>
  <c r="BD46" i="76"/>
  <c r="G47" i="76"/>
  <c r="G46" i="76"/>
  <c r="BP41" i="76"/>
  <c r="BP40" i="76"/>
  <c r="S41" i="76"/>
  <c r="S40" i="76"/>
  <c r="AN46" i="76"/>
  <c r="AN47" i="76"/>
  <c r="BA40" i="76"/>
  <c r="BA41" i="76"/>
  <c r="AE23" i="76"/>
  <c r="AE22" i="76"/>
  <c r="BV17" i="76"/>
  <c r="BV16" i="76"/>
  <c r="Y17" i="76"/>
  <c r="Y16" i="76"/>
  <c r="BG11" i="76"/>
  <c r="BG10" i="76"/>
  <c r="J11" i="76"/>
  <c r="J10" i="76"/>
  <c r="BY23" i="76"/>
  <c r="BY22" i="76"/>
  <c r="AB22" i="76"/>
  <c r="AB23" i="76"/>
  <c r="AU16" i="76"/>
  <c r="AU17" i="76"/>
  <c r="BM11" i="76"/>
  <c r="BM10" i="76"/>
  <c r="AR5" i="76"/>
  <c r="AK22" i="76"/>
  <c r="AK23" i="76"/>
  <c r="BD16" i="76"/>
  <c r="BD17" i="76"/>
  <c r="G17" i="76"/>
  <c r="G16" i="76"/>
  <c r="AR10" i="76"/>
  <c r="BV4" i="76"/>
  <c r="G11" i="76"/>
  <c r="G10" i="76"/>
  <c r="G5" i="76"/>
  <c r="V5" i="76"/>
  <c r="BX48" i="25" l="1"/>
  <c r="BX45" i="25"/>
  <c r="BX42" i="25"/>
  <c r="BX39" i="25"/>
  <c r="BX36" i="25"/>
  <c r="BX33" i="25"/>
  <c r="BX30" i="25"/>
  <c r="BY30" i="25" s="1"/>
  <c r="BX27" i="25"/>
  <c r="BY27" i="25" s="1"/>
  <c r="BX24" i="25"/>
  <c r="BX21" i="25"/>
  <c r="BX18" i="25"/>
  <c r="BX15" i="25"/>
  <c r="BX12" i="25"/>
  <c r="BX9" i="25"/>
  <c r="BX6" i="25"/>
  <c r="BY6" i="25" s="1"/>
  <c r="BX3" i="25"/>
  <c r="BY3" i="25" s="1"/>
  <c r="BU48" i="25"/>
  <c r="BU45" i="25"/>
  <c r="BU42" i="25"/>
  <c r="BU39" i="25"/>
  <c r="BU36" i="25"/>
  <c r="BU33" i="25"/>
  <c r="BU30" i="25"/>
  <c r="BV30" i="25" s="1"/>
  <c r="BU27" i="25"/>
  <c r="BV27" i="25" s="1"/>
  <c r="BU24" i="25"/>
  <c r="BU21" i="25"/>
  <c r="BU18" i="25"/>
  <c r="BU15" i="25"/>
  <c r="BU12" i="25"/>
  <c r="BU9" i="25"/>
  <c r="BU6" i="25"/>
  <c r="BV6" i="25" s="1"/>
  <c r="BU3" i="25"/>
  <c r="BV3" i="25" s="1"/>
  <c r="BR48" i="25"/>
  <c r="BR45" i="25"/>
  <c r="BR42" i="25"/>
  <c r="BR39" i="25"/>
  <c r="BR36" i="25"/>
  <c r="BR33" i="25"/>
  <c r="BR30" i="25"/>
  <c r="BS30" i="25" s="1"/>
  <c r="BR27" i="25"/>
  <c r="BS27" i="25" s="1"/>
  <c r="BR24" i="25"/>
  <c r="BR21" i="25"/>
  <c r="BR18" i="25"/>
  <c r="BR15" i="25"/>
  <c r="BR12" i="25"/>
  <c r="BR9" i="25"/>
  <c r="BR6" i="25"/>
  <c r="BS6" i="25" s="1"/>
  <c r="BR3" i="25"/>
  <c r="BS3" i="25" s="1"/>
  <c r="BO48" i="25"/>
  <c r="BO45" i="25"/>
  <c r="BO42" i="25"/>
  <c r="BO39" i="25"/>
  <c r="BO36" i="25"/>
  <c r="BO33" i="25"/>
  <c r="BO30" i="25"/>
  <c r="BP30" i="25" s="1"/>
  <c r="BO27" i="25"/>
  <c r="BP27" i="25" s="1"/>
  <c r="BO24" i="25"/>
  <c r="BO21" i="25"/>
  <c r="BO18" i="25"/>
  <c r="BO15" i="25"/>
  <c r="BO12" i="25"/>
  <c r="BO9" i="25"/>
  <c r="BO6" i="25"/>
  <c r="BP6" i="25" s="1"/>
  <c r="BO3" i="25"/>
  <c r="BP3" i="25" s="1"/>
  <c r="BL48" i="25"/>
  <c r="BL45" i="25"/>
  <c r="BL42" i="25"/>
  <c r="BL39" i="25"/>
  <c r="BL36" i="25"/>
  <c r="BL33" i="25"/>
  <c r="BL30" i="25"/>
  <c r="BM30" i="25" s="1"/>
  <c r="BL27" i="25"/>
  <c r="BM27" i="25" s="1"/>
  <c r="BL24" i="25"/>
  <c r="BL21" i="25"/>
  <c r="BL18" i="25"/>
  <c r="BL15" i="25"/>
  <c r="BL12" i="25"/>
  <c r="BL9" i="25"/>
  <c r="BL6" i="25"/>
  <c r="BM6" i="25" s="1"/>
  <c r="BL3" i="25"/>
  <c r="BM3" i="25" s="1"/>
  <c r="BI48" i="25"/>
  <c r="BI45" i="25"/>
  <c r="BI42" i="25"/>
  <c r="BI39" i="25"/>
  <c r="BI36" i="25"/>
  <c r="BI33" i="25"/>
  <c r="BI30" i="25"/>
  <c r="BJ30" i="25" s="1"/>
  <c r="BI27" i="25"/>
  <c r="BJ27" i="25" s="1"/>
  <c r="BI24" i="25"/>
  <c r="BI21" i="25"/>
  <c r="BI18" i="25"/>
  <c r="BI15" i="25"/>
  <c r="BI12" i="25"/>
  <c r="BI9" i="25"/>
  <c r="BI6" i="25"/>
  <c r="BJ6" i="25" s="1"/>
  <c r="BI3" i="25"/>
  <c r="BJ3" i="25" s="1"/>
  <c r="BF48" i="25"/>
  <c r="BF45" i="25"/>
  <c r="BF42" i="25"/>
  <c r="BF39" i="25"/>
  <c r="BF36" i="25"/>
  <c r="BF33" i="25"/>
  <c r="BF30" i="25"/>
  <c r="BG30" i="25" s="1"/>
  <c r="BF27" i="25"/>
  <c r="BG27" i="25" s="1"/>
  <c r="BF24" i="25"/>
  <c r="BF21" i="25"/>
  <c r="BF18" i="25"/>
  <c r="BF15" i="25"/>
  <c r="BF12" i="25"/>
  <c r="BF9" i="25"/>
  <c r="BF6" i="25"/>
  <c r="BG6" i="25" s="1"/>
  <c r="BF3" i="25"/>
  <c r="BG3" i="25" s="1"/>
  <c r="BC48" i="25"/>
  <c r="BC45" i="25"/>
  <c r="BC42" i="25"/>
  <c r="BC39" i="25"/>
  <c r="BC36" i="25"/>
  <c r="BC33" i="25"/>
  <c r="BC30" i="25"/>
  <c r="BD30" i="25" s="1"/>
  <c r="BC27" i="25"/>
  <c r="BD27" i="25" s="1"/>
  <c r="BC24" i="25"/>
  <c r="BC21" i="25"/>
  <c r="BC18" i="25"/>
  <c r="BC15" i="25"/>
  <c r="BC12" i="25"/>
  <c r="BC9" i="25"/>
  <c r="BC6" i="25"/>
  <c r="BD6" i="25" s="1"/>
  <c r="BC3" i="25"/>
  <c r="BD3" i="25" s="1"/>
  <c r="AZ48" i="25"/>
  <c r="AZ45" i="25"/>
  <c r="AZ42" i="25"/>
  <c r="AZ39" i="25"/>
  <c r="AZ36" i="25"/>
  <c r="AZ33" i="25"/>
  <c r="AZ30" i="25"/>
  <c r="BA30" i="25" s="1"/>
  <c r="AZ27" i="25"/>
  <c r="BA27" i="25" s="1"/>
  <c r="AZ24" i="25"/>
  <c r="AZ21" i="25"/>
  <c r="AZ18" i="25"/>
  <c r="AZ15" i="25"/>
  <c r="AZ12" i="25"/>
  <c r="AZ9" i="25"/>
  <c r="AZ6" i="25"/>
  <c r="BA6" i="25" s="1"/>
  <c r="AZ3" i="25"/>
  <c r="BA3" i="25" s="1"/>
  <c r="BG5" i="25" l="1"/>
  <c r="BJ29" i="25"/>
  <c r="BS4" i="25"/>
  <c r="BS28" i="25"/>
  <c r="BV4" i="25"/>
  <c r="BA39" i="25"/>
  <c r="BG28" i="25"/>
  <c r="BS15" i="25"/>
  <c r="BA42" i="25"/>
  <c r="BA33" i="25"/>
  <c r="BJ33" i="25"/>
  <c r="BM33" i="25"/>
  <c r="BS45" i="25"/>
  <c r="BV33" i="25"/>
  <c r="BY9" i="25"/>
  <c r="BY33" i="25"/>
  <c r="BS12" i="25"/>
  <c r="BS10" i="25" s="1"/>
  <c r="BV29" i="25"/>
  <c r="BA15" i="25"/>
  <c r="BD15" i="25"/>
  <c r="BD17" i="25" s="1"/>
  <c r="BD39" i="25"/>
  <c r="BG15" i="25"/>
  <c r="BG39" i="25"/>
  <c r="BJ15" i="25"/>
  <c r="BJ16" i="25" s="1"/>
  <c r="BJ39" i="25"/>
  <c r="BM15" i="25"/>
  <c r="BM39" i="25"/>
  <c r="BM40" i="25" s="1"/>
  <c r="BP15" i="25"/>
  <c r="BP16" i="25" s="1"/>
  <c r="BP39" i="25"/>
  <c r="BS39" i="25"/>
  <c r="BV15" i="25"/>
  <c r="BV39" i="25"/>
  <c r="BY15" i="25"/>
  <c r="BA18" i="25"/>
  <c r="BD18" i="25"/>
  <c r="BG42" i="25"/>
  <c r="BG41" i="25" s="1"/>
  <c r="BJ18" i="25"/>
  <c r="BJ42" i="25"/>
  <c r="BM18" i="25"/>
  <c r="BM17" i="25" s="1"/>
  <c r="BM42" i="25"/>
  <c r="BM41" i="25" s="1"/>
  <c r="BP42" i="25"/>
  <c r="BA9" i="25"/>
  <c r="BD9" i="25"/>
  <c r="BD33" i="25"/>
  <c r="BG9" i="25"/>
  <c r="BG33" i="25"/>
  <c r="BG45" i="25"/>
  <c r="BJ9" i="25"/>
  <c r="BJ21" i="25"/>
  <c r="BJ45" i="25"/>
  <c r="BM9" i="25"/>
  <c r="BM21" i="25"/>
  <c r="BM45" i="25"/>
  <c r="BP9" i="25"/>
  <c r="BP33" i="25"/>
  <c r="BP45" i="25"/>
  <c r="BS33" i="25"/>
  <c r="BV9" i="25"/>
  <c r="BV45" i="25"/>
  <c r="BV46" i="25" s="1"/>
  <c r="BP12" i="25"/>
  <c r="BP11" i="25" s="1"/>
  <c r="BV48" i="25"/>
  <c r="BY24" i="25"/>
  <c r="BY48" i="25"/>
  <c r="BA12" i="25"/>
  <c r="BA10" i="25" s="1"/>
  <c r="BD12" i="25"/>
  <c r="BG12" i="25"/>
  <c r="BG36" i="25"/>
  <c r="BG35" i="25" s="1"/>
  <c r="BJ12" i="25"/>
  <c r="BJ11" i="25" s="1"/>
  <c r="BJ36" i="25"/>
  <c r="BM12" i="25"/>
  <c r="BM36" i="25"/>
  <c r="BP36" i="25"/>
  <c r="BP34" i="25" s="1"/>
  <c r="BS36" i="25"/>
  <c r="BS34" i="25" s="1"/>
  <c r="BV12" i="25"/>
  <c r="BV10" i="25" s="1"/>
  <c r="BV36" i="25"/>
  <c r="BV34" i="25" s="1"/>
  <c r="BY12" i="25"/>
  <c r="BY11" i="25" s="1"/>
  <c r="BY36" i="25"/>
  <c r="BD42" i="25"/>
  <c r="BP21" i="25"/>
  <c r="BS48" i="25"/>
  <c r="BS46" i="25" s="1"/>
  <c r="BY39" i="25"/>
  <c r="BJ40" i="25"/>
  <c r="BJ41" i="25"/>
  <c r="BM16" i="25"/>
  <c r="BA36" i="25"/>
  <c r="BA34" i="25" s="1"/>
  <c r="BG24" i="25"/>
  <c r="BV28" i="25"/>
  <c r="BA5" i="25"/>
  <c r="BA29" i="25"/>
  <c r="BD5" i="25"/>
  <c r="BD29" i="25"/>
  <c r="BG4" i="25"/>
  <c r="BJ4" i="25"/>
  <c r="BJ28" i="25"/>
  <c r="BM4" i="25"/>
  <c r="BM5" i="25"/>
  <c r="BM28" i="25"/>
  <c r="BM29" i="25"/>
  <c r="BP5" i="25"/>
  <c r="BP29" i="25"/>
  <c r="BS5" i="25"/>
  <c r="BS29" i="25"/>
  <c r="BV5" i="25"/>
  <c r="BY5" i="25"/>
  <c r="BY4" i="25"/>
  <c r="BY29" i="25"/>
  <c r="BY28" i="25"/>
  <c r="BJ5" i="25"/>
  <c r="BS42" i="25"/>
  <c r="BS40" i="25" s="1"/>
  <c r="BG29" i="25"/>
  <c r="BD36" i="25"/>
  <c r="BV11" i="25"/>
  <c r="BY34" i="25"/>
  <c r="BP18" i="25"/>
  <c r="BA24" i="25"/>
  <c r="BA48" i="25"/>
  <c r="BD24" i="25"/>
  <c r="BD48" i="25"/>
  <c r="BG48" i="25"/>
  <c r="BJ24" i="25"/>
  <c r="BJ23" i="25" s="1"/>
  <c r="BJ48" i="25"/>
  <c r="BJ46" i="25" s="1"/>
  <c r="BM24" i="25"/>
  <c r="BM48" i="25"/>
  <c r="BM46" i="25" s="1"/>
  <c r="BP24" i="25"/>
  <c r="BP22" i="25" s="1"/>
  <c r="BP48" i="25"/>
  <c r="BS24" i="25"/>
  <c r="BV24" i="25"/>
  <c r="BG18" i="25"/>
  <c r="BG17" i="25" s="1"/>
  <c r="BS18" i="25"/>
  <c r="BS16" i="25" s="1"/>
  <c r="BV18" i="25"/>
  <c r="BV42" i="25"/>
  <c r="BY18" i="25"/>
  <c r="BY17" i="25" s="1"/>
  <c r="BY42" i="25"/>
  <c r="BA21" i="25"/>
  <c r="BA45" i="25"/>
  <c r="BD21" i="25"/>
  <c r="BD45" i="25"/>
  <c r="BG21" i="25"/>
  <c r="BS21" i="25"/>
  <c r="BV21" i="25"/>
  <c r="BY21" i="25"/>
  <c r="BY45" i="25"/>
  <c r="BP4" i="25"/>
  <c r="BP28" i="25"/>
  <c r="BP40" i="25"/>
  <c r="BD4" i="25"/>
  <c r="BD22" i="25"/>
  <c r="BD28" i="25"/>
  <c r="BA4" i="25"/>
  <c r="BA16" i="25"/>
  <c r="BA22" i="25"/>
  <c r="BA28" i="25"/>
  <c r="BA40" i="25"/>
  <c r="BD16" i="25" l="1"/>
  <c r="BD23" i="25"/>
  <c r="BG47" i="25"/>
  <c r="BG34" i="25"/>
  <c r="BM10" i="25"/>
  <c r="BV16" i="25"/>
  <c r="BY35" i="25"/>
  <c r="BJ35" i="25"/>
  <c r="BD10" i="25"/>
  <c r="BV47" i="25"/>
  <c r="BP10" i="25"/>
  <c r="BP46" i="25"/>
  <c r="BP17" i="25"/>
  <c r="BA47" i="25"/>
  <c r="BV41" i="25"/>
  <c r="BY10" i="25"/>
  <c r="BA11" i="25"/>
  <c r="BJ17" i="25"/>
  <c r="BA23" i="25"/>
  <c r="BM22" i="25"/>
  <c r="BD35" i="25"/>
  <c r="BD41" i="25"/>
  <c r="BG11" i="25"/>
  <c r="BA41" i="25"/>
  <c r="BG23" i="25"/>
  <c r="BJ10" i="25"/>
  <c r="BJ47" i="25"/>
  <c r="BM11" i="25"/>
  <c r="BP41" i="25"/>
  <c r="BV22" i="25"/>
  <c r="BJ22" i="25"/>
  <c r="BS22" i="25"/>
  <c r="BD46" i="25"/>
  <c r="BJ34" i="25"/>
  <c r="BG40" i="25"/>
  <c r="BA17" i="25"/>
  <c r="BP23" i="25"/>
  <c r="BY16" i="25"/>
  <c r="BM47" i="25"/>
  <c r="BS35" i="25"/>
  <c r="BP47" i="25"/>
  <c r="BD47" i="25"/>
  <c r="BD11" i="25"/>
  <c r="BG16" i="25"/>
  <c r="BY46" i="25"/>
  <c r="BY47" i="25"/>
  <c r="BM35" i="25"/>
  <c r="BM34" i="25"/>
  <c r="BA46" i="25"/>
  <c r="BV23" i="25"/>
  <c r="BA35" i="25"/>
  <c r="BY41" i="25"/>
  <c r="BY40" i="25"/>
  <c r="BY22" i="25"/>
  <c r="BY23" i="25"/>
  <c r="BD40" i="25"/>
  <c r="BV40" i="25"/>
  <c r="BS23" i="25"/>
  <c r="BV17" i="25"/>
  <c r="BS17" i="25"/>
  <c r="BM23" i="25"/>
  <c r="BV35" i="25"/>
  <c r="BS47" i="25"/>
  <c r="BP35" i="25"/>
  <c r="BG46" i="25"/>
  <c r="BD34" i="25"/>
  <c r="BG22" i="25"/>
  <c r="BG10" i="25"/>
  <c r="BS41" i="25"/>
  <c r="AM48" i="25" l="1"/>
  <c r="AM45" i="25"/>
  <c r="AM42" i="25"/>
  <c r="AM39" i="25"/>
  <c r="AM36" i="25"/>
  <c r="AM33" i="25"/>
  <c r="AM30" i="25"/>
  <c r="AN30" i="25" s="1"/>
  <c r="AM27" i="25"/>
  <c r="AN27" i="25" s="1"/>
  <c r="AJ48" i="25"/>
  <c r="AJ45" i="25"/>
  <c r="AJ42" i="25"/>
  <c r="AJ39" i="25"/>
  <c r="AJ36" i="25"/>
  <c r="AJ33" i="25"/>
  <c r="AJ30" i="25"/>
  <c r="AK30" i="25" s="1"/>
  <c r="AJ27" i="25"/>
  <c r="AK27" i="25" s="1"/>
  <c r="AG48" i="25"/>
  <c r="AG45" i="25"/>
  <c r="AG42" i="25"/>
  <c r="AG39" i="25"/>
  <c r="AG36" i="25"/>
  <c r="AG33" i="25"/>
  <c r="AG30" i="25"/>
  <c r="AH30" i="25" s="1"/>
  <c r="AG27" i="25"/>
  <c r="AH27" i="25" s="1"/>
  <c r="AD48" i="25"/>
  <c r="AD45" i="25"/>
  <c r="AD42" i="25"/>
  <c r="AD39" i="25"/>
  <c r="AD36" i="25"/>
  <c r="AD33" i="25"/>
  <c r="AD30" i="25"/>
  <c r="AE30" i="25" s="1"/>
  <c r="AD27" i="25"/>
  <c r="AE27" i="25" s="1"/>
  <c r="AA48" i="25"/>
  <c r="AA45" i="25"/>
  <c r="AA42" i="25"/>
  <c r="AA39" i="25"/>
  <c r="AA36" i="25"/>
  <c r="AA33" i="25"/>
  <c r="AA30" i="25"/>
  <c r="AB30" i="25" s="1"/>
  <c r="AA27" i="25"/>
  <c r="AB27" i="25" s="1"/>
  <c r="X48" i="25"/>
  <c r="X45" i="25"/>
  <c r="X42" i="25"/>
  <c r="X39" i="25"/>
  <c r="X36" i="25"/>
  <c r="X33" i="25"/>
  <c r="X30" i="25"/>
  <c r="Y30" i="25" s="1"/>
  <c r="X27" i="25"/>
  <c r="Y27" i="25" s="1"/>
  <c r="U48" i="25"/>
  <c r="U45" i="25"/>
  <c r="U42" i="25"/>
  <c r="U39" i="25"/>
  <c r="U36" i="25"/>
  <c r="U33" i="25"/>
  <c r="U30" i="25"/>
  <c r="V30" i="25" s="1"/>
  <c r="U27" i="25"/>
  <c r="V27" i="25" s="1"/>
  <c r="R48" i="25"/>
  <c r="R45" i="25"/>
  <c r="R42" i="25"/>
  <c r="R39" i="25"/>
  <c r="R36" i="25"/>
  <c r="R33" i="25"/>
  <c r="R30" i="25"/>
  <c r="S30" i="25" s="1"/>
  <c r="R27" i="25"/>
  <c r="S27" i="25" s="1"/>
  <c r="O48" i="25"/>
  <c r="O45" i="25"/>
  <c r="O42" i="25"/>
  <c r="O39" i="25"/>
  <c r="O36" i="25"/>
  <c r="O33" i="25"/>
  <c r="O30" i="25"/>
  <c r="P30" i="25" s="1"/>
  <c r="O27" i="25"/>
  <c r="P27" i="25" s="1"/>
  <c r="P45" i="25" l="1"/>
  <c r="P46" i="25" s="1"/>
  <c r="S45" i="25"/>
  <c r="V45" i="25"/>
  <c r="Y45" i="25"/>
  <c r="Y47" i="25" s="1"/>
  <c r="AB45" i="25"/>
  <c r="AB47" i="25" s="1"/>
  <c r="AE45" i="25"/>
  <c r="AH45" i="25"/>
  <c r="AK45" i="25"/>
  <c r="AK47" i="25" s="1"/>
  <c r="AN45" i="25"/>
  <c r="AN47" i="25" s="1"/>
  <c r="P42" i="25"/>
  <c r="S42" i="25"/>
  <c r="V42" i="25"/>
  <c r="Y42" i="25"/>
  <c r="AB42" i="25"/>
  <c r="AE42" i="25"/>
  <c r="AH42" i="25"/>
  <c r="AK42" i="25"/>
  <c r="AN42" i="25"/>
  <c r="P48" i="25"/>
  <c r="S48" i="25"/>
  <c r="S47" i="25" s="1"/>
  <c r="V48" i="25"/>
  <c r="Y48" i="25"/>
  <c r="AB48" i="25"/>
  <c r="AE48" i="25"/>
  <c r="AE46" i="25" s="1"/>
  <c r="AH48" i="25"/>
  <c r="AK48" i="25"/>
  <c r="AN48" i="25"/>
  <c r="V47" i="25"/>
  <c r="V46" i="25"/>
  <c r="V28" i="25"/>
  <c r="V29" i="25"/>
  <c r="P39" i="25"/>
  <c r="S39" i="25"/>
  <c r="V39" i="25"/>
  <c r="Y39" i="25"/>
  <c r="AB39" i="25"/>
  <c r="AE39" i="25"/>
  <c r="AH39" i="25"/>
  <c r="AK39" i="25"/>
  <c r="AN39" i="25"/>
  <c r="P47" i="25"/>
  <c r="AB46" i="25"/>
  <c r="AN46" i="25"/>
  <c r="S29" i="25"/>
  <c r="S28" i="25"/>
  <c r="AE29" i="25"/>
  <c r="AE28" i="25"/>
  <c r="AN28" i="25"/>
  <c r="AN29" i="25"/>
  <c r="Y29" i="25"/>
  <c r="Y28" i="25"/>
  <c r="AH28" i="25"/>
  <c r="AH29" i="25"/>
  <c r="P33" i="25"/>
  <c r="S33" i="25"/>
  <c r="V33" i="25"/>
  <c r="Y33" i="25"/>
  <c r="AB33" i="25"/>
  <c r="AE33" i="25"/>
  <c r="AH33" i="25"/>
  <c r="AK33" i="25"/>
  <c r="AN33" i="25"/>
  <c r="P29" i="25"/>
  <c r="P28" i="25"/>
  <c r="AB28" i="25"/>
  <c r="AB29" i="25"/>
  <c r="AK28" i="25"/>
  <c r="AK29" i="25"/>
  <c r="P36" i="25"/>
  <c r="S36" i="25"/>
  <c r="V36" i="25"/>
  <c r="Y36" i="25"/>
  <c r="AB36" i="25"/>
  <c r="AE36" i="25"/>
  <c r="AH36" i="25"/>
  <c r="AK36" i="25"/>
  <c r="AN36" i="25"/>
  <c r="AM24" i="25"/>
  <c r="AM21" i="25"/>
  <c r="AM18" i="25"/>
  <c r="AM15" i="25"/>
  <c r="AM12" i="25"/>
  <c r="AM9" i="25"/>
  <c r="AM6" i="25"/>
  <c r="AN6" i="25" s="1"/>
  <c r="AM3" i="25"/>
  <c r="AN3" i="25" s="1"/>
  <c r="AJ24" i="25"/>
  <c r="AJ21" i="25"/>
  <c r="AJ18" i="25"/>
  <c r="AJ15" i="25"/>
  <c r="AJ12" i="25"/>
  <c r="AJ9" i="25"/>
  <c r="AJ6" i="25"/>
  <c r="AK6" i="25" s="1"/>
  <c r="AJ3" i="25"/>
  <c r="AK3" i="25" s="1"/>
  <c r="AG24" i="25"/>
  <c r="AG21" i="25"/>
  <c r="AG18" i="25"/>
  <c r="AG15" i="25"/>
  <c r="AG12" i="25"/>
  <c r="AG9" i="25"/>
  <c r="AG6" i="25"/>
  <c r="AH6" i="25" s="1"/>
  <c r="AG3" i="25"/>
  <c r="AH3" i="25" s="1"/>
  <c r="AD24" i="25"/>
  <c r="AD21" i="25"/>
  <c r="AD18" i="25"/>
  <c r="AD15" i="25"/>
  <c r="AD12" i="25"/>
  <c r="AD9" i="25"/>
  <c r="AD6" i="25"/>
  <c r="AE6" i="25" s="1"/>
  <c r="AD3" i="25"/>
  <c r="AE3" i="25" s="1"/>
  <c r="AA24" i="25"/>
  <c r="AA21" i="25"/>
  <c r="AA18" i="25"/>
  <c r="AA15" i="25"/>
  <c r="AA12" i="25"/>
  <c r="AA9" i="25"/>
  <c r="AA6" i="25"/>
  <c r="AB6" i="25" s="1"/>
  <c r="AA3" i="25"/>
  <c r="AB3" i="25" s="1"/>
  <c r="X24" i="25"/>
  <c r="X21" i="25"/>
  <c r="X18" i="25"/>
  <c r="X15" i="25"/>
  <c r="X12" i="25"/>
  <c r="X9" i="25"/>
  <c r="X6" i="25"/>
  <c r="Y6" i="25" s="1"/>
  <c r="X3" i="25"/>
  <c r="Y3" i="25" s="1"/>
  <c r="U24" i="25"/>
  <c r="U21" i="25"/>
  <c r="U18" i="25"/>
  <c r="U15" i="25"/>
  <c r="U12" i="25"/>
  <c r="U9" i="25"/>
  <c r="U6" i="25"/>
  <c r="V6" i="25" s="1"/>
  <c r="U3" i="25"/>
  <c r="V3" i="25" s="1"/>
  <c r="R24" i="25"/>
  <c r="R21" i="25"/>
  <c r="R18" i="25"/>
  <c r="R15" i="25"/>
  <c r="R12" i="25"/>
  <c r="R9" i="25"/>
  <c r="R6" i="25"/>
  <c r="S6" i="25" s="1"/>
  <c r="R3" i="25"/>
  <c r="S3" i="25" s="1"/>
  <c r="O24" i="25"/>
  <c r="O21" i="25"/>
  <c r="O18" i="25"/>
  <c r="O15" i="25"/>
  <c r="O12" i="25"/>
  <c r="O9" i="25"/>
  <c r="O6" i="25"/>
  <c r="P6" i="25" s="1"/>
  <c r="O3" i="25"/>
  <c r="P3" i="25" s="1"/>
  <c r="AE47" i="25" l="1"/>
  <c r="AK46" i="25"/>
  <c r="S46" i="25"/>
  <c r="AB21" i="25"/>
  <c r="AE21" i="25"/>
  <c r="Y46" i="25"/>
  <c r="AH47" i="25"/>
  <c r="P12" i="25"/>
  <c r="P11" i="25" s="1"/>
  <c r="P24" i="25"/>
  <c r="S12" i="25"/>
  <c r="S24" i="25"/>
  <c r="AH15" i="25"/>
  <c r="AK15" i="25"/>
  <c r="AN15" i="25"/>
  <c r="AN16" i="25" s="1"/>
  <c r="P15" i="25"/>
  <c r="S15" i="25"/>
  <c r="S17" i="25" s="1"/>
  <c r="V15" i="25"/>
  <c r="Y15" i="25"/>
  <c r="AH18" i="25"/>
  <c r="AK18" i="25"/>
  <c r="AK16" i="25" s="1"/>
  <c r="AN18" i="25"/>
  <c r="P18" i="25"/>
  <c r="S18" i="25"/>
  <c r="AB24" i="25"/>
  <c r="AB23" i="25" s="1"/>
  <c r="AE24" i="25"/>
  <c r="AH9" i="25"/>
  <c r="AH21" i="25"/>
  <c r="AK9" i="25"/>
  <c r="AK11" i="25" s="1"/>
  <c r="AK21" i="25"/>
  <c r="AN9" i="25"/>
  <c r="AN21" i="25"/>
  <c r="AH46" i="25"/>
  <c r="P9" i="25"/>
  <c r="P21" i="25"/>
  <c r="P23" i="25" s="1"/>
  <c r="S9" i="25"/>
  <c r="S21" i="25"/>
  <c r="S22" i="25" s="1"/>
  <c r="V9" i="25"/>
  <c r="Y9" i="25"/>
  <c r="AH12" i="25"/>
  <c r="AH24" i="25"/>
  <c r="AH23" i="25" s="1"/>
  <c r="AK12" i="25"/>
  <c r="AK24" i="25"/>
  <c r="AK23" i="25" s="1"/>
  <c r="AN12" i="25"/>
  <c r="AN24" i="25"/>
  <c r="AN22" i="25" s="1"/>
  <c r="P17" i="25"/>
  <c r="P40" i="25"/>
  <c r="P41" i="25"/>
  <c r="AE5" i="25"/>
  <c r="AE4" i="25"/>
  <c r="V5" i="25"/>
  <c r="V4" i="25"/>
  <c r="Y5" i="25"/>
  <c r="Y4" i="25"/>
  <c r="AB18" i="25"/>
  <c r="AE18" i="25"/>
  <c r="AB35" i="25"/>
  <c r="AB34" i="25"/>
  <c r="S40" i="25"/>
  <c r="S41" i="25"/>
  <c r="S16" i="25"/>
  <c r="AE23" i="25"/>
  <c r="AE22" i="25"/>
  <c r="V35" i="25"/>
  <c r="V34" i="25"/>
  <c r="AK40" i="25"/>
  <c r="AK41" i="25"/>
  <c r="P22" i="25"/>
  <c r="Y12" i="25"/>
  <c r="S35" i="25"/>
  <c r="S34" i="25"/>
  <c r="AN34" i="25"/>
  <c r="AN35" i="25"/>
  <c r="P5" i="25"/>
  <c r="P4" i="25"/>
  <c r="S5" i="25"/>
  <c r="S4" i="25"/>
  <c r="V18" i="25"/>
  <c r="V16" i="25" s="1"/>
  <c r="Y18" i="25"/>
  <c r="AB9" i="25"/>
  <c r="AE9" i="25"/>
  <c r="AH4" i="25"/>
  <c r="AH5" i="25"/>
  <c r="AK4" i="25"/>
  <c r="AK5" i="25"/>
  <c r="AN4" i="25"/>
  <c r="AN5" i="25"/>
  <c r="AK35" i="25"/>
  <c r="AK34" i="25"/>
  <c r="AB40" i="25"/>
  <c r="AB41" i="25"/>
  <c r="AH16" i="25"/>
  <c r="AH17" i="25"/>
  <c r="Y35" i="25"/>
  <c r="Y34" i="25"/>
  <c r="AN40" i="25"/>
  <c r="AN41" i="25"/>
  <c r="V12" i="25"/>
  <c r="V11" i="25" s="1"/>
  <c r="AB4" i="25"/>
  <c r="AB5" i="25"/>
  <c r="AH40" i="25"/>
  <c r="AH41" i="25"/>
  <c r="P35" i="25"/>
  <c r="P34" i="25"/>
  <c r="AE41" i="25"/>
  <c r="AE40" i="25"/>
  <c r="V21" i="25"/>
  <c r="Y21" i="25"/>
  <c r="AB12" i="25"/>
  <c r="AE12" i="25"/>
  <c r="AH35" i="25"/>
  <c r="AH34" i="25"/>
  <c r="Y40" i="25"/>
  <c r="Y41" i="25"/>
  <c r="AK17" i="25"/>
  <c r="S23" i="25"/>
  <c r="P10" i="25"/>
  <c r="S10" i="25"/>
  <c r="V24" i="25"/>
  <c r="Y24" i="25"/>
  <c r="AB15" i="25"/>
  <c r="AE15" i="25"/>
  <c r="AE35" i="25"/>
  <c r="AE34" i="25"/>
  <c r="V40" i="25"/>
  <c r="V41" i="25"/>
  <c r="CH48" i="25"/>
  <c r="CH45" i="25"/>
  <c r="CH42" i="25"/>
  <c r="CH39" i="25"/>
  <c r="CH36" i="25"/>
  <c r="CH33" i="25"/>
  <c r="CH30" i="25"/>
  <c r="CI30" i="25" s="1"/>
  <c r="CH27" i="25"/>
  <c r="CI27" i="25" s="1"/>
  <c r="CH24" i="25"/>
  <c r="CH21" i="25"/>
  <c r="CH18" i="25"/>
  <c r="CH15" i="25"/>
  <c r="CH12" i="25"/>
  <c r="CH9" i="25"/>
  <c r="CH6" i="25"/>
  <c r="CI6" i="25" s="1"/>
  <c r="CH3" i="25"/>
  <c r="CI3" i="25" s="1"/>
  <c r="CE48" i="25"/>
  <c r="CE45" i="25"/>
  <c r="CE42" i="25"/>
  <c r="CE39" i="25"/>
  <c r="CE36" i="25"/>
  <c r="CE33" i="25"/>
  <c r="CE30" i="25"/>
  <c r="CF30" i="25" s="1"/>
  <c r="CE27" i="25"/>
  <c r="CF27" i="25" s="1"/>
  <c r="CE24" i="25"/>
  <c r="CE21" i="25"/>
  <c r="CE18" i="25"/>
  <c r="CE15" i="25"/>
  <c r="CE12" i="25"/>
  <c r="CE9" i="25"/>
  <c r="CE6" i="25"/>
  <c r="CF6" i="25" s="1"/>
  <c r="CE3" i="25"/>
  <c r="CF3" i="25" s="1"/>
  <c r="CB48" i="25"/>
  <c r="CB45" i="25"/>
  <c r="CB42" i="25"/>
  <c r="CB39" i="25"/>
  <c r="CB36" i="25"/>
  <c r="CB33" i="25"/>
  <c r="CB30" i="25"/>
  <c r="CC30" i="25" s="1"/>
  <c r="CB27" i="25"/>
  <c r="CC27" i="25" s="1"/>
  <c r="CB24" i="25"/>
  <c r="CB21" i="25"/>
  <c r="CB18" i="25"/>
  <c r="CB15" i="25"/>
  <c r="CB12" i="25"/>
  <c r="CB9" i="25"/>
  <c r="CB6" i="25"/>
  <c r="CC6" i="25" s="1"/>
  <c r="CB3" i="25"/>
  <c r="CC3" i="25" s="1"/>
  <c r="AK10" i="25" l="1"/>
  <c r="Y10" i="25"/>
  <c r="AN10" i="25"/>
  <c r="AH11" i="25"/>
  <c r="P16" i="25"/>
  <c r="S11" i="25"/>
  <c r="AB22" i="25"/>
  <c r="AN23" i="25"/>
  <c r="AH22" i="25"/>
  <c r="AK22" i="25"/>
  <c r="CF15" i="25"/>
  <c r="AN11" i="25"/>
  <c r="AH10" i="25"/>
  <c r="AN17" i="25"/>
  <c r="Y17" i="25"/>
  <c r="Y11" i="25"/>
  <c r="CF39" i="25"/>
  <c r="CI15" i="25"/>
  <c r="CI39" i="25"/>
  <c r="Y16" i="25"/>
  <c r="CC39" i="25"/>
  <c r="V10" i="25"/>
  <c r="CC15" i="25"/>
  <c r="CC9" i="25"/>
  <c r="CC10" i="25" s="1"/>
  <c r="CC33" i="25"/>
  <c r="CF9" i="25"/>
  <c r="CF33" i="25"/>
  <c r="CI9" i="25"/>
  <c r="CI33" i="25"/>
  <c r="CC12" i="25"/>
  <c r="CI12" i="25"/>
  <c r="AB17" i="25"/>
  <c r="AB16" i="25"/>
  <c r="CC5" i="25"/>
  <c r="CC4" i="25"/>
  <c r="CC29" i="25"/>
  <c r="CC28" i="25"/>
  <c r="CF5" i="25"/>
  <c r="CF4" i="25"/>
  <c r="CF29" i="25"/>
  <c r="CF28" i="25"/>
  <c r="CI5" i="25"/>
  <c r="CI4" i="25"/>
  <c r="CI29" i="25"/>
  <c r="CI28" i="25"/>
  <c r="V17" i="25"/>
  <c r="CC36" i="25"/>
  <c r="CI36" i="25"/>
  <c r="CI34" i="25" s="1"/>
  <c r="CC42" i="25"/>
  <c r="CF18" i="25"/>
  <c r="CF17" i="25" s="1"/>
  <c r="CF42" i="25"/>
  <c r="CF40" i="25" s="1"/>
  <c r="CI18" i="25"/>
  <c r="CI42" i="25"/>
  <c r="V23" i="25"/>
  <c r="V22" i="25"/>
  <c r="AE11" i="25"/>
  <c r="AE10" i="25"/>
  <c r="AE17" i="25"/>
  <c r="AE16" i="25"/>
  <c r="CF12" i="25"/>
  <c r="CC21" i="25"/>
  <c r="CF21" i="25"/>
  <c r="CF45" i="25"/>
  <c r="CI21" i="25"/>
  <c r="CI45" i="25"/>
  <c r="AB11" i="25"/>
  <c r="AB10" i="25"/>
  <c r="CF36" i="25"/>
  <c r="Y23" i="25"/>
  <c r="Y22" i="25"/>
  <c r="CC18" i="25"/>
  <c r="CC45" i="25"/>
  <c r="CC24" i="25"/>
  <c r="CC48" i="25"/>
  <c r="CF24" i="25"/>
  <c r="CF48" i="25"/>
  <c r="CI24" i="25"/>
  <c r="CI48" i="25"/>
  <c r="CI40" i="25" l="1"/>
  <c r="CC16" i="25"/>
  <c r="CF34" i="25"/>
  <c r="CF10" i="25"/>
  <c r="CI17" i="25"/>
  <c r="CF41" i="25"/>
  <c r="CC41" i="25"/>
  <c r="CC34" i="25"/>
  <c r="CI41" i="25"/>
  <c r="CI10" i="25"/>
  <c r="CF16" i="25"/>
  <c r="CC11" i="25"/>
  <c r="CC17" i="25"/>
  <c r="CI46" i="25"/>
  <c r="CI47" i="25"/>
  <c r="CF22" i="25"/>
  <c r="CF23" i="25"/>
  <c r="CF11" i="25"/>
  <c r="CC22" i="25"/>
  <c r="CC23" i="25"/>
  <c r="CF35" i="25"/>
  <c r="CI35" i="25"/>
  <c r="CC46" i="25"/>
  <c r="CC47" i="25"/>
  <c r="CI16" i="25"/>
  <c r="CI11" i="25"/>
  <c r="CI22" i="25"/>
  <c r="CI23" i="25"/>
  <c r="CC40" i="25"/>
  <c r="CC35" i="25"/>
  <c r="CF46" i="25"/>
  <c r="CF47" i="25"/>
  <c r="AW48" i="25" l="1"/>
  <c r="AW45" i="25"/>
  <c r="AW42" i="25"/>
  <c r="AW39" i="25"/>
  <c r="AW36" i="25"/>
  <c r="AW33" i="25"/>
  <c r="AW30" i="25"/>
  <c r="AX30" i="25" s="1"/>
  <c r="AW27" i="25"/>
  <c r="AX27" i="25" s="1"/>
  <c r="AW24" i="25"/>
  <c r="AW21" i="25"/>
  <c r="AW18" i="25"/>
  <c r="AW15" i="25"/>
  <c r="AW12" i="25"/>
  <c r="AW9" i="25"/>
  <c r="AW6" i="25"/>
  <c r="AX6" i="25" s="1"/>
  <c r="AW3" i="25"/>
  <c r="AX3" i="25" s="1"/>
  <c r="AT48" i="25"/>
  <c r="AT45" i="25"/>
  <c r="AT42" i="25"/>
  <c r="AT39" i="25"/>
  <c r="AT36" i="25"/>
  <c r="AT33" i="25"/>
  <c r="AT30" i="25"/>
  <c r="AU30" i="25" s="1"/>
  <c r="AT27" i="25"/>
  <c r="AU27" i="25" s="1"/>
  <c r="AT24" i="25"/>
  <c r="AT21" i="25"/>
  <c r="AT18" i="25"/>
  <c r="AT15" i="25"/>
  <c r="AT12" i="25"/>
  <c r="AT9" i="25"/>
  <c r="AT6" i="25"/>
  <c r="AU6" i="25" s="1"/>
  <c r="AT3" i="25"/>
  <c r="AU3" i="25" s="1"/>
  <c r="AQ48" i="25"/>
  <c r="AQ45" i="25"/>
  <c r="AQ42" i="25"/>
  <c r="AQ39" i="25"/>
  <c r="AQ36" i="25"/>
  <c r="AQ33" i="25"/>
  <c r="AQ30" i="25"/>
  <c r="AR30" i="25" s="1"/>
  <c r="AQ27" i="25"/>
  <c r="AR27" i="25" s="1"/>
  <c r="AQ24" i="25"/>
  <c r="AQ21" i="25"/>
  <c r="AQ18" i="25"/>
  <c r="AQ15" i="25"/>
  <c r="AQ12" i="25"/>
  <c r="AQ9" i="25"/>
  <c r="AQ6" i="25"/>
  <c r="AR6" i="25" s="1"/>
  <c r="AQ3" i="25"/>
  <c r="AR3" i="25" s="1"/>
  <c r="L48" i="25"/>
  <c r="L45" i="25"/>
  <c r="L42" i="25"/>
  <c r="L39" i="25"/>
  <c r="L36" i="25"/>
  <c r="L33" i="25"/>
  <c r="L30" i="25"/>
  <c r="M30" i="25" s="1"/>
  <c r="L27" i="25"/>
  <c r="M27" i="25" s="1"/>
  <c r="L24" i="25"/>
  <c r="L21" i="25"/>
  <c r="L18" i="25"/>
  <c r="L15" i="25"/>
  <c r="L12" i="25"/>
  <c r="L9" i="25"/>
  <c r="L6" i="25"/>
  <c r="M6" i="25" s="1"/>
  <c r="L3" i="25"/>
  <c r="M3" i="25" s="1"/>
  <c r="I48" i="25"/>
  <c r="I45" i="25"/>
  <c r="I42" i="25"/>
  <c r="I39" i="25"/>
  <c r="I36" i="25"/>
  <c r="I33" i="25"/>
  <c r="I30" i="25"/>
  <c r="J30" i="25" s="1"/>
  <c r="I27" i="25"/>
  <c r="J27" i="25" s="1"/>
  <c r="I24" i="25"/>
  <c r="I21" i="25"/>
  <c r="I18" i="25"/>
  <c r="I15" i="25"/>
  <c r="I12" i="25"/>
  <c r="I9" i="25"/>
  <c r="I6" i="25"/>
  <c r="J6" i="25" s="1"/>
  <c r="I3" i="25"/>
  <c r="J3" i="25" s="1"/>
  <c r="F48" i="25"/>
  <c r="F45" i="25"/>
  <c r="F42" i="25"/>
  <c r="F39" i="25"/>
  <c r="F36" i="25"/>
  <c r="F33" i="25"/>
  <c r="F30" i="25"/>
  <c r="G30" i="25" s="1"/>
  <c r="F27" i="25"/>
  <c r="G27" i="25" s="1"/>
  <c r="F24" i="25"/>
  <c r="F21" i="25"/>
  <c r="F18" i="25"/>
  <c r="F15" i="25"/>
  <c r="F12" i="25"/>
  <c r="F9" i="25"/>
  <c r="F6" i="25"/>
  <c r="G6" i="25" s="1"/>
  <c r="F3" i="25"/>
  <c r="G3" i="25" s="1"/>
  <c r="J24" i="25" l="1"/>
  <c r="J48" i="25"/>
  <c r="M24" i="25"/>
  <c r="M48" i="25"/>
  <c r="AR24" i="25"/>
  <c r="AR48" i="25"/>
  <c r="AU24" i="25"/>
  <c r="AU48" i="25"/>
  <c r="AX24" i="25"/>
  <c r="AX48" i="25"/>
  <c r="G5" i="25"/>
  <c r="G4" i="25"/>
  <c r="M5" i="25"/>
  <c r="M4" i="25"/>
  <c r="AU5" i="25"/>
  <c r="AU4" i="25"/>
  <c r="AX28" i="25"/>
  <c r="AX29" i="25"/>
  <c r="J9" i="25"/>
  <c r="J33" i="25"/>
  <c r="M9" i="25"/>
  <c r="M33" i="25"/>
  <c r="AR9" i="25"/>
  <c r="AR33" i="25"/>
  <c r="AU9" i="25"/>
  <c r="AU33" i="25"/>
  <c r="AX9" i="25"/>
  <c r="AX33" i="25"/>
  <c r="J29" i="25"/>
  <c r="J28" i="25"/>
  <c r="AR5" i="25"/>
  <c r="AR4" i="25"/>
  <c r="AX4" i="25"/>
  <c r="AX5" i="25"/>
  <c r="M12" i="25"/>
  <c r="AR36" i="25"/>
  <c r="AX12" i="25"/>
  <c r="J15" i="25"/>
  <c r="J39" i="25"/>
  <c r="M15" i="25"/>
  <c r="M39" i="25"/>
  <c r="AR15" i="25"/>
  <c r="AR39" i="25"/>
  <c r="AU15" i="25"/>
  <c r="AU39" i="25"/>
  <c r="AX15" i="25"/>
  <c r="AX39" i="25"/>
  <c r="G29" i="25"/>
  <c r="G28" i="25"/>
  <c r="AR29" i="25"/>
  <c r="AR28" i="25"/>
  <c r="J36" i="25"/>
  <c r="AR12" i="25"/>
  <c r="AU36" i="25"/>
  <c r="J42" i="25"/>
  <c r="AR18" i="25"/>
  <c r="AX18" i="25"/>
  <c r="J5" i="25"/>
  <c r="J4" i="25"/>
  <c r="M29" i="25"/>
  <c r="M28" i="25"/>
  <c r="AU29" i="25"/>
  <c r="AU28" i="25"/>
  <c r="J12" i="25"/>
  <c r="M36" i="25"/>
  <c r="AU12" i="25"/>
  <c r="AX36" i="25"/>
  <c r="J18" i="25"/>
  <c r="M18" i="25"/>
  <c r="M42" i="25"/>
  <c r="AR42" i="25"/>
  <c r="AU18" i="25"/>
  <c r="AU42" i="25"/>
  <c r="AX42" i="25"/>
  <c r="J21" i="25"/>
  <c r="J45" i="25"/>
  <c r="M21" i="25"/>
  <c r="M45" i="25"/>
  <c r="AR21" i="25"/>
  <c r="AR45" i="25"/>
  <c r="AU21" i="25"/>
  <c r="AU45" i="25"/>
  <c r="AX21" i="25"/>
  <c r="AX45" i="25"/>
  <c r="G39" i="25"/>
  <c r="G9" i="25"/>
  <c r="G21" i="25"/>
  <c r="G33" i="25"/>
  <c r="G45" i="25"/>
  <c r="G42" i="25"/>
  <c r="G15" i="25"/>
  <c r="G18" i="25"/>
  <c r="G36" i="25"/>
  <c r="G48" i="25"/>
  <c r="G12" i="25"/>
  <c r="G24" i="25"/>
  <c r="AU47" i="25" l="1"/>
  <c r="AU46" i="25"/>
  <c r="AR17" i="25"/>
  <c r="AR16" i="25"/>
  <c r="AU23" i="25"/>
  <c r="AU22" i="25"/>
  <c r="AR47" i="25"/>
  <c r="AR46" i="25"/>
  <c r="M16" i="25"/>
  <c r="M17" i="25"/>
  <c r="AR35" i="25"/>
  <c r="AR34" i="25"/>
  <c r="G22" i="25"/>
  <c r="G23" i="25"/>
  <c r="AR23" i="25"/>
  <c r="AR22" i="25"/>
  <c r="AX40" i="25"/>
  <c r="AX41" i="25"/>
  <c r="J40" i="25"/>
  <c r="J41" i="25"/>
  <c r="AR11" i="25"/>
  <c r="AR10" i="25"/>
  <c r="M40" i="25"/>
  <c r="M41" i="25"/>
  <c r="AU11" i="25"/>
  <c r="AU10" i="25"/>
  <c r="G10" i="25"/>
  <c r="G11" i="25"/>
  <c r="M47" i="25"/>
  <c r="M46" i="25"/>
  <c r="AX16" i="25"/>
  <c r="AX17" i="25"/>
  <c r="J16" i="25"/>
  <c r="J17" i="25"/>
  <c r="M35" i="25"/>
  <c r="M34" i="25"/>
  <c r="G41" i="25"/>
  <c r="G40" i="25"/>
  <c r="M23" i="25"/>
  <c r="M22" i="25"/>
  <c r="AU40" i="25"/>
  <c r="AU41" i="25"/>
  <c r="M11" i="25"/>
  <c r="M10" i="25"/>
  <c r="AU35" i="25"/>
  <c r="AU34" i="25"/>
  <c r="G46" i="25"/>
  <c r="G47" i="25"/>
  <c r="G35" i="25"/>
  <c r="G34" i="25"/>
  <c r="AX47" i="25"/>
  <c r="AX46" i="25"/>
  <c r="J47" i="25"/>
  <c r="J46" i="25"/>
  <c r="AU17" i="25"/>
  <c r="AU16" i="25"/>
  <c r="AX35" i="25"/>
  <c r="AX34" i="25"/>
  <c r="J35" i="25"/>
  <c r="J34" i="25"/>
  <c r="G17" i="25"/>
  <c r="G16" i="25"/>
  <c r="AX23" i="25"/>
  <c r="AX22" i="25"/>
  <c r="J23" i="25"/>
  <c r="J22" i="25"/>
  <c r="AR41" i="25"/>
  <c r="AR40" i="25"/>
  <c r="AX11" i="25"/>
  <c r="AX10" i="25"/>
  <c r="J11" i="25"/>
  <c r="J10" i="25"/>
</calcChain>
</file>

<file path=xl/comments1.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2.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family val="2"/>
          </rPr>
          <t xml:space="preserve">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3.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4.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5.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6.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7.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8.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9.xml><?xml version="1.0" encoding="utf-8"?>
<comments xmlns="http://schemas.openxmlformats.org/spreadsheetml/2006/main">
  <authors>
    <author>KU</author>
  </authors>
  <commentLis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 and was calculated for each sample by subtracting the Ct of the pooled mean across endogenous control genes, actin, FBP aldolase and SeryltRNA, from the Ct of each sample technical replicate. This was demonstrated in the previous metadata sheets for the Trophs samples.</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List>
</comments>
</file>

<file path=xl/comments10.xml><?xml version="1.0" encoding="utf-8"?>
<comments xmlns="http://schemas.openxmlformats.org/spreadsheetml/2006/main">
  <authors>
    <author>KU</author>
  </authors>
  <commentList>
    <comment ref="B10" authorId="0" shapeId="0">
      <text>
        <r>
          <rPr>
            <b/>
            <sz val="9"/>
            <color indexed="81"/>
            <rFont val="Tahoma"/>
            <family val="2"/>
          </rPr>
          <t>Linda Anagu</t>
        </r>
        <r>
          <rPr>
            <sz val="9"/>
            <color indexed="81"/>
            <rFont val="Tahoma"/>
            <charset val="1"/>
          </rPr>
          <t>:
Sample name is depicted as temperature with or without the addition of lactate and the duration of incubation of each sample in hours (H) plus 10 H of recovery.</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 and was calculated for each sample by subtracting the Ct of the pooled mean across endogenous control genes, actin, FBP aldolase and SeryltRNA, from the Ct of each sample technical replicate. This was demonstrated in the previous metadata sheets for the Trophs samples.</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List>
</comments>
</file>

<file path=xl/comments11.xml><?xml version="1.0" encoding="utf-8"?>
<comments xmlns="http://schemas.openxmlformats.org/spreadsheetml/2006/main">
  <authors>
    <author>KU</author>
  </authors>
  <commentLis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 and was calculated for each sample by subtracting the Ct of the pooled mean across endogenous control genes, actin, FBP aldolase and SeryltRNA, from the Ct of each sample technical replicate. This was demonstrated in the previous metadata sheets for the Trophs samples.</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AV17" authorId="0" shapeId="0">
      <text>
        <r>
          <rPr>
            <b/>
            <sz val="9"/>
            <color indexed="81"/>
            <rFont val="Tahoma"/>
            <family val="2"/>
          </rPr>
          <t>Linda:</t>
        </r>
        <r>
          <rPr>
            <sz val="9"/>
            <color indexed="81"/>
            <rFont val="Tahoma"/>
            <family val="2"/>
          </rPr>
          <t xml:space="preserve">
Not used in downstream calculations. </t>
        </r>
      </text>
    </comment>
    <comment ref="B98" authorId="0" shapeId="0">
      <text>
        <r>
          <rPr>
            <b/>
            <sz val="9"/>
            <color indexed="81"/>
            <rFont val="Tahoma"/>
            <family val="2"/>
          </rPr>
          <t>Linda Anagu:</t>
        </r>
        <r>
          <rPr>
            <sz val="9"/>
            <color indexed="81"/>
            <rFont val="Tahoma"/>
            <family val="2"/>
          </rPr>
          <t xml:space="preserve">
First biological replicate experiment data was not used in calculating RCN or RQ presented in the publication.</t>
        </r>
      </text>
    </comment>
  </commentList>
</comments>
</file>

<file path=xl/comments12.xml><?xml version="1.0" encoding="utf-8"?>
<comments xmlns="http://schemas.openxmlformats.org/spreadsheetml/2006/main">
  <authors>
    <author>KU</author>
  </authors>
  <commentList>
    <comment ref="B10" authorId="0" shapeId="0">
      <text>
        <r>
          <rPr>
            <b/>
            <sz val="9"/>
            <color indexed="81"/>
            <rFont val="Tahoma"/>
            <family val="2"/>
          </rPr>
          <t>Linda Anagu</t>
        </r>
        <r>
          <rPr>
            <sz val="9"/>
            <color indexed="81"/>
            <rFont val="Tahoma"/>
            <charset val="1"/>
          </rPr>
          <t>:
Sample name is depicted as temperature with or without the addition of lactate and the duration of incubation of each sample in hours (H) plus 10 H of recovery.</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 and was calculated for each sample by subtracting the Ct of the pooled mean across endogenous control genes, actin, FBP aldolase and SeryltRNA, from the Ct of each sample technical replicate. This was demonstrated in the previous metadata sheets for the Trophs samples.</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List>
</comments>
</file>

<file path=xl/sharedStrings.xml><?xml version="1.0" encoding="utf-8"?>
<sst xmlns="http://schemas.openxmlformats.org/spreadsheetml/2006/main" count="8956" uniqueCount="151">
  <si>
    <t>E</t>
  </si>
  <si>
    <t>F</t>
  </si>
  <si>
    <t>G</t>
  </si>
  <si>
    <t>hsp 70</t>
  </si>
  <si>
    <t>lac</t>
  </si>
  <si>
    <t>A1</t>
  </si>
  <si>
    <t>A2</t>
  </si>
  <si>
    <t>A3</t>
  </si>
  <si>
    <t>B1</t>
  </si>
  <si>
    <t>B2</t>
  </si>
  <si>
    <t>C1</t>
  </si>
  <si>
    <t>C2</t>
  </si>
  <si>
    <t>ATS</t>
  </si>
  <si>
    <t>40+LAC 6H</t>
  </si>
  <si>
    <t>37 2 H</t>
  </si>
  <si>
    <t>37 6 H</t>
  </si>
  <si>
    <t>40+lac</t>
  </si>
  <si>
    <t>Well</t>
  </si>
  <si>
    <t>Sample Name</t>
  </si>
  <si>
    <t>Target Name</t>
  </si>
  <si>
    <t>Cт</t>
  </si>
  <si>
    <t>ΔCт</t>
  </si>
  <si>
    <t>Tm1</t>
  </si>
  <si>
    <t>Tm2</t>
  </si>
  <si>
    <t/>
  </si>
  <si>
    <t>N</t>
  </si>
  <si>
    <t>A4</t>
  </si>
  <si>
    <t>LAC 2 H</t>
  </si>
  <si>
    <t>A5</t>
  </si>
  <si>
    <t>A6</t>
  </si>
  <si>
    <t>A7</t>
  </si>
  <si>
    <t>40 2 H</t>
  </si>
  <si>
    <t>A8</t>
  </si>
  <si>
    <t>A9</t>
  </si>
  <si>
    <t>A10</t>
  </si>
  <si>
    <t>A11</t>
  </si>
  <si>
    <t>A12</t>
  </si>
  <si>
    <t>Sir2a</t>
  </si>
  <si>
    <t>B3</t>
  </si>
  <si>
    <t>B4</t>
  </si>
  <si>
    <t>B5</t>
  </si>
  <si>
    <t>B6</t>
  </si>
  <si>
    <t>B7</t>
  </si>
  <si>
    <t>B8</t>
  </si>
  <si>
    <t>B9</t>
  </si>
  <si>
    <t>B10</t>
  </si>
  <si>
    <t>B11</t>
  </si>
  <si>
    <t>B12</t>
  </si>
  <si>
    <t>D1</t>
  </si>
  <si>
    <t>Sir2b</t>
  </si>
  <si>
    <t>D2</t>
  </si>
  <si>
    <t>D3</t>
  </si>
  <si>
    <t>D4</t>
  </si>
  <si>
    <t>D5</t>
  </si>
  <si>
    <t>D6</t>
  </si>
  <si>
    <t>D7</t>
  </si>
  <si>
    <t>D8</t>
  </si>
  <si>
    <t>D9</t>
  </si>
  <si>
    <t>D10</t>
  </si>
  <si>
    <t>D11</t>
  </si>
  <si>
    <t>D12</t>
  </si>
  <si>
    <t>E1</t>
  </si>
  <si>
    <t>E2</t>
  </si>
  <si>
    <t>E3</t>
  </si>
  <si>
    <t>E4</t>
  </si>
  <si>
    <t>Y</t>
  </si>
  <si>
    <t>E5</t>
  </si>
  <si>
    <t>E6</t>
  </si>
  <si>
    <t>E7</t>
  </si>
  <si>
    <t>E8</t>
  </si>
  <si>
    <t>E9</t>
  </si>
  <si>
    <t>E10</t>
  </si>
  <si>
    <t>E11</t>
  </si>
  <si>
    <t>E12</t>
  </si>
  <si>
    <t>F1</t>
  </si>
  <si>
    <t>F2</t>
  </si>
  <si>
    <t>F3</t>
  </si>
  <si>
    <t>F4</t>
  </si>
  <si>
    <t>F5</t>
  </si>
  <si>
    <t>F6</t>
  </si>
  <si>
    <t>F7</t>
  </si>
  <si>
    <t>F8</t>
  </si>
  <si>
    <t>F9</t>
  </si>
  <si>
    <t>F10</t>
  </si>
  <si>
    <t>F11</t>
  </si>
  <si>
    <t>F12</t>
  </si>
  <si>
    <t>G1</t>
  </si>
  <si>
    <t>G2</t>
  </si>
  <si>
    <t>G3</t>
  </si>
  <si>
    <t>G4</t>
  </si>
  <si>
    <t>G5</t>
  </si>
  <si>
    <t>G6</t>
  </si>
  <si>
    <t>G7</t>
  </si>
  <si>
    <t>G8</t>
  </si>
  <si>
    <t>G9</t>
  </si>
  <si>
    <t>G10</t>
  </si>
  <si>
    <t>G11</t>
  </si>
  <si>
    <t>G12</t>
  </si>
  <si>
    <t>H1</t>
  </si>
  <si>
    <t>H2</t>
  </si>
  <si>
    <t>H4</t>
  </si>
  <si>
    <t>H5</t>
  </si>
  <si>
    <t>H6</t>
  </si>
  <si>
    <t>Analysis Type</t>
  </si>
  <si>
    <t>Singleplex</t>
  </si>
  <si>
    <t>Endogenous Control</t>
  </si>
  <si>
    <t>E, F, G</t>
  </si>
  <si>
    <t>RCN</t>
  </si>
  <si>
    <t>LAC 6 H</t>
  </si>
  <si>
    <t>40 6 H</t>
  </si>
  <si>
    <t>Response</t>
  </si>
  <si>
    <t>Treatment</t>
  </si>
  <si>
    <t>time</t>
  </si>
  <si>
    <t>hsp70</t>
  </si>
  <si>
    <t>Strain 2</t>
  </si>
  <si>
    <t>Strain 3</t>
  </si>
  <si>
    <t>Strain 4</t>
  </si>
  <si>
    <t>c</t>
  </si>
  <si>
    <t>40</t>
  </si>
  <si>
    <t>Undetermined</t>
  </si>
  <si>
    <t>OUTLIERRG</t>
  </si>
  <si>
    <t>ave per replicate</t>
  </si>
  <si>
    <t>RQ per replicate</t>
  </si>
  <si>
    <t>40+LAC 2 H</t>
  </si>
  <si>
    <t>H3</t>
  </si>
  <si>
    <t>40+LAC 6 H</t>
  </si>
  <si>
    <t>37 16 H</t>
  </si>
  <si>
    <t>LAC 16 H</t>
  </si>
  <si>
    <t>40 16 H</t>
  </si>
  <si>
    <t>40+LAC 16H</t>
  </si>
  <si>
    <t>EUTR</t>
  </si>
  <si>
    <t>redo analysis</t>
  </si>
  <si>
    <t>use CI</t>
  </si>
  <si>
    <t>Mean RQ</t>
  </si>
  <si>
    <t>Mean RQ per treatment</t>
  </si>
  <si>
    <t>RQ for each technical replicate</t>
  </si>
  <si>
    <t>Third biological replicate experiment</t>
  </si>
  <si>
    <t>Second biological replicate experiment</t>
  </si>
  <si>
    <t>First biological replicate experiment</t>
  </si>
  <si>
    <t>Mean of the average Ct of the endogenous  control</t>
  </si>
  <si>
    <t>sample Name</t>
  </si>
  <si>
    <t>Average of the Ct of endogenous control from technical replicates in each biological replicate experiment</t>
  </si>
  <si>
    <t>RQ per technical replicate</t>
  </si>
  <si>
    <t>RCN for all target genes from all technical replicate experiments</t>
  </si>
  <si>
    <t>N (EXP Fail Y)</t>
  </si>
  <si>
    <t>N (Tm different from the second biological replicate, RQ too high, no band visible on agarose)</t>
  </si>
  <si>
    <t>N (EXP FAIL)</t>
  </si>
  <si>
    <t xml:space="preserve">N </t>
  </si>
  <si>
    <t>NTC</t>
  </si>
  <si>
    <t>NTC = No Template Control</t>
  </si>
  <si>
    <t>control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</si>
</sst>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1"/>
      <color theme="1"/>
      <name val="Calibri"/>
      <family val="2"/>
      <scheme val="minor"/>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5700"/>
      <name val="Calibri"/>
      <family val="2"/>
      <scheme val="minor"/>
    </font>
    <font>
      <b/>
      <sz val="11"/>
      <color rgb="FF3F3F3F"/>
      <name val="Calibri"/>
      <family val="2"/>
      <scheme val="minor"/>
    </font>
    <font>
      <sz val="18"/>
      <color theme="3"/>
      <name val="Cambria"/>
      <family val="2"/>
      <scheme val="major"/>
    </font>
    <font>
      <b/>
      <sz val="11"/>
      <color theme="1"/>
      <name val="Calibri"/>
      <family val="2"/>
      <scheme val="minor"/>
    </font>
    <font>
      <sz val="11"/>
      <color rgb="FFFF0000"/>
      <name val="Calibri"/>
      <family val="2"/>
      <scheme val="minor"/>
    </font>
    <font>
      <sz val="10"/>
      <name val="Arial"/>
      <family val="2"/>
    </font>
    <font>
      <sz val="10"/>
      <name val="Arial"/>
      <family val="2"/>
    </font>
    <font>
      <b/>
      <sz val="9"/>
      <color indexed="81"/>
      <name val="Tahoma"/>
      <family val="2"/>
    </font>
    <font>
      <sz val="9"/>
      <color indexed="81"/>
      <name val="Tahoma"/>
      <family val="2"/>
    </font>
    <font>
      <b/>
      <sz val="10"/>
      <name val="Arial"/>
      <family val="2"/>
    </font>
    <font>
      <sz val="9"/>
      <color indexed="81"/>
      <name val="Tahoma"/>
      <charset val="1"/>
    </font>
    <font>
      <b/>
      <sz val="9"/>
      <color indexed="81"/>
      <name val="Tahoma"/>
      <charset val="1"/>
    </font>
  </fonts>
  <fills count="35">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rgb="FFFFFF00"/>
        <bgColor indexed="64"/>
      </patternFill>
    </fill>
    <fill>
      <patternFill patternType="solid">
        <fgColor theme="9" tint="0.39997558519241921"/>
        <bgColor indexed="64"/>
      </patternFill>
    </fill>
  </fills>
  <borders count="1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style="medium">
        <color auto="1"/>
      </right>
      <top/>
      <bottom style="medium">
        <color auto="1"/>
      </bottom>
      <diagonal/>
    </border>
    <border>
      <left/>
      <right/>
      <top/>
      <bottom style="medium">
        <color auto="1"/>
      </bottom>
      <diagonal/>
    </border>
    <border>
      <left style="medium">
        <color auto="1"/>
      </left>
      <right/>
      <top/>
      <bottom style="medium">
        <color auto="1"/>
      </bottom>
      <diagonal/>
    </border>
    <border>
      <left/>
      <right style="medium">
        <color auto="1"/>
      </right>
      <top/>
      <bottom/>
      <diagonal/>
    </border>
    <border>
      <left style="medium">
        <color auto="1"/>
      </left>
      <right/>
      <top/>
      <bottom/>
      <diagonal/>
    </border>
    <border>
      <left/>
      <right style="medium">
        <color auto="1"/>
      </right>
      <top style="medium">
        <color auto="1"/>
      </top>
      <bottom/>
      <diagonal/>
    </border>
    <border>
      <left/>
      <right/>
      <top style="medium">
        <color auto="1"/>
      </top>
      <bottom/>
      <diagonal/>
    </border>
    <border>
      <left style="medium">
        <color auto="1"/>
      </left>
      <right/>
      <top style="medium">
        <color auto="1"/>
      </top>
      <bottom/>
      <diagonal/>
    </border>
  </borders>
  <cellStyleXfs count="45">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3" fillId="26" borderId="0" applyNumberFormat="0" applyBorder="0" applyAlignment="0" applyProtection="0"/>
    <xf numFmtId="0" fontId="4" fillId="27" borderId="1" applyNumberFormat="0" applyAlignment="0" applyProtection="0"/>
    <xf numFmtId="0" fontId="5" fillId="28" borderId="2" applyNumberFormat="0" applyAlignment="0" applyProtection="0"/>
    <xf numFmtId="0" fontId="6" fillId="0" borderId="0" applyNumberFormat="0" applyFill="0" applyBorder="0" applyAlignment="0" applyProtection="0"/>
    <xf numFmtId="0" fontId="7" fillId="29"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30" borderId="1" applyNumberFormat="0" applyAlignment="0" applyProtection="0"/>
    <xf numFmtId="0" fontId="12" fillId="0" borderId="6" applyNumberFormat="0" applyFill="0" applyAlignment="0" applyProtection="0"/>
    <xf numFmtId="0" fontId="13" fillId="31" borderId="0" applyNumberFormat="0" applyBorder="0" applyAlignment="0" applyProtection="0"/>
    <xf numFmtId="0" fontId="1" fillId="32" borderId="7" applyNumberFormat="0" applyFont="0" applyAlignment="0" applyProtection="0"/>
    <xf numFmtId="0" fontId="14" fillId="27" borderId="8" applyNumberForma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0" borderId="0" applyNumberFormat="0" applyFill="0" applyBorder="0" applyAlignment="0" applyProtection="0"/>
    <xf numFmtId="0" fontId="18" fillId="0" borderId="0"/>
    <xf numFmtId="0" fontId="19" fillId="0" borderId="0"/>
    <xf numFmtId="0" fontId="18" fillId="0" borderId="0"/>
  </cellStyleXfs>
  <cellXfs count="32">
    <xf numFmtId="0" fontId="0" fillId="0" borderId="0" xfId="0"/>
    <xf numFmtId="0" fontId="1" fillId="0" borderId="0" xfId="0" applyFont="1"/>
    <xf numFmtId="0" fontId="0" fillId="0" borderId="0" xfId="0" applyFont="1"/>
    <xf numFmtId="0" fontId="0" fillId="33" borderId="0" xfId="0" applyFill="1"/>
    <xf numFmtId="0" fontId="1" fillId="0" borderId="0" xfId="0" applyFont="1" applyFill="1"/>
    <xf numFmtId="0" fontId="16" fillId="0" borderId="0" xfId="0" applyFont="1"/>
    <xf numFmtId="0" fontId="1" fillId="33" borderId="0" xfId="0" applyFont="1" applyFill="1"/>
    <xf numFmtId="0" fontId="16" fillId="33" borderId="0" xfId="0" applyFont="1" applyFill="1"/>
    <xf numFmtId="0" fontId="0" fillId="33" borderId="0" xfId="0" applyFont="1" applyFill="1"/>
    <xf numFmtId="0" fontId="18" fillId="0" borderId="0" xfId="44"/>
    <xf numFmtId="0" fontId="18" fillId="0" borderId="10" xfId="44" applyBorder="1"/>
    <xf numFmtId="0" fontId="18" fillId="0" borderId="11" xfId="44" applyBorder="1"/>
    <xf numFmtId="0" fontId="18" fillId="0" borderId="12" xfId="44" applyBorder="1"/>
    <xf numFmtId="0" fontId="18" fillId="0" borderId="13" xfId="44" applyBorder="1"/>
    <xf numFmtId="0" fontId="18" fillId="0" borderId="0" xfId="44" applyBorder="1"/>
    <xf numFmtId="0" fontId="18" fillId="0" borderId="14" xfId="44" applyBorder="1"/>
    <xf numFmtId="0" fontId="22" fillId="0" borderId="0" xfId="44" applyFont="1"/>
    <xf numFmtId="0" fontId="22" fillId="0" borderId="0" xfId="44" applyFont="1" applyBorder="1"/>
    <xf numFmtId="0" fontId="22" fillId="0" borderId="14" xfId="44" applyFont="1" applyBorder="1"/>
    <xf numFmtId="0" fontId="22" fillId="0" borderId="13" xfId="44" applyFont="1" applyBorder="1"/>
    <xf numFmtId="0" fontId="22" fillId="0" borderId="15" xfId="44" applyFont="1" applyBorder="1"/>
    <xf numFmtId="0" fontId="22" fillId="0" borderId="16" xfId="44" applyFont="1" applyBorder="1"/>
    <xf numFmtId="0" fontId="22" fillId="0" borderId="17" xfId="44" applyFont="1" applyBorder="1"/>
    <xf numFmtId="0" fontId="18" fillId="0" borderId="15" xfId="44" applyBorder="1"/>
    <xf numFmtId="0" fontId="18" fillId="0" borderId="16" xfId="44" applyBorder="1"/>
    <xf numFmtId="0" fontId="18" fillId="0" borderId="17" xfId="44" applyBorder="1"/>
    <xf numFmtId="0" fontId="22" fillId="0" borderId="13" xfId="44" applyFont="1" applyBorder="1" applyAlignment="1">
      <alignment horizontal="center" wrapText="1"/>
    </xf>
    <xf numFmtId="0" fontId="22" fillId="0" borderId="0" xfId="44" applyFont="1" applyBorder="1" applyAlignment="1">
      <alignment horizontal="center" wrapText="1"/>
    </xf>
    <xf numFmtId="0" fontId="22" fillId="0" borderId="17" xfId="44" applyFont="1" applyBorder="1" applyAlignment="1">
      <alignment horizontal="center" wrapText="1"/>
    </xf>
    <xf numFmtId="0" fontId="16" fillId="0" borderId="16" xfId="0" applyFont="1" applyBorder="1"/>
    <xf numFmtId="0" fontId="18" fillId="34" borderId="0" xfId="44" applyFill="1" applyBorder="1"/>
    <xf numFmtId="0" fontId="18" fillId="34" borderId="14" xfId="44" applyFill="1" applyBorder="1"/>
  </cellXfs>
  <cellStyles count="4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rmal 2" xfId="42"/>
    <cellStyle name="Normal 2 2" xfId="44"/>
    <cellStyle name="Normal 3" xfId="43"/>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colors>
    <mruColors>
      <color rgb="FF6600CC"/>
      <color rgb="FF6600FF"/>
      <color rgb="FF9933FF"/>
      <color rgb="FF9966FF"/>
      <color rgb="FFCC00FF"/>
      <color rgb="FFCC66FF"/>
      <color rgb="FF99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P1" zoomScale="80" zoomScaleNormal="80" workbookViewId="0">
      <selection activeCell="AB12" sqref="AB12:AB1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141</v>
      </c>
      <c r="H2" s="21" t="s">
        <v>138</v>
      </c>
      <c r="I2" s="21"/>
      <c r="J2" s="21"/>
      <c r="K2" s="21"/>
      <c r="L2" s="21" t="s">
        <v>137</v>
      </c>
      <c r="M2" s="21"/>
      <c r="N2" s="21"/>
      <c r="O2" s="21"/>
      <c r="P2" s="21" t="s">
        <v>136</v>
      </c>
      <c r="Q2" s="21"/>
      <c r="R2" s="21"/>
      <c r="S2" s="20"/>
    </row>
    <row r="3" spans="1:40" ht="63.75" x14ac:dyDescent="0.2">
      <c r="G3" s="18" t="s">
        <v>140</v>
      </c>
      <c r="H3" s="17" t="s">
        <v>0</v>
      </c>
      <c r="I3" s="17" t="s">
        <v>1</v>
      </c>
      <c r="J3" s="17" t="s">
        <v>2</v>
      </c>
      <c r="K3" s="27" t="s">
        <v>139</v>
      </c>
      <c r="L3" s="17" t="s">
        <v>0</v>
      </c>
      <c r="M3" s="17" t="s">
        <v>1</v>
      </c>
      <c r="N3" s="17" t="s">
        <v>2</v>
      </c>
      <c r="O3" s="27" t="s">
        <v>139</v>
      </c>
      <c r="P3" s="17" t="s">
        <v>0</v>
      </c>
      <c r="Q3" s="17" t="s">
        <v>1</v>
      </c>
      <c r="R3" s="17" t="s">
        <v>2</v>
      </c>
      <c r="S3" s="26" t="s">
        <v>139</v>
      </c>
    </row>
    <row r="4" spans="1:40" x14ac:dyDescent="0.2">
      <c r="G4" s="15" t="s">
        <v>14</v>
      </c>
      <c r="H4" s="14">
        <v>19.885034561157227</v>
      </c>
      <c r="I4" s="14">
        <v>15.917091369628906</v>
      </c>
      <c r="J4" s="14">
        <v>18.901252746582031</v>
      </c>
      <c r="K4" s="14">
        <f>AVERAGE(H4:J4)</f>
        <v>18.234459559122723</v>
      </c>
      <c r="L4" s="14">
        <v>16.506738662719727</v>
      </c>
      <c r="M4" s="14">
        <v>8.4764184951782227</v>
      </c>
      <c r="N4" s="14">
        <v>12.677650451660156</v>
      </c>
      <c r="O4" s="14">
        <f>AVERAGE(L4:N4)</f>
        <v>12.553602536519369</v>
      </c>
      <c r="P4" s="14">
        <v>18.122110366821289</v>
      </c>
      <c r="Q4" s="14">
        <v>13.4769287109375</v>
      </c>
      <c r="R4" s="14">
        <v>13.178627967834473</v>
      </c>
      <c r="S4" s="13">
        <f>AVERAGE(P4:R4)</f>
        <v>14.925889015197754</v>
      </c>
    </row>
    <row r="5" spans="1:40" x14ac:dyDescent="0.2">
      <c r="G5" s="15" t="s">
        <v>27</v>
      </c>
      <c r="H5" s="14">
        <v>22.132806777954102</v>
      </c>
      <c r="I5" s="14">
        <v>18.368614196777344</v>
      </c>
      <c r="J5" s="14">
        <v>21.470054626464844</v>
      </c>
      <c r="K5" s="14">
        <f>AVERAGE(H5:J5)</f>
        <v>20.657158533732098</v>
      </c>
      <c r="L5" s="14">
        <v>19.928337097167969</v>
      </c>
      <c r="M5" s="14">
        <v>13.451847076416016</v>
      </c>
      <c r="N5" s="14">
        <v>15.831011772155762</v>
      </c>
      <c r="O5" s="14">
        <f>AVERAGE(L5:N5)</f>
        <v>16.40373198191325</v>
      </c>
      <c r="P5" s="14">
        <v>18.912319183349609</v>
      </c>
      <c r="Q5" s="14">
        <v>13.764647483825684</v>
      </c>
      <c r="R5" s="14">
        <v>13.283882141113281</v>
      </c>
      <c r="S5" s="13">
        <f>AVERAGE(P5:R5)</f>
        <v>15.320282936096191</v>
      </c>
    </row>
    <row r="6" spans="1:40" x14ac:dyDescent="0.2">
      <c r="G6" s="15" t="s">
        <v>31</v>
      </c>
      <c r="H6" s="14">
        <v>22.482086181640625</v>
      </c>
      <c r="I6" s="14">
        <v>17.41035270690918</v>
      </c>
      <c r="J6" s="14">
        <v>20.505857467651367</v>
      </c>
      <c r="K6" s="14">
        <f>AVERAGE(H6:J6)</f>
        <v>20.132765452067058</v>
      </c>
      <c r="L6" s="14">
        <v>18.73689079284668</v>
      </c>
      <c r="M6" s="14">
        <v>12.182986259460449</v>
      </c>
      <c r="N6" s="14">
        <v>15.588306427001953</v>
      </c>
      <c r="O6" s="14">
        <f>AVERAGE(L6:N6)</f>
        <v>15.502727826436361</v>
      </c>
      <c r="P6" s="14">
        <v>19.488134384155273</v>
      </c>
      <c r="Q6" s="14">
        <v>13.895628929138184</v>
      </c>
      <c r="R6" s="14">
        <v>13.446693420410156</v>
      </c>
      <c r="S6" s="13">
        <f>AVERAGE(P6:R6)</f>
        <v>15.610152244567871</v>
      </c>
    </row>
    <row r="7" spans="1:40" ht="13.5" thickBot="1" x14ac:dyDescent="0.25">
      <c r="G7" s="12" t="s">
        <v>123</v>
      </c>
      <c r="H7" s="11">
        <v>23.353662490844727</v>
      </c>
      <c r="I7" s="11">
        <v>18.24871826171875</v>
      </c>
      <c r="J7" s="11">
        <v>21.418031692504883</v>
      </c>
      <c r="K7" s="11">
        <f>AVERAGE(H7:J7)</f>
        <v>21.006804148356121</v>
      </c>
      <c r="L7" s="11">
        <v>18.219888687133789</v>
      </c>
      <c r="M7" s="11">
        <v>10.400395393371582</v>
      </c>
      <c r="N7" s="11">
        <v>14.900661468505859</v>
      </c>
      <c r="O7" s="11">
        <f>AVERAGE(L7:N7)</f>
        <v>14.50698184967041</v>
      </c>
      <c r="P7" s="11">
        <v>17.907157897949219</v>
      </c>
      <c r="Q7" s="11">
        <v>13.008965492248535</v>
      </c>
      <c r="R7" s="11">
        <v>12.182827949523926</v>
      </c>
      <c r="S7" s="10">
        <f>AVERAGE(P7:R7)</f>
        <v>14.36631711324056</v>
      </c>
    </row>
    <row r="8" spans="1:40" ht="13.5" thickBot="1" x14ac:dyDescent="0.25">
      <c r="G8" s="14"/>
      <c r="H8" s="14"/>
      <c r="I8" s="14"/>
      <c r="J8" s="14"/>
      <c r="K8" s="14"/>
      <c r="L8" s="14"/>
      <c r="M8" s="14"/>
      <c r="N8" s="14"/>
      <c r="O8" s="14"/>
      <c r="P8" s="14"/>
      <c r="Q8" s="14"/>
      <c r="R8" s="14"/>
      <c r="S8" s="14"/>
    </row>
    <row r="9" spans="1:40" ht="15" x14ac:dyDescent="0.25">
      <c r="A9" s="25"/>
      <c r="B9" s="21"/>
      <c r="C9" s="21"/>
      <c r="D9" s="29" t="s">
        <v>138</v>
      </c>
      <c r="E9" s="21"/>
      <c r="F9" s="21"/>
      <c r="G9" s="21"/>
      <c r="H9" s="21"/>
      <c r="I9" s="21"/>
      <c r="J9" s="21" t="s">
        <v>137</v>
      </c>
      <c r="K9" s="21"/>
      <c r="L9" s="21"/>
      <c r="M9" s="21"/>
      <c r="N9" s="21"/>
      <c r="O9" s="21"/>
      <c r="P9" s="21" t="s">
        <v>136</v>
      </c>
      <c r="Q9" s="24"/>
      <c r="R9" s="24"/>
      <c r="S9" s="24"/>
      <c r="T9" s="24"/>
      <c r="U9" s="23"/>
      <c r="AA9" s="22" t="s">
        <v>143</v>
      </c>
      <c r="AB9" s="21"/>
      <c r="AC9" s="21"/>
      <c r="AD9" s="21"/>
      <c r="AE9" s="21"/>
      <c r="AF9" s="21"/>
      <c r="AG9" s="21"/>
      <c r="AH9" s="21"/>
      <c r="AI9" s="21"/>
      <c r="AJ9" s="21"/>
      <c r="AK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7" t="s">
        <v>120</v>
      </c>
      <c r="P10" s="17" t="s">
        <v>20</v>
      </c>
      <c r="Q10" s="17" t="s">
        <v>21</v>
      </c>
      <c r="R10" s="17" t="s">
        <v>107</v>
      </c>
      <c r="S10" s="17" t="s">
        <v>22</v>
      </c>
      <c r="T10" s="17" t="s">
        <v>23</v>
      </c>
      <c r="U10" s="19" t="s">
        <v>120</v>
      </c>
      <c r="AA10" s="18" t="s">
        <v>110</v>
      </c>
      <c r="AB10" s="17" t="s">
        <v>111</v>
      </c>
      <c r="AC10" s="17" t="s">
        <v>113</v>
      </c>
      <c r="AD10" s="17" t="s">
        <v>135</v>
      </c>
      <c r="AE10" s="17" t="s">
        <v>134</v>
      </c>
      <c r="AF10" s="17" t="s">
        <v>37</v>
      </c>
      <c r="AG10" s="17" t="s">
        <v>135</v>
      </c>
      <c r="AH10" s="17" t="s">
        <v>134</v>
      </c>
      <c r="AI10" s="17" t="s">
        <v>49</v>
      </c>
      <c r="AJ10" s="17" t="s">
        <v>135</v>
      </c>
      <c r="AK10" s="17" t="s">
        <v>134</v>
      </c>
      <c r="AN10" s="16"/>
    </row>
    <row r="11" spans="1:40" x14ac:dyDescent="0.2">
      <c r="A11" s="15" t="s">
        <v>5</v>
      </c>
      <c r="B11" s="14" t="s">
        <v>14</v>
      </c>
      <c r="C11" s="14" t="s">
        <v>3</v>
      </c>
      <c r="D11" s="14">
        <v>14.419830322265625</v>
      </c>
      <c r="E11" s="14">
        <f>D11-18.23446</f>
        <v>-3.8146296777343736</v>
      </c>
      <c r="F11" s="14">
        <f t="shared" ref="F11:F46" si="0">POWER(2,-E11)</f>
        <v>14.070772954930254</v>
      </c>
      <c r="G11" s="14">
        <v>79.452934265136719</v>
      </c>
      <c r="H11" s="14" t="s">
        <v>24</v>
      </c>
      <c r="I11" s="14" t="s">
        <v>25</v>
      </c>
      <c r="J11" s="14">
        <v>11.906383514404297</v>
      </c>
      <c r="K11" s="14">
        <f>J11-12.5536</f>
        <v>-0.64721648559570255</v>
      </c>
      <c r="L11" s="14">
        <f t="shared" ref="L11:L46" si="1">POWER(2,-K11)</f>
        <v>1.5661435847189469</v>
      </c>
      <c r="M11" s="14">
        <v>79.320091247558594</v>
      </c>
      <c r="N11" s="14" t="s">
        <v>24</v>
      </c>
      <c r="O11" s="14" t="s">
        <v>25</v>
      </c>
      <c r="P11" s="14">
        <v>12.762469291687012</v>
      </c>
      <c r="Q11" s="14">
        <f>P11-14.92589</f>
        <v>-2.163420708312989</v>
      </c>
      <c r="R11" s="14">
        <f t="shared" ref="R11:R46" si="2">POWER(2,-Q11)</f>
        <v>4.4797577187671367</v>
      </c>
      <c r="S11" s="14">
        <v>79.166397094726563</v>
      </c>
      <c r="T11" s="14" t="s">
        <v>24</v>
      </c>
      <c r="U11" s="13" t="s">
        <v>25</v>
      </c>
      <c r="AA11" s="15"/>
      <c r="AB11" s="14" t="s">
        <v>150</v>
      </c>
      <c r="AC11" s="14">
        <v>14.070768655003432</v>
      </c>
      <c r="AD11" s="14">
        <f t="shared" ref="AD11:AD19" si="3">AC11/AC11</f>
        <v>1</v>
      </c>
      <c r="AE11" s="14">
        <f>AVERAGE(AD11:AD19)</f>
        <v>1</v>
      </c>
      <c r="AF11" s="14">
        <v>4.2665384180236764E-2</v>
      </c>
      <c r="AG11" s="14">
        <f t="shared" ref="AG11:AG19" si="4">AF11/AF11</f>
        <v>1</v>
      </c>
      <c r="AH11" s="14">
        <f>AVERAGE(AG11:AG19)</f>
        <v>1</v>
      </c>
      <c r="AI11" s="14">
        <v>8.3326519746384539E-2</v>
      </c>
      <c r="AJ11" s="14">
        <f t="shared" ref="AJ11:AJ19" si="5">AI11/AI11</f>
        <v>1</v>
      </c>
      <c r="AK11" s="13">
        <f>AVERAGE(AJ11:AJ19)</f>
        <v>1</v>
      </c>
    </row>
    <row r="12" spans="1:40" x14ac:dyDescent="0.2">
      <c r="A12" s="15" t="s">
        <v>6</v>
      </c>
      <c r="B12" s="14" t="s">
        <v>14</v>
      </c>
      <c r="C12" s="14" t="s">
        <v>3</v>
      </c>
      <c r="D12" s="14">
        <v>14.434649467468262</v>
      </c>
      <c r="E12" s="14">
        <f>D12-18.23446</f>
        <v>-3.7998105325317368</v>
      </c>
      <c r="F12" s="14">
        <f t="shared" si="0"/>
        <v>13.926979878499447</v>
      </c>
      <c r="G12" s="14">
        <v>79.30377197265625</v>
      </c>
      <c r="H12" s="14" t="s">
        <v>24</v>
      </c>
      <c r="I12" s="14" t="s">
        <v>25</v>
      </c>
      <c r="J12" s="14">
        <v>11.889861106872559</v>
      </c>
      <c r="K12" s="14">
        <f>J12-12.5536</f>
        <v>-0.66373889312744083</v>
      </c>
      <c r="L12" s="14">
        <f t="shared" si="1"/>
        <v>1.5841828817836932</v>
      </c>
      <c r="M12" s="14">
        <v>79.320091247558594</v>
      </c>
      <c r="N12" s="14" t="s">
        <v>24</v>
      </c>
      <c r="O12" s="14" t="s">
        <v>25</v>
      </c>
      <c r="P12" s="14">
        <v>12.725844383239746</v>
      </c>
      <c r="Q12" s="14">
        <f>P12-14.92589</f>
        <v>-2.2000456167602547</v>
      </c>
      <c r="R12" s="14">
        <f t="shared" si="2"/>
        <v>4.5949387056497883</v>
      </c>
      <c r="S12" s="14">
        <v>79.166397094726563</v>
      </c>
      <c r="T12" s="14" t="s">
        <v>24</v>
      </c>
      <c r="U12" s="13" t="s">
        <v>25</v>
      </c>
      <c r="AA12" s="15"/>
      <c r="AB12" s="14" t="s">
        <v>150</v>
      </c>
      <c r="AC12" s="14">
        <v>13.926975622514751</v>
      </c>
      <c r="AD12" s="14">
        <f t="shared" si="3"/>
        <v>1</v>
      </c>
      <c r="AE12" s="14">
        <f>STDEV(AD11:AD19)</f>
        <v>0</v>
      </c>
      <c r="AF12" s="14">
        <v>4.1883728029009956E-2</v>
      </c>
      <c r="AG12" s="14">
        <f t="shared" si="4"/>
        <v>1</v>
      </c>
      <c r="AH12" s="14">
        <f>STDEV(AG11:AG19)</f>
        <v>0</v>
      </c>
      <c r="AI12" s="14">
        <v>8.4150071161649243E-2</v>
      </c>
      <c r="AJ12" s="14">
        <f t="shared" si="5"/>
        <v>1</v>
      </c>
      <c r="AK12" s="13">
        <f>STDEV(AJ11:AJ19)</f>
        <v>0</v>
      </c>
    </row>
    <row r="13" spans="1:40" x14ac:dyDescent="0.2">
      <c r="A13" s="15" t="s">
        <v>7</v>
      </c>
      <c r="B13" s="14" t="s">
        <v>14</v>
      </c>
      <c r="C13" s="14" t="s">
        <v>3</v>
      </c>
      <c r="D13" s="14">
        <v>14.343823432922363</v>
      </c>
      <c r="E13" s="14">
        <f>D13-18.23446</f>
        <v>-3.8906365670776353</v>
      </c>
      <c r="F13" s="14">
        <f t="shared" si="0"/>
        <v>14.831951918142153</v>
      </c>
      <c r="G13" s="14">
        <v>79.302925109863281</v>
      </c>
      <c r="H13" s="14" t="s">
        <v>24</v>
      </c>
      <c r="I13" s="14" t="s">
        <v>25</v>
      </c>
      <c r="J13" s="14">
        <v>11.88939380645752</v>
      </c>
      <c r="K13" s="14">
        <f>J13-12.5536</f>
        <v>-0.66420619354247989</v>
      </c>
      <c r="L13" s="14">
        <f t="shared" si="1"/>
        <v>1.584696094349703</v>
      </c>
      <c r="M13" s="14">
        <v>79.166702270507813</v>
      </c>
      <c r="N13" s="14" t="s">
        <v>24</v>
      </c>
      <c r="O13" s="14" t="s">
        <v>25</v>
      </c>
      <c r="P13" s="14">
        <v>12.716846466064453</v>
      </c>
      <c r="Q13" s="14">
        <f>P13-14.92589</f>
        <v>-2.2090435339355476</v>
      </c>
      <c r="R13" s="14">
        <f t="shared" si="2"/>
        <v>4.6236863458132405</v>
      </c>
      <c r="S13" s="14">
        <v>79.014167785644531</v>
      </c>
      <c r="T13" s="14" t="s">
        <v>24</v>
      </c>
      <c r="U13" s="13" t="s">
        <v>25</v>
      </c>
      <c r="AA13" s="15"/>
      <c r="AB13" s="14" t="s">
        <v>150</v>
      </c>
      <c r="AC13" s="14">
        <v>14.831947385604524</v>
      </c>
      <c r="AD13" s="14">
        <f t="shared" si="3"/>
        <v>1</v>
      </c>
      <c r="AE13" s="14"/>
      <c r="AF13" s="14">
        <v>4.1570989877199149E-2</v>
      </c>
      <c r="AG13" s="14">
        <f t="shared" si="4"/>
        <v>1</v>
      </c>
      <c r="AH13" s="14"/>
      <c r="AI13" s="14">
        <v>8.5992717779130368E-2</v>
      </c>
      <c r="AJ13" s="14">
        <f t="shared" si="5"/>
        <v>1</v>
      </c>
      <c r="AK13" s="13"/>
    </row>
    <row r="14" spans="1:40" x14ac:dyDescent="0.2">
      <c r="A14" s="15" t="s">
        <v>26</v>
      </c>
      <c r="B14" s="14" t="s">
        <v>27</v>
      </c>
      <c r="C14" s="14" t="s">
        <v>3</v>
      </c>
      <c r="D14" s="14">
        <v>16.942995071411133</v>
      </c>
      <c r="E14" s="14">
        <f>D14-20.65716</f>
        <v>-3.7141649285888683</v>
      </c>
      <c r="F14" s="14">
        <f t="shared" si="0"/>
        <v>13.124266856773575</v>
      </c>
      <c r="G14" s="14">
        <v>79.153785705566406</v>
      </c>
      <c r="H14" s="14" t="s">
        <v>24</v>
      </c>
      <c r="I14" s="14" t="s">
        <v>25</v>
      </c>
      <c r="J14" s="14">
        <v>15.226626396179199</v>
      </c>
      <c r="K14" s="14">
        <f>J14-16.40373</f>
        <v>-1.1771036038208003</v>
      </c>
      <c r="L14" s="14">
        <f t="shared" si="1"/>
        <v>2.2612235129760521</v>
      </c>
      <c r="M14" s="14">
        <v>79.017669677734375</v>
      </c>
      <c r="N14" s="14" t="s">
        <v>24</v>
      </c>
      <c r="O14" s="14" t="s">
        <v>25</v>
      </c>
      <c r="P14" s="14">
        <v>12.252384185791016</v>
      </c>
      <c r="Q14" s="14">
        <f>P14-15.32028</f>
        <v>-3.0678958142089847</v>
      </c>
      <c r="R14" s="14">
        <f t="shared" si="2"/>
        <v>8.3854942146868101</v>
      </c>
      <c r="S14" s="14">
        <v>78.865089416503906</v>
      </c>
      <c r="T14" s="14" t="s">
        <v>24</v>
      </c>
      <c r="U14" s="13" t="s">
        <v>25</v>
      </c>
      <c r="AA14" s="15"/>
      <c r="AB14" s="14" t="s">
        <v>150</v>
      </c>
      <c r="AC14" s="14">
        <v>1.5661463382856522</v>
      </c>
      <c r="AD14" s="14">
        <f t="shared" si="3"/>
        <v>1</v>
      </c>
      <c r="AE14" s="14"/>
      <c r="AF14" s="14">
        <v>2.9878817927113223E-3</v>
      </c>
      <c r="AG14" s="14">
        <f t="shared" si="4"/>
        <v>1</v>
      </c>
      <c r="AH14" s="14"/>
      <c r="AI14" s="14">
        <v>2.1997783591062046E-2</v>
      </c>
      <c r="AJ14" s="14">
        <f t="shared" si="5"/>
        <v>1</v>
      </c>
      <c r="AK14" s="13"/>
    </row>
    <row r="15" spans="1:40" x14ac:dyDescent="0.2">
      <c r="A15" s="15" t="s">
        <v>28</v>
      </c>
      <c r="B15" s="14" t="s">
        <v>27</v>
      </c>
      <c r="C15" s="14" t="s">
        <v>3</v>
      </c>
      <c r="D15" s="14">
        <v>16.909496307373047</v>
      </c>
      <c r="E15" s="14">
        <f>D15-20.65716</f>
        <v>-3.7476636926269542</v>
      </c>
      <c r="F15" s="14">
        <f t="shared" si="0"/>
        <v>13.432572248378591</v>
      </c>
      <c r="G15" s="14">
        <v>79.302169799804688</v>
      </c>
      <c r="H15" s="14" t="s">
        <v>24</v>
      </c>
      <c r="I15" s="14" t="s">
        <v>25</v>
      </c>
      <c r="J15" s="14">
        <v>15.182849884033203</v>
      </c>
      <c r="K15" s="14">
        <f>J15-16.40373</f>
        <v>-1.2208801159667964</v>
      </c>
      <c r="L15" s="14">
        <f t="shared" si="1"/>
        <v>2.3308886977114671</v>
      </c>
      <c r="M15" s="14">
        <v>79.0167236328125</v>
      </c>
      <c r="N15" s="14" t="s">
        <v>24</v>
      </c>
      <c r="O15" s="14" t="s">
        <v>25</v>
      </c>
      <c r="P15" s="14">
        <v>12.19576358795166</v>
      </c>
      <c r="Q15" s="14">
        <f>P15-15.32028</f>
        <v>-3.1245164120483402</v>
      </c>
      <c r="R15" s="14">
        <f t="shared" si="2"/>
        <v>8.7211380665555573</v>
      </c>
      <c r="S15" s="14">
        <v>79.013572692871094</v>
      </c>
      <c r="T15" s="14" t="s">
        <v>24</v>
      </c>
      <c r="U15" s="13" t="s">
        <v>25</v>
      </c>
      <c r="AA15" s="15"/>
      <c r="AB15" s="14" t="s">
        <v>150</v>
      </c>
      <c r="AC15" s="14">
        <v>1.5841856670667802</v>
      </c>
      <c r="AD15" s="14">
        <f t="shared" si="3"/>
        <v>1</v>
      </c>
      <c r="AE15" s="14"/>
      <c r="AF15" s="14">
        <v>3.0618614939702123E-3</v>
      </c>
      <c r="AG15" s="14">
        <f t="shared" si="4"/>
        <v>1</v>
      </c>
      <c r="AH15" s="14"/>
      <c r="AI15" s="14">
        <v>2.191392397163177E-2</v>
      </c>
      <c r="AJ15" s="14">
        <f t="shared" si="5"/>
        <v>1</v>
      </c>
      <c r="AK15" s="13"/>
    </row>
    <row r="16" spans="1:40" x14ac:dyDescent="0.2">
      <c r="A16" s="15" t="s">
        <v>29</v>
      </c>
      <c r="B16" s="14" t="s">
        <v>27</v>
      </c>
      <c r="C16" s="14" t="s">
        <v>3</v>
      </c>
      <c r="D16" s="14">
        <v>16.90025520324707</v>
      </c>
      <c r="E16" s="14">
        <f>D16-20.65716</f>
        <v>-3.7569047967529308</v>
      </c>
      <c r="F16" s="14">
        <f t="shared" si="0"/>
        <v>13.518890011474349</v>
      </c>
      <c r="G16" s="14">
        <v>79.302169799804688</v>
      </c>
      <c r="H16" s="14" t="s">
        <v>24</v>
      </c>
      <c r="I16" s="14" t="s">
        <v>25</v>
      </c>
      <c r="J16" s="14">
        <v>15.164200782775879</v>
      </c>
      <c r="K16" s="14">
        <f>J16-16.40373</f>
        <v>-1.2395292172241206</v>
      </c>
      <c r="L16" s="14">
        <f t="shared" si="1"/>
        <v>2.3612146814115298</v>
      </c>
      <c r="M16" s="14">
        <v>79.0167236328125</v>
      </c>
      <c r="N16" s="14" t="s">
        <v>24</v>
      </c>
      <c r="O16" s="14" t="s">
        <v>25</v>
      </c>
      <c r="P16" s="14">
        <v>12.18895435333252</v>
      </c>
      <c r="Q16" s="14">
        <f>P16-15.32028</f>
        <v>-3.1313256466674808</v>
      </c>
      <c r="R16" s="14">
        <f t="shared" si="2"/>
        <v>8.7623974008553418</v>
      </c>
      <c r="S16" s="14">
        <v>79.013572692871094</v>
      </c>
      <c r="T16" s="14" t="s">
        <v>24</v>
      </c>
      <c r="U16" s="13" t="s">
        <v>25</v>
      </c>
      <c r="AA16" s="15"/>
      <c r="AB16" s="14" t="s">
        <v>150</v>
      </c>
      <c r="AC16" s="14">
        <v>1.5846988805351117</v>
      </c>
      <c r="AD16" s="14">
        <f t="shared" si="3"/>
        <v>1</v>
      </c>
      <c r="AE16" s="14"/>
      <c r="AF16" s="14">
        <v>2.9937298523985004E-3</v>
      </c>
      <c r="AG16" s="14">
        <f t="shared" si="4"/>
        <v>1</v>
      </c>
      <c r="AH16" s="14"/>
      <c r="AI16" s="14">
        <v>2.1845021659575869E-2</v>
      </c>
      <c r="AJ16" s="14">
        <f t="shared" si="5"/>
        <v>1</v>
      </c>
      <c r="AK16" s="13"/>
    </row>
    <row r="17" spans="1:37" x14ac:dyDescent="0.2">
      <c r="A17" s="15" t="s">
        <v>30</v>
      </c>
      <c r="B17" s="14" t="s">
        <v>31</v>
      </c>
      <c r="C17" s="14" t="s">
        <v>3</v>
      </c>
      <c r="D17" s="14">
        <v>16.964954376220703</v>
      </c>
      <c r="E17" s="14">
        <f>D17-20.13277</f>
        <v>-3.1678156237792976</v>
      </c>
      <c r="F17" s="14">
        <f t="shared" si="0"/>
        <v>8.9868506326291975</v>
      </c>
      <c r="G17" s="14">
        <v>79.15081787109375</v>
      </c>
      <c r="H17" s="14" t="s">
        <v>24</v>
      </c>
      <c r="I17" s="14" t="s">
        <v>25</v>
      </c>
      <c r="J17" s="14">
        <v>11.971828460693359</v>
      </c>
      <c r="K17" s="14">
        <f>J17-15.50273</f>
        <v>-3.5309015393066403</v>
      </c>
      <c r="L17" s="14">
        <f t="shared" si="1"/>
        <v>11.558654304296507</v>
      </c>
      <c r="M17" s="14">
        <v>79.164390563964844</v>
      </c>
      <c r="N17" s="14" t="s">
        <v>24</v>
      </c>
      <c r="O17" s="14" t="s">
        <v>25</v>
      </c>
      <c r="P17" s="14">
        <v>12.816695213317871</v>
      </c>
      <c r="Q17" s="14">
        <f>P17-15.61015</f>
        <v>-2.7934547866821298</v>
      </c>
      <c r="R17" s="14">
        <f t="shared" si="2"/>
        <v>6.9328799869959337</v>
      </c>
      <c r="S17" s="14">
        <v>78.863418579101563</v>
      </c>
      <c r="T17" s="14" t="s">
        <v>24</v>
      </c>
      <c r="U17" s="13" t="s">
        <v>25</v>
      </c>
      <c r="AA17" s="15"/>
      <c r="AB17" s="14" t="s">
        <v>150</v>
      </c>
      <c r="AC17" s="14">
        <v>4.4797546608277692</v>
      </c>
      <c r="AD17" s="14">
        <f t="shared" si="3"/>
        <v>1</v>
      </c>
      <c r="AE17" s="14"/>
      <c r="AF17" s="14">
        <v>5.311382106853791E-2</v>
      </c>
      <c r="AG17" s="14">
        <f t="shared" si="4"/>
        <v>1</v>
      </c>
      <c r="AH17" s="14"/>
      <c r="AI17" s="14">
        <v>6.0007120140020714E-2</v>
      </c>
      <c r="AJ17" s="14">
        <f t="shared" si="5"/>
        <v>1</v>
      </c>
      <c r="AK17" s="13"/>
    </row>
    <row r="18" spans="1:37" x14ac:dyDescent="0.2">
      <c r="A18" s="15" t="s">
        <v>32</v>
      </c>
      <c r="B18" s="14" t="s">
        <v>31</v>
      </c>
      <c r="C18" s="14" t="s">
        <v>3</v>
      </c>
      <c r="D18" s="14">
        <v>16.844270706176758</v>
      </c>
      <c r="E18" s="14">
        <f>D18-20.13277</f>
        <v>-3.2884992938232429</v>
      </c>
      <c r="F18" s="14">
        <f t="shared" si="0"/>
        <v>9.7709530878292092</v>
      </c>
      <c r="G18" s="14">
        <v>79.299964904785156</v>
      </c>
      <c r="H18" s="14" t="s">
        <v>24</v>
      </c>
      <c r="I18" s="14" t="s">
        <v>25</v>
      </c>
      <c r="J18" s="14">
        <v>11.891902923583984</v>
      </c>
      <c r="K18" s="14">
        <f>J18-15.50273</f>
        <v>-3.6108270764160153</v>
      </c>
      <c r="L18" s="14">
        <f t="shared" si="1"/>
        <v>12.217075538987233</v>
      </c>
      <c r="M18" s="14">
        <v>79.164390563964844</v>
      </c>
      <c r="N18" s="14" t="s">
        <v>24</v>
      </c>
      <c r="O18" s="14" t="s">
        <v>25</v>
      </c>
      <c r="P18" s="14">
        <v>12.710684776306152</v>
      </c>
      <c r="Q18" s="14">
        <f>P18-15.61015</f>
        <v>-2.8994652236938485</v>
      </c>
      <c r="R18" s="14">
        <f t="shared" si="2"/>
        <v>7.461497601468503</v>
      </c>
      <c r="S18" s="14">
        <v>79.012496948242188</v>
      </c>
      <c r="T18" s="14" t="s">
        <v>24</v>
      </c>
      <c r="U18" s="13" t="s">
        <v>25</v>
      </c>
      <c r="AA18" s="15"/>
      <c r="AB18" s="14" t="s">
        <v>150</v>
      </c>
      <c r="AC18" s="14">
        <v>4.5949355690864193</v>
      </c>
      <c r="AD18" s="14">
        <f t="shared" si="3"/>
        <v>1</v>
      </c>
      <c r="AE18" s="14"/>
      <c r="AF18" s="14">
        <v>5.3825739312129105E-2</v>
      </c>
      <c r="AG18" s="14">
        <f t="shared" si="4"/>
        <v>1</v>
      </c>
      <c r="AH18" s="14"/>
      <c r="AI18" s="14">
        <v>6.0158759665300036E-2</v>
      </c>
      <c r="AJ18" s="14">
        <f t="shared" si="5"/>
        <v>1</v>
      </c>
      <c r="AK18" s="13"/>
    </row>
    <row r="19" spans="1:37" x14ac:dyDescent="0.2">
      <c r="A19" s="15" t="s">
        <v>33</v>
      </c>
      <c r="B19" s="14" t="s">
        <v>31</v>
      </c>
      <c r="C19" s="14" t="s">
        <v>3</v>
      </c>
      <c r="D19" s="14">
        <v>16.865268707275391</v>
      </c>
      <c r="E19" s="14">
        <f>D19-20.13277</f>
        <v>-3.2675012927246101</v>
      </c>
      <c r="F19" s="14">
        <f t="shared" si="0"/>
        <v>9.629769679328728</v>
      </c>
      <c r="G19" s="14">
        <v>79.296401977539063</v>
      </c>
      <c r="H19" s="14" t="s">
        <v>24</v>
      </c>
      <c r="I19" s="14" t="s">
        <v>25</v>
      </c>
      <c r="J19" s="14">
        <v>11.909343719482422</v>
      </c>
      <c r="K19" s="14">
        <f>J19-15.50273</f>
        <v>-3.5933862805175778</v>
      </c>
      <c r="L19" s="14">
        <f t="shared" si="1"/>
        <v>12.070271987166333</v>
      </c>
      <c r="M19" s="14">
        <v>79.164154052734375</v>
      </c>
      <c r="N19" s="14" t="s">
        <v>24</v>
      </c>
      <c r="O19" s="14" t="s">
        <v>25</v>
      </c>
      <c r="P19" s="14">
        <v>12.746268272399902</v>
      </c>
      <c r="Q19" s="14">
        <f>P19-15.61015</f>
        <v>-2.8638817276000985</v>
      </c>
      <c r="R19" s="14">
        <f t="shared" si="2"/>
        <v>7.2797137759343986</v>
      </c>
      <c r="S19" s="14">
        <v>79.01239013671875</v>
      </c>
      <c r="T19" s="14" t="s">
        <v>24</v>
      </c>
      <c r="U19" s="13" t="s">
        <v>25</v>
      </c>
      <c r="AA19" s="15"/>
      <c r="AB19" s="14" t="s">
        <v>150</v>
      </c>
      <c r="AC19" s="14">
        <v>4.6236831896263695</v>
      </c>
      <c r="AD19" s="14">
        <f t="shared" si="3"/>
        <v>1</v>
      </c>
      <c r="AE19" s="14"/>
      <c r="AF19" s="14">
        <v>5.2829909222920253E-2</v>
      </c>
      <c r="AG19" s="14">
        <f t="shared" si="4"/>
        <v>1</v>
      </c>
      <c r="AH19" s="14"/>
      <c r="AI19" s="14">
        <v>6.0493492902249743E-2</v>
      </c>
      <c r="AJ19" s="14">
        <f t="shared" si="5"/>
        <v>1</v>
      </c>
      <c r="AK19" s="13"/>
    </row>
    <row r="20" spans="1:37" x14ac:dyDescent="0.2">
      <c r="A20" s="15" t="s">
        <v>34</v>
      </c>
      <c r="B20" s="14" t="s">
        <v>123</v>
      </c>
      <c r="C20" s="14" t="s">
        <v>3</v>
      </c>
      <c r="D20" s="14">
        <v>16.90478515625</v>
      </c>
      <c r="E20" s="14">
        <f>D20-21.0068</f>
        <v>-4.1020148437499984</v>
      </c>
      <c r="F20" s="14">
        <f t="shared" si="0"/>
        <v>17.172341265947786</v>
      </c>
      <c r="G20" s="14">
        <v>79.147232055664063</v>
      </c>
      <c r="H20" s="14" t="s">
        <v>24</v>
      </c>
      <c r="I20" s="14" t="s">
        <v>25</v>
      </c>
      <c r="J20" s="14">
        <v>11.440080642700195</v>
      </c>
      <c r="K20" s="14">
        <f>J20-14.50698</f>
        <v>-3.0668993572998051</v>
      </c>
      <c r="L20" s="14">
        <f t="shared" si="1"/>
        <v>8.3797044265187655</v>
      </c>
      <c r="M20" s="14">
        <v>79.164154052734375</v>
      </c>
      <c r="N20" s="14" t="s">
        <v>24</v>
      </c>
      <c r="O20" s="14" t="s">
        <v>25</v>
      </c>
      <c r="P20" s="14">
        <v>12.298035621643066</v>
      </c>
      <c r="Q20" s="14">
        <f>P20-14.36632</f>
        <v>-2.0682843783569336</v>
      </c>
      <c r="R20" s="14">
        <f t="shared" si="2"/>
        <v>4.1938765009936505</v>
      </c>
      <c r="S20" s="14">
        <v>79.01239013671875</v>
      </c>
      <c r="T20" s="14" t="s">
        <v>24</v>
      </c>
      <c r="U20" s="13" t="s">
        <v>25</v>
      </c>
      <c r="AA20" s="15"/>
      <c r="AB20" s="14" t="s">
        <v>4</v>
      </c>
      <c r="AC20" s="14">
        <v>13.12425351807002</v>
      </c>
      <c r="AD20" s="14">
        <f t="shared" ref="AD20:AD28" si="6">AC20/AC11</f>
        <v>0.93273181017038187</v>
      </c>
      <c r="AE20" s="14">
        <f>AVERAGE(AD20:AD28)</f>
        <v>1.1067770064483291</v>
      </c>
      <c r="AF20" s="14">
        <v>5.201287843285525E-2</v>
      </c>
      <c r="AG20" s="14">
        <f t="shared" ref="AG20:AG28" si="7">AF20/AF11</f>
        <v>1.2190884819677397</v>
      </c>
      <c r="AH20" s="14">
        <f>AVERAGE(AG20:AG28)</f>
        <v>1.3532096495998744</v>
      </c>
      <c r="AI20" s="14">
        <v>0.11559679748036435</v>
      </c>
      <c r="AJ20" s="14">
        <f t="shared" ref="AJ20:AJ28" si="8">AI20/AI11</f>
        <v>1.3872749975901877</v>
      </c>
      <c r="AK20" s="13">
        <f>AVERAGE(AJ20:AJ28)</f>
        <v>1.4107146513738114</v>
      </c>
    </row>
    <row r="21" spans="1:37" x14ac:dyDescent="0.2">
      <c r="A21" s="15" t="s">
        <v>35</v>
      </c>
      <c r="B21" s="14" t="s">
        <v>123</v>
      </c>
      <c r="C21" s="14" t="s">
        <v>3</v>
      </c>
      <c r="D21" s="14">
        <v>16.879949569702148</v>
      </c>
      <c r="E21" s="14">
        <f>D21-21.0068</f>
        <v>-4.1268504302978499</v>
      </c>
      <c r="F21" s="14">
        <f t="shared" si="0"/>
        <v>17.470517402808252</v>
      </c>
      <c r="G21" s="14">
        <v>79.150985717773438</v>
      </c>
      <c r="H21" s="14" t="s">
        <v>24</v>
      </c>
      <c r="I21" s="14" t="s">
        <v>25</v>
      </c>
      <c r="J21" s="14">
        <v>11.431900978088379</v>
      </c>
      <c r="K21" s="14">
        <f>J21-14.50698</f>
        <v>-3.0750790219116215</v>
      </c>
      <c r="L21" s="14">
        <f t="shared" si="1"/>
        <v>8.427349873102111</v>
      </c>
      <c r="M21" s="14">
        <v>79.016242980957031</v>
      </c>
      <c r="N21" s="14" t="s">
        <v>24</v>
      </c>
      <c r="O21" s="14" t="s">
        <v>25</v>
      </c>
      <c r="P21" s="14">
        <v>12.277544021606445</v>
      </c>
      <c r="Q21" s="14">
        <f>P21-14.36632</f>
        <v>-2.0887759783935547</v>
      </c>
      <c r="R21" s="14">
        <f t="shared" si="2"/>
        <v>4.2538700995710812</v>
      </c>
      <c r="S21" s="14">
        <v>78.865615844726563</v>
      </c>
      <c r="T21" s="14" t="s">
        <v>24</v>
      </c>
      <c r="U21" s="13" t="s">
        <v>25</v>
      </c>
      <c r="AA21" s="15"/>
      <c r="AB21" s="14" t="s">
        <v>4</v>
      </c>
      <c r="AC21" s="14">
        <v>13.432558596332258</v>
      </c>
      <c r="AD21" s="14">
        <f t="shared" si="6"/>
        <v>0.96449932565522667</v>
      </c>
      <c r="AE21" s="14">
        <f>STDEV(AD20:AD28)</f>
        <v>0.27226709329607474</v>
      </c>
      <c r="AF21" s="14">
        <v>5.1760575274111174E-2</v>
      </c>
      <c r="AG21" s="14">
        <f t="shared" si="7"/>
        <v>1.2358158576108653</v>
      </c>
      <c r="AH21" s="14">
        <f>STDEV(AG20:AG28)</f>
        <v>0.509415995897186</v>
      </c>
      <c r="AI21" s="14">
        <v>0.11797196700205709</v>
      </c>
      <c r="AJ21" s="14">
        <f t="shared" si="8"/>
        <v>1.4019235560174061</v>
      </c>
      <c r="AK21" s="13">
        <f>STDEV(AJ20:AJ28)</f>
        <v>0.45757053669991443</v>
      </c>
    </row>
    <row r="22" spans="1:37" x14ac:dyDescent="0.2">
      <c r="A22" s="15" t="s">
        <v>36</v>
      </c>
      <c r="B22" s="14" t="s">
        <v>123</v>
      </c>
      <c r="C22" s="14" t="s">
        <v>3</v>
      </c>
      <c r="D22" s="14">
        <v>16.950395584106445</v>
      </c>
      <c r="E22" s="14">
        <f>D22-21.0068</f>
        <v>-4.0564044158935531</v>
      </c>
      <c r="F22" s="14">
        <f t="shared" si="0"/>
        <v>16.637934250511307</v>
      </c>
      <c r="G22" s="14">
        <v>79.150985717773438</v>
      </c>
      <c r="H22" s="14" t="s">
        <v>24</v>
      </c>
      <c r="I22" s="14" t="s">
        <v>25</v>
      </c>
      <c r="J22" s="14">
        <v>11.465566635131836</v>
      </c>
      <c r="K22" s="14">
        <f>J22-14.50698</f>
        <v>-3.0414133648681645</v>
      </c>
      <c r="L22" s="14">
        <f t="shared" si="1"/>
        <v>8.2329722586191032</v>
      </c>
      <c r="M22" s="14">
        <v>79.165237426757813</v>
      </c>
      <c r="N22" s="14" t="s">
        <v>24</v>
      </c>
      <c r="O22" s="14" t="s">
        <v>25</v>
      </c>
      <c r="P22" s="14">
        <v>12.33326244354248</v>
      </c>
      <c r="Q22" s="14">
        <f>P22-14.36632</f>
        <v>-2.0330575564575195</v>
      </c>
      <c r="R22" s="14">
        <f t="shared" si="2"/>
        <v>4.0927131548659998</v>
      </c>
      <c r="S22" s="14">
        <v>78.865615844726563</v>
      </c>
      <c r="T22" s="14" t="s">
        <v>24</v>
      </c>
      <c r="U22" s="13" t="s">
        <v>25</v>
      </c>
      <c r="AA22" s="15"/>
      <c r="AB22" s="14" t="s">
        <v>4</v>
      </c>
      <c r="AC22" s="14">
        <v>13.518876271699913</v>
      </c>
      <c r="AD22" s="14">
        <f t="shared" si="6"/>
        <v>0.91147008010701003</v>
      </c>
      <c r="AE22" s="14"/>
      <c r="AF22" s="14">
        <v>5.2850855237486033E-2</v>
      </c>
      <c r="AG22" s="14">
        <f t="shared" si="7"/>
        <v>1.271339830819705</v>
      </c>
      <c r="AH22" s="14"/>
      <c r="AI22" s="14">
        <v>0.11868485662645027</v>
      </c>
      <c r="AJ22" s="14">
        <f t="shared" si="8"/>
        <v>1.3801733413204669</v>
      </c>
      <c r="AK22" s="13"/>
    </row>
    <row r="23" spans="1:37" x14ac:dyDescent="0.2">
      <c r="A23" s="15" t="s">
        <v>8</v>
      </c>
      <c r="B23" s="14" t="s">
        <v>14</v>
      </c>
      <c r="C23" s="14" t="s">
        <v>37</v>
      </c>
      <c r="D23" s="14">
        <v>22.785249710083008</v>
      </c>
      <c r="E23" s="14">
        <f>D23-18.23446</f>
        <v>4.5507897100830093</v>
      </c>
      <c r="F23" s="14">
        <f t="shared" si="0"/>
        <v>4.2665397218474711E-2</v>
      </c>
      <c r="G23" s="14">
        <v>78.259597778320313</v>
      </c>
      <c r="H23" s="14" t="s">
        <v>24</v>
      </c>
      <c r="I23" s="14" t="s">
        <v>25</v>
      </c>
      <c r="J23" s="14">
        <v>20.940263748168945</v>
      </c>
      <c r="K23" s="14">
        <f>J23-12.5536</f>
        <v>8.3866637481689459</v>
      </c>
      <c r="L23" s="14">
        <f t="shared" si="1"/>
        <v>2.9878765394781969E-3</v>
      </c>
      <c r="M23" s="14">
        <v>78.127815246582031</v>
      </c>
      <c r="N23" s="14" t="s">
        <v>24</v>
      </c>
      <c r="O23" s="14" t="s">
        <v>25</v>
      </c>
      <c r="P23" s="14">
        <v>19.16065788269043</v>
      </c>
      <c r="Q23" s="14">
        <f>P23-14.92589</f>
        <v>4.2347678826904289</v>
      </c>
      <c r="R23" s="14">
        <f t="shared" si="2"/>
        <v>5.3113857324729764E-2</v>
      </c>
      <c r="S23" s="14">
        <v>77.974014282226563</v>
      </c>
      <c r="T23" s="14" t="s">
        <v>24</v>
      </c>
      <c r="U23" s="13" t="s">
        <v>25</v>
      </c>
      <c r="AA23" s="15"/>
      <c r="AB23" s="14" t="s">
        <v>4</v>
      </c>
      <c r="AC23" s="14">
        <v>2.2612266193511306</v>
      </c>
      <c r="AD23" s="14">
        <f t="shared" si="6"/>
        <v>1.4438156665655733</v>
      </c>
      <c r="AE23" s="14"/>
      <c r="AF23" s="14">
        <v>5.8097914397637132E-3</v>
      </c>
      <c r="AG23" s="14">
        <f t="shared" si="7"/>
        <v>1.9444515689798016</v>
      </c>
      <c r="AH23" s="14"/>
      <c r="AI23" s="14">
        <v>4.2293516834764802E-2</v>
      </c>
      <c r="AJ23" s="14">
        <f t="shared" si="8"/>
        <v>1.9226262800380101</v>
      </c>
      <c r="AK23" s="13"/>
    </row>
    <row r="24" spans="1:37" x14ac:dyDescent="0.2">
      <c r="A24" s="15" t="s">
        <v>9</v>
      </c>
      <c r="B24" s="14" t="s">
        <v>14</v>
      </c>
      <c r="C24" s="14" t="s">
        <v>37</v>
      </c>
      <c r="D24" s="14">
        <v>22.811925888061523</v>
      </c>
      <c r="E24" s="14">
        <f>D24-18.23446</f>
        <v>4.5774658880615249</v>
      </c>
      <c r="F24" s="14">
        <f t="shared" si="0"/>
        <v>4.188374082837934E-2</v>
      </c>
      <c r="G24" s="14">
        <v>78.259597778320313</v>
      </c>
      <c r="H24" s="14" t="s">
        <v>24</v>
      </c>
      <c r="I24" s="14" t="s">
        <v>25</v>
      </c>
      <c r="J24" s="14">
        <v>20.904977798461914</v>
      </c>
      <c r="K24" s="14">
        <f>J24-12.5536</f>
        <v>8.3513777984619146</v>
      </c>
      <c r="L24" s="14">
        <f t="shared" si="1"/>
        <v>3.0618561106674773E-3</v>
      </c>
      <c r="M24" s="14">
        <v>78.127815246582031</v>
      </c>
      <c r="N24" s="14" t="s">
        <v>24</v>
      </c>
      <c r="O24" s="14" t="s">
        <v>25</v>
      </c>
      <c r="P24" s="14">
        <v>19.141448974609375</v>
      </c>
      <c r="Q24" s="14">
        <f>P24-14.92589</f>
        <v>4.2155589746093742</v>
      </c>
      <c r="R24" s="14">
        <f t="shared" si="2"/>
        <v>5.3825776054285693E-2</v>
      </c>
      <c r="S24" s="14">
        <v>77.974014282226563</v>
      </c>
      <c r="T24" s="14" t="s">
        <v>24</v>
      </c>
      <c r="U24" s="13" t="s">
        <v>25</v>
      </c>
      <c r="AA24" s="15"/>
      <c r="AB24" s="14" t="s">
        <v>4</v>
      </c>
      <c r="AC24" s="14">
        <v>2.330891899789687</v>
      </c>
      <c r="AD24" s="14">
        <f t="shared" si="6"/>
        <v>1.4713502010818471</v>
      </c>
      <c r="AE24" s="14"/>
      <c r="AF24" s="14">
        <v>6.1101502468139607E-3</v>
      </c>
      <c r="AG24" s="14">
        <f t="shared" si="7"/>
        <v>1.9955671603195662</v>
      </c>
      <c r="AH24" s="14"/>
      <c r="AI24" s="14">
        <v>4.3101678118395631E-2</v>
      </c>
      <c r="AJ24" s="14">
        <f t="shared" si="8"/>
        <v>1.9668626291754978</v>
      </c>
      <c r="AK24" s="13"/>
    </row>
    <row r="25" spans="1:37" x14ac:dyDescent="0.2">
      <c r="A25" s="15" t="s">
        <v>38</v>
      </c>
      <c r="B25" s="14" t="s">
        <v>14</v>
      </c>
      <c r="C25" s="14" t="s">
        <v>37</v>
      </c>
      <c r="D25" s="14">
        <v>22.822738647460938</v>
      </c>
      <c r="E25" s="14">
        <f>D25-18.23446</f>
        <v>4.5882786474609389</v>
      </c>
      <c r="F25" s="14">
        <f t="shared" si="0"/>
        <v>4.1571002580997982E-2</v>
      </c>
      <c r="G25" s="14">
        <v>78.109794616699219</v>
      </c>
      <c r="H25" s="14" t="s">
        <v>24</v>
      </c>
      <c r="I25" s="14" t="s">
        <v>25</v>
      </c>
      <c r="J25" s="14">
        <v>20.937442779541016</v>
      </c>
      <c r="K25" s="14">
        <f>J25-12.5536</f>
        <v>8.3838427795410162</v>
      </c>
      <c r="L25" s="14">
        <f t="shared" si="1"/>
        <v>2.9937245888834352E-3</v>
      </c>
      <c r="M25" s="14">
        <v>77.974472045898438</v>
      </c>
      <c r="N25" s="14" t="s">
        <v>24</v>
      </c>
      <c r="O25" s="14" t="s">
        <v>25</v>
      </c>
      <c r="P25" s="14">
        <v>19.168390274047852</v>
      </c>
      <c r="Q25" s="14">
        <f>P25-14.92589</f>
        <v>4.2425002740478508</v>
      </c>
      <c r="R25" s="14">
        <f t="shared" si="2"/>
        <v>5.2829945285310147E-2</v>
      </c>
      <c r="S25" s="14">
        <v>77.821563720703125</v>
      </c>
      <c r="T25" s="14" t="s">
        <v>24</v>
      </c>
      <c r="U25" s="13" t="s">
        <v>25</v>
      </c>
      <c r="AA25" s="15"/>
      <c r="AB25" s="14" t="s">
        <v>4</v>
      </c>
      <c r="AC25" s="14">
        <v>2.3612179251503287</v>
      </c>
      <c r="AD25" s="14">
        <f t="shared" si="6"/>
        <v>1.4900104708555146</v>
      </c>
      <c r="AE25" s="14"/>
      <c r="AF25" s="14">
        <v>6.0624746737607971E-3</v>
      </c>
      <c r="AG25" s="14">
        <f t="shared" si="7"/>
        <v>2.0250573607714459</v>
      </c>
      <c r="AH25" s="14"/>
      <c r="AI25" s="14">
        <v>4.275960274919887E-2</v>
      </c>
      <c r="AJ25" s="14">
        <f t="shared" si="8"/>
        <v>1.9574072031398053</v>
      </c>
      <c r="AK25" s="13"/>
    </row>
    <row r="26" spans="1:37" x14ac:dyDescent="0.2">
      <c r="A26" s="15" t="s">
        <v>39</v>
      </c>
      <c r="B26" s="14" t="s">
        <v>27</v>
      </c>
      <c r="C26" s="14" t="s">
        <v>37</v>
      </c>
      <c r="D26" s="14">
        <v>24.922145843505859</v>
      </c>
      <c r="E26" s="14">
        <f>D26-20.65716</f>
        <v>4.2649858435058583</v>
      </c>
      <c r="F26" s="14">
        <f t="shared" si="0"/>
        <v>5.2012931295623066E-2</v>
      </c>
      <c r="G26" s="14">
        <v>78.109794616699219</v>
      </c>
      <c r="H26" s="14" t="s">
        <v>24</v>
      </c>
      <c r="I26" s="14" t="s">
        <v>25</v>
      </c>
      <c r="J26" s="14">
        <v>23.831029891967773</v>
      </c>
      <c r="K26" s="14">
        <f>J26-16.40373</f>
        <v>7.427299891967774</v>
      </c>
      <c r="L26" s="14">
        <f t="shared" si="1"/>
        <v>5.8097834585241577E-3</v>
      </c>
      <c r="M26" s="14">
        <v>77.974472045898438</v>
      </c>
      <c r="N26" s="14" t="s">
        <v>24</v>
      </c>
      <c r="O26" s="14" t="s">
        <v>25</v>
      </c>
      <c r="P26" s="14">
        <v>19.215639114379883</v>
      </c>
      <c r="Q26" s="14">
        <f>P26-15.32028</f>
        <v>3.8953591143798825</v>
      </c>
      <c r="R26" s="14">
        <f t="shared" si="2"/>
        <v>6.7201669541042272E-2</v>
      </c>
      <c r="S26" s="14">
        <v>77.821563720703125</v>
      </c>
      <c r="T26" s="14" t="s">
        <v>24</v>
      </c>
      <c r="U26" s="13" t="s">
        <v>25</v>
      </c>
      <c r="AA26" s="15"/>
      <c r="AB26" s="14" t="s">
        <v>4</v>
      </c>
      <c r="AC26" s="14">
        <v>4.1938681092683572</v>
      </c>
      <c r="AD26" s="14">
        <f t="shared" si="6"/>
        <v>0.93618254274965451</v>
      </c>
      <c r="AE26" s="14"/>
      <c r="AF26" s="14">
        <v>4.3826196580955171E-2</v>
      </c>
      <c r="AG26" s="14">
        <f t="shared" si="7"/>
        <v>0.82513733147539847</v>
      </c>
      <c r="AH26" s="14"/>
      <c r="AI26" s="14">
        <v>5.4340560951325362E-2</v>
      </c>
      <c r="AJ26" s="14">
        <f t="shared" si="8"/>
        <v>0.9055685529405012</v>
      </c>
      <c r="AK26" s="13"/>
    </row>
    <row r="27" spans="1:37" x14ac:dyDescent="0.2">
      <c r="A27" s="15" t="s">
        <v>40</v>
      </c>
      <c r="B27" s="14" t="s">
        <v>27</v>
      </c>
      <c r="C27" s="14" t="s">
        <v>37</v>
      </c>
      <c r="D27" s="14">
        <v>24.929161071777344</v>
      </c>
      <c r="E27" s="14">
        <f>D27-20.65716</f>
        <v>4.2720010717773427</v>
      </c>
      <c r="F27" s="14">
        <f t="shared" si="0"/>
        <v>5.17606278804532E-2</v>
      </c>
      <c r="G27" s="14">
        <v>78.109046936035156</v>
      </c>
      <c r="H27" s="14" t="s">
        <v>24</v>
      </c>
      <c r="I27" s="14" t="s">
        <v>25</v>
      </c>
      <c r="J27" s="14">
        <v>23.758308410644531</v>
      </c>
      <c r="K27" s="14">
        <f>J27-16.40373</f>
        <v>7.3545784106445318</v>
      </c>
      <c r="L27" s="14">
        <f t="shared" si="1"/>
        <v>6.1101418529545008E-3</v>
      </c>
      <c r="M27" s="14">
        <v>77.973556518554688</v>
      </c>
      <c r="N27" s="14" t="s">
        <v>24</v>
      </c>
      <c r="O27" s="14" t="s">
        <v>25</v>
      </c>
      <c r="P27" s="14">
        <v>19.188011169433594</v>
      </c>
      <c r="Q27" s="14">
        <f>P27-15.32028</f>
        <v>3.8677311694335934</v>
      </c>
      <c r="R27" s="14">
        <f t="shared" si="2"/>
        <v>6.8500998631600321E-2</v>
      </c>
      <c r="S27" s="14">
        <v>77.821006774902344</v>
      </c>
      <c r="T27" s="14" t="s">
        <v>24</v>
      </c>
      <c r="U27" s="13" t="s">
        <v>25</v>
      </c>
      <c r="AA27" s="15"/>
      <c r="AB27" s="14" t="s">
        <v>4</v>
      </c>
      <c r="AC27" s="14">
        <v>4.2538615878017669</v>
      </c>
      <c r="AD27" s="14">
        <f t="shared" si="6"/>
        <v>0.9257717597654006</v>
      </c>
      <c r="AE27" s="14"/>
      <c r="AF27" s="14">
        <v>4.4233961673934147E-2</v>
      </c>
      <c r="AG27" s="14">
        <f t="shared" si="7"/>
        <v>0.82179942605946621</v>
      </c>
      <c r="AH27" s="14"/>
      <c r="AI27" s="14">
        <v>5.3006013628185522E-2</v>
      </c>
      <c r="AJ27" s="14">
        <f t="shared" si="8"/>
        <v>0.88110216904554528</v>
      </c>
      <c r="AK27" s="13"/>
    </row>
    <row r="28" spans="1:37" x14ac:dyDescent="0.2">
      <c r="A28" s="15" t="s">
        <v>41</v>
      </c>
      <c r="B28" s="14" t="s">
        <v>27</v>
      </c>
      <c r="C28" s="14" t="s">
        <v>37</v>
      </c>
      <c r="D28" s="14">
        <v>24.899087905883789</v>
      </c>
      <c r="E28" s="14">
        <f>D28-20.65716</f>
        <v>4.241927905883788</v>
      </c>
      <c r="F28" s="14">
        <f t="shared" si="0"/>
        <v>5.2850908951923181E-2</v>
      </c>
      <c r="G28" s="14">
        <v>78.109046936035156</v>
      </c>
      <c r="H28" s="14" t="s">
        <v>24</v>
      </c>
      <c r="I28" s="14" t="s">
        <v>25</v>
      </c>
      <c r="J28" s="14">
        <v>23.769609451293945</v>
      </c>
      <c r="K28" s="14">
        <f>J28-16.40373</f>
        <v>7.3658794512939458</v>
      </c>
      <c r="L28" s="14">
        <f t="shared" si="1"/>
        <v>6.0624663453959721E-3</v>
      </c>
      <c r="M28" s="14">
        <v>77.973556518554688</v>
      </c>
      <c r="N28" s="14" t="s">
        <v>24</v>
      </c>
      <c r="O28" s="14" t="s">
        <v>25</v>
      </c>
      <c r="P28" s="14">
        <v>19.205389022827148</v>
      </c>
      <c r="Q28" s="14">
        <f>P28-15.32028</f>
        <v>3.8851090228271481</v>
      </c>
      <c r="R28" s="14">
        <f t="shared" si="2"/>
        <v>6.7680825588925339E-2</v>
      </c>
      <c r="S28" s="14">
        <v>77.821006774902344</v>
      </c>
      <c r="T28" s="14" t="s">
        <v>24</v>
      </c>
      <c r="U28" s="13" t="s">
        <v>25</v>
      </c>
      <c r="AA28" s="15"/>
      <c r="AB28" s="14" t="s">
        <v>4</v>
      </c>
      <c r="AC28" s="14">
        <v>4.0927049655632164</v>
      </c>
      <c r="AD28" s="14">
        <f t="shared" si="6"/>
        <v>0.88516120108435448</v>
      </c>
      <c r="AE28" s="14"/>
      <c r="AF28" s="14">
        <v>4.4410397524180717E-2</v>
      </c>
      <c r="AG28" s="14">
        <f t="shared" si="7"/>
        <v>0.84062982839488332</v>
      </c>
      <c r="AH28" s="14"/>
      <c r="AI28" s="14">
        <v>5.4050520505205063E-2</v>
      </c>
      <c r="AJ28" s="14">
        <f t="shared" si="8"/>
        <v>0.89349313309688116</v>
      </c>
      <c r="AK28" s="13"/>
    </row>
    <row r="29" spans="1:37" x14ac:dyDescent="0.2">
      <c r="A29" s="15" t="s">
        <v>42</v>
      </c>
      <c r="B29" s="14" t="s">
        <v>31</v>
      </c>
      <c r="C29" s="14" t="s">
        <v>37</v>
      </c>
      <c r="D29" s="14">
        <v>24.937261581420898</v>
      </c>
      <c r="E29" s="14">
        <f>D29-20.13277</f>
        <v>4.8044915814208977</v>
      </c>
      <c r="F29" s="14">
        <f t="shared" si="0"/>
        <v>3.5785238833669047E-2</v>
      </c>
      <c r="G29" s="14">
        <v>78.106773376464844</v>
      </c>
      <c r="H29" s="14" t="s">
        <v>24</v>
      </c>
      <c r="I29" s="14" t="s">
        <v>25</v>
      </c>
      <c r="J29" s="14">
        <v>21.459352493286133</v>
      </c>
      <c r="K29" s="14">
        <f>J29-15.50273</f>
        <v>5.9566224932861331</v>
      </c>
      <c r="L29" s="14">
        <f t="shared" si="1"/>
        <v>1.6101930829549135E-2</v>
      </c>
      <c r="M29" s="14">
        <v>77.972129821777344</v>
      </c>
      <c r="N29" s="14" t="s">
        <v>24</v>
      </c>
      <c r="O29" s="14" t="s">
        <v>25</v>
      </c>
      <c r="P29" s="14">
        <v>19.624347686767578</v>
      </c>
      <c r="Q29" s="14">
        <f>P29-15.61015</f>
        <v>4.0141976867675773</v>
      </c>
      <c r="R29" s="14">
        <f t="shared" si="2"/>
        <v>6.1887948655143847E-2</v>
      </c>
      <c r="S29" s="14">
        <v>77.819908142089844</v>
      </c>
      <c r="T29" s="14" t="s">
        <v>24</v>
      </c>
      <c r="U29" s="13" t="s">
        <v>25</v>
      </c>
      <c r="AA29" s="15"/>
      <c r="AB29" s="14" t="s">
        <v>118</v>
      </c>
      <c r="AC29" s="14">
        <v>8.9868223026436755</v>
      </c>
      <c r="AD29" s="14">
        <f t="shared" ref="AD29:AD37" si="9">AC29/AC11</f>
        <v>0.63868737543688114</v>
      </c>
      <c r="AE29" s="14">
        <f>AVERAGE(AD29:AD37)</f>
        <v>3.3737145014653782</v>
      </c>
      <c r="AF29" s="14">
        <v>3.5785126024928872E-2</v>
      </c>
      <c r="AG29" s="14">
        <f t="shared" ref="AG29:AG37" si="10">AF29/AF11</f>
        <v>0.83873910226044723</v>
      </c>
      <c r="AH29" s="14">
        <f>AVERAGE(AG29:AG37)</f>
        <v>2.4258521396850394</v>
      </c>
      <c r="AI29" s="14">
        <v>7.3114910486290402E-2</v>
      </c>
      <c r="AJ29" s="14">
        <f t="shared" ref="AJ29:AJ37" si="11">AI29/AI11</f>
        <v>0.87745066887259249</v>
      </c>
      <c r="AK29" s="13">
        <f>AVERAGE(AJ29:AJ37)</f>
        <v>2.2558997112761499</v>
      </c>
    </row>
    <row r="30" spans="1:37" x14ac:dyDescent="0.2">
      <c r="A30" s="15" t="s">
        <v>43</v>
      </c>
      <c r="B30" s="14" t="s">
        <v>31</v>
      </c>
      <c r="C30" s="14" t="s">
        <v>37</v>
      </c>
      <c r="D30" s="14">
        <v>24.898393630981445</v>
      </c>
      <c r="E30" s="14">
        <f>D30-20.13277</f>
        <v>4.7656236309814446</v>
      </c>
      <c r="F30" s="14">
        <f t="shared" si="0"/>
        <v>3.6762440874087449E-2</v>
      </c>
      <c r="G30" s="14">
        <v>78.106773376464844</v>
      </c>
      <c r="H30" s="14" t="s">
        <v>24</v>
      </c>
      <c r="I30" s="14" t="s">
        <v>25</v>
      </c>
      <c r="J30" s="14">
        <v>21.662956237792969</v>
      </c>
      <c r="K30" s="14">
        <f>J30-15.50273</f>
        <v>6.1602262377929691</v>
      </c>
      <c r="L30" s="14">
        <f t="shared" si="1"/>
        <v>1.398257386877692E-2</v>
      </c>
      <c r="M30" s="14">
        <v>77.972129821777344</v>
      </c>
      <c r="N30" s="14" t="s">
        <v>24</v>
      </c>
      <c r="O30" s="14" t="s">
        <v>25</v>
      </c>
      <c r="P30" s="14">
        <v>19.616540908813477</v>
      </c>
      <c r="Q30" s="14">
        <f>P30-15.61015</f>
        <v>4.0063909088134757</v>
      </c>
      <c r="R30" s="14">
        <f t="shared" si="2"/>
        <v>6.2223747302856187E-2</v>
      </c>
      <c r="S30" s="14">
        <v>77.819908142089844</v>
      </c>
      <c r="T30" s="14" t="s">
        <v>24</v>
      </c>
      <c r="U30" s="13" t="s">
        <v>25</v>
      </c>
      <c r="AA30" s="15"/>
      <c r="AB30" s="14" t="s">
        <v>118</v>
      </c>
      <c r="AC30" s="14">
        <v>9.7709222860532794</v>
      </c>
      <c r="AD30" s="14">
        <f t="shared" si="9"/>
        <v>0.70158249363611469</v>
      </c>
      <c r="AE30" s="14">
        <f>STDEV(AD29:AD37)</f>
        <v>3.1925449115550437</v>
      </c>
      <c r="AF30" s="14">
        <v>3.6762324984833235E-2</v>
      </c>
      <c r="AG30" s="14">
        <f t="shared" si="10"/>
        <v>0.87772332394505381</v>
      </c>
      <c r="AH30" s="14">
        <f>STDEV(AG29:AG37)</f>
        <v>2.0522481103368873</v>
      </c>
      <c r="AI30" s="14">
        <v>7.5293532873230415E-2</v>
      </c>
      <c r="AJ30" s="14">
        <f t="shared" si="11"/>
        <v>0.89475305051845133</v>
      </c>
      <c r="AK30" s="13">
        <f>STDEV(AJ29:AJ37)</f>
        <v>1.8261887216797721</v>
      </c>
    </row>
    <row r="31" spans="1:37" x14ac:dyDescent="0.2">
      <c r="A31" s="15" t="s">
        <v>44</v>
      </c>
      <c r="B31" s="14" t="s">
        <v>31</v>
      </c>
      <c r="C31" s="14" t="s">
        <v>37</v>
      </c>
      <c r="D31" s="14">
        <v>24.873903274536133</v>
      </c>
      <c r="E31" s="14">
        <f>D31-20.13277</f>
        <v>4.7411332745361321</v>
      </c>
      <c r="F31" s="14">
        <f t="shared" si="0"/>
        <v>3.7391825726837691E-2</v>
      </c>
      <c r="G31" s="14">
        <v>78.103042602539063</v>
      </c>
      <c r="H31" s="14" t="s">
        <v>24</v>
      </c>
      <c r="I31" s="14" t="s">
        <v>25</v>
      </c>
      <c r="J31" s="14">
        <v>21.442432403564453</v>
      </c>
      <c r="K31" s="14">
        <f>J31-15.50273</f>
        <v>5.9397024035644534</v>
      </c>
      <c r="L31" s="14">
        <f t="shared" si="1"/>
        <v>1.6291887826710042E-2</v>
      </c>
      <c r="M31" s="14">
        <v>78.120979309082031</v>
      </c>
      <c r="N31" s="14" t="s">
        <v>24</v>
      </c>
      <c r="O31" s="14" t="s">
        <v>25</v>
      </c>
      <c r="P31" s="14">
        <v>19.632431030273438</v>
      </c>
      <c r="Q31" s="14">
        <f>P31-15.61015</f>
        <v>4.0222810302734366</v>
      </c>
      <c r="R31" s="14">
        <f t="shared" si="2"/>
        <v>6.1542163386535571E-2</v>
      </c>
      <c r="S31" s="14">
        <v>77.968917846679688</v>
      </c>
      <c r="T31" s="14" t="s">
        <v>24</v>
      </c>
      <c r="U31" s="13" t="s">
        <v>25</v>
      </c>
      <c r="AA31" s="15"/>
      <c r="AB31" s="14" t="s">
        <v>118</v>
      </c>
      <c r="AC31" s="14">
        <v>9.6297393226168246</v>
      </c>
      <c r="AD31" s="14">
        <f t="shared" si="9"/>
        <v>0.64925657246891144</v>
      </c>
      <c r="AE31" s="14"/>
      <c r="AF31" s="14">
        <v>3.7391707853522027E-2</v>
      </c>
      <c r="AG31" s="14">
        <f t="shared" si="10"/>
        <v>0.89946638182004479</v>
      </c>
      <c r="AH31" s="14"/>
      <c r="AI31" s="14">
        <v>7.5686857867626078E-2</v>
      </c>
      <c r="AJ31" s="14">
        <f t="shared" si="11"/>
        <v>0.88015427145849057</v>
      </c>
      <c r="AK31" s="13"/>
    </row>
    <row r="32" spans="1:37" x14ac:dyDescent="0.2">
      <c r="A32" s="15" t="s">
        <v>45</v>
      </c>
      <c r="B32" s="14" t="s">
        <v>123</v>
      </c>
      <c r="C32" s="14" t="s">
        <v>37</v>
      </c>
      <c r="D32" s="14">
        <v>25.292625427246094</v>
      </c>
      <c r="E32" s="14">
        <f>D32-21.0068</f>
        <v>4.2858254272460954</v>
      </c>
      <c r="F32" s="14">
        <f t="shared" si="0"/>
        <v>5.1267010119158442E-2</v>
      </c>
      <c r="G32" s="14">
        <v>78.103042602539063</v>
      </c>
      <c r="H32" s="14" t="s">
        <v>24</v>
      </c>
      <c r="I32" s="14" t="s">
        <v>25</v>
      </c>
      <c r="J32" s="14">
        <v>20.794921875</v>
      </c>
      <c r="K32" s="14">
        <f>J32-14.50698</f>
        <v>6.2879418749999996</v>
      </c>
      <c r="L32" s="14">
        <f t="shared" si="1"/>
        <v>1.279796401314711E-2</v>
      </c>
      <c r="M32" s="14">
        <v>78.120979309082031</v>
      </c>
      <c r="N32" s="14" t="s">
        <v>24</v>
      </c>
      <c r="O32" s="14" t="s">
        <v>25</v>
      </c>
      <c r="P32" s="14">
        <v>18.878379821777344</v>
      </c>
      <c r="Q32" s="14">
        <f>P32-14.36632</f>
        <v>4.5120598217773438</v>
      </c>
      <c r="R32" s="14">
        <f t="shared" si="2"/>
        <v>4.3826284275034426E-2</v>
      </c>
      <c r="S32" s="14">
        <v>77.819854736328125</v>
      </c>
      <c r="T32" s="14" t="s">
        <v>24</v>
      </c>
      <c r="U32" s="13" t="s">
        <v>25</v>
      </c>
      <c r="AA32" s="15"/>
      <c r="AB32" s="14" t="s">
        <v>118</v>
      </c>
      <c r="AC32" s="14">
        <v>11.558636890046738</v>
      </c>
      <c r="AD32" s="14">
        <f t="shared" si="9"/>
        <v>7.3803045140080252</v>
      </c>
      <c r="AE32" s="14"/>
      <c r="AF32" s="14">
        <v>1.6101906570406353E-2</v>
      </c>
      <c r="AG32" s="14">
        <f t="shared" si="10"/>
        <v>5.3890708158821923</v>
      </c>
      <c r="AH32" s="14"/>
      <c r="AI32" s="14">
        <v>0.10019138163228714</v>
      </c>
      <c r="AJ32" s="14">
        <f t="shared" si="11"/>
        <v>4.5546125689224457</v>
      </c>
      <c r="AK32" s="13"/>
    </row>
    <row r="33" spans="1:37" x14ac:dyDescent="0.2">
      <c r="A33" s="15" t="s">
        <v>46</v>
      </c>
      <c r="B33" s="14" t="s">
        <v>123</v>
      </c>
      <c r="C33" s="14" t="s">
        <v>37</v>
      </c>
      <c r="D33" s="14">
        <v>25.222009658813477</v>
      </c>
      <c r="E33" s="14">
        <f>D33-21.0068</f>
        <v>4.2152096588134782</v>
      </c>
      <c r="F33" s="14">
        <f t="shared" si="0"/>
        <v>5.3838810319819803E-2</v>
      </c>
      <c r="G33" s="14">
        <v>78.106727600097656</v>
      </c>
      <c r="H33" s="14" t="s">
        <v>24</v>
      </c>
      <c r="I33" s="14" t="s">
        <v>25</v>
      </c>
      <c r="J33" s="14" t="s">
        <v>119</v>
      </c>
      <c r="K33" s="14"/>
      <c r="L33" s="14"/>
      <c r="M33" s="14">
        <v>73.80145263671875</v>
      </c>
      <c r="N33" s="14">
        <v>79.314231872558594</v>
      </c>
      <c r="O33" s="14" t="s">
        <v>25</v>
      </c>
      <c r="P33" s="14">
        <v>18.865018844604492</v>
      </c>
      <c r="Q33" s="14">
        <f>P33-14.36632</f>
        <v>4.4986988446044922</v>
      </c>
      <c r="R33" s="14">
        <f t="shared" si="2"/>
        <v>4.423405018393143E-2</v>
      </c>
      <c r="S33" s="14">
        <v>77.673080444335938</v>
      </c>
      <c r="T33" s="14" t="s">
        <v>24</v>
      </c>
      <c r="U33" s="13" t="s">
        <v>25</v>
      </c>
      <c r="AA33" s="15"/>
      <c r="AB33" s="14" t="s">
        <v>118</v>
      </c>
      <c r="AC33" s="14">
        <v>12.217057132761104</v>
      </c>
      <c r="AD33" s="14">
        <f t="shared" si="9"/>
        <v>7.7118846526251916</v>
      </c>
      <c r="AE33" s="14"/>
      <c r="AF33" s="14">
        <v>1.3982552802653888E-2</v>
      </c>
      <c r="AG33" s="14">
        <f t="shared" si="10"/>
        <v>4.5666836433293998</v>
      </c>
      <c r="AH33" s="14"/>
      <c r="AI33" s="14">
        <v>0.10327274698618377</v>
      </c>
      <c r="AJ33" s="14">
        <f t="shared" si="11"/>
        <v>4.7126542521491555</v>
      </c>
      <c r="AK33" s="13"/>
    </row>
    <row r="34" spans="1:37" x14ac:dyDescent="0.2">
      <c r="A34" s="15" t="s">
        <v>47</v>
      </c>
      <c r="B34" s="14" t="s">
        <v>123</v>
      </c>
      <c r="C34" s="14" t="s">
        <v>37</v>
      </c>
      <c r="D34" s="14">
        <v>25.197521209716797</v>
      </c>
      <c r="E34" s="14">
        <f>D34-21.0068</f>
        <v>4.1907212097167985</v>
      </c>
      <c r="F34" s="14">
        <f t="shared" si="0"/>
        <v>5.4760475731424285E-2</v>
      </c>
      <c r="G34" s="14">
        <v>78.106727600097656</v>
      </c>
      <c r="H34" s="14" t="s">
        <v>24</v>
      </c>
      <c r="I34" s="14" t="s">
        <v>25</v>
      </c>
      <c r="J34" s="14">
        <v>20.791515350341797</v>
      </c>
      <c r="K34" s="14">
        <f>J34-14.50698</f>
        <v>6.2845353503417964</v>
      </c>
      <c r="L34" s="14">
        <f t="shared" si="1"/>
        <v>1.2828218564460099E-2</v>
      </c>
      <c r="M34" s="14">
        <v>77.973281860351563</v>
      </c>
      <c r="N34" s="14" t="s">
        <v>24</v>
      </c>
      <c r="O34" s="14" t="s">
        <v>25</v>
      </c>
      <c r="P34" s="14">
        <v>18.859275817871094</v>
      </c>
      <c r="Q34" s="14">
        <f>P34-14.36632</f>
        <v>4.4929558178710938</v>
      </c>
      <c r="R34" s="14">
        <f t="shared" si="2"/>
        <v>4.4410486387217521E-2</v>
      </c>
      <c r="S34" s="14">
        <v>77.673080444335938</v>
      </c>
      <c r="T34" s="14" t="s">
        <v>24</v>
      </c>
      <c r="U34" s="13" t="s">
        <v>25</v>
      </c>
      <c r="AA34" s="15"/>
      <c r="AB34" s="14" t="s">
        <v>118</v>
      </c>
      <c r="AC34" s="14">
        <v>12.070253802114197</v>
      </c>
      <c r="AD34" s="14">
        <f t="shared" si="9"/>
        <v>7.6167491189483174</v>
      </c>
      <c r="AE34" s="14"/>
      <c r="AF34" s="14">
        <v>1.6291863281378358E-2</v>
      </c>
      <c r="AG34" s="14">
        <f t="shared" si="10"/>
        <v>5.4419951313662223</v>
      </c>
      <c r="AH34" s="14"/>
      <c r="AI34" s="14">
        <v>0.10443624262069036</v>
      </c>
      <c r="AJ34" s="14">
        <f t="shared" si="11"/>
        <v>4.7807799986735304</v>
      </c>
      <c r="AK34" s="13"/>
    </row>
    <row r="35" spans="1:37" x14ac:dyDescent="0.2">
      <c r="A35" s="15" t="s">
        <v>48</v>
      </c>
      <c r="B35" s="14" t="s">
        <v>14</v>
      </c>
      <c r="C35" s="14" t="s">
        <v>49</v>
      </c>
      <c r="D35" s="14">
        <v>21.819540023803711</v>
      </c>
      <c r="E35" s="14">
        <f>D35-18.23446</f>
        <v>3.5850800238037124</v>
      </c>
      <c r="F35" s="14">
        <f t="shared" si="0"/>
        <v>8.3326545210376315E-2</v>
      </c>
      <c r="G35" s="14">
        <v>77.066268920898438</v>
      </c>
      <c r="H35" s="14" t="s">
        <v>24</v>
      </c>
      <c r="I35" s="14" t="s">
        <v>25</v>
      </c>
      <c r="J35" s="14">
        <v>18.060100555419922</v>
      </c>
      <c r="K35" s="14">
        <f>J35-12.5536</f>
        <v>5.5065005554199224</v>
      </c>
      <c r="L35" s="14">
        <f t="shared" si="1"/>
        <v>2.1997744915005408E-2</v>
      </c>
      <c r="M35" s="14">
        <v>76.935539245605469</v>
      </c>
      <c r="N35" s="14" t="s">
        <v>24</v>
      </c>
      <c r="O35" s="14" t="s">
        <v>25</v>
      </c>
      <c r="P35" s="14">
        <v>18.984611511230469</v>
      </c>
      <c r="Q35" s="14">
        <f>P35-14.92589</f>
        <v>4.058721511230468</v>
      </c>
      <c r="R35" s="14">
        <f t="shared" si="2"/>
        <v>6.0007161101669051E-2</v>
      </c>
      <c r="S35" s="14">
        <v>76.781639099121094</v>
      </c>
      <c r="T35" s="14" t="s">
        <v>24</v>
      </c>
      <c r="U35" s="13" t="s">
        <v>25</v>
      </c>
      <c r="AA35" s="15"/>
      <c r="AB35" s="14" t="s">
        <v>118</v>
      </c>
      <c r="AC35" s="14">
        <v>8.3854942146868101</v>
      </c>
      <c r="AD35" s="14">
        <f t="shared" si="9"/>
        <v>1.8718646108037842</v>
      </c>
      <c r="AE35" s="14"/>
      <c r="AF35" s="14">
        <v>6.7201669541042272E-2</v>
      </c>
      <c r="AG35" s="14">
        <f t="shared" si="10"/>
        <v>1.265238843470242</v>
      </c>
      <c r="AH35" s="14"/>
      <c r="AI35" s="14">
        <v>7.2136195303226264E-2</v>
      </c>
      <c r="AJ35" s="14">
        <f t="shared" si="11"/>
        <v>1.2021272664794369</v>
      </c>
      <c r="AK35" s="13"/>
    </row>
    <row r="36" spans="1:37" x14ac:dyDescent="0.2">
      <c r="A36" s="15" t="s">
        <v>50</v>
      </c>
      <c r="B36" s="14" t="s">
        <v>14</v>
      </c>
      <c r="C36" s="14" t="s">
        <v>49</v>
      </c>
      <c r="D36" s="14">
        <v>21.805351257324219</v>
      </c>
      <c r="E36" s="14">
        <f>D36-18.23446</f>
        <v>3.5708912573242202</v>
      </c>
      <c r="F36" s="14">
        <f t="shared" si="0"/>
        <v>8.4150096877312466E-2</v>
      </c>
      <c r="G36" s="14">
        <v>77.066268920898438</v>
      </c>
      <c r="H36" s="14" t="s">
        <v>24</v>
      </c>
      <c r="I36" s="14" t="s">
        <v>25</v>
      </c>
      <c r="J36" s="14">
        <v>18.065610885620117</v>
      </c>
      <c r="K36" s="14">
        <f>J36-12.5536</f>
        <v>5.5120108856201178</v>
      </c>
      <c r="L36" s="14">
        <f t="shared" si="1"/>
        <v>2.191388544301541E-2</v>
      </c>
      <c r="M36" s="14">
        <v>76.935539245605469</v>
      </c>
      <c r="N36" s="14" t="s">
        <v>24</v>
      </c>
      <c r="O36" s="14" t="s">
        <v>25</v>
      </c>
      <c r="P36" s="14">
        <v>18.98097038269043</v>
      </c>
      <c r="Q36" s="14">
        <f>P36-14.92589</f>
        <v>4.0550803826904289</v>
      </c>
      <c r="R36" s="14">
        <f t="shared" si="2"/>
        <v>6.0158800730459504E-2</v>
      </c>
      <c r="S36" s="14">
        <v>76.781639099121094</v>
      </c>
      <c r="T36" s="14" t="s">
        <v>24</v>
      </c>
      <c r="U36" s="13" t="s">
        <v>25</v>
      </c>
      <c r="AA36" s="15"/>
      <c r="AB36" s="14" t="s">
        <v>118</v>
      </c>
      <c r="AC36" s="14">
        <v>8.7211380665555573</v>
      </c>
      <c r="AD36" s="14">
        <f t="shared" si="9"/>
        <v>1.8979891960246842</v>
      </c>
      <c r="AE36" s="14"/>
      <c r="AF36" s="14">
        <v>6.8500998631600321E-2</v>
      </c>
      <c r="AG36" s="14">
        <f t="shared" si="10"/>
        <v>1.2726438968979343</v>
      </c>
      <c r="AH36" s="14"/>
      <c r="AI36" s="14">
        <v>7.1390096052840246E-2</v>
      </c>
      <c r="AJ36" s="14">
        <f t="shared" si="11"/>
        <v>1.1866949460066498</v>
      </c>
      <c r="AK36" s="13"/>
    </row>
    <row r="37" spans="1:37" x14ac:dyDescent="0.2">
      <c r="A37" s="15" t="s">
        <v>51</v>
      </c>
      <c r="B37" s="14" t="s">
        <v>14</v>
      </c>
      <c r="C37" s="14" t="s">
        <v>49</v>
      </c>
      <c r="D37" s="14">
        <v>21.774101257324219</v>
      </c>
      <c r="E37" s="14">
        <f>D37-18.23446</f>
        <v>3.5396412573242202</v>
      </c>
      <c r="F37" s="14">
        <f t="shared" si="0"/>
        <v>8.5992744057893311E-2</v>
      </c>
      <c r="G37" s="14">
        <v>77.0657958984375</v>
      </c>
      <c r="H37" s="14" t="s">
        <v>24</v>
      </c>
      <c r="I37" s="14" t="s">
        <v>25</v>
      </c>
      <c r="J37" s="14">
        <v>18.070154190063477</v>
      </c>
      <c r="K37" s="14">
        <f>J37-12.5536</f>
        <v>5.5165541900634771</v>
      </c>
      <c r="L37" s="14">
        <f t="shared" si="1"/>
        <v>2.1844983252102157E-2</v>
      </c>
      <c r="M37" s="14">
        <v>76.9312744140625</v>
      </c>
      <c r="N37" s="14" t="s">
        <v>24</v>
      </c>
      <c r="O37" s="14" t="s">
        <v>25</v>
      </c>
      <c r="P37" s="14">
        <v>18.972965240478516</v>
      </c>
      <c r="Q37" s="14">
        <f>P37-14.92589</f>
        <v>4.0470752404785149</v>
      </c>
      <c r="R37" s="14">
        <f t="shared" si="2"/>
        <v>6.0493534195902504E-2</v>
      </c>
      <c r="S37" s="14">
        <v>76.62896728515625</v>
      </c>
      <c r="T37" s="14" t="s">
        <v>24</v>
      </c>
      <c r="U37" s="13" t="s">
        <v>25</v>
      </c>
      <c r="AA37" s="15"/>
      <c r="AB37" s="14" t="s">
        <v>118</v>
      </c>
      <c r="AC37" s="14">
        <v>8.7623974008553418</v>
      </c>
      <c r="AD37" s="14">
        <f t="shared" si="9"/>
        <v>1.8951119792364954</v>
      </c>
      <c r="AE37" s="14"/>
      <c r="AF37" s="14">
        <v>6.7680825588925339E-2</v>
      </c>
      <c r="AG37" s="14">
        <f t="shared" si="10"/>
        <v>1.2811081181938131</v>
      </c>
      <c r="AH37" s="14"/>
      <c r="AI37" s="14">
        <v>7.343125912026964E-2</v>
      </c>
      <c r="AJ37" s="14">
        <f t="shared" si="11"/>
        <v>1.2138703784045961</v>
      </c>
      <c r="AK37" s="13"/>
    </row>
    <row r="38" spans="1:37" x14ac:dyDescent="0.2">
      <c r="A38" s="15" t="s">
        <v>52</v>
      </c>
      <c r="B38" s="14" t="s">
        <v>27</v>
      </c>
      <c r="C38" s="14" t="s">
        <v>49</v>
      </c>
      <c r="D38" s="14">
        <v>23.769985198974609</v>
      </c>
      <c r="E38" s="14">
        <f>D38-20.65716</f>
        <v>3.1128251989746083</v>
      </c>
      <c r="F38" s="14">
        <f t="shared" si="0"/>
        <v>0.11559691496601116</v>
      </c>
      <c r="G38" s="14">
        <v>76.916656494140625</v>
      </c>
      <c r="H38" s="14" t="s">
        <v>24</v>
      </c>
      <c r="I38" s="14" t="s">
        <v>25</v>
      </c>
      <c r="J38" s="14">
        <v>20.967151641845703</v>
      </c>
      <c r="K38" s="14">
        <f>J38-16.40373</f>
        <v>4.5634216418457036</v>
      </c>
      <c r="L38" s="14">
        <f t="shared" si="1"/>
        <v>4.2293458733765291E-2</v>
      </c>
      <c r="M38" s="14">
        <v>76.9312744140625</v>
      </c>
      <c r="N38" s="14" t="s">
        <v>24</v>
      </c>
      <c r="O38" s="14" t="s">
        <v>25</v>
      </c>
      <c r="P38" s="14">
        <v>19.113412857055664</v>
      </c>
      <c r="Q38" s="14">
        <f>P38-15.32028</f>
        <v>3.7931328570556637</v>
      </c>
      <c r="R38" s="14">
        <f t="shared" si="2"/>
        <v>7.2136195303226264E-2</v>
      </c>
      <c r="S38" s="14">
        <v>76.62896728515625</v>
      </c>
      <c r="T38" s="14" t="s">
        <v>24</v>
      </c>
      <c r="U38" s="13" t="s">
        <v>25</v>
      </c>
      <c r="AA38" s="15"/>
      <c r="AB38" s="14" t="s">
        <v>16</v>
      </c>
      <c r="AC38" s="14">
        <v>17.17239064373549</v>
      </c>
      <c r="AD38" s="14">
        <f t="shared" ref="AD38:AD46" si="12">AC38/AC11</f>
        <v>1.220430174411911</v>
      </c>
      <c r="AE38" s="14">
        <f>AVERAGE(AD38:AD46)</f>
        <v>2.6897824866027751</v>
      </c>
      <c r="AF38" s="14">
        <v>5.1267157533625846E-2</v>
      </c>
      <c r="AG38" s="14">
        <f>AF38/AF11</f>
        <v>1.2016101230227185</v>
      </c>
      <c r="AH38" s="14">
        <f>AVERAGE(AG38:AG46)</f>
        <v>1.9823483603212024</v>
      </c>
      <c r="AI38" s="14">
        <v>9.6051241341428895E-2</v>
      </c>
      <c r="AJ38" s="14">
        <f t="shared" ref="AJ38:AJ46" si="13">AI38/AI11</f>
        <v>1.1527091451049889</v>
      </c>
      <c r="AK38" s="13">
        <f>AVERAGE(AJ38:AJ46)</f>
        <v>1.8542248077737906</v>
      </c>
    </row>
    <row r="39" spans="1:37" x14ac:dyDescent="0.2">
      <c r="A39" s="15" t="s">
        <v>53</v>
      </c>
      <c r="B39" s="14" t="s">
        <v>27</v>
      </c>
      <c r="C39" s="14" t="s">
        <v>49</v>
      </c>
      <c r="D39" s="14">
        <v>23.740642547607422</v>
      </c>
      <c r="E39" s="14">
        <f>D39-20.65716</f>
        <v>3.0834825476074208</v>
      </c>
      <c r="F39" s="14">
        <f t="shared" si="0"/>
        <v>0.11797208690168366</v>
      </c>
      <c r="G39" s="14">
        <v>77.065055847167969</v>
      </c>
      <c r="H39" s="14" t="s">
        <v>24</v>
      </c>
      <c r="I39" s="14" t="s">
        <v>25</v>
      </c>
      <c r="J39" s="14">
        <v>20.939844131469727</v>
      </c>
      <c r="K39" s="14">
        <f>J39-16.40373</f>
        <v>4.5361141314697271</v>
      </c>
      <c r="L39" s="14">
        <f t="shared" si="1"/>
        <v>4.3101618907179215E-2</v>
      </c>
      <c r="M39" s="14">
        <v>76.930389404296875</v>
      </c>
      <c r="N39" s="14" t="s">
        <v>24</v>
      </c>
      <c r="O39" s="14" t="s">
        <v>25</v>
      </c>
      <c r="P39" s="14">
        <v>19.128412246704102</v>
      </c>
      <c r="Q39" s="14">
        <f>P39-15.32028</f>
        <v>3.8081322467041012</v>
      </c>
      <c r="R39" s="14">
        <f t="shared" si="2"/>
        <v>7.1390096052840246E-2</v>
      </c>
      <c r="S39" s="14">
        <v>76.777519226074219</v>
      </c>
      <c r="T39" s="14" t="s">
        <v>24</v>
      </c>
      <c r="U39" s="13" t="s">
        <v>25</v>
      </c>
      <c r="AA39" s="15"/>
      <c r="AB39" s="14" t="s">
        <v>16</v>
      </c>
      <c r="AC39" s="14">
        <v>17.470567637979215</v>
      </c>
      <c r="AD39" s="14">
        <f t="shared" si="12"/>
        <v>1.2544408859117833</v>
      </c>
      <c r="AE39" s="14">
        <f>STDEV(AD38:AD46)</f>
        <v>1.9569171622286912</v>
      </c>
      <c r="AF39" s="14">
        <v>5.3838965129307054E-2</v>
      </c>
      <c r="AG39" s="14">
        <f>AF39/AF12</f>
        <v>1.2854387052655993</v>
      </c>
      <c r="AH39" s="14">
        <f>STDEV(AG38:AG46)</f>
        <v>1.421921693005239</v>
      </c>
      <c r="AI39" s="14">
        <v>9.1544310747371682E-2</v>
      </c>
      <c r="AJ39" s="14">
        <f t="shared" si="13"/>
        <v>1.0878696771571159</v>
      </c>
      <c r="AK39" s="13">
        <f>STDEV(AJ38:AJ46)</f>
        <v>1.2185926768838049</v>
      </c>
    </row>
    <row r="40" spans="1:37" x14ac:dyDescent="0.2">
      <c r="A40" s="15" t="s">
        <v>54</v>
      </c>
      <c r="B40" s="14" t="s">
        <v>27</v>
      </c>
      <c r="C40" s="14" t="s">
        <v>49</v>
      </c>
      <c r="D40" s="14">
        <v>23.731950759887695</v>
      </c>
      <c r="E40" s="14">
        <f>D40-20.65716</f>
        <v>3.0747907598876942</v>
      </c>
      <c r="F40" s="14">
        <f t="shared" si="0"/>
        <v>0.11868497725061505</v>
      </c>
      <c r="G40" s="14">
        <v>77.065055847167969</v>
      </c>
      <c r="H40" s="14" t="s">
        <v>24</v>
      </c>
      <c r="I40" s="14" t="s">
        <v>25</v>
      </c>
      <c r="J40" s="14">
        <v>20.951339721679688</v>
      </c>
      <c r="K40" s="14">
        <f>J40-16.40373</f>
        <v>4.547609721679688</v>
      </c>
      <c r="L40" s="14">
        <f t="shared" si="1"/>
        <v>4.2759544007910745E-2</v>
      </c>
      <c r="M40" s="14">
        <v>76.930389404296875</v>
      </c>
      <c r="N40" s="14" t="s">
        <v>24</v>
      </c>
      <c r="O40" s="14" t="s">
        <v>25</v>
      </c>
      <c r="P40" s="14">
        <v>19.087741851806641</v>
      </c>
      <c r="Q40" s="14">
        <f>P40-15.32028</f>
        <v>3.7674618518066403</v>
      </c>
      <c r="R40" s="14">
        <f t="shared" si="2"/>
        <v>7.343125912026964E-2</v>
      </c>
      <c r="S40" s="14">
        <v>76.777519226074219</v>
      </c>
      <c r="T40" s="14" t="s">
        <v>24</v>
      </c>
      <c r="U40" s="13" t="s">
        <v>25</v>
      </c>
      <c r="AA40" s="15"/>
      <c r="AB40" s="14" t="s">
        <v>16</v>
      </c>
      <c r="AC40" s="14">
        <v>16.637982091651455</v>
      </c>
      <c r="AD40" s="14">
        <f t="shared" si="12"/>
        <v>1.1217665259384495</v>
      </c>
      <c r="AE40" s="14"/>
      <c r="AF40" s="14">
        <v>5.4760633191091743E-2</v>
      </c>
      <c r="AG40" s="14">
        <f>AF40/AF13</f>
        <v>1.3172799914761435</v>
      </c>
      <c r="AH40" s="14"/>
      <c r="AI40" s="14">
        <v>9.6705409069859763E-2</v>
      </c>
      <c r="AJ40" s="14">
        <f t="shared" si="13"/>
        <v>1.1245767265810183</v>
      </c>
      <c r="AK40" s="13"/>
    </row>
    <row r="41" spans="1:37" x14ac:dyDescent="0.2">
      <c r="A41" s="15" t="s">
        <v>55</v>
      </c>
      <c r="B41" s="14" t="s">
        <v>31</v>
      </c>
      <c r="C41" s="14" t="s">
        <v>49</v>
      </c>
      <c r="D41" s="14">
        <v>23.906455993652344</v>
      </c>
      <c r="E41" s="14">
        <f>D41-20.13277</f>
        <v>3.773685993652343</v>
      </c>
      <c r="F41" s="14">
        <f t="shared" si="0"/>
        <v>7.3115140973139439E-2</v>
      </c>
      <c r="G41" s="14">
        <v>77.062728881835938</v>
      </c>
      <c r="H41" s="14" t="s">
        <v>24</v>
      </c>
      <c r="I41" s="14" t="s">
        <v>25</v>
      </c>
      <c r="J41" s="14">
        <v>18.821897506713867</v>
      </c>
      <c r="K41" s="14">
        <f>J41-15.50273</f>
        <v>3.3191675067138675</v>
      </c>
      <c r="L41" s="14">
        <f t="shared" si="1"/>
        <v>0.10019153258068705</v>
      </c>
      <c r="M41" s="14">
        <v>76.928909301757813</v>
      </c>
      <c r="N41" s="14" t="s">
        <v>24</v>
      </c>
      <c r="O41" s="14" t="s">
        <v>25</v>
      </c>
      <c r="P41" s="14">
        <v>19.762046813964844</v>
      </c>
      <c r="Q41" s="14">
        <f>P41-15.61015</f>
        <v>4.1518968139648429</v>
      </c>
      <c r="R41" s="14">
        <f t="shared" si="2"/>
        <v>5.625414393950031E-2</v>
      </c>
      <c r="S41" s="14">
        <v>76.776397705078125</v>
      </c>
      <c r="T41" s="14" t="s">
        <v>24</v>
      </c>
      <c r="U41" s="13" t="s">
        <v>25</v>
      </c>
      <c r="AA41" s="15"/>
      <c r="AB41" s="14" t="s">
        <v>16</v>
      </c>
      <c r="AC41" s="14">
        <v>8.379715170092993</v>
      </c>
      <c r="AD41" s="14">
        <f t="shared" si="12"/>
        <v>5.3505314064493259</v>
      </c>
      <c r="AE41" s="14"/>
      <c r="AF41" s="14">
        <v>1.2797980421348318E-2</v>
      </c>
      <c r="AG41" s="14">
        <f>AF41/AF14</f>
        <v>4.2832954277401063</v>
      </c>
      <c r="AH41" s="14"/>
      <c r="AI41" s="14">
        <v>7.7264279429416091E-2</v>
      </c>
      <c r="AJ41" s="14">
        <f t="shared" si="13"/>
        <v>3.5123665577294552</v>
      </c>
      <c r="AK41" s="13"/>
    </row>
    <row r="42" spans="1:37" x14ac:dyDescent="0.2">
      <c r="A42" s="15" t="s">
        <v>56</v>
      </c>
      <c r="B42" s="14" t="s">
        <v>31</v>
      </c>
      <c r="C42" s="14" t="s">
        <v>49</v>
      </c>
      <c r="D42" s="14">
        <v>23.864095687866211</v>
      </c>
      <c r="E42" s="14">
        <f>D42-20.13277</f>
        <v>3.7313256878662102</v>
      </c>
      <c r="F42" s="14">
        <f t="shared" si="0"/>
        <v>7.5293770227950946E-2</v>
      </c>
      <c r="G42" s="14">
        <v>77.062728881835938</v>
      </c>
      <c r="H42" s="14" t="s">
        <v>24</v>
      </c>
      <c r="I42" s="14" t="s">
        <v>25</v>
      </c>
      <c r="J42" s="14">
        <v>18.778196334838867</v>
      </c>
      <c r="K42" s="14">
        <f>J42-15.50273</f>
        <v>3.2754663348388675</v>
      </c>
      <c r="L42" s="14">
        <f t="shared" si="1"/>
        <v>0.10327290257697072</v>
      </c>
      <c r="M42" s="14">
        <v>76.928909301757813</v>
      </c>
      <c r="N42" s="14" t="s">
        <v>24</v>
      </c>
      <c r="O42" s="14" t="s">
        <v>25</v>
      </c>
      <c r="P42" s="14">
        <v>19.704849243164063</v>
      </c>
      <c r="Q42" s="14">
        <f>P42-15.61015</f>
        <v>4.0946992431640616</v>
      </c>
      <c r="R42" s="14">
        <f t="shared" si="2"/>
        <v>5.8529215705531372E-2</v>
      </c>
      <c r="S42" s="14">
        <v>76.776397705078125</v>
      </c>
      <c r="T42" s="14" t="s">
        <v>24</v>
      </c>
      <c r="U42" s="13" t="s">
        <v>25</v>
      </c>
      <c r="AA42" s="15"/>
      <c r="AB42" s="14" t="s">
        <v>16</v>
      </c>
      <c r="AC42" s="14">
        <v>8.4273606777623069</v>
      </c>
      <c r="AD42" s="14">
        <f t="shared" si="12"/>
        <v>5.319679916916618</v>
      </c>
      <c r="AE42" s="14"/>
      <c r="AF42" s="14"/>
      <c r="AG42" s="14"/>
      <c r="AH42" s="14"/>
      <c r="AI42" s="14">
        <v>7.6831769680478321E-2</v>
      </c>
      <c r="AJ42" s="14">
        <f t="shared" si="13"/>
        <v>3.506070833317636</v>
      </c>
      <c r="AK42" s="13"/>
    </row>
    <row r="43" spans="1:37" x14ac:dyDescent="0.2">
      <c r="A43" s="15" t="s">
        <v>57</v>
      </c>
      <c r="B43" s="14" t="s">
        <v>31</v>
      </c>
      <c r="C43" s="14" t="s">
        <v>49</v>
      </c>
      <c r="D43" s="14">
        <v>23.856578826904297</v>
      </c>
      <c r="E43" s="14">
        <f>D43-20.13277</f>
        <v>3.7238088269042962</v>
      </c>
      <c r="F43" s="14">
        <f t="shared" si="0"/>
        <v>7.5687096462261128E-2</v>
      </c>
      <c r="G43" s="14">
        <v>77.058853149414063</v>
      </c>
      <c r="H43" s="14" t="s">
        <v>24</v>
      </c>
      <c r="I43" s="14" t="s">
        <v>25</v>
      </c>
      <c r="J43" s="14">
        <v>18.762033462524414</v>
      </c>
      <c r="K43" s="14">
        <f>J43-15.50273</f>
        <v>3.2593034625244144</v>
      </c>
      <c r="L43" s="14">
        <f t="shared" si="1"/>
        <v>0.10443639996440057</v>
      </c>
      <c r="M43" s="14">
        <v>76.928787231445313</v>
      </c>
      <c r="N43" s="14" t="s">
        <v>24</v>
      </c>
      <c r="O43" s="14" t="s">
        <v>25</v>
      </c>
      <c r="P43" s="14">
        <v>19.678930282592773</v>
      </c>
      <c r="Q43" s="14">
        <f>P43-15.61015</f>
        <v>4.0687802825927726</v>
      </c>
      <c r="R43" s="14">
        <f t="shared" si="2"/>
        <v>5.9590233773588124E-2</v>
      </c>
      <c r="S43" s="14">
        <v>76.776382446289063</v>
      </c>
      <c r="T43" s="14" t="s">
        <v>24</v>
      </c>
      <c r="U43" s="13" t="s">
        <v>25</v>
      </c>
      <c r="AA43" s="15"/>
      <c r="AB43" s="14" t="s">
        <v>16</v>
      </c>
      <c r="AC43" s="14">
        <v>8.2329828140688033</v>
      </c>
      <c r="AD43" s="14">
        <f t="shared" si="12"/>
        <v>5.1952979302217583</v>
      </c>
      <c r="AE43" s="14"/>
      <c r="AF43" s="14">
        <v>1.2828235011450516E-2</v>
      </c>
      <c r="AG43" s="14">
        <f>AF43/AF16</f>
        <v>4.2850342695994632</v>
      </c>
      <c r="AH43" s="14"/>
      <c r="AI43" s="14">
        <v>7.4469491263465692E-2</v>
      </c>
      <c r="AJ43" s="14">
        <f t="shared" si="13"/>
        <v>3.408991413419892</v>
      </c>
      <c r="AK43" s="13"/>
    </row>
    <row r="44" spans="1:37" x14ac:dyDescent="0.2">
      <c r="A44" s="15" t="s">
        <v>58</v>
      </c>
      <c r="B44" s="14" t="s">
        <v>123</v>
      </c>
      <c r="C44" s="14" t="s">
        <v>49</v>
      </c>
      <c r="D44" s="14">
        <v>24.386856079101563</v>
      </c>
      <c r="E44" s="14">
        <f>D44-21.0068</f>
        <v>3.3800560791015641</v>
      </c>
      <c r="F44" s="14">
        <f t="shared" si="0"/>
        <v>9.6050965154035897E-2</v>
      </c>
      <c r="G44" s="14">
        <v>76.909683227539063</v>
      </c>
      <c r="H44" s="14" t="s">
        <v>24</v>
      </c>
      <c r="I44" s="14" t="s">
        <v>25</v>
      </c>
      <c r="J44" s="14">
        <v>18.20103645324707</v>
      </c>
      <c r="K44" s="14">
        <f>J44-14.50698</f>
        <v>3.6940564532470699</v>
      </c>
      <c r="L44" s="14">
        <f t="shared" si="1"/>
        <v>7.726418036942366E-2</v>
      </c>
      <c r="M44" s="14">
        <v>76.928787231445313</v>
      </c>
      <c r="N44" s="14" t="s">
        <v>24</v>
      </c>
      <c r="O44" s="14" t="s">
        <v>25</v>
      </c>
      <c r="P44" s="14">
        <v>18.568143844604492</v>
      </c>
      <c r="Q44" s="14">
        <f>P44-14.36632</f>
        <v>4.2018238446044922</v>
      </c>
      <c r="R44" s="14">
        <f t="shared" si="2"/>
        <v>5.4340669684134278E-2</v>
      </c>
      <c r="S44" s="14">
        <v>76.627311706542969</v>
      </c>
      <c r="T44" s="14" t="s">
        <v>24</v>
      </c>
      <c r="U44" s="13" t="s">
        <v>25</v>
      </c>
      <c r="AA44" s="15"/>
      <c r="AB44" s="14" t="s">
        <v>16</v>
      </c>
      <c r="AC44" s="14">
        <v>6.9328799869959337</v>
      </c>
      <c r="AD44" s="14">
        <f t="shared" si="12"/>
        <v>1.5476026059237082</v>
      </c>
      <c r="AE44" s="14"/>
      <c r="AF44" s="14">
        <v>6.1887948655143847E-2</v>
      </c>
      <c r="AG44" s="14">
        <f>AF44/AF17</f>
        <v>1.1651948101283061</v>
      </c>
      <c r="AH44" s="14"/>
      <c r="AI44" s="14">
        <v>5.625414393950031E-2</v>
      </c>
      <c r="AJ44" s="14">
        <f t="shared" si="13"/>
        <v>0.93745781847615406</v>
      </c>
      <c r="AK44" s="13"/>
    </row>
    <row r="45" spans="1:37" x14ac:dyDescent="0.2">
      <c r="A45" s="15" t="s">
        <v>59</v>
      </c>
      <c r="B45" s="14" t="s">
        <v>123</v>
      </c>
      <c r="C45" s="14" t="s">
        <v>49</v>
      </c>
      <c r="D45" s="14">
        <v>24.45619010925293</v>
      </c>
      <c r="E45" s="14">
        <f>D45-21.0068</f>
        <v>3.4493901092529313</v>
      </c>
      <c r="F45" s="14">
        <f t="shared" si="0"/>
        <v>9.1544047519284508E-2</v>
      </c>
      <c r="G45" s="14">
        <v>76.913291931152344</v>
      </c>
      <c r="H45" s="14" t="s">
        <v>24</v>
      </c>
      <c r="I45" s="14" t="s">
        <v>25</v>
      </c>
      <c r="J45" s="14">
        <v>18.209135055541992</v>
      </c>
      <c r="K45" s="14">
        <f>J45-14.50698</f>
        <v>3.7021550555419918</v>
      </c>
      <c r="L45" s="14">
        <f t="shared" si="1"/>
        <v>7.6831671175003627E-2</v>
      </c>
      <c r="M45" s="14">
        <v>76.930328369140625</v>
      </c>
      <c r="N45" s="14" t="s">
        <v>24</v>
      </c>
      <c r="O45" s="14" t="s">
        <v>25</v>
      </c>
      <c r="P45" s="14">
        <v>18.60401725769043</v>
      </c>
      <c r="Q45" s="14">
        <f>P45-14.36632</f>
        <v>4.2376972576904297</v>
      </c>
      <c r="R45" s="14">
        <f t="shared" si="2"/>
        <v>5.3006119690630411E-2</v>
      </c>
      <c r="S45" s="14">
        <v>76.629608154296875</v>
      </c>
      <c r="T45" s="14" t="s">
        <v>24</v>
      </c>
      <c r="U45" s="13" t="s">
        <v>25</v>
      </c>
      <c r="AA45" s="15"/>
      <c r="AB45" s="14" t="s">
        <v>16</v>
      </c>
      <c r="AC45" s="14">
        <v>7.461497601468503</v>
      </c>
      <c r="AD45" s="14">
        <f t="shared" si="12"/>
        <v>1.6238524978821463</v>
      </c>
      <c r="AE45" s="14"/>
      <c r="AF45" s="14">
        <v>6.2223747302856187E-2</v>
      </c>
      <c r="AG45" s="14">
        <f>AF45/AF18</f>
        <v>1.1560221577641141</v>
      </c>
      <c r="AH45" s="14"/>
      <c r="AI45" s="14">
        <v>5.8529215705531372E-2</v>
      </c>
      <c r="AJ45" s="14">
        <f t="shared" si="13"/>
        <v>0.97291260709438132</v>
      </c>
      <c r="AK45" s="13"/>
    </row>
    <row r="46" spans="1:37" ht="13.5" thickBot="1" x14ac:dyDescent="0.25">
      <c r="A46" s="15" t="s">
        <v>60</v>
      </c>
      <c r="B46" s="14" t="s">
        <v>123</v>
      </c>
      <c r="C46" s="14" t="s">
        <v>49</v>
      </c>
      <c r="D46" s="14">
        <v>24.377063751220703</v>
      </c>
      <c r="E46" s="14">
        <f>D46-21.0068</f>
        <v>3.3702637512207048</v>
      </c>
      <c r="F46" s="14">
        <f t="shared" si="0"/>
        <v>9.6705131001461608E-2</v>
      </c>
      <c r="G46" s="14">
        <v>76.913291931152344</v>
      </c>
      <c r="H46" s="14" t="s">
        <v>24</v>
      </c>
      <c r="I46" s="14" t="s">
        <v>25</v>
      </c>
      <c r="J46" s="14">
        <v>18.254188537597656</v>
      </c>
      <c r="K46" s="14">
        <f>J46-14.50698</f>
        <v>3.7472085375976558</v>
      </c>
      <c r="L46" s="14">
        <f t="shared" si="1"/>
        <v>7.446939578665164E-2</v>
      </c>
      <c r="M46" s="14">
        <v>76.930328369140625</v>
      </c>
      <c r="N46" s="14" t="s">
        <v>24</v>
      </c>
      <c r="O46" s="14" t="s">
        <v>25</v>
      </c>
      <c r="P46" s="14">
        <v>18.575864791870117</v>
      </c>
      <c r="Q46" s="14">
        <f>P46-14.36632</f>
        <v>4.2095447918701172</v>
      </c>
      <c r="R46" s="14">
        <f t="shared" si="2"/>
        <v>5.405062865765721E-2</v>
      </c>
      <c r="S46" s="14">
        <v>76.629608154296875</v>
      </c>
      <c r="T46" s="14" t="s">
        <v>24</v>
      </c>
      <c r="U46" s="13" t="s">
        <v>25</v>
      </c>
      <c r="AA46" s="12"/>
      <c r="AB46" s="11" t="s">
        <v>16</v>
      </c>
      <c r="AC46" s="11">
        <v>7.2797137759343986</v>
      </c>
      <c r="AD46" s="11">
        <f t="shared" si="12"/>
        <v>1.5744404357692721</v>
      </c>
      <c r="AE46" s="11"/>
      <c r="AF46" s="11">
        <v>6.1542163386535571E-2</v>
      </c>
      <c r="AG46" s="11">
        <f>AF46/AF19</f>
        <v>1.1649113975731669</v>
      </c>
      <c r="AH46" s="11"/>
      <c r="AI46" s="11">
        <v>5.9590233773588124E-2</v>
      </c>
      <c r="AJ46" s="11">
        <f t="shared" si="13"/>
        <v>0.98506849108347605</v>
      </c>
      <c r="AK46" s="10"/>
    </row>
    <row r="47" spans="1:37" x14ac:dyDescent="0.2">
      <c r="A47" s="15" t="s">
        <v>61</v>
      </c>
      <c r="B47" s="14" t="s">
        <v>14</v>
      </c>
      <c r="C47" s="14" t="s">
        <v>0</v>
      </c>
      <c r="D47" s="14">
        <v>19.891860961914063</v>
      </c>
      <c r="E47" s="14" t="s">
        <v>24</v>
      </c>
      <c r="F47" s="14"/>
      <c r="G47" s="14">
        <v>76.320426940917969</v>
      </c>
      <c r="H47" s="14" t="s">
        <v>24</v>
      </c>
      <c r="I47" s="14" t="s">
        <v>25</v>
      </c>
      <c r="J47" s="14">
        <v>16.491737365722656</v>
      </c>
      <c r="K47" s="14"/>
      <c r="L47" s="14"/>
      <c r="M47" s="14">
        <v>76.041336059570313</v>
      </c>
      <c r="N47" s="14" t="s">
        <v>24</v>
      </c>
      <c r="O47" s="14" t="s">
        <v>25</v>
      </c>
      <c r="P47" s="14">
        <v>18.147026062011719</v>
      </c>
      <c r="Q47" s="14"/>
      <c r="R47" s="14"/>
      <c r="S47" s="14">
        <v>75.738311767578125</v>
      </c>
      <c r="T47" s="14" t="s">
        <v>24</v>
      </c>
      <c r="U47" s="13" t="s">
        <v>25</v>
      </c>
    </row>
    <row r="48" spans="1:37" x14ac:dyDescent="0.2">
      <c r="A48" s="15" t="s">
        <v>62</v>
      </c>
      <c r="B48" s="14" t="s">
        <v>14</v>
      </c>
      <c r="C48" s="14" t="s">
        <v>0</v>
      </c>
      <c r="D48" s="14">
        <v>19.87078857421875</v>
      </c>
      <c r="E48" s="14" t="s">
        <v>24</v>
      </c>
      <c r="F48" s="14"/>
      <c r="G48" s="14">
        <v>76.1712646484375</v>
      </c>
      <c r="H48" s="14" t="s">
        <v>24</v>
      </c>
      <c r="I48" s="14" t="s">
        <v>25</v>
      </c>
      <c r="J48" s="14">
        <v>16.512788772583008</v>
      </c>
      <c r="K48" s="14"/>
      <c r="L48" s="14"/>
      <c r="M48" s="14">
        <v>76.041336059570313</v>
      </c>
      <c r="N48" s="14" t="s">
        <v>24</v>
      </c>
      <c r="O48" s="14" t="s">
        <v>25</v>
      </c>
      <c r="P48" s="14">
        <v>18.110998153686523</v>
      </c>
      <c r="Q48" s="14"/>
      <c r="R48" s="14"/>
      <c r="S48" s="14">
        <v>75.738311767578125</v>
      </c>
      <c r="T48" s="14" t="s">
        <v>24</v>
      </c>
      <c r="U48" s="13" t="s">
        <v>25</v>
      </c>
    </row>
    <row r="49" spans="1:21" x14ac:dyDescent="0.2">
      <c r="A49" s="15" t="s">
        <v>63</v>
      </c>
      <c r="B49" s="14" t="s">
        <v>14</v>
      </c>
      <c r="C49" s="14" t="s">
        <v>0</v>
      </c>
      <c r="D49" s="14">
        <v>19.892454147338867</v>
      </c>
      <c r="E49" s="14" t="s">
        <v>24</v>
      </c>
      <c r="F49" s="14"/>
      <c r="G49" s="14">
        <v>76.170951843261719</v>
      </c>
      <c r="H49" s="14" t="s">
        <v>24</v>
      </c>
      <c r="I49" s="14" t="s">
        <v>25</v>
      </c>
      <c r="J49" s="14">
        <v>16.515691757202148</v>
      </c>
      <c r="K49" s="14"/>
      <c r="L49" s="14"/>
      <c r="M49" s="14">
        <v>75.888076782226563</v>
      </c>
      <c r="N49" s="14" t="s">
        <v>24</v>
      </c>
      <c r="O49" s="14" t="s">
        <v>25</v>
      </c>
      <c r="P49" s="14">
        <v>18.108308792114258</v>
      </c>
      <c r="Q49" s="14"/>
      <c r="R49" s="14"/>
      <c r="S49" s="14">
        <v>75.734512329101563</v>
      </c>
      <c r="T49" s="14" t="s">
        <v>24</v>
      </c>
      <c r="U49" s="13" t="s">
        <v>25</v>
      </c>
    </row>
    <row r="50" spans="1:21" x14ac:dyDescent="0.2">
      <c r="A50" s="15" t="s">
        <v>64</v>
      </c>
      <c r="B50" s="14" t="s">
        <v>27</v>
      </c>
      <c r="C50" s="14" t="s">
        <v>0</v>
      </c>
      <c r="D50" s="14">
        <v>22.476524353027344</v>
      </c>
      <c r="E50" s="14" t="s">
        <v>24</v>
      </c>
      <c r="F50" s="14"/>
      <c r="G50" s="14">
        <v>76.170951843261719</v>
      </c>
      <c r="H50" s="14" t="s">
        <v>24</v>
      </c>
      <c r="I50" s="14" t="s">
        <v>65</v>
      </c>
      <c r="J50" s="14">
        <v>20.26091194152832</v>
      </c>
      <c r="K50" s="14"/>
      <c r="L50" s="14"/>
      <c r="M50" s="14">
        <v>75.888076782226563</v>
      </c>
      <c r="N50" s="14" t="s">
        <v>24</v>
      </c>
      <c r="O50" s="14" t="s">
        <v>25</v>
      </c>
      <c r="P50" s="14">
        <v>18.914966583251953</v>
      </c>
      <c r="Q50" s="14"/>
      <c r="R50" s="14"/>
      <c r="S50" s="14">
        <v>75.734512329101563</v>
      </c>
      <c r="T50" s="14" t="s">
        <v>24</v>
      </c>
      <c r="U50" s="13" t="s">
        <v>25</v>
      </c>
    </row>
    <row r="51" spans="1:21" x14ac:dyDescent="0.2">
      <c r="A51" s="15" t="s">
        <v>66</v>
      </c>
      <c r="B51" s="14" t="s">
        <v>27</v>
      </c>
      <c r="C51" s="14" t="s">
        <v>0</v>
      </c>
      <c r="D51" s="14">
        <v>21.964818954467773</v>
      </c>
      <c r="E51" s="14" t="s">
        <v>24</v>
      </c>
      <c r="F51" s="14"/>
      <c r="G51" s="14">
        <v>76.170211791992188</v>
      </c>
      <c r="H51" s="14" t="s">
        <v>24</v>
      </c>
      <c r="I51" s="14" t="s">
        <v>25</v>
      </c>
      <c r="J51" s="14">
        <v>19.788772583007813</v>
      </c>
      <c r="K51" s="14"/>
      <c r="L51" s="14"/>
      <c r="M51" s="14">
        <v>76.036247253417969</v>
      </c>
      <c r="N51" s="14" t="s">
        <v>24</v>
      </c>
      <c r="O51" s="14" t="s">
        <v>25</v>
      </c>
      <c r="P51" s="14">
        <v>18.940683364868164</v>
      </c>
      <c r="Q51" s="14"/>
      <c r="R51" s="14"/>
      <c r="S51" s="14">
        <v>75.883094787597656</v>
      </c>
      <c r="T51" s="14" t="s">
        <v>24</v>
      </c>
      <c r="U51" s="13" t="s">
        <v>25</v>
      </c>
    </row>
    <row r="52" spans="1:21" x14ac:dyDescent="0.2">
      <c r="A52" s="15" t="s">
        <v>67</v>
      </c>
      <c r="B52" s="14" t="s">
        <v>27</v>
      </c>
      <c r="C52" s="14" t="s">
        <v>0</v>
      </c>
      <c r="D52" s="14">
        <v>21.957082748413086</v>
      </c>
      <c r="E52" s="14" t="s">
        <v>24</v>
      </c>
      <c r="F52" s="14"/>
      <c r="G52" s="14">
        <v>76.170211791992188</v>
      </c>
      <c r="H52" s="14" t="s">
        <v>24</v>
      </c>
      <c r="I52" s="14" t="s">
        <v>25</v>
      </c>
      <c r="J52" s="14">
        <v>19.735328674316406</v>
      </c>
      <c r="K52" s="14"/>
      <c r="L52" s="14"/>
      <c r="M52" s="14">
        <v>76.036247253417969</v>
      </c>
      <c r="N52" s="14" t="s">
        <v>24</v>
      </c>
      <c r="O52" s="14" t="s">
        <v>25</v>
      </c>
      <c r="P52" s="14">
        <v>18.881307601928711</v>
      </c>
      <c r="Q52" s="14"/>
      <c r="R52" s="14"/>
      <c r="S52" s="14">
        <v>75.883094787597656</v>
      </c>
      <c r="T52" s="14" t="s">
        <v>24</v>
      </c>
      <c r="U52" s="13" t="s">
        <v>25</v>
      </c>
    </row>
    <row r="53" spans="1:21" x14ac:dyDescent="0.2">
      <c r="A53" s="15" t="s">
        <v>68</v>
      </c>
      <c r="B53" s="14" t="s">
        <v>31</v>
      </c>
      <c r="C53" s="14" t="s">
        <v>0</v>
      </c>
      <c r="D53" s="14">
        <v>22.463119506835938</v>
      </c>
      <c r="E53" s="14" t="s">
        <v>24</v>
      </c>
      <c r="F53" s="14"/>
      <c r="G53" s="14">
        <v>76.167831420898438</v>
      </c>
      <c r="H53" s="14" t="s">
        <v>24</v>
      </c>
      <c r="I53" s="14" t="s">
        <v>25</v>
      </c>
      <c r="J53" s="14">
        <v>18.712053298950195</v>
      </c>
      <c r="K53" s="14"/>
      <c r="L53" s="14"/>
      <c r="M53" s="14">
        <v>76.034713745117188</v>
      </c>
      <c r="N53" s="14" t="s">
        <v>24</v>
      </c>
      <c r="O53" s="14" t="s">
        <v>25</v>
      </c>
      <c r="P53" s="14">
        <v>19.481115341186523</v>
      </c>
      <c r="Q53" s="14"/>
      <c r="R53" s="14"/>
      <c r="S53" s="14">
        <v>75.732887268066406</v>
      </c>
      <c r="T53" s="14" t="s">
        <v>24</v>
      </c>
      <c r="U53" s="13" t="s">
        <v>25</v>
      </c>
    </row>
    <row r="54" spans="1:21" x14ac:dyDescent="0.2">
      <c r="A54" s="15" t="s">
        <v>69</v>
      </c>
      <c r="B54" s="14" t="s">
        <v>31</v>
      </c>
      <c r="C54" s="14" t="s">
        <v>0</v>
      </c>
      <c r="D54" s="14">
        <v>22.473403930664063</v>
      </c>
      <c r="E54" s="14" t="s">
        <v>24</v>
      </c>
      <c r="F54" s="14"/>
      <c r="G54" s="14">
        <v>76.167831420898438</v>
      </c>
      <c r="H54" s="14" t="s">
        <v>24</v>
      </c>
      <c r="I54" s="14" t="s">
        <v>25</v>
      </c>
      <c r="J54" s="14">
        <v>18.742996215820313</v>
      </c>
      <c r="K54" s="14"/>
      <c r="L54" s="14"/>
      <c r="M54" s="14">
        <v>76.034713745117188</v>
      </c>
      <c r="N54" s="14" t="s">
        <v>24</v>
      </c>
      <c r="O54" s="14" t="s">
        <v>25</v>
      </c>
      <c r="P54" s="14">
        <v>19.486852645874023</v>
      </c>
      <c r="Q54" s="14"/>
      <c r="R54" s="14"/>
      <c r="S54" s="14">
        <v>75.732887268066406</v>
      </c>
      <c r="T54" s="14" t="s">
        <v>24</v>
      </c>
      <c r="U54" s="13" t="s">
        <v>25</v>
      </c>
    </row>
    <row r="55" spans="1:21" x14ac:dyDescent="0.2">
      <c r="A55" s="15" t="s">
        <v>70</v>
      </c>
      <c r="B55" s="14" t="s">
        <v>31</v>
      </c>
      <c r="C55" s="14" t="s">
        <v>0</v>
      </c>
      <c r="D55" s="14">
        <v>22.509735107421875</v>
      </c>
      <c r="E55" s="14" t="s">
        <v>24</v>
      </c>
      <c r="F55" s="14"/>
      <c r="G55" s="14">
        <v>76.014656066894531</v>
      </c>
      <c r="H55" s="14" t="s">
        <v>24</v>
      </c>
      <c r="I55" s="14" t="s">
        <v>25</v>
      </c>
      <c r="J55" s="14">
        <v>18.755619049072266</v>
      </c>
      <c r="K55" s="14"/>
      <c r="L55" s="14"/>
      <c r="M55" s="14">
        <v>75.8856201171875</v>
      </c>
      <c r="N55" s="14" t="s">
        <v>24</v>
      </c>
      <c r="O55" s="14" t="s">
        <v>25</v>
      </c>
      <c r="P55" s="14">
        <v>19.496431350708008</v>
      </c>
      <c r="Q55" s="14"/>
      <c r="R55" s="14"/>
      <c r="S55" s="14">
        <v>75.73291015625</v>
      </c>
      <c r="T55" s="14" t="s">
        <v>24</v>
      </c>
      <c r="U55" s="13" t="s">
        <v>25</v>
      </c>
    </row>
    <row r="56" spans="1:21" x14ac:dyDescent="0.2">
      <c r="A56" s="15" t="s">
        <v>71</v>
      </c>
      <c r="B56" s="14" t="s">
        <v>123</v>
      </c>
      <c r="C56" s="14" t="s">
        <v>0</v>
      </c>
      <c r="D56" s="14">
        <v>23.346277236938477</v>
      </c>
      <c r="E56" s="14" t="s">
        <v>24</v>
      </c>
      <c r="F56" s="14"/>
      <c r="G56" s="14">
        <v>76.163825988769531</v>
      </c>
      <c r="H56" s="14" t="s">
        <v>24</v>
      </c>
      <c r="I56" s="14" t="s">
        <v>25</v>
      </c>
      <c r="J56" s="14">
        <v>18.215850830078125</v>
      </c>
      <c r="K56" s="14"/>
      <c r="L56" s="14"/>
      <c r="M56" s="14">
        <v>76.034645080566406</v>
      </c>
      <c r="N56" s="14" t="s">
        <v>24</v>
      </c>
      <c r="O56" s="14" t="s">
        <v>25</v>
      </c>
      <c r="P56" s="14">
        <v>17.880781173706055</v>
      </c>
      <c r="Q56" s="14"/>
      <c r="R56" s="14"/>
      <c r="S56" s="14">
        <v>75.73291015625</v>
      </c>
      <c r="T56" s="14" t="s">
        <v>24</v>
      </c>
      <c r="U56" s="13" t="s">
        <v>25</v>
      </c>
    </row>
    <row r="57" spans="1:21" x14ac:dyDescent="0.2">
      <c r="A57" s="15" t="s">
        <v>72</v>
      </c>
      <c r="B57" s="14" t="s">
        <v>123</v>
      </c>
      <c r="C57" s="14" t="s">
        <v>0</v>
      </c>
      <c r="D57" s="14">
        <v>23.345439910888672</v>
      </c>
      <c r="E57" s="14" t="s">
        <v>24</v>
      </c>
      <c r="F57" s="14"/>
      <c r="G57" s="14">
        <v>76.018218994140625</v>
      </c>
      <c r="H57" s="14" t="s">
        <v>24</v>
      </c>
      <c r="I57" s="14" t="s">
        <v>25</v>
      </c>
      <c r="J57" s="14">
        <v>18.205837249755859</v>
      </c>
      <c r="K57" s="14"/>
      <c r="L57" s="14"/>
      <c r="M57" s="14">
        <v>75.887367248535156</v>
      </c>
      <c r="N57" s="14" t="s">
        <v>24</v>
      </c>
      <c r="O57" s="14" t="s">
        <v>25</v>
      </c>
      <c r="P57" s="14">
        <v>17.906818389892578</v>
      </c>
      <c r="Q57" s="14"/>
      <c r="R57" s="14"/>
      <c r="S57" s="14">
        <v>75.586135864257813</v>
      </c>
      <c r="T57" s="14" t="s">
        <v>24</v>
      </c>
      <c r="U57" s="13" t="s">
        <v>25</v>
      </c>
    </row>
    <row r="58" spans="1:21" x14ac:dyDescent="0.2">
      <c r="A58" s="15" t="s">
        <v>73</v>
      </c>
      <c r="B58" s="14" t="s">
        <v>123</v>
      </c>
      <c r="C58" s="14" t="s">
        <v>0</v>
      </c>
      <c r="D58" s="14">
        <v>23.369270324707031</v>
      </c>
      <c r="E58" s="14" t="s">
        <v>24</v>
      </c>
      <c r="F58" s="14"/>
      <c r="G58" s="14">
        <v>76.018218994140625</v>
      </c>
      <c r="H58" s="14" t="s">
        <v>24</v>
      </c>
      <c r="I58" s="14" t="s">
        <v>25</v>
      </c>
      <c r="J58" s="14">
        <v>18.237981796264648</v>
      </c>
      <c r="K58" s="14"/>
      <c r="L58" s="14"/>
      <c r="M58" s="14">
        <v>76.036361694335938</v>
      </c>
      <c r="N58" s="14" t="s">
        <v>24</v>
      </c>
      <c r="O58" s="14" t="s">
        <v>25</v>
      </c>
      <c r="P58" s="14">
        <v>17.933876037597656</v>
      </c>
      <c r="Q58" s="14"/>
      <c r="R58" s="14"/>
      <c r="S58" s="14">
        <v>75.586135864257813</v>
      </c>
      <c r="T58" s="14" t="s">
        <v>24</v>
      </c>
      <c r="U58" s="13" t="s">
        <v>25</v>
      </c>
    </row>
    <row r="59" spans="1:21" x14ac:dyDescent="0.2">
      <c r="A59" s="15" t="s">
        <v>74</v>
      </c>
      <c r="B59" s="14" t="s">
        <v>14</v>
      </c>
      <c r="C59" s="14" t="s">
        <v>1</v>
      </c>
      <c r="D59" s="14">
        <v>15.913273811340332</v>
      </c>
      <c r="E59" s="14" t="s">
        <v>24</v>
      </c>
      <c r="F59" s="14"/>
      <c r="G59" s="14">
        <v>81.242935180664063</v>
      </c>
      <c r="H59" s="14" t="s">
        <v>24</v>
      </c>
      <c r="I59" s="14" t="s">
        <v>25</v>
      </c>
      <c r="J59" s="14">
        <v>8.2346935272216797</v>
      </c>
      <c r="K59" s="14"/>
      <c r="L59" s="14"/>
      <c r="M59" s="14">
        <v>81.108505249023438</v>
      </c>
      <c r="N59" s="14" t="s">
        <v>24</v>
      </c>
      <c r="O59" s="14" t="s">
        <v>25</v>
      </c>
      <c r="P59" s="14">
        <v>13.442956924438477</v>
      </c>
      <c r="Q59" s="14"/>
      <c r="R59" s="14"/>
      <c r="S59" s="14">
        <v>80.805915832519531</v>
      </c>
      <c r="T59" s="14" t="s">
        <v>24</v>
      </c>
      <c r="U59" s="13" t="s">
        <v>25</v>
      </c>
    </row>
    <row r="60" spans="1:21" x14ac:dyDescent="0.2">
      <c r="A60" s="15" t="s">
        <v>75</v>
      </c>
      <c r="B60" s="14" t="s">
        <v>14</v>
      </c>
      <c r="C60" s="14" t="s">
        <v>1</v>
      </c>
      <c r="D60" s="14">
        <v>15.925141334533691</v>
      </c>
      <c r="E60" s="14" t="s">
        <v>24</v>
      </c>
      <c r="F60" s="14"/>
      <c r="G60" s="14">
        <v>81.242935180664063</v>
      </c>
      <c r="H60" s="14" t="s">
        <v>24</v>
      </c>
      <c r="I60" s="14" t="s">
        <v>25</v>
      </c>
      <c r="J60" s="14">
        <v>8.6164970397949219</v>
      </c>
      <c r="K60" s="14"/>
      <c r="L60" s="14"/>
      <c r="M60" s="14">
        <v>80.959465026855469</v>
      </c>
      <c r="N60" s="14" t="s">
        <v>24</v>
      </c>
      <c r="O60" s="14" t="s">
        <v>25</v>
      </c>
      <c r="P60" s="14">
        <v>13.540737152099609</v>
      </c>
      <c r="Q60" s="14"/>
      <c r="R60" s="14"/>
      <c r="S60" s="14">
        <v>80.805915832519531</v>
      </c>
      <c r="T60" s="14" t="s">
        <v>24</v>
      </c>
      <c r="U60" s="13" t="s">
        <v>25</v>
      </c>
    </row>
    <row r="61" spans="1:21" x14ac:dyDescent="0.2">
      <c r="A61" s="15" t="s">
        <v>76</v>
      </c>
      <c r="B61" s="14" t="s">
        <v>14</v>
      </c>
      <c r="C61" s="14" t="s">
        <v>1</v>
      </c>
      <c r="D61" s="14">
        <v>15.912858963012695</v>
      </c>
      <c r="E61" s="14" t="s">
        <v>24</v>
      </c>
      <c r="F61" s="14"/>
      <c r="G61" s="14">
        <v>81.241767883300781</v>
      </c>
      <c r="H61" s="14" t="s">
        <v>24</v>
      </c>
      <c r="I61" s="14" t="s">
        <v>25</v>
      </c>
      <c r="J61" s="14">
        <v>8.5780649185180664</v>
      </c>
      <c r="K61" s="14"/>
      <c r="L61" s="14"/>
      <c r="M61" s="14">
        <v>80.955039978027344</v>
      </c>
      <c r="N61" s="14" t="s">
        <v>24</v>
      </c>
      <c r="O61" s="14" t="s">
        <v>25</v>
      </c>
      <c r="P61" s="14">
        <v>13.447092056274414</v>
      </c>
      <c r="Q61" s="14"/>
      <c r="R61" s="14"/>
      <c r="S61" s="14">
        <v>80.803070068359375</v>
      </c>
      <c r="T61" s="14" t="s">
        <v>24</v>
      </c>
      <c r="U61" s="13" t="s">
        <v>25</v>
      </c>
    </row>
    <row r="62" spans="1:21" x14ac:dyDescent="0.2">
      <c r="A62" s="15" t="s">
        <v>77</v>
      </c>
      <c r="B62" s="14" t="s">
        <v>27</v>
      </c>
      <c r="C62" s="14" t="s">
        <v>1</v>
      </c>
      <c r="D62" s="14">
        <v>18.38067626953125</v>
      </c>
      <c r="E62" s="14" t="s">
        <v>24</v>
      </c>
      <c r="F62" s="14"/>
      <c r="G62" s="14">
        <v>81.241767883300781</v>
      </c>
      <c r="H62" s="14" t="s">
        <v>24</v>
      </c>
      <c r="I62" s="14" t="s">
        <v>25</v>
      </c>
      <c r="J62" s="14">
        <v>13.450087547302246</v>
      </c>
      <c r="K62" s="14"/>
      <c r="L62" s="14"/>
      <c r="M62" s="14">
        <v>80.955039978027344</v>
      </c>
      <c r="N62" s="14" t="s">
        <v>24</v>
      </c>
      <c r="O62" s="14" t="s">
        <v>25</v>
      </c>
      <c r="P62" s="14">
        <v>13.762955665588379</v>
      </c>
      <c r="Q62" s="14"/>
      <c r="R62" s="14"/>
      <c r="S62" s="14">
        <v>80.803070068359375</v>
      </c>
      <c r="T62" s="14" t="s">
        <v>24</v>
      </c>
      <c r="U62" s="13" t="s">
        <v>25</v>
      </c>
    </row>
    <row r="63" spans="1:21" x14ac:dyDescent="0.2">
      <c r="A63" s="15" t="s">
        <v>78</v>
      </c>
      <c r="B63" s="14" t="s">
        <v>27</v>
      </c>
      <c r="C63" s="14" t="s">
        <v>1</v>
      </c>
      <c r="D63" s="14">
        <v>18.407529830932617</v>
      </c>
      <c r="E63" s="14" t="s">
        <v>24</v>
      </c>
      <c r="F63" s="14"/>
      <c r="G63" s="14">
        <v>81.241012573242188</v>
      </c>
      <c r="H63" s="14" t="s">
        <v>24</v>
      </c>
      <c r="I63" s="14" t="s">
        <v>25</v>
      </c>
      <c r="J63" s="14">
        <v>13.469709396362305</v>
      </c>
      <c r="K63" s="14"/>
      <c r="L63" s="14"/>
      <c r="M63" s="14">
        <v>81.103065490722656</v>
      </c>
      <c r="N63" s="14" t="s">
        <v>24</v>
      </c>
      <c r="O63" s="14" t="s">
        <v>25</v>
      </c>
      <c r="P63" s="14">
        <v>13.776259422302246</v>
      </c>
      <c r="Q63" s="14"/>
      <c r="R63" s="14"/>
      <c r="S63" s="14">
        <v>80.951492309570313</v>
      </c>
      <c r="T63" s="14" t="s">
        <v>24</v>
      </c>
      <c r="U63" s="13" t="s">
        <v>25</v>
      </c>
    </row>
    <row r="64" spans="1:21" x14ac:dyDescent="0.2">
      <c r="A64" s="15" t="s">
        <v>79</v>
      </c>
      <c r="B64" s="14" t="s">
        <v>27</v>
      </c>
      <c r="C64" s="14" t="s">
        <v>1</v>
      </c>
      <c r="D64" s="14">
        <v>18.317634582519531</v>
      </c>
      <c r="E64" s="14" t="s">
        <v>24</v>
      </c>
      <c r="F64" s="14"/>
      <c r="G64" s="14">
        <v>81.241012573242188</v>
      </c>
      <c r="H64" s="14" t="s">
        <v>24</v>
      </c>
      <c r="I64" s="14" t="s">
        <v>25</v>
      </c>
      <c r="J64" s="14">
        <v>13.435742378234863</v>
      </c>
      <c r="K64" s="14"/>
      <c r="L64" s="14"/>
      <c r="M64" s="14">
        <v>81.103065490722656</v>
      </c>
      <c r="N64" s="14" t="s">
        <v>24</v>
      </c>
      <c r="O64" s="14" t="s">
        <v>25</v>
      </c>
      <c r="P64" s="14">
        <v>13.754727363586426</v>
      </c>
      <c r="Q64" s="14"/>
      <c r="R64" s="14"/>
      <c r="S64" s="14">
        <v>80.951492309570313</v>
      </c>
      <c r="T64" s="14" t="s">
        <v>24</v>
      </c>
      <c r="U64" s="13" t="s">
        <v>25</v>
      </c>
    </row>
    <row r="65" spans="1:21" x14ac:dyDescent="0.2">
      <c r="A65" s="15" t="s">
        <v>80</v>
      </c>
      <c r="B65" s="14" t="s">
        <v>31</v>
      </c>
      <c r="C65" s="14" t="s">
        <v>1</v>
      </c>
      <c r="D65" s="14">
        <v>17.383487701416016</v>
      </c>
      <c r="E65" s="14" t="s">
        <v>24</v>
      </c>
      <c r="F65" s="14"/>
      <c r="G65" s="14">
        <v>81.089752197265625</v>
      </c>
      <c r="H65" s="14" t="s">
        <v>24</v>
      </c>
      <c r="I65" s="14" t="s">
        <v>25</v>
      </c>
      <c r="J65" s="14">
        <v>12.366349220275879</v>
      </c>
      <c r="K65" s="14"/>
      <c r="L65" s="14"/>
      <c r="M65" s="14">
        <v>80.952774047851563</v>
      </c>
      <c r="N65" s="14" t="s">
        <v>24</v>
      </c>
      <c r="O65" s="14" t="s">
        <v>25</v>
      </c>
      <c r="P65" s="14">
        <v>13.897662162780762</v>
      </c>
      <c r="Q65" s="14"/>
      <c r="R65" s="14"/>
      <c r="S65" s="14">
        <v>80.801368713378906</v>
      </c>
      <c r="T65" s="14" t="s">
        <v>24</v>
      </c>
      <c r="U65" s="13" t="s">
        <v>25</v>
      </c>
    </row>
    <row r="66" spans="1:21" x14ac:dyDescent="0.2">
      <c r="A66" s="15" t="s">
        <v>81</v>
      </c>
      <c r="B66" s="14" t="s">
        <v>31</v>
      </c>
      <c r="C66" s="14" t="s">
        <v>1</v>
      </c>
      <c r="D66" s="14">
        <v>17.421474456787109</v>
      </c>
      <c r="E66" s="14" t="s">
        <v>24</v>
      </c>
      <c r="F66" s="14"/>
      <c r="G66" s="14">
        <v>81.089752197265625</v>
      </c>
      <c r="H66" s="14" t="s">
        <v>24</v>
      </c>
      <c r="I66" s="14" t="s">
        <v>25</v>
      </c>
      <c r="J66" s="14">
        <v>11.823633193969727</v>
      </c>
      <c r="K66" s="14"/>
      <c r="L66" s="14"/>
      <c r="M66" s="14">
        <v>80.952774047851563</v>
      </c>
      <c r="N66" s="14" t="s">
        <v>24</v>
      </c>
      <c r="O66" s="14" t="s">
        <v>65</v>
      </c>
      <c r="P66" s="14">
        <v>13.878776550292969</v>
      </c>
      <c r="Q66" s="14"/>
      <c r="R66" s="14"/>
      <c r="S66" s="14">
        <v>80.801368713378906</v>
      </c>
      <c r="T66" s="14" t="s">
        <v>24</v>
      </c>
      <c r="U66" s="13" t="s">
        <v>25</v>
      </c>
    </row>
    <row r="67" spans="1:21" x14ac:dyDescent="0.2">
      <c r="A67" s="15" t="s">
        <v>82</v>
      </c>
      <c r="B67" s="14" t="s">
        <v>31</v>
      </c>
      <c r="C67" s="14" t="s">
        <v>1</v>
      </c>
      <c r="D67" s="14">
        <v>17.42609977722168</v>
      </c>
      <c r="E67" s="14" t="s">
        <v>24</v>
      </c>
      <c r="F67" s="14"/>
      <c r="G67" s="14">
        <v>81.086448669433594</v>
      </c>
      <c r="H67" s="14" t="s">
        <v>24</v>
      </c>
      <c r="I67" s="14" t="s">
        <v>25</v>
      </c>
      <c r="J67" s="14">
        <v>12.358977317810059</v>
      </c>
      <c r="K67" s="14"/>
      <c r="L67" s="14"/>
      <c r="M67" s="14">
        <v>80.952438354492188</v>
      </c>
      <c r="N67" s="14" t="s">
        <v>24</v>
      </c>
      <c r="O67" s="14" t="s">
        <v>25</v>
      </c>
      <c r="P67" s="14">
        <v>13.910446166992188</v>
      </c>
      <c r="Q67" s="14"/>
      <c r="R67" s="14"/>
      <c r="S67" s="14">
        <v>80.801200866699219</v>
      </c>
      <c r="T67" s="14" t="s">
        <v>24</v>
      </c>
      <c r="U67" s="13" t="s">
        <v>25</v>
      </c>
    </row>
    <row r="68" spans="1:21" x14ac:dyDescent="0.2">
      <c r="A68" s="15" t="s">
        <v>83</v>
      </c>
      <c r="B68" s="14" t="s">
        <v>123</v>
      </c>
      <c r="C68" s="14" t="s">
        <v>1</v>
      </c>
      <c r="D68" s="14">
        <v>18.243793487548828</v>
      </c>
      <c r="E68" s="14" t="s">
        <v>24</v>
      </c>
      <c r="F68" s="14"/>
      <c r="G68" s="14">
        <v>80.937278747558594</v>
      </c>
      <c r="H68" s="14" t="s">
        <v>24</v>
      </c>
      <c r="I68" s="14" t="s">
        <v>25</v>
      </c>
      <c r="J68" s="14">
        <v>10.394063949584961</v>
      </c>
      <c r="K68" s="14"/>
      <c r="L68" s="14"/>
      <c r="M68" s="14">
        <v>80.952438354492188</v>
      </c>
      <c r="N68" s="14" t="s">
        <v>24</v>
      </c>
      <c r="O68" s="14" t="s">
        <v>25</v>
      </c>
      <c r="P68" s="14">
        <v>12.997718811035156</v>
      </c>
      <c r="Q68" s="14"/>
      <c r="R68" s="14"/>
      <c r="S68" s="14">
        <v>80.652130126953125</v>
      </c>
      <c r="T68" s="14" t="s">
        <v>24</v>
      </c>
      <c r="U68" s="13" t="s">
        <v>25</v>
      </c>
    </row>
    <row r="69" spans="1:21" x14ac:dyDescent="0.2">
      <c r="A69" s="15" t="s">
        <v>84</v>
      </c>
      <c r="B69" s="14" t="s">
        <v>123</v>
      </c>
      <c r="C69" s="14" t="s">
        <v>1</v>
      </c>
      <c r="D69" s="14">
        <v>18.247957229614258</v>
      </c>
      <c r="E69" s="14" t="s">
        <v>24</v>
      </c>
      <c r="F69" s="14"/>
      <c r="G69" s="14">
        <v>80.941131591796875</v>
      </c>
      <c r="H69" s="14" t="s">
        <v>24</v>
      </c>
      <c r="I69" s="14" t="s">
        <v>25</v>
      </c>
      <c r="J69" s="14">
        <v>10.45116138458252</v>
      </c>
      <c r="K69" s="14"/>
      <c r="L69" s="14"/>
      <c r="M69" s="14">
        <v>80.953163146972656</v>
      </c>
      <c r="N69" s="14" t="s">
        <v>24</v>
      </c>
      <c r="O69" s="14" t="s">
        <v>25</v>
      </c>
      <c r="P69" s="14">
        <v>13.030001640319824</v>
      </c>
      <c r="Q69" s="14"/>
      <c r="R69" s="14"/>
      <c r="S69" s="14">
        <v>80.654426574707031</v>
      </c>
      <c r="T69" s="14" t="s">
        <v>24</v>
      </c>
      <c r="U69" s="13" t="s">
        <v>25</v>
      </c>
    </row>
    <row r="70" spans="1:21" x14ac:dyDescent="0.2">
      <c r="A70" s="15" t="s">
        <v>85</v>
      </c>
      <c r="B70" s="14" t="s">
        <v>123</v>
      </c>
      <c r="C70" s="14" t="s">
        <v>1</v>
      </c>
      <c r="D70" s="14">
        <v>18.254404067993164</v>
      </c>
      <c r="E70" s="14" t="s">
        <v>24</v>
      </c>
      <c r="F70" s="14"/>
      <c r="G70" s="14">
        <v>80.941131591796875</v>
      </c>
      <c r="H70" s="14" t="s">
        <v>24</v>
      </c>
      <c r="I70" s="14" t="s">
        <v>25</v>
      </c>
      <c r="J70" s="14">
        <v>10.355961799621582</v>
      </c>
      <c r="K70" s="14"/>
      <c r="L70" s="14"/>
      <c r="M70" s="14">
        <v>80.953163146972656</v>
      </c>
      <c r="N70" s="14" t="s">
        <v>24</v>
      </c>
      <c r="O70" s="14" t="s">
        <v>25</v>
      </c>
      <c r="P70" s="14">
        <v>12.999176025390625</v>
      </c>
      <c r="Q70" s="14"/>
      <c r="R70" s="14"/>
      <c r="S70" s="14">
        <v>80.654426574707031</v>
      </c>
      <c r="T70" s="14" t="s">
        <v>24</v>
      </c>
      <c r="U70" s="13" t="s">
        <v>25</v>
      </c>
    </row>
    <row r="71" spans="1:21" x14ac:dyDescent="0.2">
      <c r="A71" s="15" t="s">
        <v>86</v>
      </c>
      <c r="B71" s="14" t="s">
        <v>14</v>
      </c>
      <c r="C71" s="14" t="s">
        <v>2</v>
      </c>
      <c r="D71" s="14">
        <v>18.906927108764648</v>
      </c>
      <c r="E71" s="14" t="s">
        <v>24</v>
      </c>
      <c r="F71" s="14"/>
      <c r="G71" s="14">
        <v>78.408767700195313</v>
      </c>
      <c r="H71" s="14" t="s">
        <v>24</v>
      </c>
      <c r="I71" s="14" t="s">
        <v>25</v>
      </c>
      <c r="J71" s="14">
        <v>12.627561569213867</v>
      </c>
      <c r="K71" s="14"/>
      <c r="L71" s="14"/>
      <c r="M71" s="14">
        <v>78.127815246582031</v>
      </c>
      <c r="N71" s="14" t="s">
        <v>24</v>
      </c>
      <c r="O71" s="14" t="s">
        <v>25</v>
      </c>
      <c r="P71" s="14">
        <v>13.201203346252441</v>
      </c>
      <c r="Q71" s="14"/>
      <c r="R71" s="14"/>
      <c r="S71" s="14">
        <v>77.824966430664063</v>
      </c>
      <c r="T71" s="14" t="s">
        <v>24</v>
      </c>
      <c r="U71" s="13" t="s">
        <v>25</v>
      </c>
    </row>
    <row r="72" spans="1:21" x14ac:dyDescent="0.2">
      <c r="A72" s="15" t="s">
        <v>87</v>
      </c>
      <c r="B72" s="14" t="s">
        <v>14</v>
      </c>
      <c r="C72" s="14" t="s">
        <v>2</v>
      </c>
      <c r="D72" s="14">
        <v>18.885015487670898</v>
      </c>
      <c r="E72" s="14" t="s">
        <v>24</v>
      </c>
      <c r="F72" s="14"/>
      <c r="G72" s="14">
        <v>78.259597778320313</v>
      </c>
      <c r="H72" s="14" t="s">
        <v>24</v>
      </c>
      <c r="I72" s="14" t="s">
        <v>25</v>
      </c>
      <c r="J72" s="14">
        <v>12.690357208251953</v>
      </c>
      <c r="K72" s="14"/>
      <c r="L72" s="14"/>
      <c r="M72" s="14">
        <v>78.127815246582031</v>
      </c>
      <c r="N72" s="14" t="s">
        <v>24</v>
      </c>
      <c r="O72" s="14" t="s">
        <v>25</v>
      </c>
      <c r="P72" s="14">
        <v>13.189494132995605</v>
      </c>
      <c r="Q72" s="14"/>
      <c r="R72" s="14"/>
      <c r="S72" s="14">
        <v>77.824966430664063</v>
      </c>
      <c r="T72" s="14" t="s">
        <v>24</v>
      </c>
      <c r="U72" s="13" t="s">
        <v>25</v>
      </c>
    </row>
    <row r="73" spans="1:21" x14ac:dyDescent="0.2">
      <c r="A73" s="15" t="s">
        <v>88</v>
      </c>
      <c r="B73" s="14" t="s">
        <v>14</v>
      </c>
      <c r="C73" s="14" t="s">
        <v>2</v>
      </c>
      <c r="D73" s="14">
        <v>18.911815643310547</v>
      </c>
      <c r="E73" s="14" t="s">
        <v>24</v>
      </c>
      <c r="F73" s="14"/>
      <c r="G73" s="14">
        <v>78.408073425292969</v>
      </c>
      <c r="H73" s="14" t="s">
        <v>24</v>
      </c>
      <c r="I73" s="14" t="s">
        <v>25</v>
      </c>
      <c r="J73" s="14">
        <v>12.715029716491699</v>
      </c>
      <c r="K73" s="14"/>
      <c r="L73" s="14"/>
      <c r="M73" s="14">
        <v>78.123504638671875</v>
      </c>
      <c r="N73" s="14" t="s">
        <v>24</v>
      </c>
      <c r="O73" s="14" t="s">
        <v>25</v>
      </c>
      <c r="P73" s="14">
        <v>13.145187377929688</v>
      </c>
      <c r="Q73" s="14"/>
      <c r="R73" s="14"/>
      <c r="S73" s="14">
        <v>77.97064208984375</v>
      </c>
      <c r="T73" s="14" t="s">
        <v>24</v>
      </c>
      <c r="U73" s="13" t="s">
        <v>25</v>
      </c>
    </row>
    <row r="74" spans="1:21" x14ac:dyDescent="0.2">
      <c r="A74" s="15" t="s">
        <v>89</v>
      </c>
      <c r="B74" s="14" t="s">
        <v>27</v>
      </c>
      <c r="C74" s="14" t="s">
        <v>2</v>
      </c>
      <c r="D74" s="14">
        <v>21.482795715332031</v>
      </c>
      <c r="E74" s="14" t="s">
        <v>24</v>
      </c>
      <c r="F74" s="14"/>
      <c r="G74" s="14">
        <v>78.258934020996094</v>
      </c>
      <c r="H74" s="14" t="s">
        <v>24</v>
      </c>
      <c r="I74" s="14" t="s">
        <v>25</v>
      </c>
      <c r="J74" s="14">
        <v>15.833871841430664</v>
      </c>
      <c r="K74" s="14"/>
      <c r="L74" s="14"/>
      <c r="M74" s="14">
        <v>78.123504638671875</v>
      </c>
      <c r="N74" s="14" t="s">
        <v>24</v>
      </c>
      <c r="O74" s="14" t="s">
        <v>25</v>
      </c>
      <c r="P74" s="14">
        <v>13.288190841674805</v>
      </c>
      <c r="Q74" s="14"/>
      <c r="R74" s="14"/>
      <c r="S74" s="14">
        <v>77.97064208984375</v>
      </c>
      <c r="T74" s="14" t="s">
        <v>24</v>
      </c>
      <c r="U74" s="13" t="s">
        <v>25</v>
      </c>
    </row>
    <row r="75" spans="1:21" x14ac:dyDescent="0.2">
      <c r="A75" s="15" t="s">
        <v>90</v>
      </c>
      <c r="B75" s="14" t="s">
        <v>27</v>
      </c>
      <c r="C75" s="14" t="s">
        <v>2</v>
      </c>
      <c r="D75" s="14">
        <v>21.464422225952148</v>
      </c>
      <c r="E75" s="14" t="s">
        <v>24</v>
      </c>
      <c r="F75" s="14"/>
      <c r="G75" s="14">
        <v>78.407325744628906</v>
      </c>
      <c r="H75" s="14" t="s">
        <v>24</v>
      </c>
      <c r="I75" s="14" t="s">
        <v>25</v>
      </c>
      <c r="J75" s="14">
        <v>15.842227935791016</v>
      </c>
      <c r="K75" s="14"/>
      <c r="L75" s="14"/>
      <c r="M75" s="14">
        <v>78.122581481933594</v>
      </c>
      <c r="N75" s="14" t="s">
        <v>24</v>
      </c>
      <c r="O75" s="14" t="s">
        <v>25</v>
      </c>
      <c r="P75" s="14">
        <v>13.287467956542969</v>
      </c>
      <c r="Q75" s="14"/>
      <c r="R75" s="14"/>
      <c r="S75" s="14">
        <v>77.970077514648438</v>
      </c>
      <c r="T75" s="14" t="s">
        <v>24</v>
      </c>
      <c r="U75" s="13" t="s">
        <v>25</v>
      </c>
    </row>
    <row r="76" spans="1:21" x14ac:dyDescent="0.2">
      <c r="A76" s="15" t="s">
        <v>91</v>
      </c>
      <c r="B76" s="14" t="s">
        <v>27</v>
      </c>
      <c r="C76" s="14" t="s">
        <v>2</v>
      </c>
      <c r="D76" s="14">
        <v>21.462947845458984</v>
      </c>
      <c r="E76" s="14" t="s">
        <v>24</v>
      </c>
      <c r="F76" s="14"/>
      <c r="G76" s="14">
        <v>78.407325744628906</v>
      </c>
      <c r="H76" s="14" t="s">
        <v>24</v>
      </c>
      <c r="I76" s="14" t="s">
        <v>25</v>
      </c>
      <c r="J76" s="14">
        <v>15.816932678222656</v>
      </c>
      <c r="K76" s="14"/>
      <c r="L76" s="14"/>
      <c r="M76" s="14">
        <v>78.122581481933594</v>
      </c>
      <c r="N76" s="14" t="s">
        <v>24</v>
      </c>
      <c r="O76" s="14" t="s">
        <v>25</v>
      </c>
      <c r="P76" s="14">
        <v>13.275985717773438</v>
      </c>
      <c r="Q76" s="14"/>
      <c r="R76" s="14"/>
      <c r="S76" s="14">
        <v>77.970077514648438</v>
      </c>
      <c r="T76" s="14" t="s">
        <v>24</v>
      </c>
      <c r="U76" s="13" t="s">
        <v>25</v>
      </c>
    </row>
    <row r="77" spans="1:21" x14ac:dyDescent="0.2">
      <c r="A77" s="15" t="s">
        <v>92</v>
      </c>
      <c r="B77" s="14" t="s">
        <v>31</v>
      </c>
      <c r="C77" s="14" t="s">
        <v>2</v>
      </c>
      <c r="D77" s="14">
        <v>20.53099250793457</v>
      </c>
      <c r="E77" s="14" t="s">
        <v>24</v>
      </c>
      <c r="F77" s="14"/>
      <c r="G77" s="14">
        <v>78.25592041015625</v>
      </c>
      <c r="H77" s="14" t="s">
        <v>24</v>
      </c>
      <c r="I77" s="14" t="s">
        <v>25</v>
      </c>
      <c r="J77" s="14">
        <v>15.613561630249023</v>
      </c>
      <c r="K77" s="14"/>
      <c r="L77" s="14"/>
      <c r="M77" s="14">
        <v>77.972129821777344</v>
      </c>
      <c r="N77" s="14" t="s">
        <v>24</v>
      </c>
      <c r="O77" s="14" t="s">
        <v>25</v>
      </c>
      <c r="P77" s="14">
        <v>13.489510536193848</v>
      </c>
      <c r="Q77" s="14"/>
      <c r="R77" s="14"/>
      <c r="S77" s="14">
        <v>77.819908142089844</v>
      </c>
      <c r="T77" s="14" t="s">
        <v>24</v>
      </c>
      <c r="U77" s="13" t="s">
        <v>25</v>
      </c>
    </row>
    <row r="78" spans="1:21" x14ac:dyDescent="0.2">
      <c r="A78" s="15" t="s">
        <v>93</v>
      </c>
      <c r="B78" s="14" t="s">
        <v>31</v>
      </c>
      <c r="C78" s="14" t="s">
        <v>2</v>
      </c>
      <c r="D78" s="14">
        <v>20.498821258544922</v>
      </c>
      <c r="E78" s="14" t="s">
        <v>24</v>
      </c>
      <c r="F78" s="14"/>
      <c r="G78" s="14">
        <v>78.25592041015625</v>
      </c>
      <c r="H78" s="14" t="s">
        <v>24</v>
      </c>
      <c r="I78" s="14" t="s">
        <v>25</v>
      </c>
      <c r="J78" s="14">
        <v>15.593262672424316</v>
      </c>
      <c r="K78" s="14"/>
      <c r="L78" s="14"/>
      <c r="M78" s="14">
        <v>77.972129821777344</v>
      </c>
      <c r="N78" s="14" t="s">
        <v>24</v>
      </c>
      <c r="O78" s="14" t="s">
        <v>25</v>
      </c>
      <c r="P78" s="14" t="s">
        <v>119</v>
      </c>
      <c r="Q78" s="14"/>
      <c r="R78" s="14"/>
      <c r="S78" s="14">
        <v>73.794937133789063</v>
      </c>
      <c r="T78" s="14">
        <v>79.459709167480469</v>
      </c>
      <c r="U78" s="13" t="s">
        <v>25</v>
      </c>
    </row>
    <row r="79" spans="1:21" x14ac:dyDescent="0.2">
      <c r="A79" s="15" t="s">
        <v>94</v>
      </c>
      <c r="B79" s="14" t="s">
        <v>31</v>
      </c>
      <c r="C79" s="14" t="s">
        <v>2</v>
      </c>
      <c r="D79" s="14">
        <v>20.487760543823242</v>
      </c>
      <c r="E79" s="14" t="s">
        <v>24</v>
      </c>
      <c r="F79" s="14"/>
      <c r="G79" s="14">
        <v>78.103042602539063</v>
      </c>
      <c r="H79" s="14" t="s">
        <v>24</v>
      </c>
      <c r="I79" s="14" t="s">
        <v>25</v>
      </c>
      <c r="J79" s="14">
        <v>15.55809497833252</v>
      </c>
      <c r="K79" s="14"/>
      <c r="L79" s="14"/>
      <c r="M79" s="14">
        <v>77.971954345703125</v>
      </c>
      <c r="N79" s="14" t="s">
        <v>24</v>
      </c>
      <c r="O79" s="14" t="s">
        <v>25</v>
      </c>
      <c r="P79" s="14">
        <v>13.403875350952148</v>
      </c>
      <c r="Q79" s="14"/>
      <c r="R79" s="14"/>
      <c r="S79" s="14">
        <v>77.968917846679688</v>
      </c>
      <c r="T79" s="14" t="s">
        <v>24</v>
      </c>
      <c r="U79" s="13" t="s">
        <v>25</v>
      </c>
    </row>
    <row r="80" spans="1:21" x14ac:dyDescent="0.2">
      <c r="A80" s="15" t="s">
        <v>95</v>
      </c>
      <c r="B80" s="14" t="s">
        <v>123</v>
      </c>
      <c r="C80" s="14" t="s">
        <v>2</v>
      </c>
      <c r="D80" s="14">
        <v>21.406450271606445</v>
      </c>
      <c r="E80" s="14" t="s">
        <v>24</v>
      </c>
      <c r="F80" s="14"/>
      <c r="G80" s="14">
        <v>78.103042602539063</v>
      </c>
      <c r="H80" s="14" t="s">
        <v>24</v>
      </c>
      <c r="I80" s="14" t="s">
        <v>25</v>
      </c>
      <c r="J80" s="14">
        <v>14.918074607849121</v>
      </c>
      <c r="K80" s="14"/>
      <c r="L80" s="14"/>
      <c r="M80" s="14">
        <v>77.971954345703125</v>
      </c>
      <c r="N80" s="14" t="s">
        <v>24</v>
      </c>
      <c r="O80" s="14" t="s">
        <v>25</v>
      </c>
      <c r="P80" s="14">
        <v>11.851263046264648</v>
      </c>
      <c r="Q80" s="14"/>
      <c r="R80" s="14"/>
      <c r="S80" s="14">
        <v>77.670783996582031</v>
      </c>
      <c r="T80" s="14" t="s">
        <v>24</v>
      </c>
      <c r="U80" s="13" t="s">
        <v>25</v>
      </c>
    </row>
    <row r="81" spans="1:21" x14ac:dyDescent="0.2">
      <c r="A81" s="15" t="s">
        <v>96</v>
      </c>
      <c r="B81" s="14" t="s">
        <v>123</v>
      </c>
      <c r="C81" s="14" t="s">
        <v>2</v>
      </c>
      <c r="D81" s="14">
        <v>21.429304122924805</v>
      </c>
      <c r="E81" s="14" t="s">
        <v>24</v>
      </c>
      <c r="F81" s="14"/>
      <c r="G81" s="14">
        <v>78.106727600097656</v>
      </c>
      <c r="H81" s="14" t="s">
        <v>24</v>
      </c>
      <c r="I81" s="14" t="s">
        <v>25</v>
      </c>
      <c r="J81" s="14">
        <v>14.890280723571777</v>
      </c>
      <c r="K81" s="14"/>
      <c r="L81" s="14"/>
      <c r="M81" s="14">
        <v>77.973281860351563</v>
      </c>
      <c r="N81" s="14" t="s">
        <v>24</v>
      </c>
      <c r="O81" s="14" t="s">
        <v>25</v>
      </c>
      <c r="P81" s="14">
        <v>11.83981990814209</v>
      </c>
      <c r="Q81" s="14"/>
      <c r="R81" s="14"/>
      <c r="S81" s="14">
        <v>77.673080444335938</v>
      </c>
      <c r="T81" s="14" t="s">
        <v>24</v>
      </c>
      <c r="U81" s="13" t="s">
        <v>25</v>
      </c>
    </row>
    <row r="82" spans="1:21" x14ac:dyDescent="0.2">
      <c r="A82" s="15" t="s">
        <v>97</v>
      </c>
      <c r="B82" s="14" t="s">
        <v>123</v>
      </c>
      <c r="C82" s="14" t="s">
        <v>2</v>
      </c>
      <c r="D82" s="14">
        <v>21.418346405029297</v>
      </c>
      <c r="E82" s="14" t="s">
        <v>24</v>
      </c>
      <c r="F82" s="14"/>
      <c r="G82" s="14">
        <v>78.106727600097656</v>
      </c>
      <c r="H82" s="14" t="s">
        <v>24</v>
      </c>
      <c r="I82" s="14" t="s">
        <v>25</v>
      </c>
      <c r="J82" s="14">
        <v>14.893630027770996</v>
      </c>
      <c r="K82" s="14"/>
      <c r="L82" s="14"/>
      <c r="M82" s="14">
        <v>77.973281860351563</v>
      </c>
      <c r="N82" s="14" t="s">
        <v>24</v>
      </c>
      <c r="O82" s="14" t="s">
        <v>25</v>
      </c>
      <c r="P82" s="14">
        <v>12.857404708862305</v>
      </c>
      <c r="Q82" s="14"/>
      <c r="R82" s="14"/>
      <c r="S82" s="14">
        <v>77.673080444335938</v>
      </c>
      <c r="T82" s="14" t="s">
        <v>24</v>
      </c>
      <c r="U82" s="13" t="s">
        <v>65</v>
      </c>
    </row>
    <row r="83" spans="1:21" x14ac:dyDescent="0.2">
      <c r="A83" s="15" t="s">
        <v>98</v>
      </c>
      <c r="B83" s="14" t="s">
        <v>148</v>
      </c>
      <c r="C83" s="14" t="s">
        <v>3</v>
      </c>
      <c r="D83" s="14">
        <v>33.911281585693359</v>
      </c>
      <c r="E83" s="14" t="s">
        <v>24</v>
      </c>
      <c r="F83" s="14"/>
      <c r="G83" s="14">
        <v>72.442092895507813</v>
      </c>
      <c r="H83" s="14" t="s">
        <v>24</v>
      </c>
      <c r="I83" s="14" t="s">
        <v>25</v>
      </c>
      <c r="J83" s="14">
        <v>34.910408020019531</v>
      </c>
      <c r="K83" s="14"/>
      <c r="L83" s="14"/>
      <c r="M83" s="14">
        <v>72.613540649414063</v>
      </c>
      <c r="N83" s="14" t="s">
        <v>24</v>
      </c>
      <c r="O83" s="14" t="s">
        <v>25</v>
      </c>
      <c r="P83" s="14">
        <v>33.918907165527344</v>
      </c>
      <c r="Q83" s="14"/>
      <c r="R83" s="14"/>
      <c r="S83" s="14">
        <v>79.464492797851563</v>
      </c>
      <c r="T83" s="14" t="s">
        <v>24</v>
      </c>
      <c r="U83" s="13" t="s">
        <v>25</v>
      </c>
    </row>
    <row r="84" spans="1:21" x14ac:dyDescent="0.2">
      <c r="A84" s="15" t="s">
        <v>99</v>
      </c>
      <c r="B84" s="14" t="s">
        <v>148</v>
      </c>
      <c r="C84" s="14" t="s">
        <v>37</v>
      </c>
      <c r="D84" s="14">
        <v>35.568962097167969</v>
      </c>
      <c r="E84" s="14" t="s">
        <v>24</v>
      </c>
      <c r="F84" s="14"/>
      <c r="G84" s="14">
        <v>74.679595947265625</v>
      </c>
      <c r="H84" s="14" t="s">
        <v>24</v>
      </c>
      <c r="I84" s="14" t="s">
        <v>25</v>
      </c>
      <c r="J84" s="14">
        <v>36.91510009765625</v>
      </c>
      <c r="K84" s="14"/>
      <c r="L84" s="14"/>
      <c r="M84" s="14">
        <v>74.84906005859375</v>
      </c>
      <c r="N84" s="14" t="s">
        <v>24</v>
      </c>
      <c r="O84" s="14" t="s">
        <v>25</v>
      </c>
      <c r="P84" s="14">
        <v>36.923274993896484</v>
      </c>
      <c r="Q84" s="14"/>
      <c r="R84" s="14"/>
      <c r="S84" s="14">
        <v>73.353553771972656</v>
      </c>
      <c r="T84" s="14" t="s">
        <v>24</v>
      </c>
      <c r="U84" s="13" t="s">
        <v>25</v>
      </c>
    </row>
    <row r="85" spans="1:21" x14ac:dyDescent="0.2">
      <c r="A85" s="15" t="s">
        <v>124</v>
      </c>
      <c r="B85" s="14" t="s">
        <v>148</v>
      </c>
      <c r="C85" s="14" t="s">
        <v>49</v>
      </c>
      <c r="D85" s="14">
        <v>34.992061614990234</v>
      </c>
      <c r="E85" s="14" t="s">
        <v>24</v>
      </c>
      <c r="F85" s="14"/>
      <c r="G85" s="14">
        <v>75.425247192382813</v>
      </c>
      <c r="H85" s="14" t="s">
        <v>24</v>
      </c>
      <c r="I85" s="14" t="s">
        <v>25</v>
      </c>
      <c r="J85" s="14">
        <v>36.956821441650391</v>
      </c>
      <c r="K85" s="14"/>
      <c r="L85" s="14"/>
      <c r="M85" s="14">
        <v>76.48419189453125</v>
      </c>
      <c r="N85" s="14" t="s">
        <v>24</v>
      </c>
      <c r="O85" s="14" t="s">
        <v>25</v>
      </c>
      <c r="P85" s="14">
        <v>34.937397003173828</v>
      </c>
      <c r="Q85" s="14"/>
      <c r="R85" s="14"/>
      <c r="S85" s="14">
        <v>76.62896728515625</v>
      </c>
      <c r="T85" s="14">
        <v>73.051162719726563</v>
      </c>
      <c r="U85" s="13" t="s">
        <v>25</v>
      </c>
    </row>
    <row r="86" spans="1:21" x14ac:dyDescent="0.2">
      <c r="A86" s="15" t="s">
        <v>100</v>
      </c>
      <c r="B86" s="14" t="s">
        <v>148</v>
      </c>
      <c r="C86" s="14" t="s">
        <v>0</v>
      </c>
      <c r="D86" s="14">
        <v>32.922679901123047</v>
      </c>
      <c r="E86" s="14" t="s">
        <v>24</v>
      </c>
      <c r="F86" s="14"/>
      <c r="G86" s="14">
        <v>75.872665405273438</v>
      </c>
      <c r="H86" s="14" t="s">
        <v>24</v>
      </c>
      <c r="I86" s="14" t="s">
        <v>25</v>
      </c>
      <c r="J86" s="14">
        <v>36.943595886230469</v>
      </c>
      <c r="K86" s="14"/>
      <c r="L86" s="14"/>
      <c r="M86" s="14">
        <v>82.296295166015625</v>
      </c>
      <c r="N86" s="14">
        <v>73.801681518554688</v>
      </c>
      <c r="O86" s="14" t="s">
        <v>25</v>
      </c>
      <c r="P86" s="14">
        <v>33.9249267578125</v>
      </c>
      <c r="Q86" s="14"/>
      <c r="R86" s="14"/>
      <c r="S86" s="14">
        <v>74.243316650390625</v>
      </c>
      <c r="T86" s="14" t="s">
        <v>24</v>
      </c>
      <c r="U86" s="13" t="s">
        <v>25</v>
      </c>
    </row>
    <row r="87" spans="1:21" x14ac:dyDescent="0.2">
      <c r="A87" s="15" t="s">
        <v>101</v>
      </c>
      <c r="B87" s="14" t="s">
        <v>148</v>
      </c>
      <c r="C87" s="14" t="s">
        <v>1</v>
      </c>
      <c r="D87" s="14">
        <v>36.917400360107422</v>
      </c>
      <c r="E87" s="14" t="s">
        <v>24</v>
      </c>
      <c r="F87" s="14"/>
      <c r="G87" s="14">
        <v>75.573646545410156</v>
      </c>
      <c r="H87" s="14">
        <v>80.047882080078125</v>
      </c>
      <c r="I87" s="14" t="s">
        <v>25</v>
      </c>
      <c r="J87" s="14">
        <v>37.088008880615234</v>
      </c>
      <c r="K87" s="14"/>
      <c r="L87" s="14"/>
      <c r="M87" s="14">
        <v>76.483322143554688</v>
      </c>
      <c r="N87" s="14" t="s">
        <v>24</v>
      </c>
      <c r="O87" s="14" t="s">
        <v>25</v>
      </c>
      <c r="P87" s="14">
        <v>36.939502716064453</v>
      </c>
      <c r="Q87" s="14"/>
      <c r="R87" s="14"/>
      <c r="S87" s="14">
        <v>75.435882568359375</v>
      </c>
      <c r="T87" s="14" t="s">
        <v>24</v>
      </c>
      <c r="U87" s="13" t="s">
        <v>25</v>
      </c>
    </row>
    <row r="88" spans="1:21" ht="13.5" thickBot="1" x14ac:dyDescent="0.25">
      <c r="A88" s="12" t="s">
        <v>102</v>
      </c>
      <c r="B88" s="11" t="s">
        <v>148</v>
      </c>
      <c r="C88" s="11" t="s">
        <v>2</v>
      </c>
      <c r="D88" s="11">
        <v>32.91473388671875</v>
      </c>
      <c r="E88" s="11" t="s">
        <v>24</v>
      </c>
      <c r="F88" s="11"/>
      <c r="G88" s="11">
        <v>77.810760498046875</v>
      </c>
      <c r="H88" s="11" t="s">
        <v>24</v>
      </c>
      <c r="I88" s="11" t="s">
        <v>25</v>
      </c>
      <c r="J88" s="11">
        <v>37.0140380859375</v>
      </c>
      <c r="K88" s="11"/>
      <c r="L88" s="11"/>
      <c r="M88" s="11">
        <v>79.0167236328125</v>
      </c>
      <c r="N88" s="11" t="s">
        <v>24</v>
      </c>
      <c r="O88" s="11" t="s">
        <v>25</v>
      </c>
      <c r="P88" s="11">
        <v>37.038898468017578</v>
      </c>
      <c r="Q88" s="11"/>
      <c r="R88" s="11"/>
      <c r="S88" s="11">
        <v>75.285667419433594</v>
      </c>
      <c r="T88" s="11" t="s">
        <v>24</v>
      </c>
      <c r="U88" s="10" t="s">
        <v>25</v>
      </c>
    </row>
    <row r="89" spans="1:21" x14ac:dyDescent="0.2">
      <c r="A89" s="9" t="s">
        <v>149</v>
      </c>
    </row>
    <row r="90" spans="1:21" x14ac:dyDescent="0.2">
      <c r="A90" s="9" t="s">
        <v>103</v>
      </c>
      <c r="B90" s="9" t="s">
        <v>104</v>
      </c>
    </row>
    <row r="91" spans="1:21"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O6" zoomScale="91" workbookViewId="0">
      <selection activeCell="AB19" sqref="AB11:AB19"/>
    </sheetView>
  </sheetViews>
  <sheetFormatPr defaultRowHeight="12.75" x14ac:dyDescent="0.2"/>
  <cols>
    <col min="1" max="2" width="9.140625" style="9"/>
    <col min="3" max="3" width="9.42578125" style="9" customWidth="1"/>
    <col min="4"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141</v>
      </c>
      <c r="H2" s="21" t="s">
        <v>138</v>
      </c>
      <c r="I2" s="21"/>
      <c r="J2" s="21"/>
      <c r="K2" s="21"/>
      <c r="L2" s="21" t="s">
        <v>137</v>
      </c>
      <c r="M2" s="21"/>
      <c r="N2" s="21"/>
      <c r="O2" s="21"/>
      <c r="P2" s="21" t="s">
        <v>136</v>
      </c>
      <c r="Q2" s="21"/>
      <c r="R2" s="21"/>
      <c r="S2" s="20"/>
    </row>
    <row r="3" spans="1:40" ht="63.75" x14ac:dyDescent="0.2">
      <c r="G3" s="18" t="s">
        <v>140</v>
      </c>
      <c r="H3" s="17" t="s">
        <v>0</v>
      </c>
      <c r="I3" s="17" t="s">
        <v>1</v>
      </c>
      <c r="J3" s="17" t="s">
        <v>2</v>
      </c>
      <c r="K3" s="27" t="s">
        <v>139</v>
      </c>
      <c r="L3" s="17" t="s">
        <v>0</v>
      </c>
      <c r="M3" s="17" t="s">
        <v>1</v>
      </c>
      <c r="N3" s="17" t="s">
        <v>2</v>
      </c>
      <c r="O3" s="27" t="s">
        <v>139</v>
      </c>
      <c r="P3" s="17" t="s">
        <v>0</v>
      </c>
      <c r="Q3" s="17" t="s">
        <v>1</v>
      </c>
      <c r="R3" s="17" t="s">
        <v>2</v>
      </c>
      <c r="S3" s="26" t="s">
        <v>139</v>
      </c>
    </row>
    <row r="4" spans="1:40" x14ac:dyDescent="0.2">
      <c r="G4" s="15" t="s">
        <v>15</v>
      </c>
      <c r="H4" s="14">
        <v>24.973037719726563</v>
      </c>
      <c r="I4" s="14">
        <v>18.685613632202148</v>
      </c>
      <c r="J4" s="14">
        <v>19.903356552124023</v>
      </c>
      <c r="K4" s="14">
        <f>AVERAGE(H4:J4)</f>
        <v>21.187335968017578</v>
      </c>
      <c r="L4" s="14">
        <v>19.214027404785156</v>
      </c>
      <c r="M4" s="14">
        <v>12.25522518157959</v>
      </c>
      <c r="N4" s="14">
        <v>14.64696216583252</v>
      </c>
      <c r="O4" s="14">
        <f>AVERAGE(L4:N4)</f>
        <v>15.372071584065756</v>
      </c>
      <c r="P4" s="14">
        <v>18.579801559448242</v>
      </c>
      <c r="Q4" s="14">
        <v>12.716633796691895</v>
      </c>
      <c r="R4" s="14">
        <v>13.101971626281738</v>
      </c>
      <c r="S4" s="13">
        <f>AVERAGE(P4:R4)</f>
        <v>14.799468994140625</v>
      </c>
    </row>
    <row r="5" spans="1:40" x14ac:dyDescent="0.2">
      <c r="G5" s="15" t="s">
        <v>108</v>
      </c>
      <c r="H5" s="14">
        <v>21.613336563110352</v>
      </c>
      <c r="I5" s="14">
        <v>17.09950065612793</v>
      </c>
      <c r="J5" s="14">
        <v>18.753700256347656</v>
      </c>
      <c r="K5" s="14">
        <f t="shared" ref="K5:K7" si="0">AVERAGE(H5:J5)</f>
        <v>19.15551249186198</v>
      </c>
      <c r="L5" s="14">
        <v>18.603715896606445</v>
      </c>
      <c r="M5" s="14">
        <v>10.813658714294434</v>
      </c>
      <c r="N5" s="14">
        <v>14.121986389160156</v>
      </c>
      <c r="O5" s="14">
        <f t="shared" ref="O5:O7" si="1">AVERAGE(L5:N5)</f>
        <v>14.513120333353678</v>
      </c>
      <c r="P5" s="14">
        <v>17.819442749023438</v>
      </c>
      <c r="Q5" s="14">
        <v>12.296798706054688</v>
      </c>
      <c r="R5" s="14">
        <v>12.702576637268066</v>
      </c>
      <c r="S5" s="13">
        <f t="shared" ref="S5:S7" si="2">AVERAGE(P5:R5)</f>
        <v>14.272939364115397</v>
      </c>
    </row>
    <row r="6" spans="1:40" x14ac:dyDescent="0.2">
      <c r="G6" s="15" t="s">
        <v>109</v>
      </c>
      <c r="H6" s="14">
        <v>21.959981918334961</v>
      </c>
      <c r="I6" s="14">
        <v>17.668352127075195</v>
      </c>
      <c r="J6" s="14">
        <v>19.918825149536133</v>
      </c>
      <c r="K6" s="14">
        <f t="shared" si="0"/>
        <v>19.849053064982098</v>
      </c>
      <c r="L6" s="14">
        <v>19.313669204711914</v>
      </c>
      <c r="M6" s="14">
        <v>11.286240577697754</v>
      </c>
      <c r="N6" s="14">
        <v>15.945725440979004</v>
      </c>
      <c r="O6" s="14">
        <f t="shared" si="1"/>
        <v>15.515211741129557</v>
      </c>
      <c r="P6" s="14">
        <v>18.525245666503906</v>
      </c>
      <c r="Q6" s="14">
        <v>12.302902221679688</v>
      </c>
      <c r="R6" s="14">
        <v>13.42435359954834</v>
      </c>
      <c r="S6" s="13">
        <f t="shared" si="2"/>
        <v>14.750833829243978</v>
      </c>
    </row>
    <row r="7" spans="1:40" ht="13.5" thickBot="1" x14ac:dyDescent="0.25">
      <c r="G7" s="12" t="s">
        <v>125</v>
      </c>
      <c r="H7" s="11">
        <v>21.354347229003906</v>
      </c>
      <c r="I7" s="11">
        <v>17.30485725402832</v>
      </c>
      <c r="J7" s="11">
        <v>19.620914459228516</v>
      </c>
      <c r="K7" s="11">
        <f t="shared" si="0"/>
        <v>19.426706314086914</v>
      </c>
      <c r="L7" s="11">
        <v>21.811470031738281</v>
      </c>
      <c r="M7" s="11">
        <v>12.422223091125488</v>
      </c>
      <c r="N7" s="11">
        <v>16.448562622070313</v>
      </c>
      <c r="O7" s="11">
        <f t="shared" si="1"/>
        <v>16.894085248311359</v>
      </c>
      <c r="P7" s="11">
        <v>18.364534378051758</v>
      </c>
      <c r="Q7" s="11">
        <v>12.503746032714844</v>
      </c>
      <c r="R7" s="11">
        <v>13.513450622558594</v>
      </c>
      <c r="S7" s="10">
        <f t="shared" si="2"/>
        <v>14.793910344441732</v>
      </c>
    </row>
    <row r="8" spans="1:40" ht="13.5" thickBot="1" x14ac:dyDescent="0.25">
      <c r="G8" s="14"/>
      <c r="H8" s="14"/>
      <c r="I8" s="14"/>
      <c r="J8" s="14"/>
      <c r="K8" s="14"/>
      <c r="L8" s="14"/>
      <c r="M8" s="14"/>
      <c r="N8" s="14"/>
      <c r="O8" s="14"/>
      <c r="P8" s="14"/>
      <c r="Q8" s="14"/>
      <c r="R8" s="14"/>
      <c r="S8" s="14"/>
    </row>
    <row r="9" spans="1:40" ht="15" x14ac:dyDescent="0.25">
      <c r="A9" s="25"/>
      <c r="B9" s="21"/>
      <c r="C9" s="21"/>
      <c r="D9" s="29" t="s">
        <v>138</v>
      </c>
      <c r="E9" s="21"/>
      <c r="F9" s="21"/>
      <c r="G9" s="21"/>
      <c r="H9" s="21"/>
      <c r="I9" s="21"/>
      <c r="J9" s="21" t="s">
        <v>137</v>
      </c>
      <c r="K9" s="21"/>
      <c r="L9" s="21"/>
      <c r="M9" s="21"/>
      <c r="N9" s="21"/>
      <c r="O9" s="21"/>
      <c r="P9" s="21" t="s">
        <v>136</v>
      </c>
      <c r="Q9" s="24"/>
      <c r="R9" s="24"/>
      <c r="S9" s="24"/>
      <c r="T9" s="24"/>
      <c r="U9" s="23"/>
      <c r="AA9" s="22" t="s">
        <v>143</v>
      </c>
      <c r="AB9" s="21"/>
      <c r="AC9" s="21"/>
      <c r="AD9" s="21"/>
      <c r="AE9" s="21"/>
      <c r="AF9" s="21"/>
      <c r="AG9" s="21"/>
      <c r="AH9" s="21"/>
      <c r="AI9" s="21"/>
      <c r="AJ9" s="21"/>
      <c r="AK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7" t="s">
        <v>120</v>
      </c>
      <c r="P10" s="17" t="s">
        <v>20</v>
      </c>
      <c r="Q10" s="17" t="s">
        <v>21</v>
      </c>
      <c r="R10" s="17" t="s">
        <v>107</v>
      </c>
      <c r="S10" s="17" t="s">
        <v>22</v>
      </c>
      <c r="T10" s="17" t="s">
        <v>23</v>
      </c>
      <c r="U10" s="19" t="s">
        <v>120</v>
      </c>
      <c r="AA10" s="18" t="s">
        <v>110</v>
      </c>
      <c r="AB10" s="17" t="s">
        <v>111</v>
      </c>
      <c r="AC10" s="17" t="s">
        <v>113</v>
      </c>
      <c r="AD10" s="17" t="s">
        <v>135</v>
      </c>
      <c r="AE10" s="17" t="s">
        <v>134</v>
      </c>
      <c r="AF10" s="17" t="s">
        <v>37</v>
      </c>
      <c r="AG10" s="17" t="s">
        <v>135</v>
      </c>
      <c r="AH10" s="17" t="s">
        <v>134</v>
      </c>
      <c r="AI10" s="17" t="s">
        <v>49</v>
      </c>
      <c r="AJ10" s="17" t="s">
        <v>135</v>
      </c>
      <c r="AK10" s="17" t="s">
        <v>134</v>
      </c>
      <c r="AN10" s="16"/>
    </row>
    <row r="11" spans="1:40" x14ac:dyDescent="0.2">
      <c r="A11" s="15" t="s">
        <v>5</v>
      </c>
      <c r="B11" s="14" t="s">
        <v>15</v>
      </c>
      <c r="C11" s="14" t="s">
        <v>3</v>
      </c>
      <c r="D11" s="14">
        <v>21.037069320678711</v>
      </c>
      <c r="E11" s="14">
        <f>D11-21.18734</f>
        <v>-0.15027067932128801</v>
      </c>
      <c r="F11" s="14">
        <f t="shared" ref="F11:F46" si="3">POWER(2,-E11)</f>
        <v>1.109777669697714</v>
      </c>
      <c r="G11" s="14">
        <v>79.311614990234375</v>
      </c>
      <c r="H11" s="14" t="s">
        <v>24</v>
      </c>
      <c r="I11" s="14" t="s">
        <v>25</v>
      </c>
      <c r="J11" s="14">
        <v>15.667795181274414</v>
      </c>
      <c r="K11" s="14">
        <f>J11-15.37207</f>
        <v>0.29572518127441327</v>
      </c>
      <c r="L11" s="14">
        <f>POWER(2,-K11)</f>
        <v>0.81466273325190852</v>
      </c>
      <c r="M11" s="14">
        <v>79.305435180664063</v>
      </c>
      <c r="N11" s="14" t="s">
        <v>24</v>
      </c>
      <c r="O11" s="14" t="s">
        <v>25</v>
      </c>
      <c r="P11" s="14">
        <v>13.927349090576172</v>
      </c>
      <c r="Q11" s="14">
        <f>P11-14.79947</f>
        <v>-0.87212090942382758</v>
      </c>
      <c r="R11" s="14">
        <f>POWER(2,-Q11)</f>
        <v>1.8303517279936659</v>
      </c>
      <c r="S11" s="14">
        <v>79.011573791503906</v>
      </c>
      <c r="T11" s="14" t="s">
        <v>24</v>
      </c>
      <c r="U11" s="13" t="s">
        <v>25</v>
      </c>
      <c r="AA11" s="15"/>
      <c r="AB11" s="14" t="s">
        <v>150</v>
      </c>
      <c r="AC11" s="14">
        <v>1.109777669697714</v>
      </c>
      <c r="AD11" s="14">
        <f>AC11/AC11</f>
        <v>1</v>
      </c>
      <c r="AE11" s="14">
        <f>AVERAGE(AD11:AD19)</f>
        <v>1</v>
      </c>
      <c r="AF11" s="14">
        <v>3.6996494735592557E-2</v>
      </c>
      <c r="AG11" s="14">
        <f>AF11/AF11</f>
        <v>1</v>
      </c>
      <c r="AH11" s="14">
        <f>AVERAGE(AG11:AG19)</f>
        <v>1</v>
      </c>
      <c r="AI11" s="14">
        <v>2.7915494424510197E-2</v>
      </c>
      <c r="AJ11" s="14">
        <f>AI11/AI11</f>
        <v>1</v>
      </c>
      <c r="AK11" s="13">
        <f>AVERAGE(AJ11:AJ19)</f>
        <v>1</v>
      </c>
    </row>
    <row r="12" spans="1:40" x14ac:dyDescent="0.2">
      <c r="A12" s="15" t="s">
        <v>6</v>
      </c>
      <c r="B12" s="14" t="s">
        <v>15</v>
      </c>
      <c r="C12" s="14" t="s">
        <v>3</v>
      </c>
      <c r="D12" s="14">
        <v>21.035209655761719</v>
      </c>
      <c r="E12" s="14">
        <f t="shared" ref="E12:E37" si="4">D12-21.18734</f>
        <v>-0.1521303442382802</v>
      </c>
      <c r="F12" s="14">
        <f t="shared" si="3"/>
        <v>1.1112091193539968</v>
      </c>
      <c r="G12" s="14">
        <v>79.311614990234375</v>
      </c>
      <c r="H12" s="14" t="s">
        <v>24</v>
      </c>
      <c r="I12" s="14" t="s">
        <v>25</v>
      </c>
      <c r="J12" s="14">
        <v>15.656705856323242</v>
      </c>
      <c r="K12" s="14">
        <f t="shared" ref="K12:K13" si="5">J12-15.37207</f>
        <v>0.2846358563232414</v>
      </c>
      <c r="L12" s="14">
        <f t="shared" ref="L12:L45" si="6">POWER(2,-K12)</f>
        <v>0.82094879437619273</v>
      </c>
      <c r="M12" s="14">
        <v>79.305435180664063</v>
      </c>
      <c r="N12" s="14" t="s">
        <v>24</v>
      </c>
      <c r="O12" s="14" t="s">
        <v>25</v>
      </c>
      <c r="P12" s="14">
        <v>13.887002944946289</v>
      </c>
      <c r="Q12" s="14">
        <f t="shared" ref="Q12:Q13" si="7">P12-14.79947</f>
        <v>-0.9124670550537104</v>
      </c>
      <c r="R12" s="14">
        <f t="shared" ref="R12:R46" si="8">POWER(2,-Q12)</f>
        <v>1.8822614757673151</v>
      </c>
      <c r="S12" s="14">
        <v>79.160675048828125</v>
      </c>
      <c r="T12" s="14" t="s">
        <v>24</v>
      </c>
      <c r="U12" s="13" t="s">
        <v>25</v>
      </c>
      <c r="AA12" s="15"/>
      <c r="AB12" s="14" t="s">
        <v>150</v>
      </c>
      <c r="AC12" s="14">
        <v>1.1112091193539968</v>
      </c>
      <c r="AD12" s="14">
        <f t="shared" ref="AD12:AD19" si="9">AC12/AC12</f>
        <v>1</v>
      </c>
      <c r="AE12" s="14">
        <f>STDEV(AD11:AD19)</f>
        <v>0</v>
      </c>
      <c r="AF12" s="14">
        <v>3.4228053905267355E-2</v>
      </c>
      <c r="AG12" s="14">
        <f t="shared" ref="AG12:AG19" si="10">AF12/AF12</f>
        <v>1</v>
      </c>
      <c r="AH12" s="14">
        <f>STDEV(AG11:AG19)</f>
        <v>0</v>
      </c>
      <c r="AI12" s="14">
        <v>2.5324279389159574E-2</v>
      </c>
      <c r="AJ12" s="14">
        <f t="shared" ref="AJ12:AJ19" si="11">AI12/AI12</f>
        <v>1</v>
      </c>
      <c r="AK12" s="13">
        <f>STDEV(AJ11:AJ19)</f>
        <v>0</v>
      </c>
    </row>
    <row r="13" spans="1:40" x14ac:dyDescent="0.2">
      <c r="A13" s="15" t="s">
        <v>7</v>
      </c>
      <c r="B13" s="14" t="s">
        <v>15</v>
      </c>
      <c r="C13" s="14" t="s">
        <v>3</v>
      </c>
      <c r="D13" s="14">
        <v>21.004135131835938</v>
      </c>
      <c r="E13" s="14">
        <f t="shared" si="4"/>
        <v>-0.18320486816406145</v>
      </c>
      <c r="F13" s="14">
        <f t="shared" si="3"/>
        <v>1.1354033222741475</v>
      </c>
      <c r="G13" s="14">
        <v>79.305831909179688</v>
      </c>
      <c r="H13" s="14" t="s">
        <v>24</v>
      </c>
      <c r="I13" s="14" t="s">
        <v>25</v>
      </c>
      <c r="J13" s="14">
        <v>15.643670082092285</v>
      </c>
      <c r="K13" s="14">
        <f t="shared" si="5"/>
        <v>0.27160008209228437</v>
      </c>
      <c r="L13" s="14">
        <f t="shared" si="6"/>
        <v>0.82840026369516306</v>
      </c>
      <c r="M13" s="14">
        <v>79.153602600097656</v>
      </c>
      <c r="N13" s="14" t="s">
        <v>24</v>
      </c>
      <c r="O13" s="14" t="s">
        <v>25</v>
      </c>
      <c r="P13" s="14">
        <v>13.879446983337402</v>
      </c>
      <c r="Q13" s="14">
        <f t="shared" si="7"/>
        <v>-0.92002301666259712</v>
      </c>
      <c r="R13" s="14">
        <f t="shared" si="8"/>
        <v>1.892145480375989</v>
      </c>
      <c r="S13" s="14">
        <v>79.008255004882813</v>
      </c>
      <c r="T13" s="14" t="s">
        <v>24</v>
      </c>
      <c r="U13" s="13" t="s">
        <v>25</v>
      </c>
      <c r="AA13" s="15"/>
      <c r="AB13" s="14" t="s">
        <v>150</v>
      </c>
      <c r="AC13" s="14">
        <v>1.1354033222741475</v>
      </c>
      <c r="AD13" s="14">
        <f t="shared" si="9"/>
        <v>1</v>
      </c>
      <c r="AE13" s="14"/>
      <c r="AF13" s="14">
        <v>3.5121847866656265E-2</v>
      </c>
      <c r="AG13" s="14">
        <f t="shared" si="10"/>
        <v>1</v>
      </c>
      <c r="AH13" s="14"/>
      <c r="AI13" s="14">
        <v>2.8679538264163085E-2</v>
      </c>
      <c r="AJ13" s="14">
        <f t="shared" si="11"/>
        <v>1</v>
      </c>
      <c r="AK13" s="13"/>
    </row>
    <row r="14" spans="1:40" x14ac:dyDescent="0.2">
      <c r="A14" s="15" t="s">
        <v>26</v>
      </c>
      <c r="B14" s="14" t="s">
        <v>108</v>
      </c>
      <c r="C14" s="14" t="s">
        <v>3</v>
      </c>
      <c r="D14" s="14">
        <v>17.462686538696289</v>
      </c>
      <c r="E14" s="14">
        <f>D14-19.1555</f>
        <v>-1.6928134613037109</v>
      </c>
      <c r="F14" s="14">
        <f t="shared" si="3"/>
        <v>3.2328654426674697</v>
      </c>
      <c r="G14" s="14">
        <v>79.156661987304688</v>
      </c>
      <c r="H14" s="14" t="s">
        <v>24</v>
      </c>
      <c r="I14" s="14" t="s">
        <v>25</v>
      </c>
      <c r="J14" s="14">
        <v>14.78773307800293</v>
      </c>
      <c r="K14" s="14">
        <f>J14-14.51312</f>
        <v>0.274613078002929</v>
      </c>
      <c r="L14" s="14">
        <f t="shared" si="6"/>
        <v>0.82667199680615988</v>
      </c>
      <c r="M14" s="14">
        <v>79.153602600097656</v>
      </c>
      <c r="N14" s="14" t="s">
        <v>24</v>
      </c>
      <c r="O14" s="14" t="s">
        <v>25</v>
      </c>
      <c r="P14" s="14">
        <v>13.218544006347656</v>
      </c>
      <c r="Q14" s="14">
        <f>P14-14.27294</f>
        <v>-1.0543959936523439</v>
      </c>
      <c r="R14" s="14">
        <f t="shared" si="8"/>
        <v>2.076848520151922</v>
      </c>
      <c r="S14" s="14">
        <v>79.008255004882813</v>
      </c>
      <c r="T14" s="14" t="s">
        <v>24</v>
      </c>
      <c r="U14" s="13" t="s">
        <v>25</v>
      </c>
      <c r="AA14" s="15"/>
      <c r="AB14" s="14" t="s">
        <v>150</v>
      </c>
      <c r="AC14" s="14">
        <v>0.81466362774451406</v>
      </c>
      <c r="AD14" s="14">
        <f t="shared" si="9"/>
        <v>1</v>
      </c>
      <c r="AE14" s="14"/>
      <c r="AF14" s="14">
        <v>1.0774662149479922E-2</v>
      </c>
      <c r="AG14" s="14">
        <f t="shared" si="10"/>
        <v>1</v>
      </c>
      <c r="AH14" s="14"/>
      <c r="AI14" s="14">
        <v>1.971363946642447E-2</v>
      </c>
      <c r="AJ14" s="14">
        <f t="shared" si="11"/>
        <v>1</v>
      </c>
      <c r="AK14" s="13"/>
    </row>
    <row r="15" spans="1:40" x14ac:dyDescent="0.2">
      <c r="A15" s="15" t="s">
        <v>28</v>
      </c>
      <c r="B15" s="14" t="s">
        <v>108</v>
      </c>
      <c r="C15" s="14" t="s">
        <v>3</v>
      </c>
      <c r="D15" s="14">
        <v>17.462072372436523</v>
      </c>
      <c r="E15" s="14">
        <f t="shared" ref="E15:E16" si="12">D15-19.1555</f>
        <v>-1.6934276275634765</v>
      </c>
      <c r="F15" s="14">
        <f t="shared" si="3"/>
        <v>3.2342419910756677</v>
      </c>
      <c r="G15" s="14">
        <v>79.158241271972656</v>
      </c>
      <c r="H15" s="14" t="s">
        <v>24</v>
      </c>
      <c r="I15" s="14" t="s">
        <v>25</v>
      </c>
      <c r="J15" s="14">
        <v>14.774134635925293</v>
      </c>
      <c r="K15" s="14">
        <f t="shared" ref="K15:K16" si="13">J15-14.51312</f>
        <v>0.26101463592529228</v>
      </c>
      <c r="L15" s="14">
        <f t="shared" si="6"/>
        <v>0.83450081522657793</v>
      </c>
      <c r="M15" s="14">
        <v>79.153472900390625</v>
      </c>
      <c r="N15" s="14" t="s">
        <v>24</v>
      </c>
      <c r="O15" s="14" t="s">
        <v>25</v>
      </c>
      <c r="P15" s="14">
        <v>13.171116828918457</v>
      </c>
      <c r="Q15" s="14">
        <f t="shared" ref="Q15:Q16" si="14">P15-14.27294</f>
        <v>-1.1018231710815432</v>
      </c>
      <c r="R15" s="14">
        <f t="shared" si="8"/>
        <v>2.1462574931754452</v>
      </c>
      <c r="S15" s="14">
        <v>79.009017944335938</v>
      </c>
      <c r="T15" s="14" t="s">
        <v>24</v>
      </c>
      <c r="U15" s="13" t="s">
        <v>25</v>
      </c>
      <c r="AA15" s="15"/>
      <c r="AB15" s="14" t="s">
        <v>150</v>
      </c>
      <c r="AC15" s="14">
        <v>0.82094969577083876</v>
      </c>
      <c r="AD15" s="14">
        <f t="shared" si="9"/>
        <v>1</v>
      </c>
      <c r="AE15" s="14"/>
      <c r="AF15" s="14">
        <v>1.0594225788703322E-2</v>
      </c>
      <c r="AG15" s="14">
        <f t="shared" si="10"/>
        <v>1</v>
      </c>
      <c r="AH15" s="14"/>
      <c r="AI15" s="14">
        <v>1.9407765540363112E-2</v>
      </c>
      <c r="AJ15" s="14">
        <f t="shared" si="11"/>
        <v>1</v>
      </c>
      <c r="AK15" s="13"/>
    </row>
    <row r="16" spans="1:40" x14ac:dyDescent="0.2">
      <c r="A16" s="15" t="s">
        <v>29</v>
      </c>
      <c r="B16" s="14" t="s">
        <v>108</v>
      </c>
      <c r="C16" s="14" t="s">
        <v>3</v>
      </c>
      <c r="D16" s="14">
        <v>17.448448181152344</v>
      </c>
      <c r="E16" s="14">
        <f t="shared" si="12"/>
        <v>-1.7070518188476562</v>
      </c>
      <c r="F16" s="14">
        <f t="shared" si="3"/>
        <v>3.2649294525214625</v>
      </c>
      <c r="G16" s="14">
        <v>79.158241271972656</v>
      </c>
      <c r="H16" s="14" t="s">
        <v>24</v>
      </c>
      <c r="I16" s="14" t="s">
        <v>25</v>
      </c>
      <c r="J16" s="14">
        <v>14.745377540588379</v>
      </c>
      <c r="K16" s="14">
        <f t="shared" si="13"/>
        <v>0.23225754058837822</v>
      </c>
      <c r="L16" s="14">
        <f t="shared" si="6"/>
        <v>0.85130172530549741</v>
      </c>
      <c r="M16" s="14">
        <v>79.153472900390625</v>
      </c>
      <c r="N16" s="14" t="s">
        <v>24</v>
      </c>
      <c r="O16" s="14" t="s">
        <v>25</v>
      </c>
      <c r="P16" s="14">
        <v>13.182371139526367</v>
      </c>
      <c r="Q16" s="14">
        <f t="shared" si="14"/>
        <v>-1.090568860473633</v>
      </c>
      <c r="R16" s="14">
        <f t="shared" si="8"/>
        <v>2.1295799013241496</v>
      </c>
      <c r="S16" s="14">
        <v>79.009017944335938</v>
      </c>
      <c r="T16" s="14" t="s">
        <v>24</v>
      </c>
      <c r="U16" s="13" t="s">
        <v>25</v>
      </c>
      <c r="AA16" s="15"/>
      <c r="AB16" s="14" t="s">
        <v>150</v>
      </c>
      <c r="AC16" s="14">
        <v>0.82840117327145768</v>
      </c>
      <c r="AD16" s="14">
        <f t="shared" si="9"/>
        <v>1</v>
      </c>
      <c r="AE16" s="14"/>
      <c r="AF16" s="14">
        <v>1.051513454036007E-2</v>
      </c>
      <c r="AG16" s="14">
        <f t="shared" si="10"/>
        <v>1</v>
      </c>
      <c r="AH16" s="14"/>
      <c r="AI16" s="14">
        <v>1.9563389101227194E-2</v>
      </c>
      <c r="AJ16" s="14">
        <f t="shared" si="11"/>
        <v>1</v>
      </c>
      <c r="AK16" s="13"/>
    </row>
    <row r="17" spans="1:37" x14ac:dyDescent="0.2">
      <c r="A17" s="15" t="s">
        <v>30</v>
      </c>
      <c r="B17" s="14" t="s">
        <v>109</v>
      </c>
      <c r="C17" s="14" t="s">
        <v>3</v>
      </c>
      <c r="D17" s="14">
        <v>16.815364837646484</v>
      </c>
      <c r="E17" s="14">
        <f>D17-19.84905</f>
        <v>-3.0336851623535139</v>
      </c>
      <c r="F17" s="14">
        <f t="shared" si="3"/>
        <v>8.1889879351865265</v>
      </c>
      <c r="G17" s="14">
        <v>79.154769897460938</v>
      </c>
      <c r="H17" s="14" t="s">
        <v>24</v>
      </c>
      <c r="I17" s="14" t="s">
        <v>25</v>
      </c>
      <c r="J17" s="14">
        <v>12.829039573669434</v>
      </c>
      <c r="K17" s="14">
        <f>J17-15.5152</f>
        <v>-2.6861604263305665</v>
      </c>
      <c r="L17" s="14">
        <f t="shared" si="6"/>
        <v>6.4359826029529801</v>
      </c>
      <c r="M17" s="14">
        <v>79.153045654296875</v>
      </c>
      <c r="N17" s="14" t="s">
        <v>24</v>
      </c>
      <c r="O17" s="14" t="s">
        <v>25</v>
      </c>
      <c r="P17" s="14">
        <v>13.15038013458252</v>
      </c>
      <c r="Q17" s="14">
        <f>P17-14.75083</f>
        <v>-1.600449865417481</v>
      </c>
      <c r="R17" s="14">
        <f t="shared" si="8"/>
        <v>3.0323785508240255</v>
      </c>
      <c r="S17" s="14">
        <v>79.010116577148438</v>
      </c>
      <c r="T17" s="14" t="s">
        <v>24</v>
      </c>
      <c r="U17" s="13" t="s">
        <v>25</v>
      </c>
      <c r="AA17" s="15"/>
      <c r="AB17" s="14" t="s">
        <v>150</v>
      </c>
      <c r="AC17" s="14">
        <v>1.8303504518571643</v>
      </c>
      <c r="AD17" s="14">
        <f t="shared" si="9"/>
        <v>1</v>
      </c>
      <c r="AE17" s="14"/>
      <c r="AF17" s="14">
        <v>3.652579562760664E-2</v>
      </c>
      <c r="AG17" s="14">
        <f t="shared" si="10"/>
        <v>1</v>
      </c>
      <c r="AH17" s="14"/>
      <c r="AI17" s="14">
        <v>1.5902341260283854E-2</v>
      </c>
      <c r="AJ17" s="14">
        <f t="shared" si="11"/>
        <v>1</v>
      </c>
      <c r="AK17" s="13"/>
    </row>
    <row r="18" spans="1:37" x14ac:dyDescent="0.2">
      <c r="A18" s="15" t="s">
        <v>32</v>
      </c>
      <c r="B18" s="14" t="s">
        <v>109</v>
      </c>
      <c r="C18" s="14" t="s">
        <v>3</v>
      </c>
      <c r="D18" s="14">
        <v>16.755746841430664</v>
      </c>
      <c r="E18" s="14">
        <f t="shared" ref="E18:E19" si="15">D18-19.84905</f>
        <v>-3.0933031585693342</v>
      </c>
      <c r="F18" s="14">
        <f t="shared" si="3"/>
        <v>8.5344794383425775</v>
      </c>
      <c r="G18" s="14">
        <v>79.154769897460938</v>
      </c>
      <c r="H18" s="14" t="s">
        <v>24</v>
      </c>
      <c r="I18" s="14" t="s">
        <v>25</v>
      </c>
      <c r="J18" s="14">
        <v>12.758946418762207</v>
      </c>
      <c r="K18" s="14">
        <f t="shared" ref="K18:K19" si="16">J18-15.5152</f>
        <v>-2.7562535812377931</v>
      </c>
      <c r="L18" s="14">
        <f t="shared" si="6"/>
        <v>6.7563945605541065</v>
      </c>
      <c r="M18" s="14">
        <v>79.153045654296875</v>
      </c>
      <c r="N18" s="14" t="s">
        <v>24</v>
      </c>
      <c r="O18" s="14" t="s">
        <v>25</v>
      </c>
      <c r="P18" s="14">
        <v>13.064396858215332</v>
      </c>
      <c r="Q18" s="14">
        <f t="shared" ref="Q18:Q19" si="17">P18-14.75083</f>
        <v>-1.6864331417846685</v>
      </c>
      <c r="R18" s="14">
        <f t="shared" si="8"/>
        <v>3.2185996621391859</v>
      </c>
      <c r="S18" s="14">
        <v>79.010116577148438</v>
      </c>
      <c r="T18" s="14" t="s">
        <v>24</v>
      </c>
      <c r="U18" s="13" t="s">
        <v>25</v>
      </c>
      <c r="AA18" s="15"/>
      <c r="AB18" s="14" t="s">
        <v>150</v>
      </c>
      <c r="AC18" s="14">
        <v>1.882260163438904</v>
      </c>
      <c r="AD18" s="14">
        <f t="shared" si="9"/>
        <v>1</v>
      </c>
      <c r="AE18" s="14"/>
      <c r="AF18" s="14">
        <v>3.63525577062285E-2</v>
      </c>
      <c r="AG18" s="14">
        <f t="shared" si="10"/>
        <v>1</v>
      </c>
      <c r="AH18" s="14"/>
      <c r="AI18" s="14">
        <v>1.5969444074504138E-2</v>
      </c>
      <c r="AJ18" s="14">
        <f t="shared" si="11"/>
        <v>1</v>
      </c>
      <c r="AK18" s="13"/>
    </row>
    <row r="19" spans="1:37" x14ac:dyDescent="0.2">
      <c r="A19" s="15" t="s">
        <v>33</v>
      </c>
      <c r="B19" s="14" t="s">
        <v>109</v>
      </c>
      <c r="C19" s="14" t="s">
        <v>3</v>
      </c>
      <c r="D19" s="14">
        <v>16.760099411010742</v>
      </c>
      <c r="E19" s="14">
        <f t="shared" si="15"/>
        <v>-3.0889505889892561</v>
      </c>
      <c r="F19" s="14">
        <f t="shared" si="3"/>
        <v>8.5087699604180678</v>
      </c>
      <c r="G19" s="14">
        <v>79.303466796875</v>
      </c>
      <c r="H19" s="14" t="s">
        <v>24</v>
      </c>
      <c r="I19" s="14" t="s">
        <v>25</v>
      </c>
      <c r="J19" s="14">
        <v>12.794787406921387</v>
      </c>
      <c r="K19" s="14">
        <f t="shared" si="16"/>
        <v>-2.7204125930786134</v>
      </c>
      <c r="L19" s="14">
        <f t="shared" si="6"/>
        <v>6.5906127030072286</v>
      </c>
      <c r="M19" s="14">
        <v>79.300933837890625</v>
      </c>
      <c r="N19" s="14" t="s">
        <v>24</v>
      </c>
      <c r="O19" s="14" t="s">
        <v>25</v>
      </c>
      <c r="P19" s="14">
        <v>13.087660789489746</v>
      </c>
      <c r="Q19" s="14">
        <f t="shared" si="17"/>
        <v>-1.6631692105102545</v>
      </c>
      <c r="R19" s="14">
        <f t="shared" si="8"/>
        <v>3.1671149056037979</v>
      </c>
      <c r="S19" s="14">
        <v>79.007057189941406</v>
      </c>
      <c r="T19" s="14" t="s">
        <v>24</v>
      </c>
      <c r="U19" s="13" t="s">
        <v>25</v>
      </c>
      <c r="AA19" s="15"/>
      <c r="AB19" s="14" t="s">
        <v>150</v>
      </c>
      <c r="AC19" s="14">
        <v>1.8921441611563672</v>
      </c>
      <c r="AD19" s="14">
        <f t="shared" si="9"/>
        <v>1</v>
      </c>
      <c r="AE19" s="14"/>
      <c r="AF19" s="14">
        <v>3.5877484828961664E-2</v>
      </c>
      <c r="AG19" s="14">
        <f t="shared" si="10"/>
        <v>1</v>
      </c>
      <c r="AH19" s="14"/>
      <c r="AI19" s="14">
        <v>1.6118132573171694E-2</v>
      </c>
      <c r="AJ19" s="14">
        <f t="shared" si="11"/>
        <v>1</v>
      </c>
      <c r="AK19" s="13"/>
    </row>
    <row r="20" spans="1:37" x14ac:dyDescent="0.2">
      <c r="A20" s="15" t="s">
        <v>34</v>
      </c>
      <c r="B20" s="14" t="s">
        <v>125</v>
      </c>
      <c r="C20" s="14" t="s">
        <v>3</v>
      </c>
      <c r="D20" s="14">
        <v>15.910743713378906</v>
      </c>
      <c r="E20" s="14">
        <f>D20-19.42671</f>
        <v>-3.5159662866210937</v>
      </c>
      <c r="F20" s="14">
        <f t="shared" si="3"/>
        <v>11.439612563088136</v>
      </c>
      <c r="G20" s="14">
        <v>79.154258728027344</v>
      </c>
      <c r="H20" s="14" t="s">
        <v>24</v>
      </c>
      <c r="I20" s="14" t="s">
        <v>25</v>
      </c>
      <c r="J20" s="14">
        <v>17.93781852722168</v>
      </c>
      <c r="K20" s="14">
        <f>J20-16.894085</f>
        <v>1.0437335272216792</v>
      </c>
      <c r="L20" s="14">
        <f t="shared" si="6"/>
        <v>0.48507054178115094</v>
      </c>
      <c r="M20" s="14">
        <v>79.300933837890625</v>
      </c>
      <c r="N20" s="14" t="s">
        <v>24</v>
      </c>
      <c r="O20" s="14" t="s">
        <v>25</v>
      </c>
      <c r="P20" s="14">
        <v>12.934077262878418</v>
      </c>
      <c r="Q20" s="14">
        <f>P20-14.79391</f>
        <v>-1.8598327371215824</v>
      </c>
      <c r="R20" s="14">
        <f t="shared" si="8"/>
        <v>3.6296557825942752</v>
      </c>
      <c r="S20" s="14">
        <v>79.156150817871094</v>
      </c>
      <c r="T20" s="14" t="s">
        <v>24</v>
      </c>
      <c r="U20" s="13" t="s">
        <v>25</v>
      </c>
      <c r="AA20" s="15"/>
      <c r="AB20" s="14" t="s">
        <v>4</v>
      </c>
      <c r="AC20" s="14">
        <v>3.2328878512607986</v>
      </c>
      <c r="AD20" s="14">
        <f>AC20/AC11</f>
        <v>2.9130950635737576</v>
      </c>
      <c r="AE20" s="14">
        <f>AVERAGE(AD20:AD28)</f>
        <v>1.684285304705571</v>
      </c>
      <c r="AF20" s="14">
        <v>3.1840655123540014E-2</v>
      </c>
      <c r="AG20" s="14">
        <f>AF20/AF11</f>
        <v>0.86063978090626092</v>
      </c>
      <c r="AH20" s="14">
        <f>AVERAGE(AG20:AG28)</f>
        <v>0.86484120524459795</v>
      </c>
      <c r="AI20" s="14">
        <v>3.5609171760280091E-2</v>
      </c>
      <c r="AJ20" s="14">
        <f>AI20/AI11</f>
        <v>1.2756059849333974</v>
      </c>
      <c r="AK20" s="13">
        <f>AVERAGE(AJ20:AJ28)</f>
        <v>1.1672960967286297</v>
      </c>
    </row>
    <row r="21" spans="1:37" x14ac:dyDescent="0.2">
      <c r="A21" s="15" t="s">
        <v>35</v>
      </c>
      <c r="B21" s="14" t="s">
        <v>125</v>
      </c>
      <c r="C21" s="14" t="s">
        <v>3</v>
      </c>
      <c r="D21" s="14">
        <v>15.919554710388184</v>
      </c>
      <c r="E21" s="14">
        <f t="shared" ref="E21:E22" si="18">D21-19.42671</f>
        <v>-3.5071552896118163</v>
      </c>
      <c r="F21" s="14">
        <f t="shared" si="3"/>
        <v>11.36996012568326</v>
      </c>
      <c r="G21" s="14">
        <v>79.1546630859375</v>
      </c>
      <c r="H21" s="14" t="s">
        <v>24</v>
      </c>
      <c r="I21" s="14" t="s">
        <v>25</v>
      </c>
      <c r="J21" s="14">
        <v>14.808436393737793</v>
      </c>
      <c r="K21" s="14"/>
      <c r="L21" s="14"/>
      <c r="M21" s="14">
        <v>79.152084350585938</v>
      </c>
      <c r="N21" s="14" t="s">
        <v>24</v>
      </c>
      <c r="O21" s="14" t="s">
        <v>65</v>
      </c>
      <c r="P21" s="14">
        <v>12.928289413452148</v>
      </c>
      <c r="Q21" s="14">
        <f t="shared" ref="Q21:Q22" si="19">P21-14.79391</f>
        <v>-1.8656205865478519</v>
      </c>
      <c r="R21" s="14">
        <f t="shared" si="8"/>
        <v>3.6442465984158177</v>
      </c>
      <c r="S21" s="14">
        <v>79.009078979492188</v>
      </c>
      <c r="T21" s="14" t="s">
        <v>24</v>
      </c>
      <c r="U21" s="13" t="s">
        <v>25</v>
      </c>
      <c r="AA21" s="15"/>
      <c r="AB21" s="14" t="s">
        <v>4</v>
      </c>
      <c r="AC21" s="14">
        <v>3.2342644092105357</v>
      </c>
      <c r="AD21" s="14">
        <f t="shared" ref="AD21:AD28" si="20">AC21/AC12</f>
        <v>2.9105812334322638</v>
      </c>
      <c r="AE21" s="14">
        <f>STDEV(AD20:AD28)</f>
        <v>0.91300837991253858</v>
      </c>
      <c r="AF21" s="14">
        <v>3.1567871637166227E-2</v>
      </c>
      <c r="AG21" s="14">
        <f t="shared" ref="AG21:AG28" si="21">AF21/AF12</f>
        <v>0.92228064512625552</v>
      </c>
      <c r="AH21" s="14">
        <f>STDEV(AG20:AG28)</f>
        <v>2.4855191783472348E-2</v>
      </c>
      <c r="AI21" s="14">
        <v>3.7576389969640765E-2</v>
      </c>
      <c r="AJ21" s="14">
        <f t="shared" ref="AJ21:AJ28" si="22">AI21/AI12</f>
        <v>1.4838088536381369</v>
      </c>
      <c r="AK21" s="13">
        <f>STDEV(AJ20:AJ28)</f>
        <v>0.20394169350471322</v>
      </c>
    </row>
    <row r="22" spans="1:37" x14ac:dyDescent="0.2">
      <c r="A22" s="15" t="s">
        <v>36</v>
      </c>
      <c r="B22" s="14" t="s">
        <v>125</v>
      </c>
      <c r="C22" s="14" t="s">
        <v>3</v>
      </c>
      <c r="D22" s="14">
        <v>15.932370185852051</v>
      </c>
      <c r="E22" s="14">
        <f t="shared" si="18"/>
        <v>-3.4943398141479491</v>
      </c>
      <c r="F22" s="14">
        <f t="shared" si="3"/>
        <v>11.269407912781984</v>
      </c>
      <c r="G22" s="14">
        <v>79.1546630859375</v>
      </c>
      <c r="H22" s="14" t="s">
        <v>24</v>
      </c>
      <c r="I22" s="14" t="s">
        <v>25</v>
      </c>
      <c r="J22" s="14">
        <v>17.933443069458008</v>
      </c>
      <c r="K22" s="14">
        <f t="shared" ref="K22" si="23">J22-16.894085</f>
        <v>1.0393580694580073</v>
      </c>
      <c r="L22" s="14">
        <f t="shared" si="6"/>
        <v>0.48654391440547845</v>
      </c>
      <c r="M22" s="14">
        <v>79.152084350585938</v>
      </c>
      <c r="N22" s="14" t="s">
        <v>24</v>
      </c>
      <c r="O22" s="14" t="s">
        <v>25</v>
      </c>
      <c r="P22" s="14">
        <v>12.962308883666992</v>
      </c>
      <c r="Q22" s="14">
        <f t="shared" si="19"/>
        <v>-1.8316011163330082</v>
      </c>
      <c r="R22" s="14">
        <f t="shared" si="8"/>
        <v>3.5593186984055287</v>
      </c>
      <c r="S22" s="14">
        <v>79.009078979492188</v>
      </c>
      <c r="T22" s="14" t="s">
        <v>24</v>
      </c>
      <c r="U22" s="13" t="s">
        <v>25</v>
      </c>
      <c r="AA22" s="15"/>
      <c r="AB22" s="14" t="s">
        <v>4</v>
      </c>
      <c r="AC22" s="14">
        <v>3.264952083366341</v>
      </c>
      <c r="AD22" s="14">
        <f t="shared" si="20"/>
        <v>2.8755879248502021</v>
      </c>
      <c r="AE22" s="14"/>
      <c r="AF22" s="14">
        <v>3.0593358651367402E-2</v>
      </c>
      <c r="AG22" s="14">
        <f t="shared" si="21"/>
        <v>0.87106346931170187</v>
      </c>
      <c r="AH22" s="14"/>
      <c r="AI22" s="14">
        <v>3.7823556201282624E-2</v>
      </c>
      <c r="AJ22" s="14">
        <f t="shared" si="22"/>
        <v>1.3188342104009942</v>
      </c>
      <c r="AK22" s="13"/>
    </row>
    <row r="23" spans="1:37" x14ac:dyDescent="0.2">
      <c r="A23" s="15" t="s">
        <v>8</v>
      </c>
      <c r="B23" s="14" t="s">
        <v>15</v>
      </c>
      <c r="C23" s="14" t="s">
        <v>37</v>
      </c>
      <c r="D23" s="14">
        <v>25.943807601928711</v>
      </c>
      <c r="E23" s="14">
        <f>D23-21.18734</f>
        <v>4.756467601928712</v>
      </c>
      <c r="F23" s="14">
        <f t="shared" si="3"/>
        <v>3.6996494735592557E-2</v>
      </c>
      <c r="G23" s="14">
        <v>78.267356872558594</v>
      </c>
      <c r="H23" s="14" t="s">
        <v>24</v>
      </c>
      <c r="I23" s="14" t="s">
        <v>25</v>
      </c>
      <c r="J23" s="14">
        <v>21.908285140991211</v>
      </c>
      <c r="K23" s="14">
        <f>J23-15.37207</f>
        <v>6.5362151409912101</v>
      </c>
      <c r="L23" s="14">
        <f t="shared" si="6"/>
        <v>1.0774650319007456E-2</v>
      </c>
      <c r="M23" s="14">
        <v>78.261199951171875</v>
      </c>
      <c r="N23" s="14" t="s">
        <v>24</v>
      </c>
      <c r="O23" s="14" t="s">
        <v>25</v>
      </c>
      <c r="P23" s="14">
        <v>19.574409484863281</v>
      </c>
      <c r="Q23" s="14">
        <f>P23-14.79947</f>
        <v>4.7749394848632818</v>
      </c>
      <c r="R23" s="14">
        <f t="shared" si="8"/>
        <v>3.6525821093713974E-2</v>
      </c>
      <c r="S23" s="14">
        <v>77.9678955078125</v>
      </c>
      <c r="T23" s="14" t="s">
        <v>24</v>
      </c>
      <c r="U23" s="13" t="s">
        <v>25</v>
      </c>
      <c r="AA23" s="15"/>
      <c r="AB23" s="14" t="s">
        <v>4</v>
      </c>
      <c r="AC23" s="14">
        <v>0.82667218781962704</v>
      </c>
      <c r="AD23" s="14">
        <f t="shared" si="20"/>
        <v>1.0147405133433538</v>
      </c>
      <c r="AE23" s="14"/>
      <c r="AF23" s="14">
        <v>8.9185237893965371E-3</v>
      </c>
      <c r="AG23" s="14">
        <f t="shared" si="21"/>
        <v>0.82773117761534842</v>
      </c>
      <c r="AH23" s="14"/>
      <c r="AI23" s="14">
        <v>1.7508016475010612E-2</v>
      </c>
      <c r="AJ23" s="14">
        <f t="shared" si="22"/>
        <v>0.88811690529440834</v>
      </c>
      <c r="AK23" s="13"/>
    </row>
    <row r="24" spans="1:37" x14ac:dyDescent="0.2">
      <c r="A24" s="15" t="s">
        <v>9</v>
      </c>
      <c r="B24" s="14" t="s">
        <v>15</v>
      </c>
      <c r="C24" s="14" t="s">
        <v>37</v>
      </c>
      <c r="D24" s="14">
        <v>26.05601692199707</v>
      </c>
      <c r="E24" s="14">
        <f t="shared" si="4"/>
        <v>4.8686769219970714</v>
      </c>
      <c r="F24" s="14">
        <f t="shared" si="3"/>
        <v>3.4228053905267355E-2</v>
      </c>
      <c r="G24" s="14">
        <v>78.267356872558594</v>
      </c>
      <c r="H24" s="14" t="s">
        <v>24</v>
      </c>
      <c r="I24" s="14" t="s">
        <v>25</v>
      </c>
      <c r="J24" s="14">
        <v>21.932649612426758</v>
      </c>
      <c r="K24" s="14">
        <f t="shared" ref="K24:K25" si="24">J24-15.37207</f>
        <v>6.560579612426757</v>
      </c>
      <c r="L24" s="14">
        <f t="shared" si="6"/>
        <v>1.0594214156348194E-2</v>
      </c>
      <c r="M24" s="14">
        <v>78.261199951171875</v>
      </c>
      <c r="N24" s="14" t="s">
        <v>24</v>
      </c>
      <c r="O24" s="14" t="s">
        <v>25</v>
      </c>
      <c r="P24" s="14">
        <v>19.581268310546875</v>
      </c>
      <c r="Q24" s="14">
        <f t="shared" ref="Q24:Q25" si="25">P24-14.79947</f>
        <v>4.7817983105468755</v>
      </c>
      <c r="R24" s="14">
        <f t="shared" si="8"/>
        <v>3.6352583051552818E-2</v>
      </c>
      <c r="S24" s="14">
        <v>77.9678955078125</v>
      </c>
      <c r="T24" s="14" t="s">
        <v>24</v>
      </c>
      <c r="U24" s="13" t="s">
        <v>25</v>
      </c>
      <c r="AA24" s="15"/>
      <c r="AB24" s="14" t="s">
        <v>4</v>
      </c>
      <c r="AC24" s="14">
        <v>0.83450100804899674</v>
      </c>
      <c r="AD24" s="14">
        <f t="shared" si="20"/>
        <v>1.0165068728911992</v>
      </c>
      <c r="AE24" s="14"/>
      <c r="AF24" s="14">
        <v>9.1701969152952912E-3</v>
      </c>
      <c r="AG24" s="14">
        <f t="shared" si="21"/>
        <v>0.86558443233044169</v>
      </c>
      <c r="AH24" s="14"/>
      <c r="AI24" s="14">
        <v>1.8180696973639263E-2</v>
      </c>
      <c r="AJ24" s="14">
        <f t="shared" si="22"/>
        <v>0.93677435126821451</v>
      </c>
      <c r="AK24" s="13"/>
    </row>
    <row r="25" spans="1:37" x14ac:dyDescent="0.2">
      <c r="A25" s="15" t="s">
        <v>38</v>
      </c>
      <c r="B25" s="14" t="s">
        <v>15</v>
      </c>
      <c r="C25" s="14" t="s">
        <v>37</v>
      </c>
      <c r="D25" s="14">
        <v>26.018827438354492</v>
      </c>
      <c r="E25" s="14">
        <f t="shared" si="4"/>
        <v>4.8314874383544932</v>
      </c>
      <c r="F25" s="14">
        <f t="shared" si="3"/>
        <v>3.5121847866656265E-2</v>
      </c>
      <c r="G25" s="14">
        <v>78.11248779296875</v>
      </c>
      <c r="H25" s="14" t="s">
        <v>24</v>
      </c>
      <c r="I25" s="14" t="s">
        <v>25</v>
      </c>
      <c r="J25" s="14">
        <v>21.943460464477539</v>
      </c>
      <c r="K25" s="14">
        <f t="shared" si="24"/>
        <v>6.5713904644775383</v>
      </c>
      <c r="L25" s="14">
        <f t="shared" si="6"/>
        <v>1.0515122994846351E-2</v>
      </c>
      <c r="M25" s="14">
        <v>78.109298706054688</v>
      </c>
      <c r="N25" s="14" t="s">
        <v>24</v>
      </c>
      <c r="O25" s="14" t="s">
        <v>25</v>
      </c>
      <c r="P25" s="14">
        <v>19.600246429443359</v>
      </c>
      <c r="Q25" s="14">
        <f t="shared" si="25"/>
        <v>4.8007764294433599</v>
      </c>
      <c r="R25" s="14">
        <f t="shared" si="8"/>
        <v>3.5877509843060963E-2</v>
      </c>
      <c r="S25" s="14">
        <v>77.81549072265625</v>
      </c>
      <c r="T25" s="14" t="s">
        <v>24</v>
      </c>
      <c r="U25" s="13" t="s">
        <v>25</v>
      </c>
      <c r="AA25" s="15"/>
      <c r="AB25" s="14" t="s">
        <v>4</v>
      </c>
      <c r="AC25" s="14">
        <v>0.851301922009988</v>
      </c>
      <c r="AD25" s="14">
        <f t="shared" si="20"/>
        <v>1.0276445150941693</v>
      </c>
      <c r="AE25" s="14"/>
      <c r="AF25" s="14">
        <v>8.960290475232998E-3</v>
      </c>
      <c r="AG25" s="14">
        <f t="shared" si="21"/>
        <v>0.85213274645615433</v>
      </c>
      <c r="AH25" s="14"/>
      <c r="AI25" s="14">
        <v>1.8190650690235104E-2</v>
      </c>
      <c r="AJ25" s="14">
        <f t="shared" si="22"/>
        <v>0.92983125756538887</v>
      </c>
      <c r="AK25" s="13"/>
    </row>
    <row r="26" spans="1:37" x14ac:dyDescent="0.2">
      <c r="A26" s="15" t="s">
        <v>39</v>
      </c>
      <c r="B26" s="14" t="s">
        <v>108</v>
      </c>
      <c r="C26" s="14" t="s">
        <v>37</v>
      </c>
      <c r="D26" s="14">
        <v>24.128496170043945</v>
      </c>
      <c r="E26" s="14">
        <f>D26-19.1555</f>
        <v>4.9729961700439453</v>
      </c>
      <c r="F26" s="14">
        <f t="shared" si="3"/>
        <v>3.1840434421701654E-2</v>
      </c>
      <c r="G26" s="14">
        <v>78.11248779296875</v>
      </c>
      <c r="H26" s="14" t="s">
        <v>24</v>
      </c>
      <c r="I26" s="14" t="s">
        <v>25</v>
      </c>
      <c r="J26" s="14">
        <v>21.322099685668945</v>
      </c>
      <c r="K26" s="14">
        <f>J26-14.51312</f>
        <v>6.8089796856689446</v>
      </c>
      <c r="L26" s="14">
        <f t="shared" si="6"/>
        <v>8.9185217286544723E-3</v>
      </c>
      <c r="M26" s="14">
        <v>78.109298706054688</v>
      </c>
      <c r="N26" s="14" t="s">
        <v>24</v>
      </c>
      <c r="O26" s="14" t="s">
        <v>25</v>
      </c>
      <c r="P26" s="14">
        <v>19.267663955688477</v>
      </c>
      <c r="Q26" s="14">
        <f>P26-14.27294</f>
        <v>4.9947239556884764</v>
      </c>
      <c r="R26" s="14">
        <f t="shared" si="8"/>
        <v>3.1364492828059212E-2</v>
      </c>
      <c r="S26" s="14">
        <v>77.81549072265625</v>
      </c>
      <c r="T26" s="14" t="s">
        <v>24</v>
      </c>
      <c r="U26" s="13" t="s">
        <v>25</v>
      </c>
      <c r="AA26" s="15"/>
      <c r="AB26" s="14" t="s">
        <v>4</v>
      </c>
      <c r="AC26" s="14">
        <v>2.0768476047570053</v>
      </c>
      <c r="AD26" s="14">
        <f t="shared" si="20"/>
        <v>1.1346721075462531</v>
      </c>
      <c r="AE26" s="14"/>
      <c r="AF26" s="14">
        <v>3.1364479003797581E-2</v>
      </c>
      <c r="AG26" s="14">
        <f t="shared" si="21"/>
        <v>0.85869393027244356</v>
      </c>
      <c r="AH26" s="14"/>
      <c r="AI26" s="14">
        <v>1.9160496828395879E-2</v>
      </c>
      <c r="AJ26" s="14">
        <f t="shared" si="22"/>
        <v>1.2048852753681798</v>
      </c>
      <c r="AK26" s="13"/>
    </row>
    <row r="27" spans="1:37" x14ac:dyDescent="0.2">
      <c r="A27" s="15" t="s">
        <v>40</v>
      </c>
      <c r="B27" s="14" t="s">
        <v>108</v>
      </c>
      <c r="C27" s="14" t="s">
        <v>37</v>
      </c>
      <c r="D27" s="14">
        <v>24.140909194946289</v>
      </c>
      <c r="E27" s="14">
        <f t="shared" ref="E27:E28" si="26">D27-19.1555</f>
        <v>4.9854091949462891</v>
      </c>
      <c r="F27" s="14">
        <f t="shared" si="3"/>
        <v>3.1567652826112361E-2</v>
      </c>
      <c r="G27" s="14">
        <v>78.263191223144531</v>
      </c>
      <c r="H27" s="14" t="s">
        <v>24</v>
      </c>
      <c r="I27" s="14" t="s">
        <v>25</v>
      </c>
      <c r="J27" s="14">
        <v>21.281951904296875</v>
      </c>
      <c r="K27" s="14">
        <f t="shared" ref="K27:K28" si="27">J27-14.51312</f>
        <v>6.7688319042968743</v>
      </c>
      <c r="L27" s="14">
        <f t="shared" si="6"/>
        <v>9.1701947964008459E-3</v>
      </c>
      <c r="M27" s="14">
        <v>78.10919189453125</v>
      </c>
      <c r="N27" s="14" t="s">
        <v>24</v>
      </c>
      <c r="O27" s="14" t="s">
        <v>25</v>
      </c>
      <c r="P27" s="14">
        <v>19.268692016601563</v>
      </c>
      <c r="Q27" s="14">
        <f t="shared" ref="Q27:Q28" si="28">P27-14.27294</f>
        <v>4.9957520166015623</v>
      </c>
      <c r="R27" s="14">
        <f t="shared" si="8"/>
        <v>3.1342150529627529E-2</v>
      </c>
      <c r="S27" s="14">
        <v>77.965377807617188</v>
      </c>
      <c r="T27" s="14" t="s">
        <v>24</v>
      </c>
      <c r="U27" s="13" t="s">
        <v>25</v>
      </c>
      <c r="AA27" s="15"/>
      <c r="AB27" s="14" t="s">
        <v>4</v>
      </c>
      <c r="AC27" s="14">
        <v>2.1462565471877237</v>
      </c>
      <c r="AD27" s="14">
        <f t="shared" si="20"/>
        <v>1.1402549917788709</v>
      </c>
      <c r="AE27" s="14"/>
      <c r="AF27" s="14">
        <v>3.1342136715213527E-2</v>
      </c>
      <c r="AG27" s="14">
        <f t="shared" si="21"/>
        <v>0.86217143147106512</v>
      </c>
      <c r="AH27" s="14"/>
      <c r="AI27" s="14">
        <v>1.9588756794995655E-2</v>
      </c>
      <c r="AJ27" s="14">
        <f t="shared" si="22"/>
        <v>1.2266398694660821</v>
      </c>
      <c r="AK27" s="13"/>
    </row>
    <row r="28" spans="1:37" x14ac:dyDescent="0.2">
      <c r="A28" s="15" t="s">
        <v>41</v>
      </c>
      <c r="B28" s="14" t="s">
        <v>108</v>
      </c>
      <c r="C28" s="14" t="s">
        <v>37</v>
      </c>
      <c r="D28" s="14">
        <v>24.186147689819336</v>
      </c>
      <c r="E28" s="14">
        <f t="shared" si="26"/>
        <v>5.030647689819336</v>
      </c>
      <c r="F28" s="14">
        <f t="shared" si="3"/>
        <v>3.0593146595099405E-2</v>
      </c>
      <c r="G28" s="14">
        <v>78.263191223144531</v>
      </c>
      <c r="H28" s="14" t="s">
        <v>24</v>
      </c>
      <c r="I28" s="14" t="s">
        <v>25</v>
      </c>
      <c r="J28" s="14">
        <v>21.315359115600586</v>
      </c>
      <c r="K28" s="14">
        <f t="shared" si="27"/>
        <v>6.8022391156005853</v>
      </c>
      <c r="L28" s="14">
        <f t="shared" si="6"/>
        <v>8.9602884048401929E-3</v>
      </c>
      <c r="M28" s="14">
        <v>78.10919189453125</v>
      </c>
      <c r="N28" s="14" t="s">
        <v>24</v>
      </c>
      <c r="O28" s="14" t="s">
        <v>25</v>
      </c>
      <c r="P28" s="14">
        <v>19.28582763671875</v>
      </c>
      <c r="Q28" s="14">
        <f t="shared" si="28"/>
        <v>5.0128876367187498</v>
      </c>
      <c r="R28" s="14">
        <f t="shared" si="8"/>
        <v>3.0972085997044315E-2</v>
      </c>
      <c r="S28" s="14">
        <v>77.8162841796875</v>
      </c>
      <c r="T28" s="14" t="s">
        <v>24</v>
      </c>
      <c r="U28" s="13" t="s">
        <v>25</v>
      </c>
      <c r="AA28" s="15"/>
      <c r="AB28" s="14" t="s">
        <v>4</v>
      </c>
      <c r="AC28" s="14">
        <v>2.129578962687269</v>
      </c>
      <c r="AD28" s="14">
        <f t="shared" si="20"/>
        <v>1.1254845198400716</v>
      </c>
      <c r="AE28" s="14"/>
      <c r="AF28" s="14">
        <v>3.0972072345740523E-2</v>
      </c>
      <c r="AG28" s="14">
        <f t="shared" si="21"/>
        <v>0.86327323371170916</v>
      </c>
      <c r="AH28" s="14"/>
      <c r="AI28" s="14">
        <v>2.0005312990755253E-2</v>
      </c>
      <c r="AJ28" s="14">
        <f t="shared" si="22"/>
        <v>1.2411681626228643</v>
      </c>
      <c r="AK28" s="13"/>
    </row>
    <row r="29" spans="1:37" x14ac:dyDescent="0.2">
      <c r="A29" s="15" t="s">
        <v>42</v>
      </c>
      <c r="B29" s="14" t="s">
        <v>109</v>
      </c>
      <c r="C29" s="14" t="s">
        <v>37</v>
      </c>
      <c r="D29" s="14">
        <v>24.815000534057617</v>
      </c>
      <c r="E29" s="14">
        <f>D29-19.84905</f>
        <v>4.9659505340576189</v>
      </c>
      <c r="F29" s="14">
        <f t="shared" si="3"/>
        <v>3.1996312682865582E-2</v>
      </c>
      <c r="G29" s="14">
        <v>78.110458374023438</v>
      </c>
      <c r="H29" s="14" t="s">
        <v>24</v>
      </c>
      <c r="I29" s="14" t="s">
        <v>25</v>
      </c>
      <c r="J29" s="14">
        <v>21.107240676879883</v>
      </c>
      <c r="K29" s="14">
        <f>J29-15.51521</f>
        <v>5.5920306768798831</v>
      </c>
      <c r="L29" s="14">
        <f t="shared" si="6"/>
        <v>2.0731514490661598E-2</v>
      </c>
      <c r="M29" s="14">
        <v>78.108718872070313</v>
      </c>
      <c r="N29" s="14" t="s">
        <v>24</v>
      </c>
      <c r="O29" s="14" t="s">
        <v>25</v>
      </c>
      <c r="P29" s="14">
        <v>19.893482208251953</v>
      </c>
      <c r="Q29" s="14">
        <f>P29-14.75083</f>
        <v>5.1426522082519526</v>
      </c>
      <c r="R29" s="14">
        <f t="shared" si="8"/>
        <v>2.8307885353352491E-2</v>
      </c>
      <c r="S29" s="14">
        <v>77.966438293457031</v>
      </c>
      <c r="T29" s="14" t="s">
        <v>24</v>
      </c>
      <c r="U29" s="13" t="s">
        <v>25</v>
      </c>
      <c r="AA29" s="15"/>
      <c r="AB29" s="14" t="s">
        <v>118</v>
      </c>
      <c r="AC29" s="14">
        <v>8.1889879351865265</v>
      </c>
      <c r="AD29" s="14">
        <f>AC29/AC11</f>
        <v>7.3789445929445296</v>
      </c>
      <c r="AE29" s="14">
        <f>AVERAGE(AD29:AD37)</f>
        <v>5.7422261795840166</v>
      </c>
      <c r="AF29" s="14">
        <v>3.1996312682865582E-2</v>
      </c>
      <c r="AG29" s="14">
        <f>AF29/AF11</f>
        <v>0.86484714056122358</v>
      </c>
      <c r="AH29" s="14">
        <f>AVERAGE(AG29:AG37)</f>
        <v>1.232848865213573</v>
      </c>
      <c r="AI29" s="14">
        <v>7.2861454389631514E-2</v>
      </c>
      <c r="AJ29" s="14">
        <f>AI29/AI11</f>
        <v>2.6100721442231785</v>
      </c>
      <c r="AK29" s="13">
        <f>AVERAGE(AJ29:AJ37)</f>
        <v>1.979660789263554</v>
      </c>
    </row>
    <row r="30" spans="1:37" x14ac:dyDescent="0.2">
      <c r="A30" s="15" t="s">
        <v>43</v>
      </c>
      <c r="B30" s="14" t="s">
        <v>109</v>
      </c>
      <c r="C30" s="14" t="s">
        <v>37</v>
      </c>
      <c r="D30" s="14">
        <v>24.746940612792969</v>
      </c>
      <c r="E30" s="14">
        <f t="shared" ref="E30:E31" si="29">D30-19.84905</f>
        <v>4.8978906127929704</v>
      </c>
      <c r="F30" s="14">
        <f t="shared" si="3"/>
        <v>3.3541927050396284E-2</v>
      </c>
      <c r="G30" s="14">
        <v>78.110458374023438</v>
      </c>
      <c r="H30" s="14" t="s">
        <v>24</v>
      </c>
      <c r="I30" s="14" t="s">
        <v>25</v>
      </c>
      <c r="J30" s="14">
        <v>21.094526290893555</v>
      </c>
      <c r="K30" s="14">
        <f t="shared" ref="K30:K31" si="30">J30-15.51521</f>
        <v>5.579316290893555</v>
      </c>
      <c r="L30" s="14">
        <f t="shared" si="6"/>
        <v>2.0915027557683569E-2</v>
      </c>
      <c r="M30" s="14">
        <v>78.108718872070313</v>
      </c>
      <c r="N30" s="14" t="s">
        <v>24</v>
      </c>
      <c r="O30" s="14" t="s">
        <v>25</v>
      </c>
      <c r="P30" s="14">
        <v>19.87938117980957</v>
      </c>
      <c r="Q30" s="14">
        <f t="shared" ref="Q30:Q31" si="31">P30-14.75083</f>
        <v>5.1285511798095698</v>
      </c>
      <c r="R30" s="14">
        <f t="shared" si="8"/>
        <v>2.8585925700875529E-2</v>
      </c>
      <c r="S30" s="14">
        <v>77.817344665527344</v>
      </c>
      <c r="T30" s="14" t="s">
        <v>24</v>
      </c>
      <c r="U30" s="13" t="s">
        <v>25</v>
      </c>
      <c r="AA30" s="15"/>
      <c r="AB30" s="14" t="s">
        <v>118</v>
      </c>
      <c r="AC30" s="14">
        <v>8.5344794383425775</v>
      </c>
      <c r="AD30" s="14">
        <f t="shared" ref="AD30:AD37" si="32">AC30/AC12</f>
        <v>7.6803540303053941</v>
      </c>
      <c r="AE30" s="14">
        <f>STDEV(AD29:AD37)</f>
        <v>3.0568136961877825</v>
      </c>
      <c r="AF30" s="14">
        <v>3.3541927050396284E-2</v>
      </c>
      <c r="AG30" s="14">
        <f t="shared" ref="AG30:AG37" si="33">AF30/AF12</f>
        <v>0.9799542545781289</v>
      </c>
      <c r="AH30" s="14">
        <f>STDEV(AG29:AG37)</f>
        <v>0.566991279214768</v>
      </c>
      <c r="AI30" s="14">
        <v>7.6711720696048313E-2</v>
      </c>
      <c r="AJ30" s="14">
        <f t="shared" ref="AJ30:AJ37" si="34">AI30/AI12</f>
        <v>3.029176843187328</v>
      </c>
      <c r="AK30" s="13">
        <f>STDEV(AJ29:AJ37)</f>
        <v>0.58264862649906901</v>
      </c>
    </row>
    <row r="31" spans="1:37" x14ac:dyDescent="0.2">
      <c r="A31" s="15" t="s">
        <v>44</v>
      </c>
      <c r="B31" s="14" t="s">
        <v>109</v>
      </c>
      <c r="C31" s="14" t="s">
        <v>37</v>
      </c>
      <c r="D31" s="14">
        <v>24.765644073486328</v>
      </c>
      <c r="E31" s="14">
        <f t="shared" si="29"/>
        <v>4.9165940734863298</v>
      </c>
      <c r="F31" s="14">
        <f t="shared" si="3"/>
        <v>3.3109887672138114E-2</v>
      </c>
      <c r="G31" s="14">
        <v>78.258995056152344</v>
      </c>
      <c r="H31" s="14" t="s">
        <v>24</v>
      </c>
      <c r="I31" s="14" t="s">
        <v>25</v>
      </c>
      <c r="J31" s="14">
        <v>21.052257537841797</v>
      </c>
      <c r="K31" s="14">
        <f t="shared" si="30"/>
        <v>5.5370475378417972</v>
      </c>
      <c r="L31" s="14">
        <f t="shared" si="6"/>
        <v>2.1536870848129493E-2</v>
      </c>
      <c r="M31" s="14">
        <v>78.10748291015625</v>
      </c>
      <c r="N31" s="14" t="s">
        <v>24</v>
      </c>
      <c r="O31" s="14" t="s">
        <v>25</v>
      </c>
      <c r="P31" s="14">
        <v>19.87303352355957</v>
      </c>
      <c r="Q31" s="14">
        <f t="shared" si="31"/>
        <v>5.1222035235595698</v>
      </c>
      <c r="R31" s="14">
        <f t="shared" si="8"/>
        <v>2.871197687327709E-2</v>
      </c>
      <c r="S31" s="14">
        <v>77.963386535644531</v>
      </c>
      <c r="T31" s="14" t="s">
        <v>24</v>
      </c>
      <c r="U31" s="13" t="s">
        <v>25</v>
      </c>
      <c r="AA31" s="15"/>
      <c r="AB31" s="14" t="s">
        <v>118</v>
      </c>
      <c r="AC31" s="14">
        <v>8.5087699604180678</v>
      </c>
      <c r="AD31" s="14">
        <f t="shared" si="32"/>
        <v>7.4940506104698468</v>
      </c>
      <c r="AE31" s="14"/>
      <c r="AF31" s="14">
        <v>3.3109887672138114E-2</v>
      </c>
      <c r="AG31" s="14">
        <f t="shared" si="33"/>
        <v>0.94271485366724528</v>
      </c>
      <c r="AH31" s="14"/>
      <c r="AI31" s="14">
        <v>6.8119324005529974E-2</v>
      </c>
      <c r="AJ31" s="14">
        <f t="shared" si="34"/>
        <v>2.3751890068135939</v>
      </c>
      <c r="AK31" s="13"/>
    </row>
    <row r="32" spans="1:37" x14ac:dyDescent="0.2">
      <c r="A32" s="15" t="s">
        <v>45</v>
      </c>
      <c r="B32" s="14" t="s">
        <v>125</v>
      </c>
      <c r="C32" s="14" t="s">
        <v>37</v>
      </c>
      <c r="D32" s="14">
        <v>23.969331741333008</v>
      </c>
      <c r="E32" s="14">
        <f>D32-19.42671</f>
        <v>4.5426217413330079</v>
      </c>
      <c r="F32" s="14">
        <f t="shared" si="3"/>
        <v>4.2907636909392061E-2</v>
      </c>
      <c r="G32" s="14">
        <v>78.258995056152344</v>
      </c>
      <c r="H32" s="14" t="s">
        <v>24</v>
      </c>
      <c r="I32" s="14" t="s">
        <v>25</v>
      </c>
      <c r="J32" s="14">
        <v>23.005298614501953</v>
      </c>
      <c r="K32" s="14">
        <f>J32-16.89409</f>
        <v>6.1112086145019546</v>
      </c>
      <c r="L32" s="14">
        <f t="shared" si="6"/>
        <v>1.4465814685931444E-2</v>
      </c>
      <c r="M32" s="14">
        <v>78.10748291015625</v>
      </c>
      <c r="N32" s="14" t="s">
        <v>24</v>
      </c>
      <c r="O32" s="14" t="s">
        <v>25</v>
      </c>
      <c r="P32" s="14">
        <v>19.832330703735352</v>
      </c>
      <c r="Q32" s="14">
        <f>P32-14.79391</f>
        <v>5.0384207037353512</v>
      </c>
      <c r="R32" s="14">
        <f t="shared" si="8"/>
        <v>3.0428758779658106E-2</v>
      </c>
      <c r="S32" s="14">
        <v>77.963386535644531</v>
      </c>
      <c r="T32" s="14" t="s">
        <v>24</v>
      </c>
      <c r="U32" s="13" t="s">
        <v>25</v>
      </c>
      <c r="AA32" s="15"/>
      <c r="AB32" s="14" t="s">
        <v>118</v>
      </c>
      <c r="AC32" s="14">
        <v>6.4360349813218765</v>
      </c>
      <c r="AD32" s="14">
        <f t="shared" si="32"/>
        <v>7.900236075520823</v>
      </c>
      <c r="AE32" s="14"/>
      <c r="AF32" s="14">
        <v>2.073153951069244E-2</v>
      </c>
      <c r="AG32" s="14">
        <f t="shared" si="33"/>
        <v>1.9241011201166174</v>
      </c>
      <c r="AH32" s="14"/>
      <c r="AI32" s="14">
        <v>3.5789999344474535E-2</v>
      </c>
      <c r="AJ32" s="14">
        <f t="shared" si="34"/>
        <v>1.8154942625095034</v>
      </c>
      <c r="AK32" s="13"/>
    </row>
    <row r="33" spans="1:37" x14ac:dyDescent="0.2">
      <c r="A33" s="15" t="s">
        <v>46</v>
      </c>
      <c r="B33" s="14" t="s">
        <v>125</v>
      </c>
      <c r="C33" s="14" t="s">
        <v>37</v>
      </c>
      <c r="D33" s="14">
        <v>23.972549438476563</v>
      </c>
      <c r="E33" s="14">
        <f t="shared" ref="E33:E34" si="35">D33-19.42671</f>
        <v>4.5458394384765626</v>
      </c>
      <c r="F33" s="14">
        <f t="shared" si="3"/>
        <v>4.2812045029761207E-2</v>
      </c>
      <c r="G33" s="14">
        <v>77.961204528808594</v>
      </c>
      <c r="H33" s="14" t="s">
        <v>24</v>
      </c>
      <c r="I33" s="14" t="s">
        <v>25</v>
      </c>
      <c r="J33" s="14">
        <v>22.956199645996094</v>
      </c>
      <c r="K33" s="14">
        <f t="shared" ref="K33:K34" si="36">J33-16.89409</f>
        <v>6.0621096459960953</v>
      </c>
      <c r="L33" s="14">
        <f t="shared" si="6"/>
        <v>1.4966600267715088E-2</v>
      </c>
      <c r="M33" s="14">
        <v>78.107795715332031</v>
      </c>
      <c r="N33" s="14" t="s">
        <v>24</v>
      </c>
      <c r="O33" s="14" t="s">
        <v>25</v>
      </c>
      <c r="P33" s="14">
        <v>19.817195892333984</v>
      </c>
      <c r="Q33" s="14">
        <f t="shared" ref="Q33:Q34" si="37">P33-14.79391</f>
        <v>5.023285892333984</v>
      </c>
      <c r="R33" s="14">
        <f t="shared" si="8"/>
        <v>3.0749656564754486E-2</v>
      </c>
      <c r="S33" s="14">
        <v>77.816337585449219</v>
      </c>
      <c r="T33" s="14" t="s">
        <v>24</v>
      </c>
      <c r="U33" s="13" t="s">
        <v>25</v>
      </c>
      <c r="AA33" s="15"/>
      <c r="AB33" s="14" t="s">
        <v>118</v>
      </c>
      <c r="AC33" s="14">
        <v>6.7564495465521315</v>
      </c>
      <c r="AD33" s="14">
        <f t="shared" si="32"/>
        <v>8.2300408677392802</v>
      </c>
      <c r="AE33" s="14"/>
      <c r="AF33" s="14">
        <v>2.0915052799188948E-2</v>
      </c>
      <c r="AG33" s="14">
        <f t="shared" si="33"/>
        <v>1.9741936047361552</v>
      </c>
      <c r="AH33" s="14"/>
      <c r="AI33" s="14">
        <v>3.6475624841003237E-2</v>
      </c>
      <c r="AJ33" s="14">
        <f t="shared" si="34"/>
        <v>1.8794345369199463</v>
      </c>
      <c r="AK33" s="13"/>
    </row>
    <row r="34" spans="1:37" x14ac:dyDescent="0.2">
      <c r="A34" s="15" t="s">
        <v>47</v>
      </c>
      <c r="B34" s="14" t="s">
        <v>125</v>
      </c>
      <c r="C34" s="14" t="s">
        <v>37</v>
      </c>
      <c r="D34" s="14">
        <v>23.992990493774414</v>
      </c>
      <c r="E34" s="14">
        <f t="shared" si="35"/>
        <v>4.5662804937744141</v>
      </c>
      <c r="F34" s="14">
        <f t="shared" si="3"/>
        <v>4.2209732781244118E-2</v>
      </c>
      <c r="G34" s="14">
        <v>78.110389709472656</v>
      </c>
      <c r="H34" s="14" t="s">
        <v>24</v>
      </c>
      <c r="I34" s="14" t="s">
        <v>25</v>
      </c>
      <c r="J34" s="14">
        <v>22.985023498535156</v>
      </c>
      <c r="K34" s="14">
        <f t="shared" si="36"/>
        <v>6.0909334985351578</v>
      </c>
      <c r="L34" s="14">
        <f t="shared" si="6"/>
        <v>1.4670547279538308E-2</v>
      </c>
      <c r="M34" s="14">
        <v>77.958610534667969</v>
      </c>
      <c r="N34" s="14" t="s">
        <v>24</v>
      </c>
      <c r="O34" s="14" t="s">
        <v>25</v>
      </c>
      <c r="P34" s="14">
        <v>19.824213027954102</v>
      </c>
      <c r="Q34" s="14">
        <f t="shared" si="37"/>
        <v>5.0303030279541012</v>
      </c>
      <c r="R34" s="14">
        <f t="shared" si="8"/>
        <v>3.0600456213759782E-2</v>
      </c>
      <c r="S34" s="14">
        <v>77.816337585449219</v>
      </c>
      <c r="T34" s="14" t="s">
        <v>24</v>
      </c>
      <c r="U34" s="13" t="s">
        <v>25</v>
      </c>
      <c r="AA34" s="15"/>
      <c r="AB34" s="14" t="s">
        <v>118</v>
      </c>
      <c r="AC34" s="14">
        <v>6.5906663398121585</v>
      </c>
      <c r="AD34" s="14">
        <f t="shared" si="32"/>
        <v>7.9558872590496339</v>
      </c>
      <c r="AE34" s="14"/>
      <c r="AF34" s="14">
        <v>2.1536896840112528E-2</v>
      </c>
      <c r="AG34" s="14">
        <f t="shared" si="33"/>
        <v>2.0481808157040509</v>
      </c>
      <c r="AH34" s="14"/>
      <c r="AI34" s="14">
        <v>3.7492343536326848E-2</v>
      </c>
      <c r="AJ34" s="14">
        <f t="shared" si="34"/>
        <v>1.9164544211807855</v>
      </c>
      <c r="AK34" s="13"/>
    </row>
    <row r="35" spans="1:37" x14ac:dyDescent="0.2">
      <c r="A35" s="15" t="s">
        <v>48</v>
      </c>
      <c r="B35" s="14" t="s">
        <v>15</v>
      </c>
      <c r="C35" s="14" t="s">
        <v>49</v>
      </c>
      <c r="D35" s="14">
        <v>26.350130081176758</v>
      </c>
      <c r="E35" s="14">
        <f>D35-21.18734</f>
        <v>5.1627900811767589</v>
      </c>
      <c r="F35" s="14">
        <f t="shared" si="3"/>
        <v>2.7915494424510197E-2</v>
      </c>
      <c r="G35" s="14">
        <v>77.223106384277344</v>
      </c>
      <c r="H35" s="14" t="s">
        <v>24</v>
      </c>
      <c r="I35" s="14" t="s">
        <v>25</v>
      </c>
      <c r="J35" s="14">
        <v>21.036733627319336</v>
      </c>
      <c r="K35" s="14">
        <f>J35-15.37207</f>
        <v>5.6646636273193351</v>
      </c>
      <c r="L35" s="14">
        <f t="shared" si="6"/>
        <v>1.9713617821043323E-2</v>
      </c>
      <c r="M35" s="14">
        <v>77.067779541015625</v>
      </c>
      <c r="N35" s="14" t="s">
        <v>24</v>
      </c>
      <c r="O35" s="14" t="s">
        <v>25</v>
      </c>
      <c r="P35" s="14">
        <v>20.774085998535156</v>
      </c>
      <c r="Q35" s="14">
        <f>P35-14.79947</f>
        <v>5.9746159985351568</v>
      </c>
      <c r="R35" s="14">
        <f t="shared" si="8"/>
        <v>1.590235234753664E-2</v>
      </c>
      <c r="S35" s="14">
        <v>76.775115966796875</v>
      </c>
      <c r="T35" s="14" t="s">
        <v>24</v>
      </c>
      <c r="U35" s="13" t="s">
        <v>25</v>
      </c>
      <c r="AA35" s="15"/>
      <c r="AB35" s="14" t="s">
        <v>118</v>
      </c>
      <c r="AC35" s="14">
        <v>3.0323865994638179</v>
      </c>
      <c r="AD35" s="14">
        <f t="shared" si="32"/>
        <v>1.6567245886638857</v>
      </c>
      <c r="AE35" s="14"/>
      <c r="AF35" s="14">
        <v>2.8307960489081324E-2</v>
      </c>
      <c r="AG35" s="14">
        <f t="shared" si="33"/>
        <v>0.77501283689179445</v>
      </c>
      <c r="AH35" s="14"/>
      <c r="AI35" s="14">
        <v>2.1773284474954809E-2</v>
      </c>
      <c r="AJ35" s="14">
        <f t="shared" si="34"/>
        <v>1.3691873491190667</v>
      </c>
      <c r="AK35" s="13"/>
    </row>
    <row r="36" spans="1:37" x14ac:dyDescent="0.2">
      <c r="A36" s="15" t="s">
        <v>50</v>
      </c>
      <c r="B36" s="14" t="s">
        <v>15</v>
      </c>
      <c r="C36" s="14" t="s">
        <v>49</v>
      </c>
      <c r="D36" s="14">
        <v>26.49067497253418</v>
      </c>
      <c r="E36" s="14">
        <f t="shared" si="4"/>
        <v>5.3033349725341807</v>
      </c>
      <c r="F36" s="14">
        <f t="shared" si="3"/>
        <v>2.5324279389159574E-2</v>
      </c>
      <c r="G36" s="14">
        <v>77.073928833007813</v>
      </c>
      <c r="H36" s="14" t="s">
        <v>24</v>
      </c>
      <c r="I36" s="14" t="s">
        <v>25</v>
      </c>
      <c r="J36" s="14">
        <v>21.059293746948242</v>
      </c>
      <c r="K36" s="14">
        <f t="shared" ref="K36:K37" si="38">J36-15.37207</f>
        <v>5.6872237469482414</v>
      </c>
      <c r="L36" s="14">
        <f t="shared" si="6"/>
        <v>1.9407744230828514E-2</v>
      </c>
      <c r="M36" s="14">
        <v>77.067779541015625</v>
      </c>
      <c r="N36" s="14" t="s">
        <v>24</v>
      </c>
      <c r="O36" s="14" t="s">
        <v>25</v>
      </c>
      <c r="P36" s="14">
        <v>20.768011093139648</v>
      </c>
      <c r="Q36" s="14">
        <f t="shared" ref="Q36:Q37" si="39">P36-14.79947</f>
        <v>5.968541093139649</v>
      </c>
      <c r="R36" s="14">
        <f t="shared" si="8"/>
        <v>1.5969455208541601E-2</v>
      </c>
      <c r="S36" s="14">
        <v>76.775115966796875</v>
      </c>
      <c r="T36" s="14" t="s">
        <v>24</v>
      </c>
      <c r="U36" s="13" t="s">
        <v>25</v>
      </c>
      <c r="AA36" s="15"/>
      <c r="AB36" s="14" t="s">
        <v>118</v>
      </c>
      <c r="AC36" s="14">
        <v>3.2186082050532323</v>
      </c>
      <c r="AD36" s="14">
        <f t="shared" si="32"/>
        <v>1.7099698902264446</v>
      </c>
      <c r="AE36" s="14"/>
      <c r="AF36" s="14">
        <v>2.858600157458828E-2</v>
      </c>
      <c r="AG36" s="14">
        <f t="shared" si="33"/>
        <v>0.78635461651960925</v>
      </c>
      <c r="AH36" s="14"/>
      <c r="AI36" s="14">
        <v>2.2546112896491926E-2</v>
      </c>
      <c r="AJ36" s="14">
        <f t="shared" si="34"/>
        <v>1.411828288530576</v>
      </c>
      <c r="AK36" s="13"/>
    </row>
    <row r="37" spans="1:37" x14ac:dyDescent="0.2">
      <c r="A37" s="15" t="s">
        <v>51</v>
      </c>
      <c r="B37" s="14" t="s">
        <v>15</v>
      </c>
      <c r="C37" s="14" t="s">
        <v>49</v>
      </c>
      <c r="D37" s="14">
        <v>26.311174392700195</v>
      </c>
      <c r="E37" s="14">
        <f t="shared" si="4"/>
        <v>5.1238343927001964</v>
      </c>
      <c r="F37" s="14">
        <f t="shared" si="3"/>
        <v>2.8679538264163085E-2</v>
      </c>
      <c r="G37" s="14">
        <v>77.068313598632813</v>
      </c>
      <c r="H37" s="14" t="s">
        <v>24</v>
      </c>
      <c r="I37" s="14" t="s">
        <v>25</v>
      </c>
      <c r="J37" s="14">
        <v>21.047771453857422</v>
      </c>
      <c r="K37" s="14">
        <f t="shared" si="38"/>
        <v>5.6757014538574211</v>
      </c>
      <c r="L37" s="14">
        <f t="shared" si="6"/>
        <v>1.9563367620819453E-2</v>
      </c>
      <c r="M37" s="14">
        <v>76.915817260742188</v>
      </c>
      <c r="N37" s="14" t="s">
        <v>24</v>
      </c>
      <c r="O37" s="14" t="s">
        <v>25</v>
      </c>
      <c r="P37" s="14">
        <v>20.754640579223633</v>
      </c>
      <c r="Q37" s="14">
        <f t="shared" si="39"/>
        <v>5.9551705792236334</v>
      </c>
      <c r="R37" s="14">
        <f t="shared" si="8"/>
        <v>1.611814381087609E-2</v>
      </c>
      <c r="S37" s="14">
        <v>76.771827697753906</v>
      </c>
      <c r="T37" s="14" t="s">
        <v>24</v>
      </c>
      <c r="U37" s="13" t="s">
        <v>25</v>
      </c>
      <c r="AA37" s="15"/>
      <c r="AB37" s="14" t="s">
        <v>118</v>
      </c>
      <c r="AC37" s="14">
        <v>3.1671233118652951</v>
      </c>
      <c r="AD37" s="14">
        <f t="shared" si="32"/>
        <v>1.6738277013363165</v>
      </c>
      <c r="AE37" s="14"/>
      <c r="AF37" s="14">
        <v>2.8712053081559039E-2</v>
      </c>
      <c r="AG37" s="14">
        <f t="shared" si="33"/>
        <v>0.80028054414733063</v>
      </c>
      <c r="AH37" s="14"/>
      <c r="AI37" s="14">
        <v>2.2728343966601356E-2</v>
      </c>
      <c r="AJ37" s="14">
        <f t="shared" si="34"/>
        <v>1.4101102508880108</v>
      </c>
      <c r="AK37" s="13"/>
    </row>
    <row r="38" spans="1:37" x14ac:dyDescent="0.2">
      <c r="A38" s="15" t="s">
        <v>52</v>
      </c>
      <c r="B38" s="14" t="s">
        <v>108</v>
      </c>
      <c r="C38" s="14" t="s">
        <v>49</v>
      </c>
      <c r="D38" s="14">
        <v>23.967117309570313</v>
      </c>
      <c r="E38" s="14">
        <f>D38-19.1555</f>
        <v>4.8116173095703125</v>
      </c>
      <c r="F38" s="14">
        <f t="shared" si="3"/>
        <v>3.5608924937165443E-2</v>
      </c>
      <c r="G38" s="14">
        <v>77.068313598632813</v>
      </c>
      <c r="H38" s="14" t="s">
        <v>24</v>
      </c>
      <c r="I38" s="14" t="s">
        <v>25</v>
      </c>
      <c r="J38" s="14">
        <v>20.348960876464844</v>
      </c>
      <c r="K38" s="14">
        <f>J38-14.51312</f>
        <v>5.8358408764648431</v>
      </c>
      <c r="L38" s="14">
        <f t="shared" si="6"/>
        <v>1.7508012429553441E-2</v>
      </c>
      <c r="M38" s="14">
        <v>76.915817260742188</v>
      </c>
      <c r="N38" s="14" t="s">
        <v>24</v>
      </c>
      <c r="O38" s="14" t="s">
        <v>25</v>
      </c>
      <c r="P38" s="14">
        <v>19.978660583496094</v>
      </c>
      <c r="Q38" s="14">
        <f>P38-14.27294</f>
        <v>5.7057205834960936</v>
      </c>
      <c r="R38" s="14">
        <f t="shared" si="8"/>
        <v>1.9160505273609362E-2</v>
      </c>
      <c r="S38" s="14">
        <v>76.771827697753906</v>
      </c>
      <c r="T38" s="14" t="s">
        <v>24</v>
      </c>
      <c r="U38" s="13" t="s">
        <v>25</v>
      </c>
      <c r="AA38" s="15"/>
      <c r="AB38" s="14" t="s">
        <v>16</v>
      </c>
      <c r="AC38" s="14">
        <v>11.439612563088136</v>
      </c>
      <c r="AD38" s="14">
        <f>AC38/AC11</f>
        <v>10.308021935784767</v>
      </c>
      <c r="AE38" s="14">
        <f>AVERAGE(AD38:AD46)</f>
        <v>4.6810685612413057</v>
      </c>
      <c r="AF38" s="14">
        <v>4.2907636909392061E-2</v>
      </c>
      <c r="AG38" s="14">
        <f>AF38/AF11</f>
        <v>1.1597757359459429</v>
      </c>
      <c r="AH38" s="14">
        <f>AVERAGE(AG38:AG46)</f>
        <v>1.1438553083112528</v>
      </c>
      <c r="AI38" s="14">
        <v>8.4228050721899705E-2</v>
      </c>
      <c r="AJ38" s="14">
        <f>AI38/AI11</f>
        <v>3.0172509016335489</v>
      </c>
      <c r="AK38" s="13">
        <f>AVERAGE(AJ38:AJ46)</f>
        <v>1.8146301418383348</v>
      </c>
    </row>
    <row r="39" spans="1:37" x14ac:dyDescent="0.2">
      <c r="A39" s="15" t="s">
        <v>53</v>
      </c>
      <c r="B39" s="14" t="s">
        <v>108</v>
      </c>
      <c r="C39" s="14" t="s">
        <v>49</v>
      </c>
      <c r="D39" s="14">
        <v>23.88953971862793</v>
      </c>
      <c r="E39" s="14">
        <f t="shared" ref="E39:E40" si="40">D39-19.1555</f>
        <v>4.7340397186279297</v>
      </c>
      <c r="F39" s="14">
        <f t="shared" si="3"/>
        <v>3.7576129510855823E-2</v>
      </c>
      <c r="G39" s="14">
        <v>77.069786071777344</v>
      </c>
      <c r="H39" s="14" t="s">
        <v>24</v>
      </c>
      <c r="I39" s="14" t="s">
        <v>25</v>
      </c>
      <c r="J39" s="14">
        <v>20.29456901550293</v>
      </c>
      <c r="K39" s="14">
        <f t="shared" ref="K39:K40" si="41">J39-14.51312</f>
        <v>5.781449015502929</v>
      </c>
      <c r="L39" s="14">
        <f t="shared" si="6"/>
        <v>1.8180692772750428E-2</v>
      </c>
      <c r="M39" s="14">
        <v>77.064910888671875</v>
      </c>
      <c r="N39" s="14" t="s">
        <v>24</v>
      </c>
      <c r="O39" s="14" t="s">
        <v>25</v>
      </c>
      <c r="P39" s="14">
        <v>19.946769714355469</v>
      </c>
      <c r="Q39" s="14">
        <f t="shared" ref="Q39:Q40" si="42">P39-14.27294</f>
        <v>5.6738297143554686</v>
      </c>
      <c r="R39" s="14">
        <f t="shared" si="8"/>
        <v>1.9588765428969746E-2</v>
      </c>
      <c r="S39" s="14">
        <v>76.77264404296875</v>
      </c>
      <c r="T39" s="14" t="s">
        <v>24</v>
      </c>
      <c r="U39" s="13" t="s">
        <v>25</v>
      </c>
      <c r="AA39" s="15"/>
      <c r="AB39" s="14" t="s">
        <v>16</v>
      </c>
      <c r="AC39" s="14">
        <v>11.36996012568326</v>
      </c>
      <c r="AD39" s="14">
        <f t="shared" ref="AD39:AD46" si="43">AC39/AC12</f>
        <v>10.232061569376972</v>
      </c>
      <c r="AE39" s="14">
        <f>STDEV(AD38:AD46)</f>
        <v>4.5682919462387614</v>
      </c>
      <c r="AF39" s="14">
        <v>4.2812045029761207E-2</v>
      </c>
      <c r="AG39" s="14">
        <f t="shared" ref="AG39:AG46" si="44">AF39/AF12</f>
        <v>1.250788173591513</v>
      </c>
      <c r="AH39" s="14">
        <f>STDEV(AG38:AG46)</f>
        <v>0.23979258582212207</v>
      </c>
      <c r="AI39" s="14">
        <v>8.292194809275466E-2</v>
      </c>
      <c r="AJ39" s="14">
        <f t="shared" ref="AJ39:AJ46" si="45">AI39/AI12</f>
        <v>3.2744050410473124</v>
      </c>
      <c r="AK39" s="13">
        <f>STDEV(AJ38:AJ46)</f>
        <v>1.0927275058460906</v>
      </c>
    </row>
    <row r="40" spans="1:37" x14ac:dyDescent="0.2">
      <c r="A40" s="15" t="s">
        <v>54</v>
      </c>
      <c r="B40" s="14" t="s">
        <v>108</v>
      </c>
      <c r="C40" s="14" t="s">
        <v>49</v>
      </c>
      <c r="D40" s="14">
        <v>23.880081176757813</v>
      </c>
      <c r="E40" s="14">
        <f t="shared" si="40"/>
        <v>4.7245811767578125</v>
      </c>
      <c r="F40" s="14">
        <f t="shared" si="3"/>
        <v>3.7823294029277872E-2</v>
      </c>
      <c r="G40" s="14">
        <v>77.069786071777344</v>
      </c>
      <c r="H40" s="14" t="s">
        <v>24</v>
      </c>
      <c r="I40" s="14" t="s">
        <v>25</v>
      </c>
      <c r="J40" s="14">
        <v>20.293779373168945</v>
      </c>
      <c r="K40" s="14">
        <f t="shared" si="41"/>
        <v>5.7806593731689446</v>
      </c>
      <c r="L40" s="14">
        <f t="shared" si="6"/>
        <v>1.8190646487046335E-2</v>
      </c>
      <c r="M40" s="14">
        <v>77.064910888671875</v>
      </c>
      <c r="N40" s="14" t="s">
        <v>24</v>
      </c>
      <c r="O40" s="14" t="s">
        <v>25</v>
      </c>
      <c r="P40" s="14">
        <v>19.916412353515625</v>
      </c>
      <c r="Q40" s="14">
        <f t="shared" si="42"/>
        <v>5.6434723535156248</v>
      </c>
      <c r="R40" s="14">
        <f t="shared" si="8"/>
        <v>2.0005321808331356E-2</v>
      </c>
      <c r="S40" s="14">
        <v>76.77264404296875</v>
      </c>
      <c r="T40" s="14" t="s">
        <v>24</v>
      </c>
      <c r="U40" s="13" t="s">
        <v>25</v>
      </c>
      <c r="AA40" s="15"/>
      <c r="AB40" s="14" t="s">
        <v>16</v>
      </c>
      <c r="AC40" s="14">
        <v>11.269407912781984</v>
      </c>
      <c r="AD40" s="14">
        <f t="shared" si="43"/>
        <v>9.9254667409374928</v>
      </c>
      <c r="AE40" s="14"/>
      <c r="AF40" s="14">
        <v>4.2209732781244118E-2</v>
      </c>
      <c r="AG40" s="14">
        <f t="shared" si="44"/>
        <v>1.2018084282324137</v>
      </c>
      <c r="AH40" s="14"/>
      <c r="AI40" s="14">
        <v>8.0342779770506217E-2</v>
      </c>
      <c r="AJ40" s="14">
        <f t="shared" si="45"/>
        <v>2.8013972550910853</v>
      </c>
      <c r="AK40" s="13"/>
    </row>
    <row r="41" spans="1:37" x14ac:dyDescent="0.2">
      <c r="A41" s="15" t="s">
        <v>55</v>
      </c>
      <c r="B41" s="14" t="s">
        <v>109</v>
      </c>
      <c r="C41" s="14" t="s">
        <v>49</v>
      </c>
      <c r="D41" s="14">
        <v>23.627750396728516</v>
      </c>
      <c r="E41" s="14">
        <f>D41-19.84905</f>
        <v>3.7787003967285173</v>
      </c>
      <c r="F41" s="14">
        <f t="shared" si="3"/>
        <v>7.2861454389631514E-2</v>
      </c>
      <c r="G41" s="14">
        <v>77.066139221191406</v>
      </c>
      <c r="H41" s="14" t="s">
        <v>24</v>
      </c>
      <c r="I41" s="14" t="s">
        <v>25</v>
      </c>
      <c r="J41" s="14">
        <v>20.319511413574219</v>
      </c>
      <c r="K41" s="14">
        <f>J41-15.51521</f>
        <v>4.804301413574219</v>
      </c>
      <c r="L41" s="14">
        <f t="shared" si="6"/>
        <v>3.5789956151016225E-2</v>
      </c>
      <c r="M41" s="14">
        <v>76.915191650390625</v>
      </c>
      <c r="N41" s="14" t="s">
        <v>24</v>
      </c>
      <c r="O41" s="14" t="s">
        <v>25</v>
      </c>
      <c r="P41" s="14">
        <v>20.272130966186523</v>
      </c>
      <c r="Q41" s="14">
        <f>P41-14.75083</f>
        <v>5.5213009661865229</v>
      </c>
      <c r="R41" s="14">
        <f t="shared" si="8"/>
        <v>2.1773226683733899E-2</v>
      </c>
      <c r="S41" s="14">
        <v>76.773666381835938</v>
      </c>
      <c r="T41" s="14" t="s">
        <v>24</v>
      </c>
      <c r="U41" s="13" t="s">
        <v>25</v>
      </c>
      <c r="AA41" s="15"/>
      <c r="AB41" s="14" t="s">
        <v>16</v>
      </c>
      <c r="AC41" s="14">
        <v>0.48507062526971395</v>
      </c>
      <c r="AD41" s="14">
        <f t="shared" si="43"/>
        <v>0.59542442886849556</v>
      </c>
      <c r="AE41" s="14"/>
      <c r="AF41" s="14">
        <v>1.4465767041119366E-2</v>
      </c>
      <c r="AG41" s="14">
        <f t="shared" si="44"/>
        <v>1.3425726802782032</v>
      </c>
      <c r="AH41" s="14"/>
      <c r="AI41" s="14">
        <v>1.0544835854375502E-2</v>
      </c>
      <c r="AJ41" s="14">
        <f t="shared" si="45"/>
        <v>0.53490051252763704</v>
      </c>
      <c r="AK41" s="13"/>
    </row>
    <row r="42" spans="1:37" x14ac:dyDescent="0.2">
      <c r="A42" s="15" t="s">
        <v>56</v>
      </c>
      <c r="B42" s="14" t="s">
        <v>109</v>
      </c>
      <c r="C42" s="14" t="s">
        <v>49</v>
      </c>
      <c r="D42" s="14">
        <v>23.553459167480469</v>
      </c>
      <c r="E42" s="14">
        <f t="shared" ref="E42:E43" si="46">D42-19.84905</f>
        <v>3.7044091674804704</v>
      </c>
      <c r="F42" s="14">
        <f t="shared" si="3"/>
        <v>7.6711720696048313E-2</v>
      </c>
      <c r="G42" s="14">
        <v>77.066139221191406</v>
      </c>
      <c r="H42" s="14" t="s">
        <v>24</v>
      </c>
      <c r="I42" s="14" t="s">
        <v>25</v>
      </c>
      <c r="J42" s="14">
        <v>20.292135238647461</v>
      </c>
      <c r="K42" s="14">
        <f t="shared" ref="K42:K43" si="47">J42-15.51521</f>
        <v>4.7769252386474612</v>
      </c>
      <c r="L42" s="14">
        <f t="shared" si="6"/>
        <v>3.6475580820092092E-2</v>
      </c>
      <c r="M42" s="14">
        <v>77.064384460449219</v>
      </c>
      <c r="N42" s="14" t="s">
        <v>24</v>
      </c>
      <c r="O42" s="14" t="s">
        <v>25</v>
      </c>
      <c r="P42" s="14">
        <v>20.221811294555664</v>
      </c>
      <c r="Q42" s="14">
        <f t="shared" ref="Q42:Q43" si="48">P42-14.75083</f>
        <v>5.4709812945556635</v>
      </c>
      <c r="R42" s="14">
        <f t="shared" si="8"/>
        <v>2.2546053054009616E-2</v>
      </c>
      <c r="S42" s="14">
        <v>76.773666381835938</v>
      </c>
      <c r="T42" s="14" t="s">
        <v>24</v>
      </c>
      <c r="U42" s="13" t="s">
        <v>25</v>
      </c>
      <c r="AA42" s="15"/>
      <c r="AB42" s="14" t="s">
        <v>16</v>
      </c>
      <c r="AC42" s="14"/>
      <c r="AD42" s="14"/>
      <c r="AE42" s="14"/>
      <c r="AF42" s="14">
        <v>1.4966550973508531E-2</v>
      </c>
      <c r="AG42" s="14">
        <f t="shared" si="44"/>
        <v>1.4127083254604071</v>
      </c>
      <c r="AH42" s="14"/>
      <c r="AI42" s="14">
        <v>1.0079096706347119E-2</v>
      </c>
      <c r="AJ42" s="14">
        <f t="shared" si="45"/>
        <v>0.51933318574903509</v>
      </c>
      <c r="AK42" s="13"/>
    </row>
    <row r="43" spans="1:37" x14ac:dyDescent="0.2">
      <c r="A43" s="15" t="s">
        <v>57</v>
      </c>
      <c r="B43" s="14" t="s">
        <v>109</v>
      </c>
      <c r="C43" s="14" t="s">
        <v>49</v>
      </c>
      <c r="D43" s="14">
        <v>23.724842071533203</v>
      </c>
      <c r="E43" s="14">
        <f t="shared" si="46"/>
        <v>3.8757920715332048</v>
      </c>
      <c r="F43" s="14">
        <f t="shared" si="3"/>
        <v>6.8119324005529974E-2</v>
      </c>
      <c r="G43" s="14">
        <v>76.916099548339844</v>
      </c>
      <c r="H43" s="14" t="s">
        <v>24</v>
      </c>
      <c r="I43" s="14" t="s">
        <v>25</v>
      </c>
      <c r="J43" s="14">
        <v>20.252471923828125</v>
      </c>
      <c r="K43" s="14">
        <f t="shared" si="47"/>
        <v>4.7372619238281253</v>
      </c>
      <c r="L43" s="14">
        <f t="shared" si="6"/>
        <v>3.7492298288380292E-2</v>
      </c>
      <c r="M43" s="14">
        <v>76.914031982421875</v>
      </c>
      <c r="N43" s="14" t="s">
        <v>24</v>
      </c>
      <c r="O43" s="14" t="s">
        <v>25</v>
      </c>
      <c r="P43" s="14">
        <v>20.210197448730469</v>
      </c>
      <c r="Q43" s="14">
        <f t="shared" si="48"/>
        <v>5.4593674487304682</v>
      </c>
      <c r="R43" s="14">
        <f t="shared" si="8"/>
        <v>2.2728283640436574E-2</v>
      </c>
      <c r="S43" s="14">
        <v>76.770622253417969</v>
      </c>
      <c r="T43" s="14" t="s">
        <v>24</v>
      </c>
      <c r="U43" s="13" t="s">
        <v>25</v>
      </c>
      <c r="AA43" s="15"/>
      <c r="AB43" s="14" t="s">
        <v>16</v>
      </c>
      <c r="AC43" s="14">
        <v>0.48654399814763294</v>
      </c>
      <c r="AD43" s="14">
        <f t="shared" si="43"/>
        <v>0.58732895829470055</v>
      </c>
      <c r="AE43" s="14"/>
      <c r="AF43" s="14">
        <v>1.4670498960416063E-2</v>
      </c>
      <c r="AG43" s="14">
        <f t="shared" si="44"/>
        <v>1.3951793868263431</v>
      </c>
      <c r="AH43" s="14"/>
      <c r="AI43" s="14">
        <v>1.023973400454456E-2</v>
      </c>
      <c r="AJ43" s="14">
        <f t="shared" si="45"/>
        <v>0.52341309328158436</v>
      </c>
      <c r="AK43" s="13"/>
    </row>
    <row r="44" spans="1:37" x14ac:dyDescent="0.2">
      <c r="A44" s="15" t="s">
        <v>58</v>
      </c>
      <c r="B44" s="14" t="s">
        <v>125</v>
      </c>
      <c r="C44" s="14" t="s">
        <v>49</v>
      </c>
      <c r="D44" s="14">
        <v>22.996265411376953</v>
      </c>
      <c r="E44" s="14">
        <f>D44-19.42671</f>
        <v>3.5695554113769532</v>
      </c>
      <c r="F44" s="14">
        <f t="shared" si="3"/>
        <v>8.4228050721899705E-2</v>
      </c>
      <c r="G44" s="14">
        <v>77.0653076171875</v>
      </c>
      <c r="H44" s="14" t="s">
        <v>24</v>
      </c>
      <c r="I44" s="14" t="s">
        <v>25</v>
      </c>
      <c r="J44" s="14">
        <v>23.461404800415039</v>
      </c>
      <c r="K44" s="14">
        <f>J44-16.89409</f>
        <v>6.5673148004150406</v>
      </c>
      <c r="L44" s="14">
        <f t="shared" si="6"/>
        <v>1.0544870585110569E-2</v>
      </c>
      <c r="M44" s="14">
        <v>77.063217163085938</v>
      </c>
      <c r="N44" s="14" t="s">
        <v>24</v>
      </c>
      <c r="O44" s="14" t="s">
        <v>25</v>
      </c>
      <c r="P44" s="14">
        <v>19.822732925415039</v>
      </c>
      <c r="Q44" s="14">
        <f>P44-14.79391</f>
        <v>5.0288229254150387</v>
      </c>
      <c r="R44" s="14">
        <f t="shared" si="8"/>
        <v>3.0631866215659904E-2</v>
      </c>
      <c r="S44" s="14">
        <v>76.770622253417969</v>
      </c>
      <c r="T44" s="14" t="s">
        <v>24</v>
      </c>
      <c r="U44" s="13" t="s">
        <v>25</v>
      </c>
      <c r="AA44" s="15"/>
      <c r="AB44" s="14" t="s">
        <v>16</v>
      </c>
      <c r="AC44" s="14">
        <v>3.6296566491703968</v>
      </c>
      <c r="AD44" s="14">
        <f t="shared" si="43"/>
        <v>1.9830391745403551</v>
      </c>
      <c r="AE44" s="14"/>
      <c r="AF44" s="14">
        <v>3.0428766044489082E-2</v>
      </c>
      <c r="AG44" s="14">
        <f t="shared" si="44"/>
        <v>0.83307606368718357</v>
      </c>
      <c r="AH44" s="14"/>
      <c r="AI44" s="14">
        <v>3.0631873528982553E-2</v>
      </c>
      <c r="AJ44" s="14">
        <f t="shared" si="45"/>
        <v>1.9262492879262849</v>
      </c>
      <c r="AK44" s="13"/>
    </row>
    <row r="45" spans="1:37" x14ac:dyDescent="0.2">
      <c r="A45" s="15" t="s">
        <v>59</v>
      </c>
      <c r="B45" s="14" t="s">
        <v>125</v>
      </c>
      <c r="C45" s="14" t="s">
        <v>49</v>
      </c>
      <c r="D45" s="14">
        <v>23.01881217956543</v>
      </c>
      <c r="E45" s="14">
        <f t="shared" ref="E45:E46" si="49">D45-19.42671</f>
        <v>3.5921021795654298</v>
      </c>
      <c r="F45" s="14">
        <f t="shared" si="3"/>
        <v>8.292194809275466E-2</v>
      </c>
      <c r="G45" s="14">
        <v>76.91693115234375</v>
      </c>
      <c r="H45" s="14" t="s">
        <v>24</v>
      </c>
      <c r="I45" s="14" t="s">
        <v>25</v>
      </c>
      <c r="J45" s="14">
        <v>23.526575088500977</v>
      </c>
      <c r="K45" s="14">
        <f t="shared" ref="K45:K46" si="50">J45-16.89409</f>
        <v>6.6324850885009781</v>
      </c>
      <c r="L45" s="14">
        <f t="shared" si="6"/>
        <v>1.0079129903112072E-2</v>
      </c>
      <c r="M45" s="14">
        <v>76.914321899414063</v>
      </c>
      <c r="N45" s="14" t="s">
        <v>24</v>
      </c>
      <c r="O45" s="14" t="s">
        <v>25</v>
      </c>
      <c r="P45" s="14">
        <v>19.846918106079102</v>
      </c>
      <c r="Q45" s="14">
        <f t="shared" ref="Q45:Q46" si="51">P45-14.79391</f>
        <v>5.0530081060791012</v>
      </c>
      <c r="R45" s="14">
        <f t="shared" si="8"/>
        <v>3.0122637241180798E-2</v>
      </c>
      <c r="S45" s="14">
        <v>76.772689819335938</v>
      </c>
      <c r="T45" s="14" t="s">
        <v>24</v>
      </c>
      <c r="U45" s="13" t="s">
        <v>25</v>
      </c>
      <c r="AA45" s="15"/>
      <c r="AB45" s="14" t="s">
        <v>16</v>
      </c>
      <c r="AC45" s="14">
        <v>3.6442474684754798</v>
      </c>
      <c r="AD45" s="14">
        <f t="shared" si="43"/>
        <v>1.9361018945528823</v>
      </c>
      <c r="AE45" s="14"/>
      <c r="AF45" s="14">
        <v>3.0749663906199452E-2</v>
      </c>
      <c r="AG45" s="14">
        <f t="shared" si="44"/>
        <v>0.84587346383418105</v>
      </c>
      <c r="AH45" s="14"/>
      <c r="AI45" s="14">
        <v>3.0122644432925613E-2</v>
      </c>
      <c r="AJ45" s="14">
        <f t="shared" si="45"/>
        <v>1.8862675677619629</v>
      </c>
      <c r="AK45" s="13"/>
    </row>
    <row r="46" spans="1:37" ht="13.5" thickBot="1" x14ac:dyDescent="0.25">
      <c r="A46" s="15" t="s">
        <v>60</v>
      </c>
      <c r="B46" s="14" t="s">
        <v>125</v>
      </c>
      <c r="C46" s="14" t="s">
        <v>49</v>
      </c>
      <c r="D46" s="14">
        <v>23.064397811889648</v>
      </c>
      <c r="E46" s="14">
        <f t="shared" si="49"/>
        <v>3.6376878118896485</v>
      </c>
      <c r="F46" s="14">
        <f t="shared" si="3"/>
        <v>8.0342779770506217E-2</v>
      </c>
      <c r="G46" s="14">
        <v>76.91693115234375</v>
      </c>
      <c r="H46" s="14" t="s">
        <v>24</v>
      </c>
      <c r="I46" s="14" t="s">
        <v>25</v>
      </c>
      <c r="J46" s="14">
        <v>23.503763198852539</v>
      </c>
      <c r="K46" s="14">
        <f t="shared" si="50"/>
        <v>6.6096731988525406</v>
      </c>
      <c r="L46" s="14">
        <f>POWER(2,-K46)</f>
        <v>1.0239767730388536E-2</v>
      </c>
      <c r="M46" s="14">
        <v>76.914321899414063</v>
      </c>
      <c r="N46" s="14" t="s">
        <v>24</v>
      </c>
      <c r="O46" s="14" t="s">
        <v>25</v>
      </c>
      <c r="P46" s="14">
        <v>19.862762451171875</v>
      </c>
      <c r="Q46" s="14">
        <f t="shared" si="51"/>
        <v>5.0688524511718747</v>
      </c>
      <c r="R46" s="14">
        <f t="shared" si="8"/>
        <v>2.9793626469617973E-2</v>
      </c>
      <c r="S46" s="14">
        <v>76.772689819335938</v>
      </c>
      <c r="T46" s="14" t="s">
        <v>24</v>
      </c>
      <c r="U46" s="13" t="s">
        <v>25</v>
      </c>
      <c r="AA46" s="12"/>
      <c r="AB46" s="11" t="s">
        <v>16</v>
      </c>
      <c r="AC46" s="11">
        <v>3.559319548188753</v>
      </c>
      <c r="AD46" s="11">
        <f t="shared" si="43"/>
        <v>1.8811037875747829</v>
      </c>
      <c r="AE46" s="11"/>
      <c r="AF46" s="11">
        <v>3.0600463519583329E-2</v>
      </c>
      <c r="AG46" s="11">
        <f t="shared" si="44"/>
        <v>0.85291551694508627</v>
      </c>
      <c r="AH46" s="11"/>
      <c r="AI46" s="11">
        <v>2.9793633582811844E-2</v>
      </c>
      <c r="AJ46" s="11">
        <f t="shared" si="45"/>
        <v>1.8484544315265619</v>
      </c>
      <c r="AK46" s="10"/>
    </row>
    <row r="47" spans="1:37" x14ac:dyDescent="0.2">
      <c r="A47" s="15" t="s">
        <v>61</v>
      </c>
      <c r="B47" s="14" t="s">
        <v>15</v>
      </c>
      <c r="C47" s="14" t="s">
        <v>0</v>
      </c>
      <c r="D47" s="14">
        <v>24.954345703125</v>
      </c>
      <c r="E47" s="14" t="s">
        <v>24</v>
      </c>
      <c r="F47" s="14"/>
      <c r="G47" s="14">
        <v>76.328033447265625</v>
      </c>
      <c r="H47" s="14" t="s">
        <v>24</v>
      </c>
      <c r="I47" s="14" t="s">
        <v>25</v>
      </c>
      <c r="J47" s="14">
        <v>19.226964950561523</v>
      </c>
      <c r="K47" s="14"/>
      <c r="L47" s="14"/>
      <c r="M47" s="14">
        <v>76.172721862792969</v>
      </c>
      <c r="N47" s="14" t="s">
        <v>24</v>
      </c>
      <c r="O47" s="14" t="s">
        <v>25</v>
      </c>
      <c r="P47" s="14">
        <v>18.596490859985352</v>
      </c>
      <c r="Q47" s="14"/>
      <c r="R47" s="14"/>
      <c r="S47" s="14">
        <v>75.880523681640625</v>
      </c>
      <c r="T47" s="14" t="s">
        <v>24</v>
      </c>
      <c r="U47" s="13" t="s">
        <v>25</v>
      </c>
    </row>
    <row r="48" spans="1:37" x14ac:dyDescent="0.2">
      <c r="A48" s="15" t="s">
        <v>62</v>
      </c>
      <c r="B48" s="14" t="s">
        <v>15</v>
      </c>
      <c r="C48" s="14" t="s">
        <v>0</v>
      </c>
      <c r="D48" s="14">
        <v>24.984609603881836</v>
      </c>
      <c r="E48" s="14" t="s">
        <v>24</v>
      </c>
      <c r="F48" s="14"/>
      <c r="G48" s="14">
        <v>76.178855895996094</v>
      </c>
      <c r="H48" s="14" t="s">
        <v>24</v>
      </c>
      <c r="I48" s="14" t="s">
        <v>25</v>
      </c>
      <c r="J48" s="14">
        <v>19.202886581420898</v>
      </c>
      <c r="K48" s="14"/>
      <c r="L48" s="14"/>
      <c r="M48" s="14">
        <v>76.023544311523438</v>
      </c>
      <c r="N48" s="14" t="s">
        <v>24</v>
      </c>
      <c r="O48" s="14" t="s">
        <v>25</v>
      </c>
      <c r="P48" s="14">
        <v>18.570440292358398</v>
      </c>
      <c r="Q48" s="14"/>
      <c r="R48" s="14"/>
      <c r="S48" s="14">
        <v>75.880523681640625</v>
      </c>
      <c r="T48" s="14" t="s">
        <v>24</v>
      </c>
      <c r="U48" s="13" t="s">
        <v>25</v>
      </c>
    </row>
    <row r="49" spans="1:21" x14ac:dyDescent="0.2">
      <c r="A49" s="15" t="s">
        <v>63</v>
      </c>
      <c r="B49" s="14" t="s">
        <v>15</v>
      </c>
      <c r="C49" s="14" t="s">
        <v>0</v>
      </c>
      <c r="D49" s="14">
        <v>24.980155944824219</v>
      </c>
      <c r="E49" s="14" t="s">
        <v>24</v>
      </c>
      <c r="F49" s="14"/>
      <c r="G49" s="14">
        <v>76.173301696777344</v>
      </c>
      <c r="H49" s="14" t="s">
        <v>24</v>
      </c>
      <c r="I49" s="14" t="s">
        <v>25</v>
      </c>
      <c r="J49" s="14">
        <v>19.21223258972168</v>
      </c>
      <c r="K49" s="14"/>
      <c r="L49" s="14"/>
      <c r="M49" s="14">
        <v>76.020698547363281</v>
      </c>
      <c r="N49" s="14" t="s">
        <v>24</v>
      </c>
      <c r="O49" s="14" t="s">
        <v>25</v>
      </c>
      <c r="P49" s="14">
        <v>18.572471618652344</v>
      </c>
      <c r="Q49" s="14"/>
      <c r="R49" s="14"/>
      <c r="S49" s="14">
        <v>75.728164672851563</v>
      </c>
      <c r="T49" s="14" t="s">
        <v>24</v>
      </c>
      <c r="U49" s="13" t="s">
        <v>25</v>
      </c>
    </row>
    <row r="50" spans="1:21" x14ac:dyDescent="0.2">
      <c r="A50" s="15" t="s">
        <v>64</v>
      </c>
      <c r="B50" s="14" t="s">
        <v>108</v>
      </c>
      <c r="C50" s="14" t="s">
        <v>0</v>
      </c>
      <c r="D50" s="14">
        <v>21.916847229003906</v>
      </c>
      <c r="E50" s="14" t="s">
        <v>24</v>
      </c>
      <c r="F50" s="14"/>
      <c r="G50" s="14">
        <v>76.173301696777344</v>
      </c>
      <c r="H50" s="14" t="s">
        <v>24</v>
      </c>
      <c r="I50" s="14" t="s">
        <v>65</v>
      </c>
      <c r="J50" s="14">
        <v>18.92418098449707</v>
      </c>
      <c r="K50" s="14"/>
      <c r="L50" s="14"/>
      <c r="M50" s="14">
        <v>76.020698547363281</v>
      </c>
      <c r="N50" s="14" t="s">
        <v>24</v>
      </c>
      <c r="O50" s="14" t="s">
        <v>25</v>
      </c>
      <c r="P50" s="14">
        <v>17.82354736328125</v>
      </c>
      <c r="Q50" s="14"/>
      <c r="R50" s="14"/>
      <c r="S50" s="14">
        <v>75.728164672851563</v>
      </c>
      <c r="T50" s="14" t="s">
        <v>24</v>
      </c>
      <c r="U50" s="13" t="s">
        <v>25</v>
      </c>
    </row>
    <row r="51" spans="1:21" x14ac:dyDescent="0.2">
      <c r="A51" s="15" t="s">
        <v>66</v>
      </c>
      <c r="B51" s="14" t="s">
        <v>108</v>
      </c>
      <c r="C51" s="14" t="s">
        <v>0</v>
      </c>
      <c r="D51" s="14">
        <v>21.489831924438477</v>
      </c>
      <c r="E51" s="14" t="s">
        <v>24</v>
      </c>
      <c r="F51" s="14"/>
      <c r="G51" s="14">
        <v>76.32391357421875</v>
      </c>
      <c r="H51" s="14" t="s">
        <v>24</v>
      </c>
      <c r="I51" s="14" t="s">
        <v>25</v>
      </c>
      <c r="J51" s="14">
        <v>18.45353889465332</v>
      </c>
      <c r="K51" s="14"/>
      <c r="L51" s="14"/>
      <c r="M51" s="14">
        <v>76.169815063476563</v>
      </c>
      <c r="N51" s="14" t="s">
        <v>24</v>
      </c>
      <c r="O51" s="14" t="s">
        <v>25</v>
      </c>
      <c r="P51" s="14">
        <v>17.855514526367188</v>
      </c>
      <c r="Q51" s="14"/>
      <c r="R51" s="14"/>
      <c r="S51" s="14">
        <v>75.878097534179688</v>
      </c>
      <c r="T51" s="14" t="s">
        <v>24</v>
      </c>
      <c r="U51" s="13" t="s">
        <v>25</v>
      </c>
    </row>
    <row r="52" spans="1:21" x14ac:dyDescent="0.2">
      <c r="A52" s="15" t="s">
        <v>67</v>
      </c>
      <c r="B52" s="14" t="s">
        <v>108</v>
      </c>
      <c r="C52" s="14" t="s">
        <v>0</v>
      </c>
      <c r="D52" s="14">
        <v>21.433328628540039</v>
      </c>
      <c r="E52" s="14" t="s">
        <v>24</v>
      </c>
      <c r="F52" s="14"/>
      <c r="G52" s="14">
        <v>76.32391357421875</v>
      </c>
      <c r="H52" s="14" t="s">
        <v>24</v>
      </c>
      <c r="I52" s="14" t="s">
        <v>25</v>
      </c>
      <c r="J52" s="14">
        <v>18.433427810668945</v>
      </c>
      <c r="K52" s="14"/>
      <c r="L52" s="14"/>
      <c r="M52" s="14">
        <v>76.169815063476563</v>
      </c>
      <c r="N52" s="14" t="s">
        <v>24</v>
      </c>
      <c r="O52" s="14" t="s">
        <v>25</v>
      </c>
      <c r="P52" s="14">
        <v>17.779264450073242</v>
      </c>
      <c r="Q52" s="14"/>
      <c r="R52" s="14"/>
      <c r="S52" s="14">
        <v>75.878097534179688</v>
      </c>
      <c r="T52" s="14" t="s">
        <v>24</v>
      </c>
      <c r="U52" s="13" t="s">
        <v>25</v>
      </c>
    </row>
    <row r="53" spans="1:21" x14ac:dyDescent="0.2">
      <c r="A53" s="15" t="s">
        <v>68</v>
      </c>
      <c r="B53" s="14" t="s">
        <v>109</v>
      </c>
      <c r="C53" s="14" t="s">
        <v>0</v>
      </c>
      <c r="D53" s="14">
        <v>21.955764770507813</v>
      </c>
      <c r="E53" s="14" t="s">
        <v>24</v>
      </c>
      <c r="F53" s="14"/>
      <c r="G53" s="14">
        <v>76.171012878417969</v>
      </c>
      <c r="H53" s="14" t="s">
        <v>24</v>
      </c>
      <c r="I53" s="14" t="s">
        <v>25</v>
      </c>
      <c r="J53" s="14">
        <v>19.276763916015625</v>
      </c>
      <c r="K53" s="14"/>
      <c r="L53" s="14"/>
      <c r="M53" s="14">
        <v>76.020050048828125</v>
      </c>
      <c r="N53" s="14" t="s">
        <v>24</v>
      </c>
      <c r="O53" s="14" t="s">
        <v>25</v>
      </c>
      <c r="P53" s="14">
        <v>18.512273788452148</v>
      </c>
      <c r="Q53" s="14"/>
      <c r="R53" s="14"/>
      <c r="S53" s="14">
        <v>75.87908935546875</v>
      </c>
      <c r="T53" s="14" t="s">
        <v>24</v>
      </c>
      <c r="U53" s="13" t="s">
        <v>25</v>
      </c>
    </row>
    <row r="54" spans="1:21" x14ac:dyDescent="0.2">
      <c r="A54" s="15" t="s">
        <v>69</v>
      </c>
      <c r="B54" s="14" t="s">
        <v>109</v>
      </c>
      <c r="C54" s="14" t="s">
        <v>0</v>
      </c>
      <c r="D54" s="14">
        <v>21.967624664306641</v>
      </c>
      <c r="E54" s="14" t="s">
        <v>24</v>
      </c>
      <c r="F54" s="14"/>
      <c r="G54" s="14">
        <v>76.171012878417969</v>
      </c>
      <c r="H54" s="14" t="s">
        <v>24</v>
      </c>
      <c r="I54" s="14" t="s">
        <v>25</v>
      </c>
      <c r="J54" s="14">
        <v>19.312419891357422</v>
      </c>
      <c r="K54" s="14"/>
      <c r="L54" s="14"/>
      <c r="M54" s="14">
        <v>76.020050048828125</v>
      </c>
      <c r="N54" s="14" t="s">
        <v>24</v>
      </c>
      <c r="O54" s="14" t="s">
        <v>25</v>
      </c>
      <c r="P54" s="14">
        <v>18.529758453369141</v>
      </c>
      <c r="Q54" s="14"/>
      <c r="R54" s="14"/>
      <c r="S54" s="14">
        <v>75.87908935546875</v>
      </c>
      <c r="T54" s="14" t="s">
        <v>24</v>
      </c>
      <c r="U54" s="13" t="s">
        <v>25</v>
      </c>
    </row>
    <row r="55" spans="1:21" x14ac:dyDescent="0.2">
      <c r="A55" s="15" t="s">
        <v>70</v>
      </c>
      <c r="B55" s="14" t="s">
        <v>109</v>
      </c>
      <c r="C55" s="14" t="s">
        <v>0</v>
      </c>
      <c r="D55" s="14">
        <v>21.95655632019043</v>
      </c>
      <c r="E55" s="14" t="s">
        <v>24</v>
      </c>
      <c r="F55" s="14"/>
      <c r="G55" s="14">
        <v>76.020835876464844</v>
      </c>
      <c r="H55" s="14" t="s">
        <v>24</v>
      </c>
      <c r="I55" s="14" t="s">
        <v>25</v>
      </c>
      <c r="J55" s="14">
        <v>19.351823806762695</v>
      </c>
      <c r="K55" s="14"/>
      <c r="L55" s="14"/>
      <c r="M55" s="14">
        <v>76.018943786621094</v>
      </c>
      <c r="N55" s="14" t="s">
        <v>24</v>
      </c>
      <c r="O55" s="14" t="s">
        <v>25</v>
      </c>
      <c r="P55" s="14">
        <v>18.533700942993164</v>
      </c>
      <c r="Q55" s="14"/>
      <c r="R55" s="14"/>
      <c r="S55" s="14">
        <v>75.726951599121094</v>
      </c>
      <c r="T55" s="14" t="s">
        <v>24</v>
      </c>
      <c r="U55" s="13" t="s">
        <v>25</v>
      </c>
    </row>
    <row r="56" spans="1:21" x14ac:dyDescent="0.2">
      <c r="A56" s="15" t="s">
        <v>71</v>
      </c>
      <c r="B56" s="14" t="s">
        <v>125</v>
      </c>
      <c r="C56" s="14" t="s">
        <v>0</v>
      </c>
      <c r="D56" s="14">
        <v>21.360696792602539</v>
      </c>
      <c r="E56" s="14" t="s">
        <v>24</v>
      </c>
      <c r="F56" s="14"/>
      <c r="G56" s="14">
        <v>76.1700439453125</v>
      </c>
      <c r="H56" s="14" t="s">
        <v>24</v>
      </c>
      <c r="I56" s="14" t="s">
        <v>25</v>
      </c>
      <c r="J56" s="14">
        <v>21.797952651977539</v>
      </c>
      <c r="K56" s="14"/>
      <c r="L56" s="14"/>
      <c r="M56" s="14">
        <v>76.018943786621094</v>
      </c>
      <c r="N56" s="14" t="s">
        <v>24</v>
      </c>
      <c r="O56" s="14" t="s">
        <v>25</v>
      </c>
      <c r="P56" s="14">
        <v>18.348836898803711</v>
      </c>
      <c r="Q56" s="14"/>
      <c r="R56" s="14"/>
      <c r="S56" s="14">
        <v>75.876052856445313</v>
      </c>
      <c r="T56" s="14" t="s">
        <v>24</v>
      </c>
      <c r="U56" s="13" t="s">
        <v>25</v>
      </c>
    </row>
    <row r="57" spans="1:21" x14ac:dyDescent="0.2">
      <c r="A57" s="15" t="s">
        <v>72</v>
      </c>
      <c r="B57" s="14" t="s">
        <v>125</v>
      </c>
      <c r="C57" s="14" t="s">
        <v>0</v>
      </c>
      <c r="D57" s="14">
        <v>21.345146179199219</v>
      </c>
      <c r="E57" s="14" t="s">
        <v>24</v>
      </c>
      <c r="F57" s="14"/>
      <c r="G57" s="14">
        <v>76.021835327148438</v>
      </c>
      <c r="H57" s="14" t="s">
        <v>24</v>
      </c>
      <c r="I57" s="14" t="s">
        <v>25</v>
      </c>
      <c r="J57" s="14">
        <v>21.806291580200195</v>
      </c>
      <c r="K57" s="14"/>
      <c r="L57" s="14"/>
      <c r="M57" s="14">
        <v>76.019218444824219</v>
      </c>
      <c r="N57" s="14" t="s">
        <v>24</v>
      </c>
      <c r="O57" s="14" t="s">
        <v>25</v>
      </c>
      <c r="P57" s="14">
        <v>18.36174201965332</v>
      </c>
      <c r="Q57" s="14"/>
      <c r="R57" s="14"/>
      <c r="S57" s="14">
        <v>75.878128051757813</v>
      </c>
      <c r="T57" s="14" t="s">
        <v>24</v>
      </c>
      <c r="U57" s="13" t="s">
        <v>25</v>
      </c>
    </row>
    <row r="58" spans="1:21" x14ac:dyDescent="0.2">
      <c r="A58" s="15" t="s">
        <v>73</v>
      </c>
      <c r="B58" s="14" t="s">
        <v>125</v>
      </c>
      <c r="C58" s="14" t="s">
        <v>0</v>
      </c>
      <c r="D58" s="14">
        <v>21.357200622558594</v>
      </c>
      <c r="E58" s="14" t="s">
        <v>24</v>
      </c>
      <c r="F58" s="14"/>
      <c r="G58" s="14">
        <v>76.021835327148438</v>
      </c>
      <c r="H58" s="14" t="s">
        <v>24</v>
      </c>
      <c r="I58" s="14" t="s">
        <v>25</v>
      </c>
      <c r="J58" s="14">
        <v>21.830169677734375</v>
      </c>
      <c r="K58" s="14"/>
      <c r="L58" s="14"/>
      <c r="M58" s="14">
        <v>76.019218444824219</v>
      </c>
      <c r="N58" s="14" t="s">
        <v>24</v>
      </c>
      <c r="O58" s="14" t="s">
        <v>25</v>
      </c>
      <c r="P58" s="14">
        <v>18.383024215698242</v>
      </c>
      <c r="Q58" s="14"/>
      <c r="R58" s="14"/>
      <c r="S58" s="14">
        <v>75.878128051757813</v>
      </c>
      <c r="T58" s="14" t="s">
        <v>24</v>
      </c>
      <c r="U58" s="13" t="s">
        <v>25</v>
      </c>
    </row>
    <row r="59" spans="1:21" x14ac:dyDescent="0.2">
      <c r="A59" s="15" t="s">
        <v>74</v>
      </c>
      <c r="B59" s="14" t="s">
        <v>15</v>
      </c>
      <c r="C59" s="14" t="s">
        <v>1</v>
      </c>
      <c r="D59" s="14">
        <v>18.66575813293457</v>
      </c>
      <c r="E59" s="14" t="s">
        <v>24</v>
      </c>
      <c r="F59" s="14"/>
      <c r="G59" s="14">
        <v>81.101760864257813</v>
      </c>
      <c r="H59" s="14" t="s">
        <v>24</v>
      </c>
      <c r="I59" s="14" t="s">
        <v>25</v>
      </c>
      <c r="J59" s="14">
        <v>12.244138717651367</v>
      </c>
      <c r="K59" s="14"/>
      <c r="L59" s="14"/>
      <c r="M59" s="14">
        <v>81.095558166503906</v>
      </c>
      <c r="N59" s="14" t="s">
        <v>24</v>
      </c>
      <c r="O59" s="14" t="s">
        <v>25</v>
      </c>
      <c r="P59" s="14">
        <v>12.704431533813477</v>
      </c>
      <c r="Q59" s="14"/>
      <c r="R59" s="14"/>
      <c r="S59" s="14">
        <v>80.949836730957031</v>
      </c>
      <c r="T59" s="14" t="s">
        <v>24</v>
      </c>
      <c r="U59" s="13" t="s">
        <v>25</v>
      </c>
    </row>
    <row r="60" spans="1:21" x14ac:dyDescent="0.2">
      <c r="A60" s="15" t="s">
        <v>75</v>
      </c>
      <c r="B60" s="14" t="s">
        <v>15</v>
      </c>
      <c r="C60" s="14" t="s">
        <v>1</v>
      </c>
      <c r="D60" s="14">
        <v>18.687398910522461</v>
      </c>
      <c r="E60" s="14" t="s">
        <v>24</v>
      </c>
      <c r="F60" s="14"/>
      <c r="G60" s="14">
        <v>81.101760864257813</v>
      </c>
      <c r="H60" s="14" t="s">
        <v>24</v>
      </c>
      <c r="I60" s="14" t="s">
        <v>25</v>
      </c>
      <c r="J60" s="14">
        <v>12.284780502319336</v>
      </c>
      <c r="K60" s="14"/>
      <c r="L60" s="14"/>
      <c r="M60" s="14">
        <v>81.095558166503906</v>
      </c>
      <c r="N60" s="14" t="s">
        <v>24</v>
      </c>
      <c r="O60" s="14" t="s">
        <v>25</v>
      </c>
      <c r="P60" s="14">
        <v>12.768290519714355</v>
      </c>
      <c r="Q60" s="14"/>
      <c r="R60" s="14"/>
      <c r="S60" s="14">
        <v>80.800743103027344</v>
      </c>
      <c r="T60" s="14" t="s">
        <v>24</v>
      </c>
      <c r="U60" s="13" t="s">
        <v>25</v>
      </c>
    </row>
    <row r="61" spans="1:21" x14ac:dyDescent="0.2">
      <c r="A61" s="15" t="s">
        <v>76</v>
      </c>
      <c r="B61" s="14" t="s">
        <v>15</v>
      </c>
      <c r="C61" s="14" t="s">
        <v>1</v>
      </c>
      <c r="D61" s="14">
        <v>18.703683853149414</v>
      </c>
      <c r="E61" s="14" t="s">
        <v>24</v>
      </c>
      <c r="F61" s="14"/>
      <c r="G61" s="14">
        <v>81.095855712890625</v>
      </c>
      <c r="H61" s="14" t="s">
        <v>24</v>
      </c>
      <c r="I61" s="14" t="s">
        <v>25</v>
      </c>
      <c r="J61" s="14">
        <v>12.23675537109375</v>
      </c>
      <c r="K61" s="14"/>
      <c r="L61" s="14"/>
      <c r="M61" s="14">
        <v>81.093017578125</v>
      </c>
      <c r="N61" s="14" t="s">
        <v>24</v>
      </c>
      <c r="O61" s="14" t="s">
        <v>25</v>
      </c>
      <c r="P61" s="14">
        <v>12.677177429199219</v>
      </c>
      <c r="Q61" s="14"/>
      <c r="R61" s="14"/>
      <c r="S61" s="14">
        <v>80.946487426757813</v>
      </c>
      <c r="T61" s="14" t="s">
        <v>24</v>
      </c>
      <c r="U61" s="13" t="s">
        <v>25</v>
      </c>
    </row>
    <row r="62" spans="1:21" x14ac:dyDescent="0.2">
      <c r="A62" s="15" t="s">
        <v>77</v>
      </c>
      <c r="B62" s="14" t="s">
        <v>108</v>
      </c>
      <c r="C62" s="14" t="s">
        <v>1</v>
      </c>
      <c r="D62" s="14">
        <v>17.151556015014648</v>
      </c>
      <c r="E62" s="14" t="s">
        <v>24</v>
      </c>
      <c r="F62" s="14"/>
      <c r="G62" s="14">
        <v>81.095855712890625</v>
      </c>
      <c r="H62" s="14" t="s">
        <v>24</v>
      </c>
      <c r="I62" s="14" t="s">
        <v>25</v>
      </c>
      <c r="J62" s="14">
        <v>10.959198951721191</v>
      </c>
      <c r="K62" s="14"/>
      <c r="L62" s="14"/>
      <c r="M62" s="14">
        <v>81.093017578125</v>
      </c>
      <c r="N62" s="14" t="s">
        <v>24</v>
      </c>
      <c r="O62" s="14" t="s">
        <v>25</v>
      </c>
      <c r="P62" s="14">
        <v>12.294317245483398</v>
      </c>
      <c r="Q62" s="14"/>
      <c r="R62" s="14"/>
      <c r="S62" s="14">
        <v>80.946487426757813</v>
      </c>
      <c r="T62" s="14" t="s">
        <v>24</v>
      </c>
      <c r="U62" s="13" t="s">
        <v>25</v>
      </c>
    </row>
    <row r="63" spans="1:21" x14ac:dyDescent="0.2">
      <c r="A63" s="15" t="s">
        <v>78</v>
      </c>
      <c r="B63" s="14" t="s">
        <v>108</v>
      </c>
      <c r="C63" s="14" t="s">
        <v>1</v>
      </c>
      <c r="D63" s="14">
        <v>17.093362808227539</v>
      </c>
      <c r="E63" s="14" t="s">
        <v>24</v>
      </c>
      <c r="F63" s="14"/>
      <c r="G63" s="14">
        <v>81.246688842773438</v>
      </c>
      <c r="H63" s="14" t="s">
        <v>24</v>
      </c>
      <c r="I63" s="14" t="s">
        <v>25</v>
      </c>
      <c r="J63" s="14">
        <v>10.979700088500977</v>
      </c>
      <c r="K63" s="14"/>
      <c r="L63" s="14"/>
      <c r="M63" s="14">
        <v>81.092857360839844</v>
      </c>
      <c r="N63" s="14" t="s">
        <v>24</v>
      </c>
      <c r="O63" s="14" t="s">
        <v>25</v>
      </c>
      <c r="P63" s="14">
        <v>12.311921119689941</v>
      </c>
      <c r="Q63" s="14"/>
      <c r="R63" s="14"/>
      <c r="S63" s="14">
        <v>80.94720458984375</v>
      </c>
      <c r="T63" s="14" t="s">
        <v>24</v>
      </c>
      <c r="U63" s="13" t="s">
        <v>25</v>
      </c>
    </row>
    <row r="64" spans="1:21" x14ac:dyDescent="0.2">
      <c r="A64" s="15" t="s">
        <v>79</v>
      </c>
      <c r="B64" s="14" t="s">
        <v>108</v>
      </c>
      <c r="C64" s="14" t="s">
        <v>1</v>
      </c>
      <c r="D64" s="14">
        <v>17.053581237792969</v>
      </c>
      <c r="E64" s="14" t="s">
        <v>24</v>
      </c>
      <c r="F64" s="14"/>
      <c r="G64" s="14">
        <v>81.097518920898438</v>
      </c>
      <c r="H64" s="14" t="s">
        <v>24</v>
      </c>
      <c r="I64" s="14" t="s">
        <v>25</v>
      </c>
      <c r="J64" s="14">
        <v>10.502077102661133</v>
      </c>
      <c r="K64" s="14"/>
      <c r="L64" s="14"/>
      <c r="M64" s="14">
        <v>81.092857360839844</v>
      </c>
      <c r="N64" s="14" t="s">
        <v>24</v>
      </c>
      <c r="O64" s="14" t="s">
        <v>25</v>
      </c>
      <c r="P64" s="14">
        <v>12.284159660339355</v>
      </c>
      <c r="Q64" s="14"/>
      <c r="R64" s="14"/>
      <c r="S64" s="14">
        <v>80.94720458984375</v>
      </c>
      <c r="T64" s="14" t="s">
        <v>24</v>
      </c>
      <c r="U64" s="13" t="s">
        <v>25</v>
      </c>
    </row>
    <row r="65" spans="1:21" x14ac:dyDescent="0.2">
      <c r="A65" s="15" t="s">
        <v>80</v>
      </c>
      <c r="B65" s="14" t="s">
        <v>109</v>
      </c>
      <c r="C65" s="14" t="s">
        <v>1</v>
      </c>
      <c r="D65" s="14">
        <v>17.662149429321289</v>
      </c>
      <c r="E65" s="14" t="s">
        <v>24</v>
      </c>
      <c r="F65" s="14"/>
      <c r="G65" s="14">
        <v>81.094215393066406</v>
      </c>
      <c r="H65" s="14" t="s">
        <v>24</v>
      </c>
      <c r="I65" s="14" t="s">
        <v>25</v>
      </c>
      <c r="J65" s="14">
        <v>10.96031665802002</v>
      </c>
      <c r="K65" s="14"/>
      <c r="L65" s="14"/>
      <c r="M65" s="14">
        <v>80.943328857421875</v>
      </c>
      <c r="N65" s="14" t="s">
        <v>24</v>
      </c>
      <c r="O65" s="14" t="s">
        <v>65</v>
      </c>
      <c r="P65" s="14">
        <v>12.227303504943848</v>
      </c>
      <c r="Q65" s="14"/>
      <c r="R65" s="14"/>
      <c r="S65" s="14">
        <v>80.799270629882813</v>
      </c>
      <c r="T65" s="14" t="s">
        <v>24</v>
      </c>
      <c r="U65" s="13" t="s">
        <v>25</v>
      </c>
    </row>
    <row r="66" spans="1:21" x14ac:dyDescent="0.2">
      <c r="A66" s="15" t="s">
        <v>81</v>
      </c>
      <c r="B66" s="14" t="s">
        <v>109</v>
      </c>
      <c r="C66" s="14" t="s">
        <v>1</v>
      </c>
      <c r="D66" s="14">
        <v>17.642572402954102</v>
      </c>
      <c r="E66" s="14" t="s">
        <v>24</v>
      </c>
      <c r="F66" s="14"/>
      <c r="G66" s="14">
        <v>80.945030212402344</v>
      </c>
      <c r="H66" s="14" t="s">
        <v>24</v>
      </c>
      <c r="I66" s="14" t="s">
        <v>25</v>
      </c>
      <c r="J66" s="14">
        <v>11.455075263977051</v>
      </c>
      <c r="K66" s="14"/>
      <c r="L66" s="14"/>
      <c r="M66" s="14">
        <v>80.943328857421875</v>
      </c>
      <c r="N66" s="14" t="s">
        <v>24</v>
      </c>
      <c r="O66" s="14" t="s">
        <v>25</v>
      </c>
      <c r="P66" s="14">
        <v>12.202058792114258</v>
      </c>
      <c r="Q66" s="14"/>
      <c r="R66" s="14"/>
      <c r="S66" s="14">
        <v>80.799270629882813</v>
      </c>
      <c r="T66" s="14" t="s">
        <v>24</v>
      </c>
      <c r="U66" s="13" t="s">
        <v>25</v>
      </c>
    </row>
    <row r="67" spans="1:21" x14ac:dyDescent="0.2">
      <c r="A67" s="15" t="s">
        <v>82</v>
      </c>
      <c r="B67" s="14" t="s">
        <v>109</v>
      </c>
      <c r="C67" s="14" t="s">
        <v>1</v>
      </c>
      <c r="D67" s="14">
        <v>17.700340270996094</v>
      </c>
      <c r="E67" s="14" t="s">
        <v>24</v>
      </c>
      <c r="F67" s="14"/>
      <c r="G67" s="14">
        <v>80.944786071777344</v>
      </c>
      <c r="H67" s="14" t="s">
        <v>24</v>
      </c>
      <c r="I67" s="14" t="s">
        <v>25</v>
      </c>
      <c r="J67" s="14">
        <v>11.443332672119141</v>
      </c>
      <c r="K67" s="14"/>
      <c r="L67" s="14"/>
      <c r="M67" s="14">
        <v>80.941932678222656</v>
      </c>
      <c r="N67" s="14" t="s">
        <v>24</v>
      </c>
      <c r="O67" s="14" t="s">
        <v>25</v>
      </c>
      <c r="P67" s="14">
        <v>12.479344367980957</v>
      </c>
      <c r="Q67" s="14"/>
      <c r="R67" s="14"/>
      <c r="S67" s="14">
        <v>80.79620361328125</v>
      </c>
      <c r="T67" s="14" t="s">
        <v>24</v>
      </c>
      <c r="U67" s="13" t="s">
        <v>25</v>
      </c>
    </row>
    <row r="68" spans="1:21" x14ac:dyDescent="0.2">
      <c r="A68" s="15" t="s">
        <v>83</v>
      </c>
      <c r="B68" s="14" t="s">
        <v>125</v>
      </c>
      <c r="C68" s="14" t="s">
        <v>1</v>
      </c>
      <c r="D68" s="14">
        <v>17.267108917236328</v>
      </c>
      <c r="E68" s="14" t="s">
        <v>24</v>
      </c>
      <c r="F68" s="14"/>
      <c r="G68" s="14">
        <v>80.944786071777344</v>
      </c>
      <c r="H68" s="14" t="s">
        <v>24</v>
      </c>
      <c r="I68" s="14" t="s">
        <v>25</v>
      </c>
      <c r="J68" s="14">
        <v>12.420501708984375</v>
      </c>
      <c r="K68" s="14"/>
      <c r="L68" s="14"/>
      <c r="M68" s="14">
        <v>80.941932678222656</v>
      </c>
      <c r="N68" s="14" t="s">
        <v>24</v>
      </c>
      <c r="O68" s="14" t="s">
        <v>25</v>
      </c>
      <c r="P68" s="14">
        <v>12.403017997741699</v>
      </c>
      <c r="Q68" s="14"/>
      <c r="R68" s="14"/>
      <c r="S68" s="14">
        <v>80.79620361328125</v>
      </c>
      <c r="T68" s="14" t="s">
        <v>24</v>
      </c>
      <c r="U68" s="13" t="s">
        <v>25</v>
      </c>
    </row>
    <row r="69" spans="1:21" x14ac:dyDescent="0.2">
      <c r="A69" s="15" t="s">
        <v>84</v>
      </c>
      <c r="B69" s="14" t="s">
        <v>125</v>
      </c>
      <c r="C69" s="14" t="s">
        <v>1</v>
      </c>
      <c r="D69" s="14">
        <v>17.337638854980469</v>
      </c>
      <c r="E69" s="14" t="s">
        <v>24</v>
      </c>
      <c r="F69" s="14"/>
      <c r="G69" s="14">
        <v>80.944854736328125</v>
      </c>
      <c r="H69" s="14" t="s">
        <v>24</v>
      </c>
      <c r="I69" s="14" t="s">
        <v>25</v>
      </c>
      <c r="J69" s="14">
        <v>12.409666061401367</v>
      </c>
      <c r="K69" s="14"/>
      <c r="L69" s="14"/>
      <c r="M69" s="14">
        <v>80.942291259765625</v>
      </c>
      <c r="N69" s="14" t="s">
        <v>24</v>
      </c>
      <c r="O69" s="14" t="s">
        <v>25</v>
      </c>
      <c r="P69" s="14">
        <v>12.416776657104492</v>
      </c>
      <c r="Q69" s="14"/>
      <c r="R69" s="14"/>
      <c r="S69" s="14">
        <v>80.798187255859375</v>
      </c>
      <c r="T69" s="14" t="s">
        <v>24</v>
      </c>
      <c r="U69" s="13" t="s">
        <v>25</v>
      </c>
    </row>
    <row r="70" spans="1:21" x14ac:dyDescent="0.2">
      <c r="A70" s="15" t="s">
        <v>85</v>
      </c>
      <c r="B70" s="14" t="s">
        <v>125</v>
      </c>
      <c r="C70" s="14" t="s">
        <v>1</v>
      </c>
      <c r="D70" s="14">
        <v>17.309825897216797</v>
      </c>
      <c r="E70" s="14" t="s">
        <v>24</v>
      </c>
      <c r="F70" s="14"/>
      <c r="G70" s="14">
        <v>80.944854736328125</v>
      </c>
      <c r="H70" s="14" t="s">
        <v>24</v>
      </c>
      <c r="I70" s="14" t="s">
        <v>25</v>
      </c>
      <c r="J70" s="14">
        <v>12.436500549316406</v>
      </c>
      <c r="K70" s="14"/>
      <c r="L70" s="14"/>
      <c r="M70" s="14">
        <v>80.942291259765625</v>
      </c>
      <c r="N70" s="14" t="s">
        <v>24</v>
      </c>
      <c r="O70" s="14" t="s">
        <v>25</v>
      </c>
      <c r="P70" s="14">
        <v>12.69144344329834</v>
      </c>
      <c r="Q70" s="14"/>
      <c r="R70" s="14"/>
      <c r="S70" s="14">
        <v>80.798187255859375</v>
      </c>
      <c r="T70" s="14" t="s">
        <v>24</v>
      </c>
      <c r="U70" s="13" t="s">
        <v>25</v>
      </c>
    </row>
    <row r="71" spans="1:21" x14ac:dyDescent="0.2">
      <c r="A71" s="15" t="s">
        <v>86</v>
      </c>
      <c r="B71" s="14" t="s">
        <v>15</v>
      </c>
      <c r="C71" s="14" t="s">
        <v>2</v>
      </c>
      <c r="D71" s="14">
        <v>19.919200897216797</v>
      </c>
      <c r="E71" s="14" t="s">
        <v>24</v>
      </c>
      <c r="F71" s="14"/>
      <c r="G71" s="14">
        <v>78.267356872558594</v>
      </c>
      <c r="H71" s="14" t="s">
        <v>24</v>
      </c>
      <c r="I71" s="14" t="s">
        <v>25</v>
      </c>
      <c r="J71" s="14">
        <v>14.673524856567383</v>
      </c>
      <c r="K71" s="14"/>
      <c r="L71" s="14"/>
      <c r="M71" s="14">
        <v>78.261199951171875</v>
      </c>
      <c r="N71" s="14" t="s">
        <v>24</v>
      </c>
      <c r="O71" s="14" t="s">
        <v>25</v>
      </c>
      <c r="P71" s="14">
        <v>13.131561279296875</v>
      </c>
      <c r="Q71" s="14"/>
      <c r="R71" s="14"/>
      <c r="S71" s="14">
        <v>77.9678955078125</v>
      </c>
      <c r="T71" s="14" t="s">
        <v>24</v>
      </c>
      <c r="U71" s="13" t="s">
        <v>25</v>
      </c>
    </row>
    <row r="72" spans="1:21" x14ac:dyDescent="0.2">
      <c r="A72" s="15" t="s">
        <v>87</v>
      </c>
      <c r="B72" s="14" t="s">
        <v>15</v>
      </c>
      <c r="C72" s="14" t="s">
        <v>2</v>
      </c>
      <c r="D72" s="14">
        <v>19.888702392578125</v>
      </c>
      <c r="E72" s="14" t="s">
        <v>24</v>
      </c>
      <c r="F72" s="14"/>
      <c r="G72" s="14">
        <v>78.267356872558594</v>
      </c>
      <c r="H72" s="14" t="s">
        <v>24</v>
      </c>
      <c r="I72" s="14" t="s">
        <v>25</v>
      </c>
      <c r="J72" s="14">
        <v>14.585750579833984</v>
      </c>
      <c r="K72" s="14"/>
      <c r="L72" s="14"/>
      <c r="M72" s="14">
        <v>78.112022399902344</v>
      </c>
      <c r="N72" s="14" t="s">
        <v>24</v>
      </c>
      <c r="O72" s="14" t="s">
        <v>25</v>
      </c>
      <c r="P72" s="14">
        <v>13.08012580871582</v>
      </c>
      <c r="Q72" s="14"/>
      <c r="R72" s="14"/>
      <c r="S72" s="14">
        <v>77.9678955078125</v>
      </c>
      <c r="T72" s="14" t="s">
        <v>24</v>
      </c>
      <c r="U72" s="13" t="s">
        <v>25</v>
      </c>
    </row>
    <row r="73" spans="1:21" x14ac:dyDescent="0.2">
      <c r="A73" s="15" t="s">
        <v>88</v>
      </c>
      <c r="B73" s="14" t="s">
        <v>15</v>
      </c>
      <c r="C73" s="14" t="s">
        <v>2</v>
      </c>
      <c r="D73" s="14">
        <v>19.902168273925781</v>
      </c>
      <c r="E73" s="14" t="s">
        <v>24</v>
      </c>
      <c r="F73" s="14"/>
      <c r="G73" s="14">
        <v>78.26165771484375</v>
      </c>
      <c r="H73" s="14" t="s">
        <v>24</v>
      </c>
      <c r="I73" s="14" t="s">
        <v>25</v>
      </c>
      <c r="J73" s="14">
        <v>14.681613922119141</v>
      </c>
      <c r="K73" s="14"/>
      <c r="L73" s="14"/>
      <c r="M73" s="14">
        <v>78.25848388671875</v>
      </c>
      <c r="N73" s="14" t="s">
        <v>24</v>
      </c>
      <c r="O73" s="14" t="s">
        <v>25</v>
      </c>
      <c r="P73" s="14">
        <v>13.094229698181152</v>
      </c>
      <c r="Q73" s="14"/>
      <c r="R73" s="14"/>
      <c r="S73" s="14">
        <v>77.964584350585938</v>
      </c>
      <c r="T73" s="14" t="s">
        <v>24</v>
      </c>
      <c r="U73" s="13" t="s">
        <v>25</v>
      </c>
    </row>
    <row r="74" spans="1:21" x14ac:dyDescent="0.2">
      <c r="A74" s="15" t="s">
        <v>89</v>
      </c>
      <c r="B74" s="14" t="s">
        <v>108</v>
      </c>
      <c r="C74" s="14" t="s">
        <v>2</v>
      </c>
      <c r="D74" s="14">
        <v>18.772809982299805</v>
      </c>
      <c r="E74" s="14" t="s">
        <v>24</v>
      </c>
      <c r="F74" s="14"/>
      <c r="G74" s="14">
        <v>78.26165771484375</v>
      </c>
      <c r="H74" s="14" t="s">
        <v>24</v>
      </c>
      <c r="I74" s="14" t="s">
        <v>25</v>
      </c>
      <c r="J74" s="14">
        <v>14.038371086120605</v>
      </c>
      <c r="K74" s="14"/>
      <c r="L74" s="14"/>
      <c r="M74" s="14">
        <v>78.25848388671875</v>
      </c>
      <c r="N74" s="14" t="s">
        <v>24</v>
      </c>
      <c r="O74" s="14" t="s">
        <v>25</v>
      </c>
      <c r="P74" s="14">
        <v>12.892338752746582</v>
      </c>
      <c r="Q74" s="14"/>
      <c r="R74" s="14"/>
      <c r="S74" s="14">
        <v>77.964584350585938</v>
      </c>
      <c r="T74" s="14" t="s">
        <v>24</v>
      </c>
      <c r="U74" s="13" t="s">
        <v>25</v>
      </c>
    </row>
    <row r="75" spans="1:21" x14ac:dyDescent="0.2">
      <c r="A75" s="15" t="s">
        <v>90</v>
      </c>
      <c r="B75" s="14" t="s">
        <v>108</v>
      </c>
      <c r="C75" s="14" t="s">
        <v>2</v>
      </c>
      <c r="D75" s="14">
        <v>18.761617660522461</v>
      </c>
      <c r="E75" s="14" t="s">
        <v>24</v>
      </c>
      <c r="F75" s="14"/>
      <c r="G75" s="14">
        <v>78.412361145019531</v>
      </c>
      <c r="H75" s="14" t="s">
        <v>24</v>
      </c>
      <c r="I75" s="14" t="s">
        <v>25</v>
      </c>
      <c r="J75" s="14">
        <v>14.263442993164063</v>
      </c>
      <c r="K75" s="14"/>
      <c r="L75" s="14"/>
      <c r="M75" s="14">
        <v>78.258377075195313</v>
      </c>
      <c r="N75" s="14" t="s">
        <v>24</v>
      </c>
      <c r="O75" s="14" t="s">
        <v>25</v>
      </c>
      <c r="P75" s="14">
        <v>12.620744705200195</v>
      </c>
      <c r="Q75" s="14"/>
      <c r="R75" s="14"/>
      <c r="S75" s="14">
        <v>77.965377807617188</v>
      </c>
      <c r="T75" s="14" t="s">
        <v>24</v>
      </c>
      <c r="U75" s="13" t="s">
        <v>25</v>
      </c>
    </row>
    <row r="76" spans="1:21" x14ac:dyDescent="0.2">
      <c r="A76" s="15" t="s">
        <v>91</v>
      </c>
      <c r="B76" s="14" t="s">
        <v>108</v>
      </c>
      <c r="C76" s="14" t="s">
        <v>2</v>
      </c>
      <c r="D76" s="14">
        <v>18.72667121887207</v>
      </c>
      <c r="E76" s="14" t="s">
        <v>24</v>
      </c>
      <c r="F76" s="14"/>
      <c r="G76" s="14">
        <v>78.263191223144531</v>
      </c>
      <c r="H76" s="14" t="s">
        <v>24</v>
      </c>
      <c r="I76" s="14" t="s">
        <v>25</v>
      </c>
      <c r="J76" s="14">
        <v>14.064144134521484</v>
      </c>
      <c r="K76" s="14"/>
      <c r="L76" s="14"/>
      <c r="M76" s="14">
        <v>78.258377075195313</v>
      </c>
      <c r="N76" s="14" t="s">
        <v>24</v>
      </c>
      <c r="O76" s="14" t="s">
        <v>25</v>
      </c>
      <c r="P76" s="14">
        <v>12.594649314880371</v>
      </c>
      <c r="Q76" s="14"/>
      <c r="R76" s="14"/>
      <c r="S76" s="14">
        <v>77.965377807617188</v>
      </c>
      <c r="T76" s="14" t="s">
        <v>24</v>
      </c>
      <c r="U76" s="13" t="s">
        <v>25</v>
      </c>
    </row>
    <row r="77" spans="1:21" x14ac:dyDescent="0.2">
      <c r="A77" s="15" t="s">
        <v>92</v>
      </c>
      <c r="B77" s="14" t="s">
        <v>109</v>
      </c>
      <c r="C77" s="14" t="s">
        <v>2</v>
      </c>
      <c r="D77" s="14">
        <v>19.920116424560547</v>
      </c>
      <c r="E77" s="14" t="s">
        <v>24</v>
      </c>
      <c r="F77" s="14"/>
      <c r="G77" s="14">
        <v>78.110458374023438</v>
      </c>
      <c r="H77" s="14" t="s">
        <v>24</v>
      </c>
      <c r="I77" s="14" t="s">
        <v>25</v>
      </c>
      <c r="J77" s="14">
        <v>15.974781036376953</v>
      </c>
      <c r="K77" s="14"/>
      <c r="L77" s="14"/>
      <c r="M77" s="14">
        <v>78.108718872070313</v>
      </c>
      <c r="N77" s="14" t="s">
        <v>24</v>
      </c>
      <c r="O77" s="14" t="s">
        <v>25</v>
      </c>
      <c r="P77" s="14">
        <v>13.466837882995605</v>
      </c>
      <c r="Q77" s="14"/>
      <c r="R77" s="14"/>
      <c r="S77" s="14">
        <v>77.817344665527344</v>
      </c>
      <c r="T77" s="14" t="s">
        <v>24</v>
      </c>
      <c r="U77" s="13" t="s">
        <v>25</v>
      </c>
    </row>
    <row r="78" spans="1:21" x14ac:dyDescent="0.2">
      <c r="A78" s="15" t="s">
        <v>93</v>
      </c>
      <c r="B78" s="14" t="s">
        <v>109</v>
      </c>
      <c r="C78" s="14" t="s">
        <v>2</v>
      </c>
      <c r="D78" s="14">
        <v>19.922016143798828</v>
      </c>
      <c r="E78" s="14" t="s">
        <v>24</v>
      </c>
      <c r="F78" s="14"/>
      <c r="G78" s="14">
        <v>78.110458374023438</v>
      </c>
      <c r="H78" s="14" t="s">
        <v>24</v>
      </c>
      <c r="I78" s="14" t="s">
        <v>25</v>
      </c>
      <c r="J78" s="14">
        <v>15.938644409179688</v>
      </c>
      <c r="K78" s="14"/>
      <c r="L78" s="14"/>
      <c r="M78" s="14">
        <v>78.108718872070313</v>
      </c>
      <c r="N78" s="14" t="s">
        <v>24</v>
      </c>
      <c r="O78" s="14" t="s">
        <v>25</v>
      </c>
      <c r="P78" s="14">
        <v>13.417804718017578</v>
      </c>
      <c r="Q78" s="14"/>
      <c r="R78" s="14"/>
      <c r="S78" s="14">
        <v>77.817344665527344</v>
      </c>
      <c r="T78" s="14" t="s">
        <v>24</v>
      </c>
      <c r="U78" s="13" t="s">
        <v>25</v>
      </c>
    </row>
    <row r="79" spans="1:21" x14ac:dyDescent="0.2">
      <c r="A79" s="15" t="s">
        <v>94</v>
      </c>
      <c r="B79" s="14" t="s">
        <v>109</v>
      </c>
      <c r="C79" s="14" t="s">
        <v>2</v>
      </c>
      <c r="D79" s="14">
        <v>19.914342880249023</v>
      </c>
      <c r="E79" s="14" t="s">
        <v>24</v>
      </c>
      <c r="F79" s="14"/>
      <c r="G79" s="14">
        <v>78.109786987304688</v>
      </c>
      <c r="H79" s="14" t="s">
        <v>24</v>
      </c>
      <c r="I79" s="14" t="s">
        <v>25</v>
      </c>
      <c r="J79" s="14">
        <v>15.923752784729004</v>
      </c>
      <c r="K79" s="14"/>
      <c r="L79" s="14"/>
      <c r="M79" s="14">
        <v>77.958305358886719</v>
      </c>
      <c r="N79" s="14" t="s">
        <v>24</v>
      </c>
      <c r="O79" s="14" t="s">
        <v>25</v>
      </c>
      <c r="P79" s="14">
        <v>13.388415336608887</v>
      </c>
      <c r="Q79" s="14"/>
      <c r="R79" s="14"/>
      <c r="S79" s="14">
        <v>77.665191650390625</v>
      </c>
      <c r="T79" s="14" t="s">
        <v>24</v>
      </c>
      <c r="U79" s="13" t="s">
        <v>25</v>
      </c>
    </row>
    <row r="80" spans="1:21" x14ac:dyDescent="0.2">
      <c r="A80" s="15" t="s">
        <v>95</v>
      </c>
      <c r="B80" s="14" t="s">
        <v>125</v>
      </c>
      <c r="C80" s="14" t="s">
        <v>2</v>
      </c>
      <c r="D80" s="14">
        <v>19.625038146972656</v>
      </c>
      <c r="E80" s="14" t="s">
        <v>24</v>
      </c>
      <c r="F80" s="14"/>
      <c r="G80" s="14">
        <v>78.109786987304688</v>
      </c>
      <c r="H80" s="14" t="s">
        <v>24</v>
      </c>
      <c r="I80" s="14" t="s">
        <v>25</v>
      </c>
      <c r="J80" s="14">
        <v>16.446718215942383</v>
      </c>
      <c r="K80" s="14"/>
      <c r="L80" s="14"/>
      <c r="M80" s="14">
        <v>78.10748291015625</v>
      </c>
      <c r="N80" s="14" t="s">
        <v>24</v>
      </c>
      <c r="O80" s="14" t="s">
        <v>25</v>
      </c>
      <c r="P80" s="14">
        <v>13.523472785949707</v>
      </c>
      <c r="Q80" s="14"/>
      <c r="R80" s="14"/>
      <c r="S80" s="14">
        <v>77.963386535644531</v>
      </c>
      <c r="T80" s="14" t="s">
        <v>24</v>
      </c>
      <c r="U80" s="13" t="s">
        <v>25</v>
      </c>
    </row>
    <row r="81" spans="1:21" x14ac:dyDescent="0.2">
      <c r="A81" s="15" t="s">
        <v>96</v>
      </c>
      <c r="B81" s="14" t="s">
        <v>125</v>
      </c>
      <c r="C81" s="14" t="s">
        <v>2</v>
      </c>
      <c r="D81" s="14">
        <v>19.621543884277344</v>
      </c>
      <c r="E81" s="14" t="s">
        <v>24</v>
      </c>
      <c r="F81" s="14"/>
      <c r="G81" s="14">
        <v>78.110389709472656</v>
      </c>
      <c r="H81" s="14" t="s">
        <v>24</v>
      </c>
      <c r="I81" s="14" t="s">
        <v>25</v>
      </c>
      <c r="J81" s="14">
        <v>16.445131301879883</v>
      </c>
      <c r="K81" s="14"/>
      <c r="L81" s="14"/>
      <c r="M81" s="14">
        <v>77.958610534667969</v>
      </c>
      <c r="N81" s="14" t="s">
        <v>24</v>
      </c>
      <c r="O81" s="14" t="s">
        <v>25</v>
      </c>
      <c r="P81" s="14">
        <v>13.514179229736328</v>
      </c>
      <c r="Q81" s="14"/>
      <c r="R81" s="14"/>
      <c r="S81" s="14">
        <v>77.816337585449219</v>
      </c>
      <c r="T81" s="14" t="s">
        <v>24</v>
      </c>
      <c r="U81" s="13" t="s">
        <v>25</v>
      </c>
    </row>
    <row r="82" spans="1:21" x14ac:dyDescent="0.2">
      <c r="A82" s="15" t="s">
        <v>97</v>
      </c>
      <c r="B82" s="14" t="s">
        <v>125</v>
      </c>
      <c r="C82" s="14" t="s">
        <v>2</v>
      </c>
      <c r="D82" s="14">
        <v>19.616161346435547</v>
      </c>
      <c r="E82" s="14" t="s">
        <v>24</v>
      </c>
      <c r="F82" s="14"/>
      <c r="G82" s="14">
        <v>78.110389709472656</v>
      </c>
      <c r="H82" s="14" t="s">
        <v>24</v>
      </c>
      <c r="I82" s="14" t="s">
        <v>25</v>
      </c>
      <c r="J82" s="14">
        <v>16.453842163085938</v>
      </c>
      <c r="K82" s="14"/>
      <c r="L82" s="14"/>
      <c r="M82" s="14">
        <v>77.958610534667969</v>
      </c>
      <c r="N82" s="14" t="s">
        <v>24</v>
      </c>
      <c r="O82" s="14" t="s">
        <v>25</v>
      </c>
      <c r="P82" s="14">
        <v>13.502699851989746</v>
      </c>
      <c r="Q82" s="14"/>
      <c r="R82" s="14"/>
      <c r="S82" s="14">
        <v>77.816337585449219</v>
      </c>
      <c r="T82" s="14" t="s">
        <v>24</v>
      </c>
      <c r="U82" s="13" t="s">
        <v>65</v>
      </c>
    </row>
    <row r="83" spans="1:21" x14ac:dyDescent="0.2">
      <c r="A83" s="15" t="s">
        <v>98</v>
      </c>
      <c r="B83" s="14" t="s">
        <v>148</v>
      </c>
      <c r="C83" s="14" t="s">
        <v>3</v>
      </c>
      <c r="D83" s="14">
        <v>23.920591354370117</v>
      </c>
      <c r="E83" s="14" t="s">
        <v>24</v>
      </c>
      <c r="F83" s="14"/>
      <c r="G83" s="14">
        <v>72.89691162109375</v>
      </c>
      <c r="H83" s="14" t="s">
        <v>24</v>
      </c>
      <c r="I83" s="14" t="s">
        <v>25</v>
      </c>
      <c r="J83" s="14">
        <v>27.921892166137695</v>
      </c>
      <c r="K83" s="14"/>
      <c r="L83" s="14"/>
      <c r="M83" s="14">
        <v>74.233428955078125</v>
      </c>
      <c r="N83" s="14" t="s">
        <v>24</v>
      </c>
      <c r="O83" s="14" t="s">
        <v>25</v>
      </c>
      <c r="P83" s="14">
        <v>34.505359649658203</v>
      </c>
      <c r="Q83" s="14"/>
      <c r="R83" s="14"/>
      <c r="S83" s="14">
        <v>72.30218505859375</v>
      </c>
      <c r="T83" s="14" t="s">
        <v>24</v>
      </c>
      <c r="U83" s="13" t="s">
        <v>25</v>
      </c>
    </row>
    <row r="84" spans="1:21" x14ac:dyDescent="0.2">
      <c r="A84" s="15" t="s">
        <v>99</v>
      </c>
      <c r="B84" s="14" t="s">
        <v>148</v>
      </c>
      <c r="C84" s="14" t="s">
        <v>37</v>
      </c>
      <c r="D84" s="14">
        <v>35.915077209472656</v>
      </c>
      <c r="E84" s="14" t="s">
        <v>24</v>
      </c>
      <c r="F84" s="14"/>
      <c r="G84" s="14">
        <v>74.687065124511719</v>
      </c>
      <c r="H84" s="14" t="s">
        <v>24</v>
      </c>
      <c r="I84" s="14" t="s">
        <v>25</v>
      </c>
      <c r="J84" s="14">
        <v>35.916278839111328</v>
      </c>
      <c r="K84" s="14"/>
      <c r="L84" s="14"/>
      <c r="M84" s="14">
        <v>78.112022399902344</v>
      </c>
      <c r="N84" s="14">
        <v>71.1007080078125</v>
      </c>
      <c r="O84" s="14" t="s">
        <v>25</v>
      </c>
      <c r="P84" s="14">
        <v>35.919380187988281</v>
      </c>
      <c r="Q84" s="14"/>
      <c r="R84" s="14"/>
      <c r="S84" s="14">
        <v>73.9422607421875</v>
      </c>
      <c r="T84" s="14" t="s">
        <v>24</v>
      </c>
      <c r="U84" s="13" t="s">
        <v>25</v>
      </c>
    </row>
    <row r="85" spans="1:21" x14ac:dyDescent="0.2">
      <c r="A85" s="15" t="s">
        <v>124</v>
      </c>
      <c r="B85" s="14" t="s">
        <v>148</v>
      </c>
      <c r="C85" s="14" t="s">
        <v>49</v>
      </c>
      <c r="D85" s="14">
        <v>35.953701019287109</v>
      </c>
      <c r="E85" s="14" t="s">
        <v>24</v>
      </c>
      <c r="F85" s="14"/>
      <c r="G85" s="14">
        <v>75.725799560546875</v>
      </c>
      <c r="H85" s="14" t="s">
        <v>24</v>
      </c>
      <c r="I85" s="14" t="s">
        <v>25</v>
      </c>
      <c r="J85" s="14">
        <v>36.927658081054688</v>
      </c>
      <c r="K85" s="14"/>
      <c r="L85" s="14"/>
      <c r="M85" s="14">
        <v>74.528839111328125</v>
      </c>
      <c r="N85" s="14" t="s">
        <v>24</v>
      </c>
      <c r="O85" s="14" t="s">
        <v>25</v>
      </c>
      <c r="P85" s="14">
        <v>33.947551727294922</v>
      </c>
      <c r="Q85" s="14"/>
      <c r="R85" s="14"/>
      <c r="S85" s="14">
        <v>76.175445556640625</v>
      </c>
      <c r="T85" s="14" t="s">
        <v>24</v>
      </c>
      <c r="U85" s="13" t="s">
        <v>25</v>
      </c>
    </row>
    <row r="86" spans="1:21" x14ac:dyDescent="0.2">
      <c r="A86" s="15" t="s">
        <v>100</v>
      </c>
      <c r="B86" s="14" t="s">
        <v>148</v>
      </c>
      <c r="C86" s="14" t="s">
        <v>0</v>
      </c>
      <c r="D86" s="14">
        <v>33.385993957519531</v>
      </c>
      <c r="E86" s="14" t="s">
        <v>24</v>
      </c>
      <c r="F86" s="14"/>
      <c r="G86" s="14">
        <v>76.024131774902344</v>
      </c>
      <c r="H86" s="14" t="s">
        <v>24</v>
      </c>
      <c r="I86" s="14" t="s">
        <v>25</v>
      </c>
      <c r="J86" s="14">
        <v>31.359663009643555</v>
      </c>
      <c r="K86" s="14"/>
      <c r="L86" s="14"/>
      <c r="M86" s="14">
        <v>74.976394653320313</v>
      </c>
      <c r="N86" s="14" t="s">
        <v>24</v>
      </c>
      <c r="O86" s="14" t="s">
        <v>25</v>
      </c>
      <c r="P86" s="14">
        <v>36.9493408203125</v>
      </c>
      <c r="Q86" s="14"/>
      <c r="R86" s="14"/>
      <c r="S86" s="14">
        <v>74.536270141601563</v>
      </c>
      <c r="T86" s="14" t="s">
        <v>24</v>
      </c>
      <c r="U86" s="13" t="s">
        <v>25</v>
      </c>
    </row>
    <row r="87" spans="1:21" x14ac:dyDescent="0.2">
      <c r="A87" s="15" t="s">
        <v>101</v>
      </c>
      <c r="B87" s="14" t="s">
        <v>148</v>
      </c>
      <c r="C87" s="14" t="s">
        <v>1</v>
      </c>
      <c r="D87" s="14">
        <v>36.915718078613281</v>
      </c>
      <c r="E87" s="14" t="s">
        <v>24</v>
      </c>
      <c r="F87" s="14"/>
      <c r="G87" s="14">
        <v>75.727210998535156</v>
      </c>
      <c r="H87" s="14" t="s">
        <v>24</v>
      </c>
      <c r="I87" s="14" t="s">
        <v>25</v>
      </c>
      <c r="J87" s="14">
        <v>37.101390838623047</v>
      </c>
      <c r="K87" s="14"/>
      <c r="L87" s="14"/>
      <c r="M87" s="14">
        <v>74.677978515625</v>
      </c>
      <c r="N87" s="14">
        <v>81.092857360839844</v>
      </c>
      <c r="O87" s="14" t="s">
        <v>25</v>
      </c>
      <c r="P87" s="14">
        <v>37.032764434814453</v>
      </c>
      <c r="Q87" s="14"/>
      <c r="R87" s="14"/>
      <c r="S87" s="14">
        <v>74.68536376953125</v>
      </c>
      <c r="T87" s="14" t="s">
        <v>24</v>
      </c>
      <c r="U87" s="13" t="s">
        <v>25</v>
      </c>
    </row>
    <row r="88" spans="1:21" ht="13.5" thickBot="1" x14ac:dyDescent="0.25">
      <c r="A88" s="12" t="s">
        <v>102</v>
      </c>
      <c r="B88" s="11" t="s">
        <v>148</v>
      </c>
      <c r="C88" s="11" t="s">
        <v>2</v>
      </c>
      <c r="D88" s="11">
        <v>32.85052490234375</v>
      </c>
      <c r="E88" s="11" t="s">
        <v>24</v>
      </c>
      <c r="F88" s="11"/>
      <c r="G88" s="11">
        <v>77.517311096191406</v>
      </c>
      <c r="H88" s="11" t="s">
        <v>24</v>
      </c>
      <c r="I88" s="11" t="s">
        <v>25</v>
      </c>
      <c r="J88" s="11">
        <v>36.942478179931641</v>
      </c>
      <c r="K88" s="11"/>
      <c r="L88" s="11"/>
      <c r="M88" s="11">
        <v>75.722259521484375</v>
      </c>
      <c r="N88" s="11">
        <v>81.242042541503906</v>
      </c>
      <c r="O88" s="11" t="s">
        <v>25</v>
      </c>
      <c r="P88" s="11">
        <v>37.023120880126953</v>
      </c>
      <c r="Q88" s="11"/>
      <c r="R88" s="11"/>
      <c r="S88" s="11">
        <v>77.071861267089844</v>
      </c>
      <c r="T88" s="11" t="s">
        <v>24</v>
      </c>
      <c r="U88" s="10" t="s">
        <v>25</v>
      </c>
    </row>
    <row r="89" spans="1:21" x14ac:dyDescent="0.2">
      <c r="A89" s="9" t="s">
        <v>149</v>
      </c>
    </row>
    <row r="90" spans="1:21" x14ac:dyDescent="0.2">
      <c r="A90" s="9" t="s">
        <v>103</v>
      </c>
      <c r="B90" s="9" t="s">
        <v>104</v>
      </c>
    </row>
    <row r="91" spans="1:21"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J5" workbookViewId="0">
      <selection activeCell="T11" sqref="T11:T16"/>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141</v>
      </c>
      <c r="H2" s="21" t="s">
        <v>138</v>
      </c>
      <c r="I2" s="21"/>
      <c r="J2" s="21"/>
      <c r="K2" s="21"/>
      <c r="L2" s="21" t="s">
        <v>137</v>
      </c>
      <c r="M2" s="21"/>
      <c r="N2" s="21"/>
      <c r="O2" s="20"/>
      <c r="P2" s="17"/>
      <c r="Q2" s="17"/>
      <c r="R2" s="17"/>
      <c r="S2" s="17"/>
    </row>
    <row r="3" spans="1:40" ht="63.75" x14ac:dyDescent="0.2">
      <c r="G3" s="18" t="s">
        <v>140</v>
      </c>
      <c r="H3" s="17" t="s">
        <v>0</v>
      </c>
      <c r="I3" s="17" t="s">
        <v>1</v>
      </c>
      <c r="J3" s="17" t="s">
        <v>2</v>
      </c>
      <c r="K3" s="27" t="s">
        <v>139</v>
      </c>
      <c r="L3" s="17" t="s">
        <v>0</v>
      </c>
      <c r="M3" s="17" t="s">
        <v>1</v>
      </c>
      <c r="N3" s="17" t="s">
        <v>2</v>
      </c>
      <c r="O3" s="26" t="s">
        <v>139</v>
      </c>
      <c r="P3" s="17"/>
      <c r="Q3" s="17"/>
      <c r="R3" s="17"/>
      <c r="S3" s="27"/>
    </row>
    <row r="4" spans="1:40" x14ac:dyDescent="0.2">
      <c r="G4" s="15" t="s">
        <v>14</v>
      </c>
      <c r="H4" s="14">
        <v>25.689863204956055</v>
      </c>
      <c r="I4" s="14">
        <v>18.946378707885742</v>
      </c>
      <c r="J4" s="14">
        <v>18.064895629882813</v>
      </c>
      <c r="K4" s="14">
        <f>AVERAGE(H4:J4)</f>
        <v>20.900379180908203</v>
      </c>
      <c r="L4" s="14">
        <v>18.613716125488281</v>
      </c>
      <c r="M4" s="14">
        <v>15.000877380371094</v>
      </c>
      <c r="N4" s="14">
        <v>15.350455284118652</v>
      </c>
      <c r="O4" s="13">
        <f>AVERAGE(L4:N4)</f>
        <v>16.321682929992676</v>
      </c>
      <c r="P4" s="14"/>
      <c r="Q4" s="14"/>
      <c r="R4" s="14"/>
      <c r="S4" s="14"/>
    </row>
    <row r="5" spans="1:40" x14ac:dyDescent="0.2">
      <c r="G5" s="15" t="s">
        <v>27</v>
      </c>
      <c r="H5" s="14">
        <v>20.29765510559082</v>
      </c>
      <c r="I5" s="14">
        <v>17.147705078125</v>
      </c>
      <c r="J5" s="14">
        <v>17.179769515991211</v>
      </c>
      <c r="K5" s="14">
        <f t="shared" ref="K5:K7" si="0">AVERAGE(H5:J5)</f>
        <v>18.208376566569012</v>
      </c>
      <c r="L5" s="14">
        <v>17.212486267089844</v>
      </c>
      <c r="M5" s="14">
        <v>13.791930198669434</v>
      </c>
      <c r="N5" s="14">
        <v>13.920424461364746</v>
      </c>
      <c r="O5" s="13">
        <f>AVERAGE(L5:N5)</f>
        <v>14.974946975708008</v>
      </c>
      <c r="P5" s="14"/>
      <c r="Q5" s="14"/>
      <c r="R5" s="14"/>
      <c r="S5" s="14"/>
    </row>
    <row r="6" spans="1:40" x14ac:dyDescent="0.2">
      <c r="G6" s="15" t="s">
        <v>31</v>
      </c>
      <c r="H6" s="14">
        <v>20.476612091064453</v>
      </c>
      <c r="I6" s="14">
        <v>16.505386352539063</v>
      </c>
      <c r="J6" s="14">
        <v>16.949934005737305</v>
      </c>
      <c r="K6" s="14">
        <f t="shared" si="0"/>
        <v>17.977310816446941</v>
      </c>
      <c r="L6" s="14">
        <v>19.092002868652344</v>
      </c>
      <c r="M6" s="14">
        <v>14.980247497558594</v>
      </c>
      <c r="N6" s="14">
        <v>15.580490112304688</v>
      </c>
      <c r="O6" s="13">
        <f>AVERAGE(L6:N6)</f>
        <v>16.550913492838543</v>
      </c>
      <c r="P6" s="14"/>
      <c r="Q6" s="14"/>
      <c r="R6" s="14"/>
      <c r="S6" s="14"/>
    </row>
    <row r="7" spans="1:40" ht="13.5" thickBot="1" x14ac:dyDescent="0.25">
      <c r="G7" s="12" t="s">
        <v>123</v>
      </c>
      <c r="H7" s="11">
        <v>31.256128311157227</v>
      </c>
      <c r="I7" s="11">
        <v>25.408660888671875</v>
      </c>
      <c r="J7" s="11">
        <v>22.405900955200195</v>
      </c>
      <c r="K7" s="11">
        <f t="shared" si="0"/>
        <v>26.356896718343098</v>
      </c>
      <c r="L7" s="11">
        <v>18.961273193359375</v>
      </c>
      <c r="M7" s="11">
        <v>14.768258094787598</v>
      </c>
      <c r="N7" s="11">
        <v>15.332486152648926</v>
      </c>
      <c r="O7" s="10">
        <f>AVERAGE(L7:N7)</f>
        <v>16.354005813598633</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138</v>
      </c>
      <c r="E9" s="21"/>
      <c r="F9" s="21"/>
      <c r="G9" s="21"/>
      <c r="H9" s="21"/>
      <c r="I9" s="21"/>
      <c r="J9" s="21" t="s">
        <v>137</v>
      </c>
      <c r="K9" s="21"/>
      <c r="L9" s="21"/>
      <c r="M9" s="21"/>
      <c r="N9" s="21"/>
      <c r="O9" s="20"/>
      <c r="R9" s="17"/>
      <c r="S9" s="22" t="s">
        <v>143</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135</v>
      </c>
      <c r="W10" s="17" t="s">
        <v>134</v>
      </c>
      <c r="X10" s="17" t="s">
        <v>37</v>
      </c>
      <c r="Y10" s="17" t="s">
        <v>135</v>
      </c>
      <c r="Z10" s="17" t="s">
        <v>134</v>
      </c>
      <c r="AA10" s="17" t="s">
        <v>49</v>
      </c>
      <c r="AB10" s="17" t="s">
        <v>135</v>
      </c>
      <c r="AC10" s="19" t="s">
        <v>134</v>
      </c>
      <c r="AN10" s="16"/>
    </row>
    <row r="11" spans="1:40" x14ac:dyDescent="0.2">
      <c r="A11" s="15" t="s">
        <v>5</v>
      </c>
      <c r="B11" s="14" t="s">
        <v>14</v>
      </c>
      <c r="C11" s="14" t="s">
        <v>3</v>
      </c>
      <c r="D11" s="14">
        <v>23.658285140991211</v>
      </c>
      <c r="E11" s="14">
        <f>D11-20.90038</f>
        <v>2.7579051409912125</v>
      </c>
      <c r="F11" s="14">
        <f>POWER(2,-E11)</f>
        <v>0.14783859528405713</v>
      </c>
      <c r="G11" s="14">
        <v>79.314910888671875</v>
      </c>
      <c r="H11" s="14" t="s">
        <v>24</v>
      </c>
      <c r="I11" s="14" t="s">
        <v>25</v>
      </c>
      <c r="J11" s="14">
        <v>14.213221549987793</v>
      </c>
      <c r="K11" s="14">
        <f>J11-16.32168</f>
        <v>-2.1084584500122077</v>
      </c>
      <c r="L11" s="14">
        <f>POWER(2,-K11)</f>
        <v>4.3123026972725116</v>
      </c>
      <c r="M11" s="14">
        <v>79.161857604980469</v>
      </c>
      <c r="N11" s="14" t="s">
        <v>24</v>
      </c>
      <c r="O11" s="13" t="s">
        <v>25</v>
      </c>
      <c r="R11" s="14"/>
      <c r="S11" s="15"/>
      <c r="T11" s="14" t="s">
        <v>150</v>
      </c>
      <c r="U11" s="14">
        <v>0.147839</v>
      </c>
      <c r="V11" s="14">
        <f>U11/U11</f>
        <v>1</v>
      </c>
      <c r="W11" s="14">
        <f>AVERAGE(V11:V16)</f>
        <v>1</v>
      </c>
      <c r="X11" s="14">
        <v>0.102044</v>
      </c>
      <c r="Y11" s="14">
        <f>X11/X11</f>
        <v>1</v>
      </c>
      <c r="Z11" s="14">
        <f>AVERAGE(Y11:Y16)</f>
        <v>1</v>
      </c>
      <c r="AA11" s="14">
        <v>1.3728000000000001E-2</v>
      </c>
      <c r="AB11" s="14">
        <f>AA11/AA11</f>
        <v>1</v>
      </c>
      <c r="AC11" s="13">
        <f>AVERAGE(AB11:AB16)</f>
        <v>1</v>
      </c>
    </row>
    <row r="12" spans="1:40" x14ac:dyDescent="0.2">
      <c r="A12" s="15" t="s">
        <v>6</v>
      </c>
      <c r="B12" s="14" t="s">
        <v>14</v>
      </c>
      <c r="C12" s="14" t="s">
        <v>3</v>
      </c>
      <c r="D12" s="14">
        <v>23.662359237670898</v>
      </c>
      <c r="E12" s="14">
        <f t="shared" ref="E12:E13" si="1">D12-20.90038</f>
        <v>2.7619792376709</v>
      </c>
      <c r="F12" s="14">
        <f t="shared" ref="F12:F46" si="2">POWER(2,-E12)</f>
        <v>0.14742169561458687</v>
      </c>
      <c r="G12" s="14">
        <v>79.314910888671875</v>
      </c>
      <c r="H12" s="14" t="s">
        <v>24</v>
      </c>
      <c r="I12" s="14" t="s">
        <v>25</v>
      </c>
      <c r="J12" s="14">
        <v>14.216775894165039</v>
      </c>
      <c r="K12" s="14">
        <f t="shared" ref="K12:K13" si="3">J12-16.32168</f>
        <v>-2.1049041058349616</v>
      </c>
      <c r="L12" s="14">
        <f t="shared" ref="L12:L46" si="4">POWER(2,-K12)</f>
        <v>4.301691624174925</v>
      </c>
      <c r="M12" s="14">
        <v>79.161857604980469</v>
      </c>
      <c r="N12" s="14" t="s">
        <v>24</v>
      </c>
      <c r="O12" s="13" t="s">
        <v>25</v>
      </c>
      <c r="R12" s="14"/>
      <c r="S12" s="15"/>
      <c r="T12" s="14" t="s">
        <v>150</v>
      </c>
      <c r="U12" s="14">
        <v>0.147422</v>
      </c>
      <c r="V12" s="14">
        <f t="shared" ref="V12:V16" si="5">U12/U12</f>
        <v>1</v>
      </c>
      <c r="W12" s="14">
        <f>STDEV(V11:V16)</f>
        <v>0</v>
      </c>
      <c r="X12" s="14">
        <v>0.104809</v>
      </c>
      <c r="Y12" s="14">
        <f t="shared" ref="Y12:Y16" si="6">X12/X12</f>
        <v>1</v>
      </c>
      <c r="Z12" s="14">
        <f>STDEV(Y11:Y16)</f>
        <v>0</v>
      </c>
      <c r="AA12" s="14">
        <v>1.4765E-2</v>
      </c>
      <c r="AB12" s="14">
        <f t="shared" ref="AB12:AB16" si="7">AA12/AA12</f>
        <v>1</v>
      </c>
      <c r="AC12" s="13">
        <f>STDEV(AB11:AB16)</f>
        <v>0</v>
      </c>
    </row>
    <row r="13" spans="1:40" x14ac:dyDescent="0.2">
      <c r="A13" s="15" t="s">
        <v>7</v>
      </c>
      <c r="B13" s="14" t="s">
        <v>14</v>
      </c>
      <c r="C13" s="14" t="s">
        <v>3</v>
      </c>
      <c r="D13" s="14">
        <v>23.637186050415039</v>
      </c>
      <c r="E13" s="14">
        <f t="shared" si="1"/>
        <v>2.7368060504150407</v>
      </c>
      <c r="F13" s="14">
        <f t="shared" si="2"/>
        <v>0.15001658901244461</v>
      </c>
      <c r="G13" s="14">
        <v>79.162521362304688</v>
      </c>
      <c r="H13" s="14" t="s">
        <v>24</v>
      </c>
      <c r="I13" s="14" t="s">
        <v>25</v>
      </c>
      <c r="J13" s="14">
        <v>14.189920425415039</v>
      </c>
      <c r="K13" s="14">
        <f t="shared" si="3"/>
        <v>-2.1317595745849616</v>
      </c>
      <c r="L13" s="14">
        <f t="shared" si="4"/>
        <v>4.3825166576598935</v>
      </c>
      <c r="M13" s="14">
        <v>79.006134033203125</v>
      </c>
      <c r="N13" s="14" t="s">
        <v>24</v>
      </c>
      <c r="O13" s="13" t="s">
        <v>25</v>
      </c>
      <c r="R13" s="14"/>
      <c r="S13" s="15"/>
      <c r="T13" s="14" t="s">
        <v>150</v>
      </c>
      <c r="U13" s="14">
        <v>0.15001700000000001</v>
      </c>
      <c r="V13" s="14">
        <f t="shared" si="5"/>
        <v>1</v>
      </c>
      <c r="W13" s="14"/>
      <c r="X13" s="14">
        <v>9.7226999999999994E-2</v>
      </c>
      <c r="Y13" s="14">
        <f t="shared" si="6"/>
        <v>1</v>
      </c>
      <c r="Z13" s="14"/>
      <c r="AA13" s="14">
        <v>1.2428E-2</v>
      </c>
      <c r="AB13" s="14">
        <f t="shared" si="7"/>
        <v>1</v>
      </c>
      <c r="AC13" s="13"/>
    </row>
    <row r="14" spans="1:40" x14ac:dyDescent="0.2">
      <c r="A14" s="15" t="s">
        <v>26</v>
      </c>
      <c r="B14" s="14" t="s">
        <v>27</v>
      </c>
      <c r="C14" s="14" t="s">
        <v>3</v>
      </c>
      <c r="D14" s="14">
        <v>16.975011825561523</v>
      </c>
      <c r="E14" s="14">
        <f>D14-18.20838</f>
        <v>-1.2333681744384748</v>
      </c>
      <c r="F14" s="14">
        <f t="shared" si="2"/>
        <v>2.3511525922491399</v>
      </c>
      <c r="G14" s="14">
        <v>79.162521362304688</v>
      </c>
      <c r="H14" s="14" t="s">
        <v>24</v>
      </c>
      <c r="I14" s="14" t="s">
        <v>25</v>
      </c>
      <c r="J14" s="14">
        <v>12.680968284606934</v>
      </c>
      <c r="K14" s="14">
        <f>J14-14.97495</f>
        <v>-2.2939817153930662</v>
      </c>
      <c r="L14" s="14">
        <f t="shared" si="4"/>
        <v>4.904077285917201</v>
      </c>
      <c r="M14" s="14">
        <v>79.006385803222656</v>
      </c>
      <c r="N14" s="14" t="s">
        <v>24</v>
      </c>
      <c r="O14" s="13" t="s">
        <v>25</v>
      </c>
      <c r="R14" s="14"/>
      <c r="S14" s="15"/>
      <c r="T14" s="14" t="s">
        <v>150</v>
      </c>
      <c r="U14" s="14">
        <v>4.3123114552066477</v>
      </c>
      <c r="V14" s="14">
        <f t="shared" si="5"/>
        <v>1</v>
      </c>
      <c r="W14" s="14"/>
      <c r="X14" s="14">
        <v>4.2122075335965202E-2</v>
      </c>
      <c r="Y14" s="14">
        <f t="shared" si="6"/>
        <v>1</v>
      </c>
      <c r="Z14" s="14"/>
      <c r="AA14" s="14">
        <v>8.1115451541668743E-2</v>
      </c>
      <c r="AB14" s="14">
        <f t="shared" si="7"/>
        <v>1</v>
      </c>
      <c r="AC14" s="13"/>
    </row>
    <row r="15" spans="1:40" x14ac:dyDescent="0.2">
      <c r="A15" s="15" t="s">
        <v>28</v>
      </c>
      <c r="B15" s="14" t="s">
        <v>27</v>
      </c>
      <c r="C15" s="14" t="s">
        <v>3</v>
      </c>
      <c r="D15" s="14">
        <v>16.917354583740234</v>
      </c>
      <c r="E15" s="14">
        <f t="shared" ref="E15:E16" si="8">D15-18.20838</f>
        <v>-1.2910254162597639</v>
      </c>
      <c r="F15" s="14">
        <f t="shared" si="2"/>
        <v>2.4470191915320232</v>
      </c>
      <c r="G15" s="14">
        <v>79.160568237304688</v>
      </c>
      <c r="H15" s="14" t="s">
        <v>24</v>
      </c>
      <c r="I15" s="14" t="s">
        <v>25</v>
      </c>
      <c r="J15" s="14">
        <v>12.567543983459473</v>
      </c>
      <c r="K15" s="14">
        <f t="shared" ref="K15:K16" si="9">J15-14.97495</f>
        <v>-2.4074060165405271</v>
      </c>
      <c r="L15" s="14">
        <f t="shared" si="4"/>
        <v>5.3051958682590872</v>
      </c>
      <c r="M15" s="14">
        <v>79.006385803222656</v>
      </c>
      <c r="N15" s="14" t="s">
        <v>24</v>
      </c>
      <c r="O15" s="13" t="s">
        <v>25</v>
      </c>
      <c r="R15" s="14"/>
      <c r="S15" s="15"/>
      <c r="T15" s="14" t="s">
        <v>150</v>
      </c>
      <c r="U15" s="14">
        <v>4.3017003605588382</v>
      </c>
      <c r="V15" s="14">
        <f t="shared" si="5"/>
        <v>1</v>
      </c>
      <c r="W15" s="14"/>
      <c r="X15" s="14">
        <v>4.186751600194235E-2</v>
      </c>
      <c r="Y15" s="14">
        <f t="shared" si="6"/>
        <v>1</v>
      </c>
      <c r="Z15" s="14"/>
      <c r="AA15" s="14">
        <v>8.8970033771101159E-2</v>
      </c>
      <c r="AB15" s="14">
        <f t="shared" si="7"/>
        <v>1</v>
      </c>
      <c r="AC15" s="13"/>
    </row>
    <row r="16" spans="1:40" x14ac:dyDescent="0.2">
      <c r="A16" s="15" t="s">
        <v>29</v>
      </c>
      <c r="B16" s="14" t="s">
        <v>27</v>
      </c>
      <c r="C16" s="14" t="s">
        <v>3</v>
      </c>
      <c r="D16" s="14">
        <v>16.912956237792969</v>
      </c>
      <c r="E16" s="14">
        <f t="shared" si="8"/>
        <v>-1.2954237622070295</v>
      </c>
      <c r="F16" s="14">
        <f t="shared" si="2"/>
        <v>2.4544908051857832</v>
      </c>
      <c r="G16" s="14">
        <v>79.160568237304688</v>
      </c>
      <c r="H16" s="14" t="s">
        <v>24</v>
      </c>
      <c r="I16" s="14" t="s">
        <v>25</v>
      </c>
      <c r="J16" s="14">
        <v>12.611758232116699</v>
      </c>
      <c r="K16" s="14">
        <f t="shared" si="9"/>
        <v>-2.3631917678833005</v>
      </c>
      <c r="L16" s="14">
        <f t="shared" si="4"/>
        <v>5.1450737888059681</v>
      </c>
      <c r="M16" s="14">
        <v>79.154045104980469</v>
      </c>
      <c r="N16" s="14" t="s">
        <v>24</v>
      </c>
      <c r="O16" s="13" t="s">
        <v>25</v>
      </c>
      <c r="R16" s="14"/>
      <c r="S16" s="15"/>
      <c r="T16" s="14" t="s">
        <v>150</v>
      </c>
      <c r="U16" s="14">
        <v>4.3825255581928415</v>
      </c>
      <c r="V16" s="14">
        <f t="shared" si="5"/>
        <v>1</v>
      </c>
      <c r="W16" s="14"/>
      <c r="X16" s="14">
        <v>4.0137709605727566E-2</v>
      </c>
      <c r="Y16" s="14">
        <f t="shared" si="6"/>
        <v>1</v>
      </c>
      <c r="Z16" s="14"/>
      <c r="AA16" s="14">
        <v>8.9481993229748188E-2</v>
      </c>
      <c r="AB16" s="14">
        <f t="shared" si="7"/>
        <v>1</v>
      </c>
      <c r="AC16" s="13"/>
    </row>
    <row r="17" spans="1:29" x14ac:dyDescent="0.2">
      <c r="A17" s="15" t="s">
        <v>30</v>
      </c>
      <c r="B17" s="14" t="s">
        <v>31</v>
      </c>
      <c r="C17" s="14" t="s">
        <v>3</v>
      </c>
      <c r="D17" s="14">
        <v>15.92371940612793</v>
      </c>
      <c r="E17" s="14">
        <f>D17-17.97731</f>
        <v>-2.0535905938720695</v>
      </c>
      <c r="F17" s="14">
        <f t="shared" si="2"/>
        <v>4.1513788420957853</v>
      </c>
      <c r="G17" s="14">
        <v>79.161026000976563</v>
      </c>
      <c r="H17" s="14" t="s">
        <v>24</v>
      </c>
      <c r="I17" s="14" t="s">
        <v>25</v>
      </c>
      <c r="J17" s="14">
        <v>10.929542541503906</v>
      </c>
      <c r="K17" s="14">
        <f>J17-16.55091</f>
        <v>-5.621367458496092</v>
      </c>
      <c r="L17" s="14">
        <f t="shared" si="4"/>
        <v>49.226643168891947</v>
      </c>
      <c r="M17" s="14">
        <v>79.006134033203125</v>
      </c>
      <c r="N17" s="14" t="s">
        <v>24</v>
      </c>
      <c r="O17" s="13" t="s">
        <v>25</v>
      </c>
      <c r="R17" s="14"/>
      <c r="S17" s="15"/>
      <c r="T17" s="14" t="s">
        <v>4</v>
      </c>
      <c r="U17" s="14">
        <v>2.3511470000000001</v>
      </c>
      <c r="V17" s="14">
        <f>U17/U11</f>
        <v>15.903428729902124</v>
      </c>
      <c r="W17" s="14">
        <f>AVERAGE(V17:V22)</f>
        <v>8.7346666512943987</v>
      </c>
      <c r="X17" s="14">
        <v>8.3090999999999998E-2</v>
      </c>
      <c r="Y17" s="14">
        <f>X17/X11</f>
        <v>0.81426639488847952</v>
      </c>
      <c r="Z17" s="14">
        <f>AVERAGE(Y17:Y22)</f>
        <v>0.97223620677669642</v>
      </c>
      <c r="AA17" s="14">
        <v>0.122601</v>
      </c>
      <c r="AB17" s="14">
        <f>AA17/AA11</f>
        <v>8.930725524475525</v>
      </c>
      <c r="AC17" s="13">
        <f>AVERAGE(AB17:AB22)</f>
        <v>5.0290438990696646</v>
      </c>
    </row>
    <row r="18" spans="1:29" x14ac:dyDescent="0.2">
      <c r="A18" s="15" t="s">
        <v>32</v>
      </c>
      <c r="B18" s="14" t="s">
        <v>31</v>
      </c>
      <c r="C18" s="14" t="s">
        <v>3</v>
      </c>
      <c r="D18" s="14">
        <v>15.884476661682129</v>
      </c>
      <c r="E18" s="14">
        <f t="shared" ref="E18:E19" si="10">D18-17.97731</f>
        <v>-2.0928333383178703</v>
      </c>
      <c r="F18" s="14">
        <f t="shared" si="2"/>
        <v>4.2658502992491414</v>
      </c>
      <c r="G18" s="14">
        <v>79.011932373046875</v>
      </c>
      <c r="H18" s="14" t="s">
        <v>24</v>
      </c>
      <c r="I18" s="14" t="s">
        <v>25</v>
      </c>
      <c r="J18" s="14">
        <v>10.935044288635254</v>
      </c>
      <c r="K18" s="14">
        <f t="shared" ref="K18:K19" si="11">J18-16.55091</f>
        <v>-5.6158657113647443</v>
      </c>
      <c r="L18" s="14">
        <f t="shared" si="4"/>
        <v>49.039273850862131</v>
      </c>
      <c r="M18" s="14">
        <v>79.006576538085938</v>
      </c>
      <c r="N18" s="14" t="s">
        <v>24</v>
      </c>
      <c r="O18" s="13" t="s">
        <v>25</v>
      </c>
      <c r="R18" s="14"/>
      <c r="S18" s="15"/>
      <c r="T18" s="14" t="s">
        <v>4</v>
      </c>
      <c r="U18" s="14">
        <v>2.4470130000000001</v>
      </c>
      <c r="V18" s="14">
        <f t="shared" ref="V18:V22" si="12">U18/U12</f>
        <v>16.598696259717006</v>
      </c>
      <c r="W18" s="14">
        <f>STDEV(V17:V22)</f>
        <v>8.2771564254076004</v>
      </c>
      <c r="X18" s="14">
        <v>8.3918999999999994E-2</v>
      </c>
      <c r="Y18" s="14">
        <f t="shared" ref="Y18:Y22" si="13">X18/X12</f>
        <v>0.80068505567269976</v>
      </c>
      <c r="Z18" s="14">
        <f>STDEV(Y17:Y22)</f>
        <v>0.20563049535728053</v>
      </c>
      <c r="AA18" s="14">
        <v>0.110668</v>
      </c>
      <c r="AB18" s="14">
        <f t="shared" ref="AB18:AB22" si="14">AA18/AA12</f>
        <v>7.4952929224517444</v>
      </c>
      <c r="AC18" s="13">
        <f>STDEV(AB17:AB22)</f>
        <v>4.2959374077408645</v>
      </c>
    </row>
    <row r="19" spans="1:29" x14ac:dyDescent="0.2">
      <c r="A19" s="15" t="s">
        <v>33</v>
      </c>
      <c r="B19" s="14" t="s">
        <v>31</v>
      </c>
      <c r="C19" s="14" t="s">
        <v>3</v>
      </c>
      <c r="D19" s="14">
        <v>15.915505409240723</v>
      </c>
      <c r="E19" s="14">
        <f t="shared" si="10"/>
        <v>-2.0618045907592766</v>
      </c>
      <c r="F19" s="14">
        <f t="shared" si="2"/>
        <v>4.175082167511972</v>
      </c>
      <c r="G19" s="14">
        <v>79.161285400390625</v>
      </c>
      <c r="H19" s="14" t="s">
        <v>24</v>
      </c>
      <c r="I19" s="14" t="s">
        <v>25</v>
      </c>
      <c r="J19" s="14">
        <v>10.938084602355957</v>
      </c>
      <c r="K19" s="14">
        <f t="shared" si="11"/>
        <v>-5.6128253976440412</v>
      </c>
      <c r="L19" s="14">
        <f t="shared" si="4"/>
        <v>48.936038043446338</v>
      </c>
      <c r="M19" s="14">
        <v>79.006576538085938</v>
      </c>
      <c r="N19" s="14" t="s">
        <v>24</v>
      </c>
      <c r="O19" s="13" t="s">
        <v>25</v>
      </c>
      <c r="R19" s="14"/>
      <c r="S19" s="15"/>
      <c r="T19" s="14" t="s">
        <v>4</v>
      </c>
      <c r="U19" s="14">
        <v>2.454485</v>
      </c>
      <c r="V19" s="14">
        <f t="shared" si="12"/>
        <v>16.361379043708379</v>
      </c>
      <c r="W19" s="14"/>
      <c r="X19" s="14">
        <v>8.2291000000000003E-2</v>
      </c>
      <c r="Y19" s="14">
        <f t="shared" si="13"/>
        <v>0.84638012074835189</v>
      </c>
      <c r="Z19" s="14"/>
      <c r="AA19" s="14">
        <v>0.12662000000000001</v>
      </c>
      <c r="AB19" s="14">
        <f t="shared" si="14"/>
        <v>10.188284518828453</v>
      </c>
      <c r="AC19" s="13"/>
    </row>
    <row r="20" spans="1:29" x14ac:dyDescent="0.2">
      <c r="A20" s="15" t="s">
        <v>34</v>
      </c>
      <c r="B20" s="14" t="s">
        <v>123</v>
      </c>
      <c r="C20" s="14" t="s">
        <v>3</v>
      </c>
      <c r="D20" s="14">
        <v>27.525720596313477</v>
      </c>
      <c r="E20" s="14">
        <f>D20-26.3569</f>
        <v>1.168820596313477</v>
      </c>
      <c r="F20" s="14">
        <f t="shared" si="2"/>
        <v>0.44478480372571905</v>
      </c>
      <c r="G20" s="14">
        <v>79.161285400390625</v>
      </c>
      <c r="H20" s="14" t="s">
        <v>24</v>
      </c>
      <c r="I20" s="14" t="s">
        <v>25</v>
      </c>
      <c r="J20" s="14">
        <v>10.933319091796875</v>
      </c>
      <c r="K20" s="14">
        <f>J20-16.35401</f>
        <v>-5.4206909082031238</v>
      </c>
      <c r="L20" s="14">
        <f t="shared" si="4"/>
        <v>42.834190181649397</v>
      </c>
      <c r="M20" s="14">
        <v>79.004936218261719</v>
      </c>
      <c r="N20" s="14" t="s">
        <v>24</v>
      </c>
      <c r="O20" s="13" t="s">
        <v>25</v>
      </c>
      <c r="R20" s="14"/>
      <c r="S20" s="15"/>
      <c r="T20" s="14" t="s">
        <v>4</v>
      </c>
      <c r="U20" s="14">
        <v>4.9040670056114548</v>
      </c>
      <c r="V20" s="14">
        <f t="shared" si="12"/>
        <v>1.1372246778906303</v>
      </c>
      <c r="W20" s="14"/>
      <c r="X20" s="14">
        <v>5.0400400563992198E-2</v>
      </c>
      <c r="Y20" s="14">
        <f t="shared" si="13"/>
        <v>1.1965317511542146</v>
      </c>
      <c r="Z20" s="14"/>
      <c r="AA20" s="14">
        <v>8.0024020286265443E-2</v>
      </c>
      <c r="AB20" s="14">
        <f t="shared" si="14"/>
        <v>0.98654471824221268</v>
      </c>
      <c r="AC20" s="13"/>
    </row>
    <row r="21" spans="1:29" x14ac:dyDescent="0.2">
      <c r="A21" s="15" t="s">
        <v>35</v>
      </c>
      <c r="B21" s="14" t="s">
        <v>123</v>
      </c>
      <c r="C21" s="14" t="s">
        <v>3</v>
      </c>
      <c r="D21" s="14">
        <v>27.685024261474609</v>
      </c>
      <c r="E21" s="14">
        <f t="shared" ref="E21:E22" si="15">D21-26.3569</f>
        <v>1.3281242614746098</v>
      </c>
      <c r="F21" s="14">
        <f t="shared" si="2"/>
        <v>0.39828574172069092</v>
      </c>
      <c r="G21" s="14">
        <v>79.014625549316406</v>
      </c>
      <c r="H21" s="14" t="s">
        <v>24</v>
      </c>
      <c r="I21" s="14" t="s">
        <v>25</v>
      </c>
      <c r="J21" s="14">
        <v>10.908501625061035</v>
      </c>
      <c r="K21" s="14">
        <f t="shared" ref="K21:K22" si="16">J21-16.35401</f>
        <v>-5.4455083749389637</v>
      </c>
      <c r="L21" s="14">
        <f t="shared" si="4"/>
        <v>43.577404770089963</v>
      </c>
      <c r="M21" s="14">
        <v>79.00823974609375</v>
      </c>
      <c r="N21" s="14" t="s">
        <v>24</v>
      </c>
      <c r="O21" s="13" t="s">
        <v>25</v>
      </c>
      <c r="R21" s="14"/>
      <c r="S21" s="15"/>
      <c r="T21" s="14" t="s">
        <v>4</v>
      </c>
      <c r="U21" s="14">
        <v>5.3051847470975737</v>
      </c>
      <c r="V21" s="14">
        <f t="shared" si="12"/>
        <v>1.233276216944216</v>
      </c>
      <c r="W21" s="14"/>
      <c r="X21" s="14">
        <v>3.8042057590922544E-2</v>
      </c>
      <c r="Y21" s="14">
        <f t="shared" si="13"/>
        <v>0.90862943932851592</v>
      </c>
      <c r="Z21" s="14"/>
      <c r="AA21" s="14">
        <v>0.11366843556972822</v>
      </c>
      <c r="AB21" s="14">
        <f t="shared" si="14"/>
        <v>1.277603601479687</v>
      </c>
      <c r="AC21" s="13"/>
    </row>
    <row r="22" spans="1:29" x14ac:dyDescent="0.2">
      <c r="A22" s="15" t="s">
        <v>36</v>
      </c>
      <c r="B22" s="14" t="s">
        <v>123</v>
      </c>
      <c r="C22" s="14" t="s">
        <v>3</v>
      </c>
      <c r="D22" s="14">
        <v>27.671142578125</v>
      </c>
      <c r="E22" s="14">
        <f t="shared" si="15"/>
        <v>1.3142425781250004</v>
      </c>
      <c r="F22" s="14">
        <f t="shared" si="2"/>
        <v>0.4021365636018927</v>
      </c>
      <c r="G22" s="14">
        <v>79.163703918457031</v>
      </c>
      <c r="H22" s="14" t="s">
        <v>24</v>
      </c>
      <c r="I22" s="14" t="s">
        <v>25</v>
      </c>
      <c r="J22" s="14">
        <v>10.96302318572998</v>
      </c>
      <c r="K22" s="14">
        <f t="shared" si="16"/>
        <v>-5.3909868142700184</v>
      </c>
      <c r="L22" s="14">
        <f t="shared" si="4"/>
        <v>41.961280941661286</v>
      </c>
      <c r="M22" s="14">
        <v>79.00823974609375</v>
      </c>
      <c r="N22" s="14" t="s">
        <v>24</v>
      </c>
      <c r="O22" s="13" t="s">
        <v>25</v>
      </c>
      <c r="R22" s="14"/>
      <c r="S22" s="15"/>
      <c r="T22" s="14" t="s">
        <v>4</v>
      </c>
      <c r="U22" s="14">
        <v>5.1450630033047302</v>
      </c>
      <c r="V22" s="14">
        <f t="shared" si="12"/>
        <v>1.1739949796040265</v>
      </c>
      <c r="W22" s="14"/>
      <c r="X22" s="14">
        <v>5.085144682518819E-2</v>
      </c>
      <c r="Y22" s="14">
        <f t="shared" si="13"/>
        <v>1.2669244788679173</v>
      </c>
      <c r="Z22" s="14"/>
      <c r="AA22" s="14">
        <v>0.11595185035922771</v>
      </c>
      <c r="AB22" s="14">
        <f t="shared" si="14"/>
        <v>1.2958121089403678</v>
      </c>
      <c r="AC22" s="13"/>
    </row>
    <row r="23" spans="1:29" x14ac:dyDescent="0.2">
      <c r="A23" s="15" t="s">
        <v>8</v>
      </c>
      <c r="B23" s="14" t="s">
        <v>14</v>
      </c>
      <c r="C23" s="14" t="s">
        <v>37</v>
      </c>
      <c r="D23" s="14">
        <v>24.193120956420898</v>
      </c>
      <c r="E23" s="14">
        <f>D23-20.90038</f>
        <v>3.2927409564209</v>
      </c>
      <c r="F23" s="14">
        <f t="shared" si="2"/>
        <v>0.10204370161417095</v>
      </c>
      <c r="G23" s="14">
        <v>78.271263122558594</v>
      </c>
      <c r="H23" s="14" t="s">
        <v>24</v>
      </c>
      <c r="I23" s="14" t="s">
        <v>25</v>
      </c>
      <c r="J23" s="14">
        <v>20.890962600708008</v>
      </c>
      <c r="K23" s="14">
        <f>J23-16.32168</f>
        <v>4.5692826007080072</v>
      </c>
      <c r="L23" s="14">
        <f t="shared" si="4"/>
        <v>4.2121989789648498E-2</v>
      </c>
      <c r="M23" s="14">
        <v>78.118019104003906</v>
      </c>
      <c r="N23" s="14" t="s">
        <v>24</v>
      </c>
      <c r="O23" s="13" t="s">
        <v>25</v>
      </c>
      <c r="R23" s="14"/>
      <c r="S23" s="15"/>
      <c r="T23" s="14" t="s">
        <v>118</v>
      </c>
      <c r="U23" s="14">
        <v>4.1513788420957853</v>
      </c>
      <c r="V23" s="14">
        <f>U23/U11</f>
        <v>28.080403967124948</v>
      </c>
      <c r="W23" s="14">
        <f>AVERAGE(V23:V28)</f>
        <v>19.804848569792515</v>
      </c>
      <c r="X23" s="14">
        <v>5.894564629601675E-2</v>
      </c>
      <c r="Y23" s="14">
        <f>X23/X11</f>
        <v>0.57764931104245965</v>
      </c>
      <c r="Z23" s="14">
        <f>AVERAGE(Y23:Y28)</f>
        <v>0.87209918577761092</v>
      </c>
      <c r="AA23" s="14">
        <v>7.0668149978856551E-2</v>
      </c>
      <c r="AB23" s="14">
        <f>AA23/AA11</f>
        <v>5.1477381977605292</v>
      </c>
      <c r="AC23" s="13">
        <f>AVERAGE(AB23:AB28)</f>
        <v>3.4412482452854358</v>
      </c>
    </row>
    <row r="24" spans="1:29" x14ac:dyDescent="0.2">
      <c r="A24" s="15" t="s">
        <v>9</v>
      </c>
      <c r="B24" s="14" t="s">
        <v>14</v>
      </c>
      <c r="C24" s="14" t="s">
        <v>37</v>
      </c>
      <c r="D24" s="14">
        <v>24.154548645019531</v>
      </c>
      <c r="E24" s="14">
        <f t="shared" ref="E24:E25" si="17">D24-20.90038</f>
        <v>3.2541686450195328</v>
      </c>
      <c r="F24" s="14">
        <f t="shared" si="2"/>
        <v>0.10480877063183611</v>
      </c>
      <c r="G24" s="14">
        <v>78.271263122558594</v>
      </c>
      <c r="H24" s="14" t="s">
        <v>24</v>
      </c>
      <c r="I24" s="14" t="s">
        <v>25</v>
      </c>
      <c r="J24" s="14">
        <v>20.899707794189453</v>
      </c>
      <c r="K24" s="14">
        <f t="shared" ref="K24:K25" si="18">J24-16.32168</f>
        <v>4.5780277941894525</v>
      </c>
      <c r="L24" s="14">
        <f t="shared" si="4"/>
        <v>4.1867430972613792E-2</v>
      </c>
      <c r="M24" s="14">
        <v>78.118019104003906</v>
      </c>
      <c r="N24" s="14" t="s">
        <v>24</v>
      </c>
      <c r="O24" s="13" t="s">
        <v>25</v>
      </c>
      <c r="R24" s="14"/>
      <c r="S24" s="15"/>
      <c r="T24" s="14" t="s">
        <v>118</v>
      </c>
      <c r="U24" s="14">
        <v>4.2658529999999999</v>
      </c>
      <c r="V24" s="14">
        <f t="shared" ref="V24:V28" si="19">U24/U12</f>
        <v>28.936339216670511</v>
      </c>
      <c r="W24" s="14">
        <f>STDEV(V23:V28)</f>
        <v>9.2944553529985932</v>
      </c>
      <c r="X24" s="14">
        <v>5.9954E-2</v>
      </c>
      <c r="Y24" s="14">
        <f t="shared" ref="Y24:Y28" si="20">X24/X12</f>
        <v>0.57203102786974402</v>
      </c>
      <c r="Z24" s="14">
        <f>STDEV(Y23:Y28)</f>
        <v>0.31186055957893988</v>
      </c>
      <c r="AA24" s="14">
        <v>7.3424000000000003E-2</v>
      </c>
      <c r="AB24" s="14">
        <f t="shared" ref="AB24:AB28" si="21">AA24/AA12</f>
        <v>4.9728411784625806</v>
      </c>
      <c r="AC24" s="13">
        <f>STDEV(AB23:AB28)</f>
        <v>2.2103061251184086</v>
      </c>
    </row>
    <row r="25" spans="1:29" x14ac:dyDescent="0.2">
      <c r="A25" s="15" t="s">
        <v>38</v>
      </c>
      <c r="B25" s="14" t="s">
        <v>14</v>
      </c>
      <c r="C25" s="14" t="s">
        <v>37</v>
      </c>
      <c r="D25" s="14">
        <v>24.262876510620117</v>
      </c>
      <c r="E25" s="14">
        <f t="shared" si="17"/>
        <v>3.3624965106201188</v>
      </c>
      <c r="F25" s="14">
        <f t="shared" si="2"/>
        <v>9.7227180096857962E-2</v>
      </c>
      <c r="G25" s="14">
        <v>78.11883544921875</v>
      </c>
      <c r="H25" s="14" t="s">
        <v>24</v>
      </c>
      <c r="I25" s="14" t="s">
        <v>25</v>
      </c>
      <c r="J25" s="14">
        <v>20.960580825805664</v>
      </c>
      <c r="K25" s="14">
        <f t="shared" si="18"/>
        <v>4.6389008258056634</v>
      </c>
      <c r="L25" s="14">
        <f t="shared" si="4"/>
        <v>4.0137628089487225E-2</v>
      </c>
      <c r="M25" s="14">
        <v>77.9625244140625</v>
      </c>
      <c r="N25" s="14" t="s">
        <v>24</v>
      </c>
      <c r="O25" s="13" t="s">
        <v>25</v>
      </c>
      <c r="R25" s="14"/>
      <c r="S25" s="15"/>
      <c r="T25" s="14" t="s">
        <v>118</v>
      </c>
      <c r="U25" s="14">
        <v>4.1750850000000002</v>
      </c>
      <c r="V25" s="14">
        <f t="shared" si="19"/>
        <v>27.830745848803801</v>
      </c>
      <c r="W25" s="14"/>
      <c r="X25" s="14">
        <v>5.9867999999999998E-2</v>
      </c>
      <c r="Y25" s="14">
        <f t="shared" si="20"/>
        <v>0.61575488290289737</v>
      </c>
      <c r="Z25" s="14"/>
      <c r="AA25" s="14">
        <v>7.6485999999999998E-2</v>
      </c>
      <c r="AB25" s="14">
        <f t="shared" si="21"/>
        <v>6.1543289346636625</v>
      </c>
      <c r="AC25" s="13"/>
    </row>
    <row r="26" spans="1:29" x14ac:dyDescent="0.2">
      <c r="A26" s="15" t="s">
        <v>39</v>
      </c>
      <c r="B26" s="14" t="s">
        <v>27</v>
      </c>
      <c r="C26" s="14" t="s">
        <v>37</v>
      </c>
      <c r="D26" s="14">
        <v>21.797548294067383</v>
      </c>
      <c r="E26" s="14">
        <f>D26-18.20838</f>
        <v>3.5891682940673846</v>
      </c>
      <c r="F26" s="14">
        <f t="shared" si="2"/>
        <v>8.30907509473231E-2</v>
      </c>
      <c r="G26" s="14">
        <v>78.11883544921875</v>
      </c>
      <c r="H26" s="14" t="s">
        <v>24</v>
      </c>
      <c r="I26" s="14" t="s">
        <v>25</v>
      </c>
      <c r="J26" s="14">
        <v>19.285367965698242</v>
      </c>
      <c r="K26" s="14">
        <f>J26-14.97495</f>
        <v>4.3104179656982424</v>
      </c>
      <c r="L26" s="14">
        <f t="shared" si="4"/>
        <v>5.0400506217427789E-2</v>
      </c>
      <c r="M26" s="14">
        <v>77.8135986328125</v>
      </c>
      <c r="N26" s="14" t="s">
        <v>24</v>
      </c>
      <c r="O26" s="13" t="s">
        <v>25</v>
      </c>
      <c r="R26" s="14"/>
      <c r="S26" s="15"/>
      <c r="T26" s="14" t="s">
        <v>118</v>
      </c>
      <c r="U26" s="14">
        <v>49.226762349259225</v>
      </c>
      <c r="V26" s="14">
        <f t="shared" si="19"/>
        <v>11.41540050170153</v>
      </c>
      <c r="W26" s="14"/>
      <c r="X26" s="14">
        <v>4.8128335677084223E-2</v>
      </c>
      <c r="Y26" s="14">
        <f t="shared" si="20"/>
        <v>1.14259174775253</v>
      </c>
      <c r="Z26" s="14"/>
      <c r="AA26" s="14">
        <v>0.12192776652912088</v>
      </c>
      <c r="AB26" s="14">
        <f t="shared" si="21"/>
        <v>1.5031386032103511</v>
      </c>
      <c r="AC26" s="13"/>
    </row>
    <row r="27" spans="1:29" x14ac:dyDescent="0.2">
      <c r="A27" s="15" t="s">
        <v>40</v>
      </c>
      <c r="B27" s="14" t="s">
        <v>27</v>
      </c>
      <c r="C27" s="14" t="s">
        <v>37</v>
      </c>
      <c r="D27" s="14">
        <v>21.783243179321289</v>
      </c>
      <c r="E27" s="14">
        <f t="shared" ref="E27:E28" si="22">D27-18.20838</f>
        <v>3.5748631793212908</v>
      </c>
      <c r="F27" s="14">
        <f t="shared" si="2"/>
        <v>8.3918739636802117E-2</v>
      </c>
      <c r="G27" s="14">
        <v>78.116851806640625</v>
      </c>
      <c r="H27" s="14" t="s">
        <v>24</v>
      </c>
      <c r="I27" s="14" t="s">
        <v>25</v>
      </c>
      <c r="J27" s="14">
        <v>19.691207885742188</v>
      </c>
      <c r="K27" s="14">
        <f t="shared" ref="K27:K28" si="23">J27-14.97495</f>
        <v>4.7162578857421877</v>
      </c>
      <c r="L27" s="14">
        <f t="shared" si="4"/>
        <v>3.8042137337790355E-2</v>
      </c>
      <c r="M27" s="14">
        <v>77.8135986328125</v>
      </c>
      <c r="N27" s="14" t="s">
        <v>24</v>
      </c>
      <c r="O27" s="13" t="s">
        <v>25</v>
      </c>
      <c r="R27" s="14"/>
      <c r="S27" s="15"/>
      <c r="T27" s="14" t="s">
        <v>118</v>
      </c>
      <c r="U27" s="14">
        <v>49.039392577598129</v>
      </c>
      <c r="V27" s="14">
        <f t="shared" si="19"/>
        <v>11.400001968344297</v>
      </c>
      <c r="W27" s="14"/>
      <c r="X27" s="14">
        <v>4.7257589733854299E-2</v>
      </c>
      <c r="Y27" s="14">
        <f t="shared" si="20"/>
        <v>1.1287411875990419</v>
      </c>
      <c r="Z27" s="14"/>
      <c r="AA27" s="14">
        <v>0.12777638556683443</v>
      </c>
      <c r="AB27" s="14">
        <f t="shared" si="21"/>
        <v>1.4361732838673844</v>
      </c>
      <c r="AC27" s="13"/>
    </row>
    <row r="28" spans="1:29" x14ac:dyDescent="0.2">
      <c r="A28" s="15" t="s">
        <v>41</v>
      </c>
      <c r="B28" s="14" t="s">
        <v>27</v>
      </c>
      <c r="C28" s="14" t="s">
        <v>37</v>
      </c>
      <c r="D28" s="14">
        <v>21.811502456665039</v>
      </c>
      <c r="E28" s="14">
        <f t="shared" si="22"/>
        <v>3.6031224566650408</v>
      </c>
      <c r="F28" s="14">
        <f t="shared" si="2"/>
        <v>8.2290947436138712E-2</v>
      </c>
      <c r="G28" s="14">
        <v>78.116851806640625</v>
      </c>
      <c r="H28" s="14" t="s">
        <v>24</v>
      </c>
      <c r="I28" s="14" t="s">
        <v>25</v>
      </c>
      <c r="J28" s="14">
        <v>19.272514343261719</v>
      </c>
      <c r="K28" s="14">
        <f t="shared" si="23"/>
        <v>4.297564343261719</v>
      </c>
      <c r="L28" s="14">
        <f t="shared" si="4"/>
        <v>5.085155342414379E-2</v>
      </c>
      <c r="M28" s="14">
        <v>77.961212158203125</v>
      </c>
      <c r="N28" s="14" t="s">
        <v>24</v>
      </c>
      <c r="O28" s="13" t="s">
        <v>25</v>
      </c>
      <c r="R28" s="14"/>
      <c r="S28" s="15"/>
      <c r="T28" s="14" t="s">
        <v>118</v>
      </c>
      <c r="U28" s="14">
        <v>48.936156520242861</v>
      </c>
      <c r="V28" s="14">
        <f t="shared" si="19"/>
        <v>11.166199916110005</v>
      </c>
      <c r="W28" s="14"/>
      <c r="X28" s="14">
        <v>4.7997755158795292E-2</v>
      </c>
      <c r="Y28" s="14">
        <f t="shared" si="20"/>
        <v>1.1958269574989928</v>
      </c>
      <c r="Z28" s="14"/>
      <c r="AA28" s="14">
        <v>0.12825179144993409</v>
      </c>
      <c r="AB28" s="14">
        <f t="shared" si="21"/>
        <v>1.4332692737481056</v>
      </c>
      <c r="AC28" s="13"/>
    </row>
    <row r="29" spans="1:29" x14ac:dyDescent="0.2">
      <c r="A29" s="15" t="s">
        <v>42</v>
      </c>
      <c r="B29" s="14" t="s">
        <v>31</v>
      </c>
      <c r="C29" s="14" t="s">
        <v>37</v>
      </c>
      <c r="D29" s="14">
        <v>22.06178092956543</v>
      </c>
      <c r="E29" s="14">
        <f>D29-17.97731</f>
        <v>4.0844709295654305</v>
      </c>
      <c r="F29" s="14">
        <f t="shared" si="2"/>
        <v>5.894564629601675E-2</v>
      </c>
      <c r="G29" s="14">
        <v>78.11737060546875</v>
      </c>
      <c r="H29" s="14" t="s">
        <v>24</v>
      </c>
      <c r="I29" s="14" t="s">
        <v>25</v>
      </c>
      <c r="J29" s="14">
        <v>20.927883148193359</v>
      </c>
      <c r="K29" s="14">
        <f>J29-16.55091</f>
        <v>4.3769731481933611</v>
      </c>
      <c r="L29" s="14">
        <f t="shared" si="4"/>
        <v>4.8128219156060942E-2</v>
      </c>
      <c r="M29" s="14">
        <v>77.813430786132813</v>
      </c>
      <c r="N29" s="14" t="s">
        <v>24</v>
      </c>
      <c r="O29" s="13" t="s">
        <v>25</v>
      </c>
      <c r="R29" s="14"/>
      <c r="S29" s="15"/>
      <c r="T29" s="14" t="s">
        <v>16</v>
      </c>
      <c r="U29" s="14">
        <v>0.44478400000000001</v>
      </c>
      <c r="V29" s="14">
        <f>U29/U11</f>
        <v>3.008570133726554</v>
      </c>
      <c r="W29" s="14">
        <f>AVERAGE(V29:V34)</f>
        <v>6.3381179453376051</v>
      </c>
      <c r="X29" s="14">
        <v>0.739533</v>
      </c>
      <c r="Y29" s="14">
        <f>X29/X11</f>
        <v>7.2471972874446315</v>
      </c>
      <c r="Z29" s="14">
        <f>AVERAGE(Y29:Y34)</f>
        <v>4.3411922824101241</v>
      </c>
      <c r="AA29" s="14">
        <v>3.5798999999999997E-2</v>
      </c>
      <c r="AB29" s="14">
        <f>AA29/AA11</f>
        <v>2.6077360139860137</v>
      </c>
      <c r="AC29" s="13">
        <f>AVERAGE(AB29:AB34)</f>
        <v>2.1267590203905713</v>
      </c>
    </row>
    <row r="30" spans="1:29" x14ac:dyDescent="0.2">
      <c r="A30" s="15" t="s">
        <v>43</v>
      </c>
      <c r="B30" s="14" t="s">
        <v>31</v>
      </c>
      <c r="C30" s="14" t="s">
        <v>37</v>
      </c>
      <c r="D30" s="14">
        <v>22.037307739257813</v>
      </c>
      <c r="E30" s="14">
        <f t="shared" ref="E30:E31" si="24">D30-17.97731</f>
        <v>4.0599977392578133</v>
      </c>
      <c r="F30" s="14">
        <f t="shared" si="2"/>
        <v>5.995410140745544E-2</v>
      </c>
      <c r="G30" s="14">
        <v>78.11737060546875</v>
      </c>
      <c r="H30" s="14" t="s">
        <v>24</v>
      </c>
      <c r="I30" s="14" t="s">
        <v>25</v>
      </c>
      <c r="J30" s="14">
        <v>20.9542236328125</v>
      </c>
      <c r="K30" s="14">
        <f t="shared" ref="K30:K31" si="25">J30-16.55091</f>
        <v>4.4033136328125018</v>
      </c>
      <c r="L30" s="14">
        <f t="shared" si="4"/>
        <v>4.7257475320948969E-2</v>
      </c>
      <c r="M30" s="14">
        <v>77.962890625</v>
      </c>
      <c r="N30" s="14" t="s">
        <v>24</v>
      </c>
      <c r="O30" s="13" t="s">
        <v>25</v>
      </c>
      <c r="R30" s="14"/>
      <c r="S30" s="15"/>
      <c r="T30" s="14" t="s">
        <v>16</v>
      </c>
      <c r="U30" s="14">
        <v>0.398285</v>
      </c>
      <c r="V30" s="14">
        <f t="shared" ref="V30:V34" si="26">U30/U12</f>
        <v>2.7016659657310309</v>
      </c>
      <c r="W30" s="14">
        <f>STDEV(V29:V34)</f>
        <v>3.884982411471225</v>
      </c>
      <c r="X30" s="14">
        <v>0.75997899999999996</v>
      </c>
      <c r="Y30" s="14">
        <f t="shared" ref="Y30:Y34" si="27">X30/X12</f>
        <v>7.2510853075594648</v>
      </c>
      <c r="Z30" s="14">
        <f>STDEV(Y29:Y34)</f>
        <v>3.3995430087870635</v>
      </c>
      <c r="AA30" s="14">
        <v>2.6145000000000002E-2</v>
      </c>
      <c r="AB30" s="14">
        <f t="shared" ref="AB30:AB34" si="28">AA30/AA12</f>
        <v>1.7707416186928548</v>
      </c>
      <c r="AC30" s="13">
        <f>STDEV(AB29:AB34)</f>
        <v>1.1695890181741784</v>
      </c>
    </row>
    <row r="31" spans="1:29" x14ac:dyDescent="0.2">
      <c r="A31" s="15" t="s">
        <v>44</v>
      </c>
      <c r="B31" s="14" t="s">
        <v>31</v>
      </c>
      <c r="C31" s="14" t="s">
        <v>37</v>
      </c>
      <c r="D31" s="14">
        <v>22.039382934570313</v>
      </c>
      <c r="E31" s="14">
        <f t="shared" si="24"/>
        <v>4.0620729345703133</v>
      </c>
      <c r="F31" s="14">
        <f t="shared" si="2"/>
        <v>5.9867924475904721E-2</v>
      </c>
      <c r="G31" s="14">
        <v>78.117530822753906</v>
      </c>
      <c r="H31" s="14" t="s">
        <v>24</v>
      </c>
      <c r="I31" s="14" t="s">
        <v>25</v>
      </c>
      <c r="J31" s="14">
        <v>20.931802749633789</v>
      </c>
      <c r="K31" s="14">
        <f t="shared" si="25"/>
        <v>4.3808927496337908</v>
      </c>
      <c r="L31" s="14">
        <f t="shared" si="4"/>
        <v>4.7997638953913749E-2</v>
      </c>
      <c r="M31" s="14">
        <v>77.962890625</v>
      </c>
      <c r="N31" s="14" t="s">
        <v>24</v>
      </c>
      <c r="O31" s="13" t="s">
        <v>25</v>
      </c>
      <c r="R31" s="14"/>
      <c r="S31" s="15"/>
      <c r="T31" s="14" t="s">
        <v>16</v>
      </c>
      <c r="U31" s="14">
        <v>0.40213599999999999</v>
      </c>
      <c r="V31" s="14">
        <f t="shared" si="26"/>
        <v>2.6806028650086322</v>
      </c>
      <c r="W31" s="14"/>
      <c r="X31" s="14">
        <v>0.76011399999999996</v>
      </c>
      <c r="Y31" s="14">
        <f t="shared" si="27"/>
        <v>7.8179312330936881</v>
      </c>
      <c r="Z31" s="14"/>
      <c r="AA31" s="14">
        <v>5.3418E-2</v>
      </c>
      <c r="AB31" s="14">
        <f t="shared" si="28"/>
        <v>4.2981976182813</v>
      </c>
      <c r="AC31" s="13"/>
    </row>
    <row r="32" spans="1:29" x14ac:dyDescent="0.2">
      <c r="A32" s="15" t="s">
        <v>45</v>
      </c>
      <c r="B32" s="14" t="s">
        <v>123</v>
      </c>
      <c r="C32" s="14" t="s">
        <v>37</v>
      </c>
      <c r="D32" s="14">
        <v>26.792209625244141</v>
      </c>
      <c r="E32" s="14">
        <f>D32-26.3569</f>
        <v>0.43530962524414107</v>
      </c>
      <c r="F32" s="14">
        <f t="shared" si="2"/>
        <v>0.73953502164334739</v>
      </c>
      <c r="G32" s="14">
        <v>78.117530822753906</v>
      </c>
      <c r="H32" s="14" t="s">
        <v>24</v>
      </c>
      <c r="I32" s="14" t="s">
        <v>25</v>
      </c>
      <c r="J32" s="14">
        <v>20.613882064819336</v>
      </c>
      <c r="K32" s="14">
        <f>J32-16.35401</f>
        <v>4.2598720648193371</v>
      </c>
      <c r="L32" s="14">
        <f t="shared" si="4"/>
        <v>5.2197623535194179E-2</v>
      </c>
      <c r="M32" s="14">
        <v>77.961212158203125</v>
      </c>
      <c r="N32" s="14" t="s">
        <v>24</v>
      </c>
      <c r="O32" s="13" t="s">
        <v>25</v>
      </c>
      <c r="R32" s="14"/>
      <c r="S32" s="15"/>
      <c r="T32" s="14" t="s">
        <v>16</v>
      </c>
      <c r="U32" s="14">
        <v>42.834065885906327</v>
      </c>
      <c r="V32" s="14">
        <f t="shared" si="26"/>
        <v>9.9329712918089079</v>
      </c>
      <c r="W32" s="14"/>
      <c r="X32" s="14">
        <v>5.2197472068751687E-2</v>
      </c>
      <c r="Y32" s="14">
        <f t="shared" si="27"/>
        <v>1.2391951643508834</v>
      </c>
      <c r="Z32" s="14"/>
      <c r="AA32" s="14">
        <v>0.11646714962382991</v>
      </c>
      <c r="AB32" s="14">
        <f t="shared" si="28"/>
        <v>1.4358195314243072</v>
      </c>
      <c r="AC32" s="13"/>
    </row>
    <row r="33" spans="1:37" x14ac:dyDescent="0.2">
      <c r="A33" s="15" t="s">
        <v>46</v>
      </c>
      <c r="B33" s="14" t="s">
        <v>123</v>
      </c>
      <c r="C33" s="14" t="s">
        <v>37</v>
      </c>
      <c r="D33" s="14">
        <v>26.752864837646484</v>
      </c>
      <c r="E33" s="14">
        <f t="shared" ref="E33:E34" si="29">D33-26.3569</f>
        <v>0.39596483764648482</v>
      </c>
      <c r="F33" s="14">
        <f t="shared" si="2"/>
        <v>0.75998095075226613</v>
      </c>
      <c r="G33" s="14">
        <v>77.971092224121094</v>
      </c>
      <c r="H33" s="14" t="s">
        <v>24</v>
      </c>
      <c r="I33" s="14" t="s">
        <v>25</v>
      </c>
      <c r="J33" s="14">
        <v>20.617469787597656</v>
      </c>
      <c r="K33" s="14">
        <f t="shared" ref="K33:K34" si="30">J33-16.35401</f>
        <v>4.2634597875976574</v>
      </c>
      <c r="L33" s="14">
        <f t="shared" si="4"/>
        <v>5.2067978713247164E-2</v>
      </c>
      <c r="M33" s="14">
        <v>77.815742492675781</v>
      </c>
      <c r="N33" s="14" t="s">
        <v>24</v>
      </c>
      <c r="O33" s="13" t="s">
        <v>25</v>
      </c>
      <c r="R33" s="14"/>
      <c r="S33" s="15"/>
      <c r="T33" s="14" t="s">
        <v>16</v>
      </c>
      <c r="U33" s="14">
        <v>43.577278317695672</v>
      </c>
      <c r="V33" s="14">
        <f t="shared" si="26"/>
        <v>10.130244941568758</v>
      </c>
      <c r="W33" s="14"/>
      <c r="X33" s="14">
        <v>5.2067827623006505E-2</v>
      </c>
      <c r="Y33" s="14">
        <f t="shared" si="27"/>
        <v>1.2436330739227743</v>
      </c>
      <c r="Z33" s="14"/>
      <c r="AA33" s="14">
        <v>0.11891254206119835</v>
      </c>
      <c r="AB33" s="14">
        <f t="shared" si="28"/>
        <v>1.3365459921835274</v>
      </c>
      <c r="AC33" s="13"/>
    </row>
    <row r="34" spans="1:37" ht="13.5" thickBot="1" x14ac:dyDescent="0.25">
      <c r="A34" s="15" t="s">
        <v>47</v>
      </c>
      <c r="B34" s="14" t="s">
        <v>123</v>
      </c>
      <c r="C34" s="14" t="s">
        <v>37</v>
      </c>
      <c r="D34" s="14">
        <v>26.752609252929688</v>
      </c>
      <c r="E34" s="14">
        <f t="shared" si="29"/>
        <v>0.39570925292968795</v>
      </c>
      <c r="F34" s="14">
        <f t="shared" si="2"/>
        <v>0.76011559925184824</v>
      </c>
      <c r="G34" s="14">
        <v>77.971092224121094</v>
      </c>
      <c r="H34" s="14" t="s">
        <v>24</v>
      </c>
      <c r="I34" s="14" t="s">
        <v>25</v>
      </c>
      <c r="J34" s="14">
        <v>20.67315673828125</v>
      </c>
      <c r="K34" s="14">
        <f t="shared" si="30"/>
        <v>4.3191467382812512</v>
      </c>
      <c r="L34" s="14">
        <f t="shared" si="4"/>
        <v>5.0096487453171273E-2</v>
      </c>
      <c r="M34" s="14">
        <v>77.815742492675781</v>
      </c>
      <c r="N34" s="14" t="s">
        <v>24</v>
      </c>
      <c r="O34" s="13" t="s">
        <v>25</v>
      </c>
      <c r="R34" s="14"/>
      <c r="S34" s="12"/>
      <c r="T34" s="11" t="s">
        <v>16</v>
      </c>
      <c r="U34" s="11">
        <v>41.961159178915857</v>
      </c>
      <c r="V34" s="11">
        <f t="shared" si="26"/>
        <v>9.574652474181752</v>
      </c>
      <c r="W34" s="11"/>
      <c r="X34" s="11">
        <v>5.0096342083780457E-2</v>
      </c>
      <c r="Y34" s="11">
        <f t="shared" si="27"/>
        <v>1.2481116280893072</v>
      </c>
      <c r="Z34" s="11"/>
      <c r="AA34" s="11">
        <v>0.11735682850636495</v>
      </c>
      <c r="AB34" s="11">
        <f t="shared" si="28"/>
        <v>1.3115133477754248</v>
      </c>
      <c r="AC34" s="10"/>
    </row>
    <row r="35" spans="1:37" x14ac:dyDescent="0.2">
      <c r="A35" s="15" t="s">
        <v>48</v>
      </c>
      <c r="B35" s="14" t="s">
        <v>14</v>
      </c>
      <c r="C35" s="14" t="s">
        <v>49</v>
      </c>
      <c r="D35" s="14">
        <v>27.087160110473633</v>
      </c>
      <c r="E35" s="14">
        <f>D35-20.90038</f>
        <v>6.1867801104736344</v>
      </c>
      <c r="F35" s="14">
        <f t="shared" si="2"/>
        <v>1.372756820514474E-2</v>
      </c>
      <c r="G35" s="14">
        <v>77.078521728515625</v>
      </c>
      <c r="H35" s="14" t="s">
        <v>24</v>
      </c>
      <c r="I35" s="14" t="s">
        <v>25</v>
      </c>
      <c r="J35" s="14">
        <v>19.945562362670898</v>
      </c>
      <c r="K35" s="14">
        <f>J35-16.32168</f>
        <v>3.6238823626708978</v>
      </c>
      <c r="L35" s="14">
        <f t="shared" si="4"/>
        <v>8.1115286803154538E-2</v>
      </c>
      <c r="M35" s="14">
        <v>76.77593994140625</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14</v>
      </c>
      <c r="C36" s="14" t="s">
        <v>49</v>
      </c>
      <c r="D36" s="14">
        <v>26.982070922851563</v>
      </c>
      <c r="E36" s="14">
        <f t="shared" ref="E36:E37" si="31">D36-20.90038</f>
        <v>6.0816909228515641</v>
      </c>
      <c r="F36" s="14">
        <f t="shared" si="2"/>
        <v>1.4764835335358318E-2</v>
      </c>
      <c r="G36" s="14">
        <v>77.078521728515625</v>
      </c>
      <c r="H36" s="14" t="s">
        <v>24</v>
      </c>
      <c r="I36" s="14" t="s">
        <v>25</v>
      </c>
      <c r="J36" s="14">
        <v>19.812219619750977</v>
      </c>
      <c r="K36" s="14">
        <f t="shared" ref="K36:K37" si="32">J36-16.32168</f>
        <v>3.4905396197509759</v>
      </c>
      <c r="L36" s="14">
        <f t="shared" si="4"/>
        <v>8.8969853080605121E-2</v>
      </c>
      <c r="M36" s="14">
        <v>76.925056457519531</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14</v>
      </c>
      <c r="C37" s="14" t="s">
        <v>49</v>
      </c>
      <c r="D37" s="14">
        <v>27.230587005615234</v>
      </c>
      <c r="E37" s="14">
        <f t="shared" si="31"/>
        <v>6.330207005615236</v>
      </c>
      <c r="F37" s="14">
        <f t="shared" si="2"/>
        <v>1.242847412665905E-2</v>
      </c>
      <c r="G37" s="14">
        <v>77.075157165527344</v>
      </c>
      <c r="H37" s="14" t="s">
        <v>24</v>
      </c>
      <c r="I37" s="14" t="s">
        <v>25</v>
      </c>
      <c r="J37" s="14">
        <v>19.80394172668457</v>
      </c>
      <c r="K37" s="14">
        <f t="shared" si="32"/>
        <v>3.4822617266845697</v>
      </c>
      <c r="L37" s="14">
        <f t="shared" si="4"/>
        <v>8.9481811499506472E-2</v>
      </c>
      <c r="M37" s="14">
        <v>76.769821166992188</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27</v>
      </c>
      <c r="C38" s="14" t="s">
        <v>49</v>
      </c>
      <c r="D38" s="14">
        <v>21.236339569091797</v>
      </c>
      <c r="E38" s="14">
        <f>D38-18.20838</f>
        <v>3.0279595690917986</v>
      </c>
      <c r="F38" s="14">
        <f t="shared" si="2"/>
        <v>0.12260081128544671</v>
      </c>
      <c r="G38" s="14">
        <v>76.926063537597656</v>
      </c>
      <c r="H38" s="14" t="s">
        <v>24</v>
      </c>
      <c r="I38" s="14" t="s">
        <v>25</v>
      </c>
      <c r="J38" s="14">
        <v>18.618370056152344</v>
      </c>
      <c r="K38" s="14">
        <f>J38-14.97495</f>
        <v>3.643420056152344</v>
      </c>
      <c r="L38" s="14">
        <f t="shared" si="4"/>
        <v>8.0024188039151886E-2</v>
      </c>
      <c r="M38" s="14">
        <v>76.769912719726563</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27</v>
      </c>
      <c r="C39" s="14" t="s">
        <v>49</v>
      </c>
      <c r="D39" s="14">
        <v>21.384065628051758</v>
      </c>
      <c r="E39" s="14">
        <f t="shared" ref="E39:E40" si="33">D39-18.20838</f>
        <v>3.1756856280517596</v>
      </c>
      <c r="F39" s="14">
        <f t="shared" si="2"/>
        <v>0.11066833324229565</v>
      </c>
      <c r="G39" s="14">
        <v>77.073150634765625</v>
      </c>
      <c r="H39" s="14" t="s">
        <v>24</v>
      </c>
      <c r="I39" s="14" t="s">
        <v>25</v>
      </c>
      <c r="J39" s="14">
        <v>18.112043380737305</v>
      </c>
      <c r="K39" s="14">
        <f t="shared" ref="K39:K40" si="34">J39-14.97495</f>
        <v>3.1370933807373049</v>
      </c>
      <c r="L39" s="14">
        <f t="shared" si="4"/>
        <v>0.11366867385078555</v>
      </c>
      <c r="M39" s="14">
        <v>76.769912719726563</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27</v>
      </c>
      <c r="C40" s="14" t="s">
        <v>49</v>
      </c>
      <c r="D40" s="14">
        <v>21.189794540405273</v>
      </c>
      <c r="E40" s="14">
        <f t="shared" si="33"/>
        <v>2.9814145404052752</v>
      </c>
      <c r="F40" s="14">
        <f t="shared" si="2"/>
        <v>0.12662072440823727</v>
      </c>
      <c r="G40" s="14">
        <v>77.073150634765625</v>
      </c>
      <c r="H40" s="14" t="s">
        <v>24</v>
      </c>
      <c r="I40" s="14" t="s">
        <v>25</v>
      </c>
      <c r="J40" s="14">
        <v>18.083349227905273</v>
      </c>
      <c r="K40" s="14">
        <f t="shared" si="34"/>
        <v>3.1083992279052737</v>
      </c>
      <c r="L40" s="14">
        <f t="shared" si="4"/>
        <v>0.11595209342696558</v>
      </c>
      <c r="M40" s="14">
        <v>76.76837158203125</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31</v>
      </c>
      <c r="C41" s="14" t="s">
        <v>49</v>
      </c>
      <c r="D41" s="14">
        <v>21.800106048583984</v>
      </c>
      <c r="E41" s="14">
        <f>D41-17.97731</f>
        <v>3.8227960485839851</v>
      </c>
      <c r="F41" s="14">
        <f t="shared" si="2"/>
        <v>7.0668149978856551E-2</v>
      </c>
      <c r="G41" s="14">
        <v>76.924629211425781</v>
      </c>
      <c r="H41" s="14" t="s">
        <v>24</v>
      </c>
      <c r="I41" s="14" t="s">
        <v>25</v>
      </c>
      <c r="J41" s="14">
        <v>19.586814880371094</v>
      </c>
      <c r="K41" s="14">
        <f>J41-16.55091</f>
        <v>3.0359048803710955</v>
      </c>
      <c r="L41" s="14">
        <f t="shared" si="4"/>
        <v>0.12192747133611406</v>
      </c>
      <c r="M41" s="14">
        <v>76.769821166992188</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31</v>
      </c>
      <c r="C42" s="14" t="s">
        <v>49</v>
      </c>
      <c r="D42" s="14">
        <v>21.744909286499023</v>
      </c>
      <c r="E42" s="14">
        <f t="shared" ref="E42:E43" si="35">D42-17.97731</f>
        <v>3.7675992864990242</v>
      </c>
      <c r="F42" s="14">
        <f t="shared" si="2"/>
        <v>7.3424264210366103E-2</v>
      </c>
      <c r="G42" s="14">
        <v>76.924629211425781</v>
      </c>
      <c r="H42" s="14" t="s">
        <v>24</v>
      </c>
      <c r="I42" s="14" t="s">
        <v>25</v>
      </c>
      <c r="J42" s="14">
        <v>19.519220352172852</v>
      </c>
      <c r="K42" s="14">
        <f t="shared" ref="K42:K43" si="36">J42-16.55091</f>
        <v>2.9683103521728533</v>
      </c>
      <c r="L42" s="14">
        <f t="shared" si="4"/>
        <v>0.12777607621403866</v>
      </c>
      <c r="M42" s="14">
        <v>76.770111083984375</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31</v>
      </c>
      <c r="C43" s="14" t="s">
        <v>49</v>
      </c>
      <c r="D43" s="14">
        <v>21.685964584350586</v>
      </c>
      <c r="E43" s="14">
        <f t="shared" si="35"/>
        <v>3.7086545843505867</v>
      </c>
      <c r="F43" s="14">
        <f t="shared" si="2"/>
        <v>7.6486313028774566E-2</v>
      </c>
      <c r="G43" s="14">
        <v>76.924659729003906</v>
      </c>
      <c r="H43" s="14" t="s">
        <v>24</v>
      </c>
      <c r="I43" s="14" t="s">
        <v>25</v>
      </c>
      <c r="J43" s="14">
        <v>19.513862609863281</v>
      </c>
      <c r="K43" s="14">
        <f t="shared" si="36"/>
        <v>2.962952609863283</v>
      </c>
      <c r="L43" s="14">
        <f t="shared" si="4"/>
        <v>0.12825148094615776</v>
      </c>
      <c r="M43" s="14">
        <v>76.770111083984375</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123</v>
      </c>
      <c r="C44" s="14" t="s">
        <v>49</v>
      </c>
      <c r="D44" s="14">
        <v>31.160821914672852</v>
      </c>
      <c r="E44" s="14">
        <f>D44-26.3569</f>
        <v>4.803921914672852</v>
      </c>
      <c r="F44" s="14">
        <f t="shared" si="2"/>
        <v>3.579937188698723E-2</v>
      </c>
      <c r="G44" s="14">
        <v>77.073768615722656</v>
      </c>
      <c r="H44" s="14" t="s">
        <v>24</v>
      </c>
      <c r="I44" s="14" t="s">
        <v>25</v>
      </c>
      <c r="J44" s="14">
        <v>19.456010818481445</v>
      </c>
      <c r="K44" s="14">
        <f>J44-16.35401</f>
        <v>3.1020008184814465</v>
      </c>
      <c r="L44" s="14">
        <f t="shared" si="4"/>
        <v>0.11646748758779868</v>
      </c>
      <c r="M44" s="14">
        <v>76.76837158203125</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123</v>
      </c>
      <c r="C45" s="14" t="s">
        <v>49</v>
      </c>
      <c r="D45" s="14">
        <v>31.614213943481445</v>
      </c>
      <c r="E45" s="14">
        <f t="shared" ref="E45:E46" si="37">D45-26.3569</f>
        <v>5.2573139434814458</v>
      </c>
      <c r="F45" s="14">
        <f t="shared" si="2"/>
        <v>2.6145130048152027E-2</v>
      </c>
      <c r="G45" s="14">
        <v>76.92755126953125</v>
      </c>
      <c r="H45" s="14" t="s">
        <v>24</v>
      </c>
      <c r="I45" s="14" t="s">
        <v>25</v>
      </c>
      <c r="J45" s="14">
        <v>19.426033020019531</v>
      </c>
      <c r="K45" s="14">
        <f t="shared" ref="K45:K46" si="38">J45-16.35401</f>
        <v>3.0720230200195324</v>
      </c>
      <c r="L45" s="14">
        <f t="shared" si="4"/>
        <v>0.11891288712119838</v>
      </c>
      <c r="M45" s="14">
        <v>76.772308349609375</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123</v>
      </c>
      <c r="C46" s="14" t="s">
        <v>49</v>
      </c>
      <c r="D46" s="14">
        <v>30.583414077758789</v>
      </c>
      <c r="E46" s="14">
        <f t="shared" si="37"/>
        <v>4.2265140777587895</v>
      </c>
      <c r="F46" s="14">
        <f t="shared" si="2"/>
        <v>5.3418597994733856E-2</v>
      </c>
      <c r="G46" s="14">
        <v>76.92755126953125</v>
      </c>
      <c r="H46" s="14" t="s">
        <v>24</v>
      </c>
      <c r="I46" s="14" t="s">
        <v>25</v>
      </c>
      <c r="J46" s="14">
        <v>19.445032119750977</v>
      </c>
      <c r="K46" s="14">
        <f t="shared" si="38"/>
        <v>3.0910221197509777</v>
      </c>
      <c r="L46" s="14">
        <f t="shared" si="4"/>
        <v>0.11735716905200079</v>
      </c>
      <c r="M46" s="14">
        <v>76.772308349609375</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14</v>
      </c>
      <c r="C47" s="14" t="s">
        <v>0</v>
      </c>
      <c r="D47" s="14">
        <v>25.757797241210938</v>
      </c>
      <c r="E47" s="14" t="s">
        <v>24</v>
      </c>
      <c r="F47" s="14"/>
      <c r="G47" s="14">
        <v>76.183975219726563</v>
      </c>
      <c r="H47" s="14" t="s">
        <v>24</v>
      </c>
      <c r="I47" s="14" t="s">
        <v>25</v>
      </c>
      <c r="J47" s="14">
        <v>18.640710830688477</v>
      </c>
      <c r="K47" s="14"/>
      <c r="L47" s="14"/>
      <c r="M47" s="14">
        <v>75.881210327148438</v>
      </c>
      <c r="N47" s="14" t="s">
        <v>24</v>
      </c>
      <c r="O47" s="13" t="s">
        <v>25</v>
      </c>
      <c r="R47" s="14"/>
      <c r="S47" s="14"/>
      <c r="T47" s="14"/>
      <c r="U47" s="14"/>
      <c r="V47" s="14"/>
      <c r="W47" s="14"/>
      <c r="X47" s="14"/>
    </row>
    <row r="48" spans="1:37" x14ac:dyDescent="0.2">
      <c r="A48" s="15" t="s">
        <v>62</v>
      </c>
      <c r="B48" s="14" t="s">
        <v>14</v>
      </c>
      <c r="C48" s="14" t="s">
        <v>0</v>
      </c>
      <c r="D48" s="14">
        <v>25.613958358764648</v>
      </c>
      <c r="E48" s="14" t="s">
        <v>24</v>
      </c>
      <c r="F48" s="14"/>
      <c r="G48" s="14">
        <v>76.183975219726563</v>
      </c>
      <c r="H48" s="14" t="s">
        <v>24</v>
      </c>
      <c r="I48" s="14" t="s">
        <v>25</v>
      </c>
      <c r="J48" s="14">
        <v>18.606035232543945</v>
      </c>
      <c r="K48" s="14"/>
      <c r="L48" s="14"/>
      <c r="M48" s="14">
        <v>75.881210327148438</v>
      </c>
      <c r="N48" s="14" t="s">
        <v>24</v>
      </c>
      <c r="O48" s="13" t="s">
        <v>25</v>
      </c>
      <c r="R48" s="14"/>
      <c r="S48" s="14"/>
      <c r="T48" s="14"/>
      <c r="U48" s="14"/>
      <c r="V48" s="14"/>
      <c r="W48" s="14"/>
      <c r="X48" s="14"/>
    </row>
    <row r="49" spans="1:24" x14ac:dyDescent="0.2">
      <c r="A49" s="15" t="s">
        <v>63</v>
      </c>
      <c r="B49" s="14" t="s">
        <v>14</v>
      </c>
      <c r="C49" s="14" t="s">
        <v>0</v>
      </c>
      <c r="D49" s="14">
        <v>25.697832107543945</v>
      </c>
      <c r="E49" s="14" t="s">
        <v>24</v>
      </c>
      <c r="F49" s="14"/>
      <c r="G49" s="14">
        <v>76.031478881835938</v>
      </c>
      <c r="H49" s="14" t="s">
        <v>24</v>
      </c>
      <c r="I49" s="14" t="s">
        <v>25</v>
      </c>
      <c r="J49" s="14">
        <v>18.594402313232422</v>
      </c>
      <c r="K49" s="14"/>
      <c r="L49" s="14"/>
      <c r="M49" s="14">
        <v>75.875297546386719</v>
      </c>
      <c r="N49" s="14" t="s">
        <v>24</v>
      </c>
      <c r="O49" s="13" t="s">
        <v>25</v>
      </c>
      <c r="R49" s="14"/>
      <c r="S49" s="14"/>
      <c r="T49" s="14"/>
      <c r="U49" s="14"/>
      <c r="V49" s="14"/>
      <c r="W49" s="14"/>
      <c r="X49" s="14"/>
    </row>
    <row r="50" spans="1:24" x14ac:dyDescent="0.2">
      <c r="A50" s="15" t="s">
        <v>64</v>
      </c>
      <c r="B50" s="14" t="s">
        <v>27</v>
      </c>
      <c r="C50" s="14" t="s">
        <v>0</v>
      </c>
      <c r="D50" s="14">
        <v>20.911235809326172</v>
      </c>
      <c r="E50" s="14" t="s">
        <v>24</v>
      </c>
      <c r="F50" s="14"/>
      <c r="G50" s="14">
        <v>76.031478881835938</v>
      </c>
      <c r="H50" s="14" t="s">
        <v>24</v>
      </c>
      <c r="I50" s="14" t="s">
        <v>65</v>
      </c>
      <c r="J50" s="14">
        <v>17.416513442993164</v>
      </c>
      <c r="K50" s="14"/>
      <c r="L50" s="14"/>
      <c r="M50" s="14">
        <v>75.726226806640625</v>
      </c>
      <c r="N50" s="14" t="s">
        <v>24</v>
      </c>
      <c r="O50" s="13" t="s">
        <v>25</v>
      </c>
      <c r="R50" s="14"/>
      <c r="S50" s="14"/>
      <c r="T50" s="14"/>
      <c r="U50" s="14"/>
      <c r="V50" s="14"/>
      <c r="W50" s="14"/>
      <c r="X50" s="14"/>
    </row>
    <row r="51" spans="1:24" x14ac:dyDescent="0.2">
      <c r="A51" s="15" t="s">
        <v>66</v>
      </c>
      <c r="B51" s="14" t="s">
        <v>27</v>
      </c>
      <c r="C51" s="14" t="s">
        <v>0</v>
      </c>
      <c r="D51" s="14">
        <v>20.021854400634766</v>
      </c>
      <c r="E51" s="14" t="s">
        <v>24</v>
      </c>
      <c r="F51" s="14"/>
      <c r="G51" s="14">
        <v>76.178543090820313</v>
      </c>
      <c r="H51" s="14" t="s">
        <v>24</v>
      </c>
      <c r="I51" s="14" t="s">
        <v>25</v>
      </c>
      <c r="J51" s="14">
        <v>17.391698837280273</v>
      </c>
      <c r="K51" s="14"/>
      <c r="L51" s="14"/>
      <c r="M51" s="14">
        <v>75.726226806640625</v>
      </c>
      <c r="N51" s="14" t="s">
        <v>24</v>
      </c>
      <c r="O51" s="13" t="s">
        <v>25</v>
      </c>
      <c r="R51" s="14"/>
      <c r="S51" s="14"/>
      <c r="T51" s="14"/>
      <c r="U51" s="14"/>
      <c r="V51" s="14"/>
      <c r="W51" s="14"/>
      <c r="X51" s="14"/>
    </row>
    <row r="52" spans="1:24" x14ac:dyDescent="0.2">
      <c r="A52" s="15" t="s">
        <v>67</v>
      </c>
      <c r="B52" s="14" t="s">
        <v>27</v>
      </c>
      <c r="C52" s="14" t="s">
        <v>0</v>
      </c>
      <c r="D52" s="14">
        <v>19.959875106811523</v>
      </c>
      <c r="E52" s="14" t="s">
        <v>24</v>
      </c>
      <c r="F52" s="14"/>
      <c r="G52" s="14">
        <v>76.178543090820313</v>
      </c>
      <c r="H52" s="14" t="s">
        <v>24</v>
      </c>
      <c r="I52" s="14" t="s">
        <v>25</v>
      </c>
      <c r="J52" s="14">
        <v>16.829248428344727</v>
      </c>
      <c r="K52" s="14"/>
      <c r="L52" s="14"/>
      <c r="M52" s="14">
        <v>75.724647521972656</v>
      </c>
      <c r="N52" s="14" t="s">
        <v>24</v>
      </c>
      <c r="O52" s="13" t="s">
        <v>25</v>
      </c>
      <c r="R52" s="14"/>
      <c r="S52" s="14"/>
      <c r="T52" s="14"/>
      <c r="U52" s="14"/>
      <c r="V52" s="14"/>
      <c r="W52" s="14"/>
      <c r="X52" s="14"/>
    </row>
    <row r="53" spans="1:24" x14ac:dyDescent="0.2">
      <c r="A53" s="15" t="s">
        <v>68</v>
      </c>
      <c r="B53" s="14" t="s">
        <v>31</v>
      </c>
      <c r="C53" s="14" t="s">
        <v>0</v>
      </c>
      <c r="D53" s="14">
        <v>20.459438323974609</v>
      </c>
      <c r="E53" s="14" t="s">
        <v>24</v>
      </c>
      <c r="F53" s="14"/>
      <c r="G53" s="14">
        <v>76.030075073242188</v>
      </c>
      <c r="H53" s="14" t="s">
        <v>24</v>
      </c>
      <c r="I53" s="14" t="s">
        <v>25</v>
      </c>
      <c r="J53" s="14">
        <v>19.083215713500977</v>
      </c>
      <c r="K53" s="14"/>
      <c r="L53" s="14"/>
      <c r="M53" s="14">
        <v>75.875297546386719</v>
      </c>
      <c r="N53" s="14" t="s">
        <v>24</v>
      </c>
      <c r="O53" s="13" t="s">
        <v>25</v>
      </c>
      <c r="R53" s="14"/>
      <c r="S53" s="14"/>
      <c r="T53" s="14"/>
      <c r="U53" s="14"/>
      <c r="V53" s="14"/>
      <c r="W53" s="14"/>
      <c r="X53" s="14"/>
    </row>
    <row r="54" spans="1:24" x14ac:dyDescent="0.2">
      <c r="A54" s="15" t="s">
        <v>69</v>
      </c>
      <c r="B54" s="14" t="s">
        <v>31</v>
      </c>
      <c r="C54" s="14" t="s">
        <v>0</v>
      </c>
      <c r="D54" s="14">
        <v>20.487373352050781</v>
      </c>
      <c r="E54" s="14" t="s">
        <v>24</v>
      </c>
      <c r="F54" s="14"/>
      <c r="G54" s="14">
        <v>76.030075073242188</v>
      </c>
      <c r="H54" s="14" t="s">
        <v>24</v>
      </c>
      <c r="I54" s="14" t="s">
        <v>25</v>
      </c>
      <c r="J54" s="14">
        <v>19.122236251831055</v>
      </c>
      <c r="K54" s="14"/>
      <c r="L54" s="14"/>
      <c r="M54" s="14">
        <v>75.875526428222656</v>
      </c>
      <c r="N54" s="14" t="s">
        <v>24</v>
      </c>
      <c r="O54" s="13" t="s">
        <v>25</v>
      </c>
      <c r="R54" s="14"/>
      <c r="S54" s="14"/>
      <c r="T54" s="14"/>
      <c r="U54" s="14"/>
      <c r="V54" s="14"/>
      <c r="W54" s="14"/>
      <c r="X54" s="14"/>
    </row>
    <row r="55" spans="1:24" x14ac:dyDescent="0.2">
      <c r="A55" s="15" t="s">
        <v>70</v>
      </c>
      <c r="B55" s="14" t="s">
        <v>31</v>
      </c>
      <c r="C55" s="14" t="s">
        <v>0</v>
      </c>
      <c r="D55" s="14">
        <v>20.483024597167969</v>
      </c>
      <c r="E55" s="14" t="s">
        <v>24</v>
      </c>
      <c r="F55" s="14"/>
      <c r="G55" s="14">
        <v>76.030014038085938</v>
      </c>
      <c r="H55" s="14" t="s">
        <v>24</v>
      </c>
      <c r="I55" s="14" t="s">
        <v>25</v>
      </c>
      <c r="J55" s="14">
        <v>19.070558547973633</v>
      </c>
      <c r="K55" s="14"/>
      <c r="L55" s="14"/>
      <c r="M55" s="14">
        <v>75.875526428222656</v>
      </c>
      <c r="N55" s="14" t="s">
        <v>24</v>
      </c>
      <c r="O55" s="13" t="s">
        <v>25</v>
      </c>
      <c r="R55" s="14"/>
      <c r="S55" s="14"/>
      <c r="T55" s="14"/>
      <c r="U55" s="14"/>
      <c r="V55" s="14"/>
      <c r="W55" s="14"/>
      <c r="X55" s="14"/>
    </row>
    <row r="56" spans="1:24" x14ac:dyDescent="0.2">
      <c r="A56" s="15" t="s">
        <v>71</v>
      </c>
      <c r="B56" s="14" t="s">
        <v>123</v>
      </c>
      <c r="C56" s="14" t="s">
        <v>0</v>
      </c>
      <c r="D56" s="14">
        <v>31.520471572875977</v>
      </c>
      <c r="E56" s="14" t="s">
        <v>24</v>
      </c>
      <c r="F56" s="14"/>
      <c r="G56" s="14">
        <v>76.030014038085938</v>
      </c>
      <c r="H56" s="14" t="s">
        <v>24</v>
      </c>
      <c r="I56" s="14" t="s">
        <v>25</v>
      </c>
      <c r="J56" s="14">
        <v>18.945156097412109</v>
      </c>
      <c r="K56" s="14"/>
      <c r="L56" s="14"/>
      <c r="M56" s="14">
        <v>75.724647521972656</v>
      </c>
      <c r="N56" s="14" t="s">
        <v>24</v>
      </c>
      <c r="O56" s="13" t="s">
        <v>25</v>
      </c>
      <c r="R56" s="14"/>
      <c r="S56" s="14"/>
      <c r="T56" s="14"/>
      <c r="U56" s="14"/>
      <c r="V56" s="14"/>
      <c r="W56" s="14"/>
      <c r="X56" s="14"/>
    </row>
    <row r="57" spans="1:24" x14ac:dyDescent="0.2">
      <c r="A57" s="15" t="s">
        <v>72</v>
      </c>
      <c r="B57" s="14" t="s">
        <v>123</v>
      </c>
      <c r="C57" s="14" t="s">
        <v>0</v>
      </c>
      <c r="D57" s="14">
        <v>31.109384536743164</v>
      </c>
      <c r="E57" s="14" t="s">
        <v>24</v>
      </c>
      <c r="F57" s="14"/>
      <c r="G57" s="14">
        <v>76.033096313476563</v>
      </c>
      <c r="H57" s="14" t="s">
        <v>24</v>
      </c>
      <c r="I57" s="14" t="s">
        <v>25</v>
      </c>
      <c r="J57" s="14">
        <v>18.97344970703125</v>
      </c>
      <c r="K57" s="14"/>
      <c r="L57" s="14"/>
      <c r="M57" s="14">
        <v>75.728874206542969</v>
      </c>
      <c r="N57" s="14" t="s">
        <v>24</v>
      </c>
      <c r="O57" s="13" t="s">
        <v>25</v>
      </c>
      <c r="R57" s="14"/>
      <c r="S57" s="14"/>
      <c r="T57" s="14"/>
      <c r="U57" s="14"/>
      <c r="V57" s="14"/>
      <c r="W57" s="14"/>
      <c r="X57" s="14"/>
    </row>
    <row r="58" spans="1:24" x14ac:dyDescent="0.2">
      <c r="A58" s="15" t="s">
        <v>73</v>
      </c>
      <c r="B58" s="14" t="s">
        <v>123</v>
      </c>
      <c r="C58" s="14" t="s">
        <v>0</v>
      </c>
      <c r="D58" s="14">
        <v>31.138532638549805</v>
      </c>
      <c r="E58" s="14" t="s">
        <v>24</v>
      </c>
      <c r="F58" s="14"/>
      <c r="G58" s="14">
        <v>76.033096313476563</v>
      </c>
      <c r="H58" s="14" t="s">
        <v>24</v>
      </c>
      <c r="I58" s="14" t="s">
        <v>25</v>
      </c>
      <c r="J58" s="14">
        <v>18.965213775634766</v>
      </c>
      <c r="K58" s="14"/>
      <c r="L58" s="14"/>
      <c r="M58" s="14">
        <v>75.728874206542969</v>
      </c>
      <c r="N58" s="14" t="s">
        <v>24</v>
      </c>
      <c r="O58" s="13" t="s">
        <v>25</v>
      </c>
      <c r="R58" s="14"/>
      <c r="S58" s="14"/>
      <c r="T58" s="14"/>
      <c r="U58" s="14"/>
      <c r="V58" s="14"/>
      <c r="W58" s="14"/>
      <c r="X58" s="14"/>
    </row>
    <row r="59" spans="1:24" x14ac:dyDescent="0.2">
      <c r="A59" s="15" t="s">
        <v>74</v>
      </c>
      <c r="B59" s="14" t="s">
        <v>14</v>
      </c>
      <c r="C59" s="14" t="s">
        <v>1</v>
      </c>
      <c r="D59" s="14">
        <v>18.923782348632813</v>
      </c>
      <c r="E59" s="14" t="s">
        <v>24</v>
      </c>
      <c r="F59" s="14"/>
      <c r="G59" s="14">
        <v>81.104019165039063</v>
      </c>
      <c r="H59" s="14" t="s">
        <v>24</v>
      </c>
      <c r="I59" s="14" t="s">
        <v>25</v>
      </c>
      <c r="J59" s="14">
        <v>14.976284027099609</v>
      </c>
      <c r="K59" s="14"/>
      <c r="L59" s="14"/>
      <c r="M59" s="14">
        <v>80.951301574707031</v>
      </c>
      <c r="N59" s="14" t="s">
        <v>24</v>
      </c>
      <c r="O59" s="13" t="s">
        <v>25</v>
      </c>
      <c r="R59" s="14"/>
      <c r="S59" s="14"/>
      <c r="T59" s="14"/>
      <c r="U59" s="14"/>
      <c r="V59" s="14"/>
      <c r="W59" s="14"/>
      <c r="X59" s="14"/>
    </row>
    <row r="60" spans="1:24" x14ac:dyDescent="0.2">
      <c r="A60" s="15" t="s">
        <v>75</v>
      </c>
      <c r="B60" s="14" t="s">
        <v>14</v>
      </c>
      <c r="C60" s="14" t="s">
        <v>1</v>
      </c>
      <c r="D60" s="14">
        <v>18.98101806640625</v>
      </c>
      <c r="E60" s="14" t="s">
        <v>24</v>
      </c>
      <c r="F60" s="14"/>
      <c r="G60" s="14">
        <v>81.104019165039063</v>
      </c>
      <c r="H60" s="14" t="s">
        <v>24</v>
      </c>
      <c r="I60" s="14" t="s">
        <v>25</v>
      </c>
      <c r="J60" s="14">
        <v>15.059774398803711</v>
      </c>
      <c r="K60" s="14"/>
      <c r="L60" s="14"/>
      <c r="M60" s="14">
        <v>80.951301574707031</v>
      </c>
      <c r="N60" s="14" t="s">
        <v>24</v>
      </c>
      <c r="O60" s="13" t="s">
        <v>25</v>
      </c>
      <c r="R60" s="14"/>
      <c r="S60" s="14"/>
      <c r="T60" s="14"/>
      <c r="U60" s="14"/>
      <c r="V60" s="14"/>
      <c r="W60" s="14"/>
      <c r="X60" s="14"/>
    </row>
    <row r="61" spans="1:24" x14ac:dyDescent="0.2">
      <c r="A61" s="15" t="s">
        <v>76</v>
      </c>
      <c r="B61" s="14" t="s">
        <v>14</v>
      </c>
      <c r="C61" s="14" t="s">
        <v>1</v>
      </c>
      <c r="D61" s="14">
        <v>18.934331893920898</v>
      </c>
      <c r="E61" s="14" t="s">
        <v>24</v>
      </c>
      <c r="F61" s="14"/>
      <c r="G61" s="14">
        <v>81.100776672363281</v>
      </c>
      <c r="H61" s="14" t="s">
        <v>24</v>
      </c>
      <c r="I61" s="14" t="s">
        <v>25</v>
      </c>
      <c r="J61" s="14">
        <v>14.966571807861328</v>
      </c>
      <c r="K61" s="14"/>
      <c r="L61" s="14"/>
      <c r="M61" s="14">
        <v>80.94427490234375</v>
      </c>
      <c r="N61" s="14" t="s">
        <v>24</v>
      </c>
      <c r="O61" s="13" t="s">
        <v>25</v>
      </c>
      <c r="R61" s="14"/>
      <c r="S61" s="14"/>
      <c r="T61" s="14"/>
      <c r="U61" s="14"/>
      <c r="V61" s="14"/>
      <c r="W61" s="14"/>
      <c r="X61" s="14"/>
    </row>
    <row r="62" spans="1:24" x14ac:dyDescent="0.2">
      <c r="A62" s="15" t="s">
        <v>77</v>
      </c>
      <c r="B62" s="14" t="s">
        <v>27</v>
      </c>
      <c r="C62" s="14" t="s">
        <v>1</v>
      </c>
      <c r="D62" s="14">
        <v>17.119935989379883</v>
      </c>
      <c r="E62" s="14" t="s">
        <v>24</v>
      </c>
      <c r="F62" s="14"/>
      <c r="G62" s="14">
        <v>81.100776672363281</v>
      </c>
      <c r="H62" s="14" t="s">
        <v>24</v>
      </c>
      <c r="I62" s="14" t="s">
        <v>25</v>
      </c>
      <c r="J62" s="14">
        <v>13.789816856384277</v>
      </c>
      <c r="K62" s="14"/>
      <c r="L62" s="14"/>
      <c r="M62" s="14">
        <v>80.795562744140625</v>
      </c>
      <c r="N62" s="14" t="s">
        <v>24</v>
      </c>
      <c r="O62" s="13" t="s">
        <v>25</v>
      </c>
      <c r="R62" s="14"/>
      <c r="S62" s="14"/>
      <c r="T62" s="14"/>
      <c r="U62" s="14"/>
      <c r="V62" s="14"/>
      <c r="W62" s="14"/>
      <c r="X62" s="14"/>
    </row>
    <row r="63" spans="1:24" x14ac:dyDescent="0.2">
      <c r="A63" s="15" t="s">
        <v>78</v>
      </c>
      <c r="B63" s="14" t="s">
        <v>27</v>
      </c>
      <c r="C63" s="14" t="s">
        <v>1</v>
      </c>
      <c r="D63" s="14">
        <v>17.155900955200195</v>
      </c>
      <c r="E63" s="14" t="s">
        <v>24</v>
      </c>
      <c r="F63" s="14"/>
      <c r="G63" s="14">
        <v>81.24798583984375</v>
      </c>
      <c r="H63" s="14" t="s">
        <v>24</v>
      </c>
      <c r="I63" s="14" t="s">
        <v>25</v>
      </c>
      <c r="J63" s="14">
        <v>13.772237777709961</v>
      </c>
      <c r="K63" s="14"/>
      <c r="L63" s="14"/>
      <c r="M63" s="14">
        <v>80.795562744140625</v>
      </c>
      <c r="N63" s="14" t="s">
        <v>24</v>
      </c>
      <c r="O63" s="13" t="s">
        <v>25</v>
      </c>
      <c r="R63" s="14"/>
      <c r="S63" s="14"/>
      <c r="T63" s="14"/>
      <c r="U63" s="14"/>
      <c r="V63" s="14"/>
      <c r="W63" s="14"/>
      <c r="X63" s="14"/>
    </row>
    <row r="64" spans="1:24" x14ac:dyDescent="0.2">
      <c r="A64" s="15" t="s">
        <v>79</v>
      </c>
      <c r="B64" s="14" t="s">
        <v>27</v>
      </c>
      <c r="C64" s="14" t="s">
        <v>1</v>
      </c>
      <c r="D64" s="14">
        <v>17.167276382446289</v>
      </c>
      <c r="E64" s="14" t="s">
        <v>24</v>
      </c>
      <c r="F64" s="14"/>
      <c r="G64" s="14">
        <v>81.098884582519531</v>
      </c>
      <c r="H64" s="14" t="s">
        <v>24</v>
      </c>
      <c r="I64" s="14" t="s">
        <v>25</v>
      </c>
      <c r="J64" s="14">
        <v>13.813735008239746</v>
      </c>
      <c r="K64" s="14"/>
      <c r="L64" s="14"/>
      <c r="M64" s="14">
        <v>80.794189453125</v>
      </c>
      <c r="N64" s="14" t="s">
        <v>24</v>
      </c>
      <c r="O64" s="13" t="s">
        <v>25</v>
      </c>
      <c r="R64" s="14"/>
      <c r="S64" s="14"/>
      <c r="T64" s="14"/>
      <c r="U64" s="14"/>
      <c r="V64" s="14"/>
      <c r="W64" s="14"/>
      <c r="X64" s="14"/>
    </row>
    <row r="65" spans="1:24" x14ac:dyDescent="0.2">
      <c r="A65" s="15" t="s">
        <v>80</v>
      </c>
      <c r="B65" s="14" t="s">
        <v>31</v>
      </c>
      <c r="C65" s="14" t="s">
        <v>1</v>
      </c>
      <c r="D65" s="14">
        <v>16.512475967407227</v>
      </c>
      <c r="E65" s="14" t="s">
        <v>24</v>
      </c>
      <c r="F65" s="14"/>
      <c r="G65" s="14">
        <v>80.950141906738281</v>
      </c>
      <c r="H65" s="14" t="s">
        <v>24</v>
      </c>
      <c r="I65" s="14" t="s">
        <v>25</v>
      </c>
      <c r="J65" s="14">
        <v>15.020023345947266</v>
      </c>
      <c r="K65" s="14"/>
      <c r="L65" s="14"/>
      <c r="M65" s="14">
        <v>80.94427490234375</v>
      </c>
      <c r="N65" s="14" t="s">
        <v>24</v>
      </c>
      <c r="O65" s="13" t="s">
        <v>25</v>
      </c>
      <c r="R65" s="14"/>
      <c r="S65" s="14"/>
      <c r="T65" s="14"/>
      <c r="U65" s="14"/>
      <c r="V65" s="14"/>
      <c r="W65" s="14"/>
      <c r="X65" s="14"/>
    </row>
    <row r="66" spans="1:24" x14ac:dyDescent="0.2">
      <c r="A66" s="15" t="s">
        <v>81</v>
      </c>
      <c r="B66" s="14" t="s">
        <v>31</v>
      </c>
      <c r="C66" s="14" t="s">
        <v>1</v>
      </c>
      <c r="D66" s="14">
        <v>16.490713119506836</v>
      </c>
      <c r="E66" s="14" t="s">
        <v>24</v>
      </c>
      <c r="F66" s="14"/>
      <c r="G66" s="14">
        <v>80.950141906738281</v>
      </c>
      <c r="H66" s="14" t="s">
        <v>24</v>
      </c>
      <c r="I66" s="14" t="s">
        <v>25</v>
      </c>
      <c r="J66" s="14">
        <v>14.9674072265625</v>
      </c>
      <c r="K66" s="14"/>
      <c r="L66" s="14"/>
      <c r="M66" s="14">
        <v>80.944839477539063</v>
      </c>
      <c r="N66" s="14" t="s">
        <v>24</v>
      </c>
      <c r="O66" s="13" t="s">
        <v>25</v>
      </c>
      <c r="R66" s="14"/>
      <c r="S66" s="14"/>
      <c r="T66" s="14"/>
      <c r="U66" s="14"/>
      <c r="V66" s="14"/>
      <c r="W66" s="14"/>
      <c r="X66" s="14"/>
    </row>
    <row r="67" spans="1:24" x14ac:dyDescent="0.2">
      <c r="A67" s="15" t="s">
        <v>82</v>
      </c>
      <c r="B67" s="14" t="s">
        <v>31</v>
      </c>
      <c r="C67" s="14" t="s">
        <v>1</v>
      </c>
      <c r="D67" s="14">
        <v>16.512973785400391</v>
      </c>
      <c r="E67" s="14" t="s">
        <v>24</v>
      </c>
      <c r="F67" s="14"/>
      <c r="G67" s="14">
        <v>80.950592041015625</v>
      </c>
      <c r="H67" s="14" t="s">
        <v>24</v>
      </c>
      <c r="I67" s="14" t="s">
        <v>25</v>
      </c>
      <c r="J67" s="14">
        <v>14.953310012817383</v>
      </c>
      <c r="K67" s="14"/>
      <c r="L67" s="14"/>
      <c r="M67" s="14">
        <v>80.944839477539063</v>
      </c>
      <c r="N67" s="14" t="s">
        <v>24</v>
      </c>
      <c r="O67" s="13" t="s">
        <v>25</v>
      </c>
      <c r="R67" s="14"/>
      <c r="S67" s="14"/>
      <c r="T67" s="14"/>
      <c r="U67" s="14"/>
      <c r="V67" s="14"/>
      <c r="W67" s="14"/>
      <c r="X67" s="14"/>
    </row>
    <row r="68" spans="1:24" x14ac:dyDescent="0.2">
      <c r="A68" s="15" t="s">
        <v>83</v>
      </c>
      <c r="B68" s="14" t="s">
        <v>123</v>
      </c>
      <c r="C68" s="14" t="s">
        <v>1</v>
      </c>
      <c r="D68" s="14">
        <v>25.347579956054688</v>
      </c>
      <c r="E68" s="14" t="s">
        <v>24</v>
      </c>
      <c r="F68" s="14"/>
      <c r="G68" s="14">
        <v>80.950592041015625</v>
      </c>
      <c r="H68" s="14" t="s">
        <v>24</v>
      </c>
      <c r="I68" s="14" t="s">
        <v>25</v>
      </c>
      <c r="J68" s="14">
        <v>14.812146186828613</v>
      </c>
      <c r="K68" s="14"/>
      <c r="L68" s="14"/>
      <c r="M68" s="14">
        <v>80.645088195800781</v>
      </c>
      <c r="N68" s="14" t="s">
        <v>24</v>
      </c>
      <c r="O68" s="13" t="s">
        <v>25</v>
      </c>
      <c r="R68" s="14"/>
      <c r="S68" s="14"/>
      <c r="T68" s="14"/>
      <c r="U68" s="14"/>
      <c r="V68" s="14"/>
      <c r="W68" s="14"/>
      <c r="X68" s="14"/>
    </row>
    <row r="69" spans="1:24" x14ac:dyDescent="0.2">
      <c r="A69" s="15" t="s">
        <v>84</v>
      </c>
      <c r="B69" s="14" t="s">
        <v>123</v>
      </c>
      <c r="C69" s="14" t="s">
        <v>1</v>
      </c>
      <c r="D69" s="14">
        <v>25.453197479248047</v>
      </c>
      <c r="E69" s="14" t="s">
        <v>24</v>
      </c>
      <c r="F69" s="14"/>
      <c r="G69" s="14">
        <v>80.803543090820313</v>
      </c>
      <c r="H69" s="14" t="s">
        <v>24</v>
      </c>
      <c r="I69" s="14" t="s">
        <v>25</v>
      </c>
      <c r="J69" s="14">
        <v>14.753167152404785</v>
      </c>
      <c r="K69" s="14"/>
      <c r="L69" s="14"/>
      <c r="M69" s="14">
        <v>80.647926330566406</v>
      </c>
      <c r="N69" s="14" t="s">
        <v>24</v>
      </c>
      <c r="O69" s="13" t="s">
        <v>25</v>
      </c>
      <c r="R69" s="14"/>
      <c r="S69" s="14"/>
      <c r="T69" s="14"/>
      <c r="U69" s="14"/>
      <c r="V69" s="14"/>
      <c r="W69" s="14"/>
      <c r="X69" s="14"/>
    </row>
    <row r="70" spans="1:24" x14ac:dyDescent="0.2">
      <c r="A70" s="15" t="s">
        <v>85</v>
      </c>
      <c r="B70" s="14" t="s">
        <v>123</v>
      </c>
      <c r="C70" s="14" t="s">
        <v>1</v>
      </c>
      <c r="D70" s="14">
        <v>25.425203323364258</v>
      </c>
      <c r="E70" s="14" t="s">
        <v>24</v>
      </c>
      <c r="F70" s="14"/>
      <c r="G70" s="14">
        <v>80.952621459960938</v>
      </c>
      <c r="H70" s="14" t="s">
        <v>24</v>
      </c>
      <c r="I70" s="14" t="s">
        <v>25</v>
      </c>
      <c r="J70" s="14">
        <v>14.739463806152344</v>
      </c>
      <c r="K70" s="14"/>
      <c r="L70" s="14"/>
      <c r="M70" s="14">
        <v>80.647926330566406</v>
      </c>
      <c r="N70" s="14" t="s">
        <v>24</v>
      </c>
      <c r="O70" s="13" t="s">
        <v>25</v>
      </c>
      <c r="R70" s="14"/>
      <c r="S70" s="14"/>
      <c r="T70" s="14"/>
      <c r="U70" s="14"/>
      <c r="V70" s="14"/>
      <c r="W70" s="14"/>
      <c r="X70" s="14"/>
    </row>
    <row r="71" spans="1:24" x14ac:dyDescent="0.2">
      <c r="A71" s="15" t="s">
        <v>86</v>
      </c>
      <c r="B71" s="14" t="s">
        <v>14</v>
      </c>
      <c r="C71" s="14" t="s">
        <v>2</v>
      </c>
      <c r="D71" s="14">
        <v>18.072160720825195</v>
      </c>
      <c r="E71" s="14" t="s">
        <v>24</v>
      </c>
      <c r="F71" s="14"/>
      <c r="G71" s="14">
        <v>78.271263122558594</v>
      </c>
      <c r="H71" s="14" t="s">
        <v>24</v>
      </c>
      <c r="I71" s="14" t="s">
        <v>25</v>
      </c>
      <c r="J71" s="14">
        <v>15.371777534484863</v>
      </c>
      <c r="K71" s="14"/>
      <c r="L71" s="14"/>
      <c r="M71" s="14">
        <v>77.968894958496094</v>
      </c>
      <c r="N71" s="14" t="s">
        <v>24</v>
      </c>
      <c r="O71" s="13" t="s">
        <v>25</v>
      </c>
      <c r="R71" s="14"/>
      <c r="S71" s="14"/>
      <c r="T71" s="14"/>
      <c r="U71" s="14"/>
      <c r="V71" s="14"/>
      <c r="W71" s="14"/>
      <c r="X71" s="14"/>
    </row>
    <row r="72" spans="1:24" x14ac:dyDescent="0.2">
      <c r="A72" s="15" t="s">
        <v>87</v>
      </c>
      <c r="B72" s="14" t="s">
        <v>14</v>
      </c>
      <c r="C72" s="14" t="s">
        <v>2</v>
      </c>
      <c r="D72" s="14">
        <v>18.057563781738281</v>
      </c>
      <c r="E72" s="14" t="s">
        <v>24</v>
      </c>
      <c r="F72" s="14"/>
      <c r="G72" s="14">
        <v>78.122169494628906</v>
      </c>
      <c r="H72" s="14" t="s">
        <v>24</v>
      </c>
      <c r="I72" s="14" t="s">
        <v>25</v>
      </c>
      <c r="J72" s="14">
        <v>15.33469295501709</v>
      </c>
      <c r="K72" s="14"/>
      <c r="L72" s="14"/>
      <c r="M72" s="14">
        <v>77.968894958496094</v>
      </c>
      <c r="N72" s="14" t="s">
        <v>24</v>
      </c>
      <c r="O72" s="13" t="s">
        <v>25</v>
      </c>
      <c r="R72" s="14"/>
      <c r="S72" s="14"/>
      <c r="T72" s="14"/>
      <c r="U72" s="14"/>
      <c r="V72" s="14"/>
      <c r="W72" s="14"/>
      <c r="X72" s="14"/>
    </row>
    <row r="73" spans="1:24" x14ac:dyDescent="0.2">
      <c r="A73" s="15" t="s">
        <v>88</v>
      </c>
      <c r="B73" s="14" t="s">
        <v>14</v>
      </c>
      <c r="C73" s="14" t="s">
        <v>2</v>
      </c>
      <c r="D73" s="14">
        <v>18.064966201782227</v>
      </c>
      <c r="E73" s="14" t="s">
        <v>24</v>
      </c>
      <c r="F73" s="14"/>
      <c r="G73" s="14">
        <v>78.267936706542969</v>
      </c>
      <c r="H73" s="14" t="s">
        <v>24</v>
      </c>
      <c r="I73" s="14" t="s">
        <v>25</v>
      </c>
      <c r="J73" s="14">
        <v>15.344895362854004</v>
      </c>
      <c r="K73" s="14"/>
      <c r="L73" s="14"/>
      <c r="M73" s="14">
        <v>77.9625244140625</v>
      </c>
      <c r="N73" s="14" t="s">
        <v>24</v>
      </c>
      <c r="O73" s="13" t="s">
        <v>25</v>
      </c>
      <c r="R73" s="14"/>
      <c r="S73" s="14"/>
      <c r="T73" s="14"/>
      <c r="U73" s="14"/>
      <c r="V73" s="14"/>
      <c r="W73" s="14"/>
      <c r="X73" s="14"/>
    </row>
    <row r="74" spans="1:24" x14ac:dyDescent="0.2">
      <c r="A74" s="15" t="s">
        <v>89</v>
      </c>
      <c r="B74" s="14" t="s">
        <v>27</v>
      </c>
      <c r="C74" s="14" t="s">
        <v>2</v>
      </c>
      <c r="D74" s="14">
        <v>17.193071365356445</v>
      </c>
      <c r="E74" s="14" t="s">
        <v>24</v>
      </c>
      <c r="F74" s="14"/>
      <c r="G74" s="14">
        <v>78.267936706542969</v>
      </c>
      <c r="H74" s="14" t="s">
        <v>24</v>
      </c>
      <c r="I74" s="14" t="s">
        <v>25</v>
      </c>
      <c r="J74" s="14">
        <v>13.972777366638184</v>
      </c>
      <c r="K74" s="14"/>
      <c r="L74" s="14"/>
      <c r="M74" s="14">
        <v>77.8135986328125</v>
      </c>
      <c r="N74" s="14" t="s">
        <v>24</v>
      </c>
      <c r="O74" s="13" t="s">
        <v>25</v>
      </c>
      <c r="R74" s="14"/>
      <c r="S74" s="14"/>
      <c r="T74" s="14"/>
      <c r="U74" s="14"/>
      <c r="V74" s="14"/>
      <c r="W74" s="14"/>
      <c r="X74" s="14"/>
    </row>
    <row r="75" spans="1:24" x14ac:dyDescent="0.2">
      <c r="A75" s="15" t="s">
        <v>90</v>
      </c>
      <c r="B75" s="14" t="s">
        <v>27</v>
      </c>
      <c r="C75" s="14" t="s">
        <v>2</v>
      </c>
      <c r="D75" s="14">
        <v>17.189300537109375</v>
      </c>
      <c r="E75" s="14" t="s">
        <v>24</v>
      </c>
      <c r="F75" s="14"/>
      <c r="G75" s="14">
        <v>78.265960693359375</v>
      </c>
      <c r="H75" s="14" t="s">
        <v>24</v>
      </c>
      <c r="I75" s="14" t="s">
        <v>25</v>
      </c>
      <c r="J75" s="14">
        <v>13.901354789733887</v>
      </c>
      <c r="K75" s="14"/>
      <c r="L75" s="14"/>
      <c r="M75" s="14">
        <v>77.8135986328125</v>
      </c>
      <c r="N75" s="14" t="s">
        <v>24</v>
      </c>
      <c r="O75" s="13" t="s">
        <v>25</v>
      </c>
      <c r="R75" s="14"/>
      <c r="S75" s="14"/>
      <c r="T75" s="14"/>
      <c r="U75" s="14"/>
      <c r="V75" s="14"/>
      <c r="W75" s="14"/>
      <c r="X75" s="14"/>
    </row>
    <row r="76" spans="1:24" x14ac:dyDescent="0.2">
      <c r="A76" s="15" t="s">
        <v>91</v>
      </c>
      <c r="B76" s="14" t="s">
        <v>27</v>
      </c>
      <c r="C76" s="14" t="s">
        <v>2</v>
      </c>
      <c r="D76" s="14">
        <v>17.156936645507813</v>
      </c>
      <c r="E76" s="14" t="s">
        <v>24</v>
      </c>
      <c r="F76" s="14"/>
      <c r="G76" s="14">
        <v>78.265960693359375</v>
      </c>
      <c r="H76" s="14" t="s">
        <v>24</v>
      </c>
      <c r="I76" s="14" t="s">
        <v>25</v>
      </c>
      <c r="J76" s="14">
        <v>13.887140274047852</v>
      </c>
      <c r="K76" s="14"/>
      <c r="L76" s="14"/>
      <c r="M76" s="14">
        <v>77.812103271484375</v>
      </c>
      <c r="N76" s="14" t="s">
        <v>24</v>
      </c>
      <c r="O76" s="13" t="s">
        <v>25</v>
      </c>
      <c r="R76" s="14"/>
      <c r="S76" s="14"/>
      <c r="T76" s="14"/>
      <c r="U76" s="14"/>
      <c r="V76" s="14"/>
      <c r="W76" s="14"/>
      <c r="X76" s="14"/>
    </row>
    <row r="77" spans="1:24" x14ac:dyDescent="0.2">
      <c r="A77" s="15" t="s">
        <v>92</v>
      </c>
      <c r="B77" s="14" t="s">
        <v>31</v>
      </c>
      <c r="C77" s="14" t="s">
        <v>2</v>
      </c>
      <c r="D77" s="14">
        <v>16.973318099975586</v>
      </c>
      <c r="E77" s="14" t="s">
        <v>24</v>
      </c>
      <c r="F77" s="14"/>
      <c r="G77" s="14">
        <v>78.11737060546875</v>
      </c>
      <c r="H77" s="14" t="s">
        <v>24</v>
      </c>
      <c r="I77" s="14" t="s">
        <v>25</v>
      </c>
      <c r="J77" s="14">
        <v>15.600210189819336</v>
      </c>
      <c r="K77" s="14"/>
      <c r="L77" s="14"/>
      <c r="M77" s="14">
        <v>77.9625244140625</v>
      </c>
      <c r="N77" s="14" t="s">
        <v>24</v>
      </c>
      <c r="O77" s="13" t="s">
        <v>25</v>
      </c>
      <c r="R77" s="14"/>
      <c r="S77" s="14"/>
      <c r="T77" s="14"/>
      <c r="U77" s="14"/>
      <c r="V77" s="14"/>
      <c r="W77" s="14"/>
      <c r="X77" s="14"/>
    </row>
    <row r="78" spans="1:24" x14ac:dyDescent="0.2">
      <c r="A78" s="15" t="s">
        <v>93</v>
      </c>
      <c r="B78" s="14" t="s">
        <v>31</v>
      </c>
      <c r="C78" s="14" t="s">
        <v>2</v>
      </c>
      <c r="D78" s="14">
        <v>16.936647415161133</v>
      </c>
      <c r="E78" s="14" t="s">
        <v>24</v>
      </c>
      <c r="F78" s="14"/>
      <c r="G78" s="14">
        <v>78.11737060546875</v>
      </c>
      <c r="H78" s="14" t="s">
        <v>24</v>
      </c>
      <c r="I78" s="14" t="s">
        <v>25</v>
      </c>
      <c r="J78" s="14">
        <v>15.56707763671875</v>
      </c>
      <c r="K78" s="14"/>
      <c r="L78" s="14"/>
      <c r="M78" s="14">
        <v>78.111991882324219</v>
      </c>
      <c r="N78" s="14" t="s">
        <v>24</v>
      </c>
      <c r="O78" s="13" t="s">
        <v>25</v>
      </c>
      <c r="R78" s="14"/>
      <c r="S78" s="14"/>
      <c r="T78" s="14"/>
      <c r="U78" s="14"/>
      <c r="V78" s="14"/>
      <c r="W78" s="14"/>
      <c r="X78" s="14"/>
    </row>
    <row r="79" spans="1:24" x14ac:dyDescent="0.2">
      <c r="A79" s="15" t="s">
        <v>94</v>
      </c>
      <c r="B79" s="14" t="s">
        <v>31</v>
      </c>
      <c r="C79" s="14" t="s">
        <v>2</v>
      </c>
      <c r="D79" s="14">
        <v>16.939834594726563</v>
      </c>
      <c r="E79" s="14" t="s">
        <v>24</v>
      </c>
      <c r="F79" s="14"/>
      <c r="G79" s="14">
        <v>77.968421936035156</v>
      </c>
      <c r="H79" s="14" t="s">
        <v>24</v>
      </c>
      <c r="I79" s="14" t="s">
        <v>25</v>
      </c>
      <c r="J79" s="14">
        <v>15.574184417724609</v>
      </c>
      <c r="K79" s="14"/>
      <c r="L79" s="14"/>
      <c r="M79" s="14">
        <v>77.962890625</v>
      </c>
      <c r="N79" s="14" t="s">
        <v>24</v>
      </c>
      <c r="O79" s="13" t="s">
        <v>25</v>
      </c>
      <c r="R79" s="14"/>
      <c r="S79" s="14"/>
      <c r="T79" s="14"/>
      <c r="U79" s="14"/>
      <c r="V79" s="14"/>
      <c r="W79" s="14"/>
      <c r="X79" s="14"/>
    </row>
    <row r="80" spans="1:24" x14ac:dyDescent="0.2">
      <c r="A80" s="15" t="s">
        <v>95</v>
      </c>
      <c r="B80" s="14" t="s">
        <v>123</v>
      </c>
      <c r="C80" s="14" t="s">
        <v>2</v>
      </c>
      <c r="D80" s="14">
        <v>22.416837692260742</v>
      </c>
      <c r="E80" s="14" t="s">
        <v>24</v>
      </c>
      <c r="F80" s="14"/>
      <c r="G80" s="14">
        <v>77.968421936035156</v>
      </c>
      <c r="H80" s="14" t="s">
        <v>24</v>
      </c>
      <c r="I80" s="14" t="s">
        <v>25</v>
      </c>
      <c r="J80" s="14">
        <v>15.345466613769531</v>
      </c>
      <c r="K80" s="14"/>
      <c r="L80" s="14"/>
      <c r="M80" s="14">
        <v>77.812103271484375</v>
      </c>
      <c r="N80" s="14" t="s">
        <v>24</v>
      </c>
      <c r="O80" s="13" t="s">
        <v>25</v>
      </c>
      <c r="R80" s="14"/>
      <c r="S80" s="14"/>
      <c r="T80" s="14"/>
      <c r="U80" s="14"/>
      <c r="V80" s="14"/>
      <c r="W80" s="14"/>
      <c r="X80" s="14"/>
    </row>
    <row r="81" spans="1:24" x14ac:dyDescent="0.2">
      <c r="A81" s="15" t="s">
        <v>96</v>
      </c>
      <c r="B81" s="14" t="s">
        <v>123</v>
      </c>
      <c r="C81" s="14" t="s">
        <v>2</v>
      </c>
      <c r="D81" s="14">
        <v>22.413330078125</v>
      </c>
      <c r="E81" s="14" t="s">
        <v>24</v>
      </c>
      <c r="F81" s="14"/>
      <c r="G81" s="14">
        <v>77.971092224121094</v>
      </c>
      <c r="H81" s="14" t="s">
        <v>24</v>
      </c>
      <c r="I81" s="14" t="s">
        <v>25</v>
      </c>
      <c r="J81" s="14">
        <v>15.328693389892578</v>
      </c>
      <c r="K81" s="14"/>
      <c r="L81" s="14"/>
      <c r="M81" s="14">
        <v>77.815742492675781</v>
      </c>
      <c r="N81" s="14" t="s">
        <v>24</v>
      </c>
      <c r="O81" s="13" t="s">
        <v>25</v>
      </c>
      <c r="R81" s="14"/>
      <c r="S81" s="14"/>
      <c r="T81" s="14"/>
      <c r="U81" s="14"/>
      <c r="V81" s="14"/>
      <c r="W81" s="14"/>
      <c r="X81" s="14"/>
    </row>
    <row r="82" spans="1:24" x14ac:dyDescent="0.2">
      <c r="A82" s="15" t="s">
        <v>97</v>
      </c>
      <c r="B82" s="14" t="s">
        <v>123</v>
      </c>
      <c r="C82" s="14" t="s">
        <v>2</v>
      </c>
      <c r="D82" s="14">
        <v>22.387533187866211</v>
      </c>
      <c r="E82" s="14" t="s">
        <v>24</v>
      </c>
      <c r="F82" s="14"/>
      <c r="G82" s="14">
        <v>77.971092224121094</v>
      </c>
      <c r="H82" s="14" t="s">
        <v>24</v>
      </c>
      <c r="I82" s="14" t="s">
        <v>25</v>
      </c>
      <c r="J82" s="14">
        <v>15.323301315307617</v>
      </c>
      <c r="K82" s="14"/>
      <c r="L82" s="14"/>
      <c r="M82" s="14">
        <v>77.815742492675781</v>
      </c>
      <c r="N82" s="14" t="s">
        <v>24</v>
      </c>
      <c r="O82" s="13" t="s">
        <v>25</v>
      </c>
      <c r="R82" s="14"/>
      <c r="S82" s="14"/>
      <c r="T82" s="14"/>
      <c r="U82" s="14"/>
      <c r="V82" s="14"/>
      <c r="W82" s="14"/>
      <c r="X82" s="14"/>
    </row>
    <row r="83" spans="1:24" x14ac:dyDescent="0.2">
      <c r="A83" s="15" t="s">
        <v>98</v>
      </c>
      <c r="B83" s="14" t="s">
        <v>148</v>
      </c>
      <c r="C83" s="14" t="s">
        <v>3</v>
      </c>
      <c r="D83" s="14">
        <v>31.947254180908203</v>
      </c>
      <c r="E83" s="14" t="s">
        <v>24</v>
      </c>
      <c r="F83" s="14"/>
      <c r="G83" s="14">
        <v>74.394866943359375</v>
      </c>
      <c r="H83" s="14" t="s">
        <v>24</v>
      </c>
      <c r="I83" s="14" t="s">
        <v>25</v>
      </c>
      <c r="J83" s="14">
        <v>30.637168884277344</v>
      </c>
      <c r="K83" s="14"/>
      <c r="L83" s="14"/>
      <c r="M83" s="14">
        <v>74.091773986816406</v>
      </c>
      <c r="N83" s="14" t="s">
        <v>24</v>
      </c>
      <c r="O83" s="13" t="s">
        <v>25</v>
      </c>
      <c r="R83" s="14"/>
      <c r="S83" s="14"/>
      <c r="T83" s="14"/>
      <c r="U83" s="14"/>
      <c r="V83" s="14"/>
      <c r="W83" s="14"/>
      <c r="X83" s="14"/>
    </row>
    <row r="84" spans="1:24" x14ac:dyDescent="0.2">
      <c r="A84" s="15" t="s">
        <v>99</v>
      </c>
      <c r="B84" s="14" t="s">
        <v>148</v>
      </c>
      <c r="C84" s="14" t="s">
        <v>37</v>
      </c>
      <c r="D84" s="14">
        <v>35.915218353271484</v>
      </c>
      <c r="E84" s="14" t="s">
        <v>24</v>
      </c>
      <c r="F84" s="14"/>
      <c r="G84" s="14">
        <v>74.69305419921875</v>
      </c>
      <c r="H84" s="14" t="s">
        <v>24</v>
      </c>
      <c r="I84" s="14" t="s">
        <v>25</v>
      </c>
      <c r="J84" s="14">
        <v>35.910728454589844</v>
      </c>
      <c r="K84" s="14"/>
      <c r="L84" s="14"/>
      <c r="M84" s="14">
        <v>74.688255310058594</v>
      </c>
      <c r="N84" s="14" t="s">
        <v>24</v>
      </c>
      <c r="O84" s="13" t="s">
        <v>25</v>
      </c>
      <c r="R84" s="14"/>
      <c r="S84" s="14"/>
      <c r="T84" s="14"/>
      <c r="U84" s="14"/>
      <c r="V84" s="14"/>
      <c r="W84" s="14"/>
      <c r="X84" s="14"/>
    </row>
    <row r="85" spans="1:24" x14ac:dyDescent="0.2">
      <c r="A85" s="15" t="s">
        <v>124</v>
      </c>
      <c r="B85" s="14" t="s">
        <v>148</v>
      </c>
      <c r="C85" s="14" t="s">
        <v>49</v>
      </c>
      <c r="D85" s="14">
        <v>36.974124908447266</v>
      </c>
      <c r="E85" s="14" t="s">
        <v>24</v>
      </c>
      <c r="F85" s="14"/>
      <c r="G85" s="14">
        <v>74.838706970214844</v>
      </c>
      <c r="H85" s="14" t="s">
        <v>24</v>
      </c>
      <c r="I85" s="14" t="s">
        <v>25</v>
      </c>
      <c r="J85" s="14">
        <v>27.923290252685547</v>
      </c>
      <c r="K85" s="14"/>
      <c r="L85" s="14"/>
      <c r="M85" s="14">
        <v>73.191719055175781</v>
      </c>
      <c r="N85" s="14" t="s">
        <v>24</v>
      </c>
      <c r="O85" s="13" t="s">
        <v>25</v>
      </c>
      <c r="R85" s="14"/>
      <c r="S85" s="14"/>
      <c r="T85" s="14"/>
      <c r="U85" s="14"/>
      <c r="V85" s="14"/>
      <c r="W85" s="14"/>
      <c r="X85" s="14"/>
    </row>
    <row r="86" spans="1:24" x14ac:dyDescent="0.2">
      <c r="A86" s="15" t="s">
        <v>100</v>
      </c>
      <c r="B86" s="14" t="s">
        <v>148</v>
      </c>
      <c r="C86" s="14" t="s">
        <v>0</v>
      </c>
      <c r="D86" s="14">
        <v>30.055570602416992</v>
      </c>
      <c r="E86" s="14" t="s">
        <v>24</v>
      </c>
      <c r="F86" s="14"/>
      <c r="G86" s="14">
        <v>75.13482666015625</v>
      </c>
      <c r="H86" s="14" t="s">
        <v>24</v>
      </c>
      <c r="I86" s="14" t="s">
        <v>25</v>
      </c>
      <c r="J86" s="14">
        <v>36.943031311035156</v>
      </c>
      <c r="K86" s="14"/>
      <c r="L86" s="14"/>
      <c r="M86" s="14">
        <v>74.533653259277344</v>
      </c>
      <c r="N86" s="14" t="s">
        <v>24</v>
      </c>
      <c r="O86" s="13" t="s">
        <v>25</v>
      </c>
      <c r="R86" s="14"/>
      <c r="S86" s="14"/>
      <c r="T86" s="14"/>
      <c r="U86" s="14"/>
      <c r="V86" s="14"/>
      <c r="W86" s="14"/>
      <c r="X86" s="14"/>
    </row>
    <row r="87" spans="1:24" x14ac:dyDescent="0.2">
      <c r="A87" s="15" t="s">
        <v>101</v>
      </c>
      <c r="B87" s="14" t="s">
        <v>148</v>
      </c>
      <c r="C87" s="14" t="s">
        <v>1</v>
      </c>
      <c r="D87" s="14">
        <v>33.912284851074219</v>
      </c>
      <c r="E87" s="14" t="s">
        <v>24</v>
      </c>
      <c r="F87" s="14"/>
      <c r="G87" s="14">
        <v>75.283935546875</v>
      </c>
      <c r="H87" s="14" t="s">
        <v>24</v>
      </c>
      <c r="I87" s="14" t="s">
        <v>25</v>
      </c>
      <c r="J87" s="14">
        <v>35.910053253173828</v>
      </c>
      <c r="K87" s="14"/>
      <c r="L87" s="14"/>
      <c r="M87" s="14">
        <v>76.471916198730469</v>
      </c>
      <c r="N87" s="14">
        <v>80.199356079101563</v>
      </c>
      <c r="O87" s="13" t="s">
        <v>25</v>
      </c>
      <c r="R87" s="14"/>
      <c r="S87" s="14"/>
      <c r="T87" s="14"/>
      <c r="U87" s="14"/>
      <c r="V87" s="14"/>
      <c r="W87" s="14"/>
      <c r="X87" s="14"/>
    </row>
    <row r="88" spans="1:24" ht="13.5" thickBot="1" x14ac:dyDescent="0.25">
      <c r="A88" s="12" t="s">
        <v>102</v>
      </c>
      <c r="B88" s="11" t="s">
        <v>148</v>
      </c>
      <c r="C88" s="11" t="s">
        <v>2</v>
      </c>
      <c r="D88" s="11">
        <v>35.922195434570313</v>
      </c>
      <c r="E88" s="11" t="s">
        <v>24</v>
      </c>
      <c r="F88" s="11"/>
      <c r="G88" s="11">
        <v>79.161026000976563</v>
      </c>
      <c r="H88" s="11" t="s">
        <v>24</v>
      </c>
      <c r="I88" s="11" t="s">
        <v>25</v>
      </c>
      <c r="J88" s="11">
        <v>36.945743560791016</v>
      </c>
      <c r="K88" s="11"/>
      <c r="L88" s="11"/>
      <c r="M88" s="11">
        <v>76.91900634765625</v>
      </c>
      <c r="N88" s="11" t="s">
        <v>24</v>
      </c>
      <c r="O88" s="10" t="s">
        <v>25</v>
      </c>
      <c r="R88" s="14"/>
      <c r="S88" s="14"/>
      <c r="T88" s="14"/>
      <c r="U88" s="14"/>
      <c r="V88" s="14"/>
      <c r="W88" s="14"/>
      <c r="X88" s="14"/>
    </row>
    <row r="89" spans="1:24" x14ac:dyDescent="0.2">
      <c r="A89" s="9" t="s">
        <v>149</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K9" workbookViewId="0">
      <selection activeCell="T16" sqref="T11:T16"/>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141</v>
      </c>
      <c r="H2" s="21" t="s">
        <v>138</v>
      </c>
      <c r="I2" s="21"/>
      <c r="J2" s="21"/>
      <c r="K2" s="21"/>
      <c r="L2" s="21" t="s">
        <v>137</v>
      </c>
      <c r="M2" s="21"/>
      <c r="N2" s="21"/>
      <c r="O2" s="20"/>
      <c r="P2" s="17"/>
      <c r="Q2" s="17"/>
      <c r="R2" s="17"/>
      <c r="S2" s="17"/>
    </row>
    <row r="3" spans="1:40" ht="63.75" x14ac:dyDescent="0.2">
      <c r="G3" s="18" t="s">
        <v>140</v>
      </c>
      <c r="H3" s="17" t="s">
        <v>0</v>
      </c>
      <c r="I3" s="17" t="s">
        <v>1</v>
      </c>
      <c r="J3" s="17" t="s">
        <v>2</v>
      </c>
      <c r="K3" s="27" t="s">
        <v>139</v>
      </c>
      <c r="L3" s="17" t="s">
        <v>0</v>
      </c>
      <c r="M3" s="17" t="s">
        <v>1</v>
      </c>
      <c r="N3" s="17" t="s">
        <v>2</v>
      </c>
      <c r="O3" s="26" t="s">
        <v>139</v>
      </c>
      <c r="P3" s="17"/>
      <c r="Q3" s="17"/>
      <c r="R3" s="17"/>
      <c r="S3" s="27"/>
    </row>
    <row r="4" spans="1:40" x14ac:dyDescent="0.2">
      <c r="G4" s="15" t="s">
        <v>15</v>
      </c>
      <c r="H4" s="14">
        <v>18.29962158203125</v>
      </c>
      <c r="I4" s="14">
        <v>15.295642852783203</v>
      </c>
      <c r="J4" s="14">
        <v>15.219653129577637</v>
      </c>
      <c r="K4" s="14">
        <v>16.271639188130695</v>
      </c>
      <c r="L4" s="14">
        <v>18.138525009155273</v>
      </c>
      <c r="M4" s="14">
        <v>14.206860542297363</v>
      </c>
      <c r="N4" s="14">
        <v>10.792895317077637</v>
      </c>
      <c r="O4" s="13">
        <f>AVERAGE(L4:N4)</f>
        <v>14.379426956176758</v>
      </c>
      <c r="P4" s="14"/>
      <c r="Q4" s="14"/>
      <c r="R4" s="14"/>
      <c r="S4" s="14"/>
    </row>
    <row r="5" spans="1:40" x14ac:dyDescent="0.2">
      <c r="G5" s="15" t="s">
        <v>108</v>
      </c>
      <c r="H5" s="14">
        <v>18.959260940551758</v>
      </c>
      <c r="I5" s="14">
        <v>16.922422409057617</v>
      </c>
      <c r="J5" s="14">
        <v>16.48750114440918</v>
      </c>
      <c r="K5" s="14">
        <v>17.456394831339519</v>
      </c>
      <c r="L5" s="14">
        <v>17.912509918212891</v>
      </c>
      <c r="M5" s="14">
        <v>13.960232734680176</v>
      </c>
      <c r="N5" s="14">
        <v>10.631420135498047</v>
      </c>
      <c r="O5" s="13">
        <f>AVERAGE(L5:N5)</f>
        <v>14.168054262797037</v>
      </c>
      <c r="P5" s="14"/>
      <c r="Q5" s="14"/>
      <c r="R5" s="14"/>
      <c r="S5" s="14"/>
    </row>
    <row r="6" spans="1:40" x14ac:dyDescent="0.2">
      <c r="G6" s="15" t="s">
        <v>109</v>
      </c>
      <c r="H6" s="14">
        <v>22.483110427856445</v>
      </c>
      <c r="I6" s="14">
        <v>19.921594619750977</v>
      </c>
      <c r="J6" s="14">
        <v>19.739944458007813</v>
      </c>
      <c r="K6" s="14">
        <v>20.71488316853841</v>
      </c>
      <c r="L6" s="14">
        <v>19.898843765258789</v>
      </c>
      <c r="M6" s="14">
        <v>15.23265552520752</v>
      </c>
      <c r="N6" s="14">
        <v>14.395575523376465</v>
      </c>
      <c r="O6" s="13">
        <f>AVERAGE(L6:N6)</f>
        <v>16.50902493794759</v>
      </c>
      <c r="P6" s="14"/>
      <c r="Q6" s="14"/>
      <c r="R6" s="14"/>
      <c r="S6" s="14"/>
    </row>
    <row r="7" spans="1:40" ht="13.5" thickBot="1" x14ac:dyDescent="0.25">
      <c r="G7" s="12" t="s">
        <v>125</v>
      </c>
      <c r="H7" s="11">
        <v>19.850597381591797</v>
      </c>
      <c r="I7" s="11">
        <v>16.005645751953125</v>
      </c>
      <c r="J7" s="11">
        <v>16.112339019775391</v>
      </c>
      <c r="K7" s="11">
        <v>17.322860717773438</v>
      </c>
      <c r="L7" s="11">
        <v>20.456811904907227</v>
      </c>
      <c r="M7" s="11">
        <v>15.538725852966309</v>
      </c>
      <c r="N7" s="11">
        <v>14.612347602844238</v>
      </c>
      <c r="O7" s="10">
        <f>AVERAGE(L7:N7)</f>
        <v>16.869295120239258</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138</v>
      </c>
      <c r="E9" s="21"/>
      <c r="F9" s="21"/>
      <c r="G9" s="21"/>
      <c r="H9" s="21"/>
      <c r="I9" s="21"/>
      <c r="J9" s="21" t="s">
        <v>137</v>
      </c>
      <c r="K9" s="21"/>
      <c r="L9" s="21"/>
      <c r="M9" s="21"/>
      <c r="N9" s="21"/>
      <c r="O9" s="20"/>
      <c r="R9" s="17"/>
      <c r="S9" s="22" t="s">
        <v>143</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135</v>
      </c>
      <c r="W10" s="17" t="s">
        <v>134</v>
      </c>
      <c r="X10" s="17" t="s">
        <v>37</v>
      </c>
      <c r="Y10" s="17" t="s">
        <v>135</v>
      </c>
      <c r="Z10" s="17" t="s">
        <v>134</v>
      </c>
      <c r="AA10" s="17" t="s">
        <v>49</v>
      </c>
      <c r="AB10" s="17" t="s">
        <v>135</v>
      </c>
      <c r="AC10" s="19" t="s">
        <v>134</v>
      </c>
      <c r="AN10" s="16"/>
    </row>
    <row r="11" spans="1:40" x14ac:dyDescent="0.2">
      <c r="A11" s="15" t="s">
        <v>5</v>
      </c>
      <c r="B11" s="14" t="s">
        <v>15</v>
      </c>
      <c r="C11" s="14" t="s">
        <v>3</v>
      </c>
      <c r="D11" s="14">
        <v>17.061847686767578</v>
      </c>
      <c r="E11" s="14">
        <f>D11-16.27164</f>
        <v>0.79020768676757669</v>
      </c>
      <c r="F11" s="14">
        <f>POWER(2,-E11)</f>
        <v>0.57826084097698338</v>
      </c>
      <c r="G11" s="14">
        <v>79.294219970703125</v>
      </c>
      <c r="H11" s="14" t="s">
        <v>24</v>
      </c>
      <c r="I11" s="14" t="s">
        <v>25</v>
      </c>
      <c r="J11" s="14">
        <v>13.262712478637695</v>
      </c>
      <c r="K11" s="14">
        <f>J11-14.37943</f>
        <v>-1.116717521362304</v>
      </c>
      <c r="L11" s="14">
        <f>POWER(2,-K11)</f>
        <v>2.1685301794866501</v>
      </c>
      <c r="M11" s="14">
        <v>79.16680908203125</v>
      </c>
      <c r="N11" s="14" t="s">
        <v>24</v>
      </c>
      <c r="O11" s="13" t="s">
        <v>25</v>
      </c>
      <c r="R11" s="14"/>
      <c r="S11" s="15"/>
      <c r="T11" s="14" t="s">
        <v>150</v>
      </c>
      <c r="U11" s="14">
        <v>0.57826100000000002</v>
      </c>
      <c r="V11" s="14">
        <f>U11/U11</f>
        <v>1</v>
      </c>
      <c r="W11" s="14">
        <f>AVERAGE(V11:V16)</f>
        <v>1</v>
      </c>
      <c r="X11" s="14">
        <v>4.0469999999999999E-2</v>
      </c>
      <c r="Y11" s="14">
        <f>X11/X11</f>
        <v>1</v>
      </c>
      <c r="Z11" s="14">
        <f>AVERAGE(Y11:Y16)</f>
        <v>1</v>
      </c>
      <c r="AA11" s="14">
        <v>9.0100000000000006E-3</v>
      </c>
      <c r="AB11" s="14">
        <f>AA11/AA11</f>
        <v>1</v>
      </c>
      <c r="AC11" s="13">
        <f>AVERAGE(AB11:AB16)</f>
        <v>1</v>
      </c>
    </row>
    <row r="12" spans="1:40" x14ac:dyDescent="0.2">
      <c r="A12" s="15" t="s">
        <v>6</v>
      </c>
      <c r="B12" s="14" t="s">
        <v>15</v>
      </c>
      <c r="C12" s="14" t="s">
        <v>3</v>
      </c>
      <c r="D12" s="14">
        <v>17.05787467956543</v>
      </c>
      <c r="E12" s="14">
        <f t="shared" ref="E12:E13" si="0">D12-16.27164</f>
        <v>0.78623467956542825</v>
      </c>
      <c r="F12" s="14">
        <f t="shared" ref="F12:F46" si="1">POWER(2,-E12)</f>
        <v>0.57985549594883257</v>
      </c>
      <c r="G12" s="14">
        <v>79.294219970703125</v>
      </c>
      <c r="H12" s="14" t="s">
        <v>24</v>
      </c>
      <c r="I12" s="14" t="s">
        <v>25</v>
      </c>
      <c r="J12" s="14">
        <v>13.27204704284668</v>
      </c>
      <c r="K12" s="14">
        <f t="shared" ref="K12:K13" si="2">J12-14.37943</f>
        <v>-1.1073829571533196</v>
      </c>
      <c r="L12" s="14">
        <f t="shared" ref="L12:L46" si="3">POWER(2,-K12)</f>
        <v>2.1545445910215699</v>
      </c>
      <c r="M12" s="14">
        <v>79.16680908203125</v>
      </c>
      <c r="N12" s="14" t="s">
        <v>24</v>
      </c>
      <c r="O12" s="13" t="s">
        <v>25</v>
      </c>
      <c r="R12" s="14"/>
      <c r="S12" s="15"/>
      <c r="T12" s="14" t="s">
        <v>150</v>
      </c>
      <c r="U12" s="14">
        <v>0.57985500000000001</v>
      </c>
      <c r="V12" s="14">
        <f t="shared" ref="V12:V16" si="4">U12/U12</f>
        <v>1</v>
      </c>
      <c r="W12" s="14">
        <f>STDEV(V11:V16)</f>
        <v>0</v>
      </c>
      <c r="X12" s="14">
        <v>4.0125000000000001E-2</v>
      </c>
      <c r="Y12" s="14">
        <f t="shared" ref="Y12:Y16" si="5">X12/X12</f>
        <v>1</v>
      </c>
      <c r="Z12" s="14">
        <f>STDEV(Y11:Y16)</f>
        <v>0</v>
      </c>
      <c r="AA12" s="14">
        <v>9.0519999999999993E-3</v>
      </c>
      <c r="AB12" s="14">
        <f t="shared" ref="AB12:AB16" si="6">AA12/AA12</f>
        <v>1</v>
      </c>
      <c r="AC12" s="13">
        <f>STDEV(AB11:AB16)</f>
        <v>0</v>
      </c>
    </row>
    <row r="13" spans="1:40" x14ac:dyDescent="0.2">
      <c r="A13" s="15" t="s">
        <v>7</v>
      </c>
      <c r="B13" s="14" t="s">
        <v>15</v>
      </c>
      <c r="C13" s="14" t="s">
        <v>3</v>
      </c>
      <c r="D13" s="14">
        <v>17.044906616210938</v>
      </c>
      <c r="E13" s="14">
        <f t="shared" si="0"/>
        <v>0.77326661621093606</v>
      </c>
      <c r="F13" s="14">
        <f t="shared" si="1"/>
        <v>0.58509118339358257</v>
      </c>
      <c r="G13" s="14">
        <v>79.144271850585938</v>
      </c>
      <c r="H13" s="14" t="s">
        <v>24</v>
      </c>
      <c r="I13" s="14" t="s">
        <v>25</v>
      </c>
      <c r="J13" s="14">
        <v>13.25108528137207</v>
      </c>
      <c r="K13" s="14">
        <f t="shared" si="2"/>
        <v>-1.128344718627929</v>
      </c>
      <c r="L13" s="14">
        <f t="shared" si="3"/>
        <v>2.1860777588507614</v>
      </c>
      <c r="M13" s="14">
        <v>79.012443542480469</v>
      </c>
      <c r="N13" s="14" t="s">
        <v>24</v>
      </c>
      <c r="O13" s="13" t="s">
        <v>25</v>
      </c>
      <c r="R13" s="14"/>
      <c r="S13" s="15"/>
      <c r="T13" s="14" t="s">
        <v>150</v>
      </c>
      <c r="U13" s="14">
        <v>0.58509100000000003</v>
      </c>
      <c r="V13" s="14">
        <f t="shared" si="4"/>
        <v>1</v>
      </c>
      <c r="W13" s="14"/>
      <c r="X13" s="14">
        <v>3.9412000000000003E-2</v>
      </c>
      <c r="Y13" s="14">
        <f t="shared" si="5"/>
        <v>1</v>
      </c>
      <c r="Z13" s="14"/>
      <c r="AA13" s="14">
        <v>8.8690000000000001E-3</v>
      </c>
      <c r="AB13" s="14">
        <f t="shared" si="6"/>
        <v>1</v>
      </c>
      <c r="AC13" s="13"/>
    </row>
    <row r="14" spans="1:40" x14ac:dyDescent="0.2">
      <c r="A14" s="15" t="s">
        <v>26</v>
      </c>
      <c r="B14" s="14" t="s">
        <v>108</v>
      </c>
      <c r="C14" s="14" t="s">
        <v>3</v>
      </c>
      <c r="D14" s="14">
        <v>18.306709289550781</v>
      </c>
      <c r="E14" s="14">
        <f>D14-17.45639</f>
        <v>0.85031928955078229</v>
      </c>
      <c r="F14" s="14">
        <f t="shared" si="1"/>
        <v>0.5546619676289084</v>
      </c>
      <c r="G14" s="14">
        <v>78.995040893554688</v>
      </c>
      <c r="H14" s="14" t="s">
        <v>24</v>
      </c>
      <c r="I14" s="14" t="s">
        <v>25</v>
      </c>
      <c r="J14" s="14">
        <v>13.084304809570313</v>
      </c>
      <c r="K14" s="14">
        <f>J14-14.16805</f>
        <v>-1.0837451904296866</v>
      </c>
      <c r="L14" s="14">
        <f t="shared" si="3"/>
        <v>2.1195311810017756</v>
      </c>
      <c r="M14" s="14">
        <v>78.862541198730469</v>
      </c>
      <c r="N14" s="14" t="s">
        <v>24</v>
      </c>
      <c r="O14" s="13" t="s">
        <v>25</v>
      </c>
      <c r="R14" s="14"/>
      <c r="S14" s="15"/>
      <c r="T14" s="14" t="s">
        <v>150</v>
      </c>
      <c r="U14" s="14">
        <v>2.168525604288559</v>
      </c>
      <c r="V14" s="14">
        <f t="shared" si="4"/>
        <v>1</v>
      </c>
      <c r="W14" s="14"/>
      <c r="X14" s="14">
        <v>5.2831061678218862E-2</v>
      </c>
      <c r="Y14" s="14">
        <f t="shared" si="5"/>
        <v>1</v>
      </c>
      <c r="Z14" s="14"/>
      <c r="AA14" s="14">
        <v>3.9717395785952389E-2</v>
      </c>
      <c r="AB14" s="14">
        <f t="shared" si="6"/>
        <v>1</v>
      </c>
      <c r="AC14" s="13"/>
    </row>
    <row r="15" spans="1:40" x14ac:dyDescent="0.2">
      <c r="A15" s="15" t="s">
        <v>28</v>
      </c>
      <c r="B15" s="14" t="s">
        <v>108</v>
      </c>
      <c r="C15" s="14" t="s">
        <v>3</v>
      </c>
      <c r="D15" s="14">
        <v>18.276575088500977</v>
      </c>
      <c r="E15" s="14">
        <f t="shared" ref="E15:E16" si="7">D15-17.45639</f>
        <v>0.8201850885009776</v>
      </c>
      <c r="F15" s="14">
        <f t="shared" si="1"/>
        <v>0.56636927644880564</v>
      </c>
      <c r="G15" s="14">
        <v>78.994331359863281</v>
      </c>
      <c r="H15" s="14" t="s">
        <v>24</v>
      </c>
      <c r="I15" s="14" t="s">
        <v>25</v>
      </c>
      <c r="J15" s="14">
        <v>13.014344215393066</v>
      </c>
      <c r="K15" s="14">
        <f t="shared" ref="K15:K16" si="8">J15-14.16805</f>
        <v>-1.1537057846069327</v>
      </c>
      <c r="L15" s="14">
        <f t="shared" si="3"/>
        <v>2.2248464717926635</v>
      </c>
      <c r="M15" s="14">
        <v>78.862541198730469</v>
      </c>
      <c r="N15" s="14" t="s">
        <v>24</v>
      </c>
      <c r="O15" s="13" t="s">
        <v>25</v>
      </c>
      <c r="R15" s="14"/>
      <c r="S15" s="15"/>
      <c r="T15" s="14" t="s">
        <v>150</v>
      </c>
      <c r="U15" s="14">
        <v>2.1545400453304868</v>
      </c>
      <c r="V15" s="14">
        <f t="shared" si="4"/>
        <v>1</v>
      </c>
      <c r="W15" s="14"/>
      <c r="X15" s="14">
        <v>5.1367545933394605E-2</v>
      </c>
      <c r="Y15" s="14">
        <f t="shared" si="5"/>
        <v>1</v>
      </c>
      <c r="Z15" s="14"/>
      <c r="AA15" s="14">
        <v>3.9353555253360435E-2</v>
      </c>
      <c r="AB15" s="14">
        <f t="shared" si="6"/>
        <v>1</v>
      </c>
      <c r="AC15" s="13"/>
    </row>
    <row r="16" spans="1:40" x14ac:dyDescent="0.2">
      <c r="A16" s="15" t="s">
        <v>29</v>
      </c>
      <c r="B16" s="14" t="s">
        <v>108</v>
      </c>
      <c r="C16" s="14" t="s">
        <v>3</v>
      </c>
      <c r="D16" s="14">
        <v>18.269672393798828</v>
      </c>
      <c r="E16" s="14">
        <f t="shared" si="7"/>
        <v>0.81328239379882916</v>
      </c>
      <c r="F16" s="14">
        <f t="shared" si="1"/>
        <v>0.56908561055236107</v>
      </c>
      <c r="G16" s="14">
        <v>78.994331359863281</v>
      </c>
      <c r="H16" s="14" t="s">
        <v>24</v>
      </c>
      <c r="I16" s="14" t="s">
        <v>25</v>
      </c>
      <c r="J16" s="14">
        <v>13.049540519714355</v>
      </c>
      <c r="K16" s="14">
        <f t="shared" si="8"/>
        <v>-1.1185094802856437</v>
      </c>
      <c r="L16" s="14">
        <f t="shared" si="3"/>
        <v>2.171225365389954</v>
      </c>
      <c r="M16" s="14">
        <v>79.011528015136719</v>
      </c>
      <c r="N16" s="14" t="s">
        <v>24</v>
      </c>
      <c r="O16" s="13" t="s">
        <v>25</v>
      </c>
      <c r="R16" s="14"/>
      <c r="S16" s="15"/>
      <c r="T16" s="14" t="s">
        <v>150</v>
      </c>
      <c r="U16" s="14">
        <v>2.1860731466305197</v>
      </c>
      <c r="V16" s="14">
        <f t="shared" si="4"/>
        <v>1</v>
      </c>
      <c r="W16" s="14"/>
      <c r="X16" s="14">
        <v>6.5707450472523535E-2</v>
      </c>
      <c r="Y16" s="14">
        <f t="shared" si="5"/>
        <v>1</v>
      </c>
      <c r="Z16" s="14"/>
      <c r="AA16" s="14">
        <v>4.0467074892759178E-2</v>
      </c>
      <c r="AB16" s="14">
        <f t="shared" si="6"/>
        <v>1</v>
      </c>
      <c r="AC16" s="13"/>
    </row>
    <row r="17" spans="1:29" x14ac:dyDescent="0.2">
      <c r="A17" s="15" t="s">
        <v>30</v>
      </c>
      <c r="B17" s="14" t="s">
        <v>109</v>
      </c>
      <c r="C17" s="14" t="s">
        <v>3</v>
      </c>
      <c r="D17" s="14">
        <v>20.832477569580078</v>
      </c>
      <c r="E17" s="14">
        <f>D17-20.71488</f>
        <v>0.11759756958007728</v>
      </c>
      <c r="F17" s="14">
        <f t="shared" si="1"/>
        <v>0.92172125850666786</v>
      </c>
      <c r="G17" s="14">
        <v>78.995597839355469</v>
      </c>
      <c r="H17" s="14" t="s">
        <v>24</v>
      </c>
      <c r="I17" s="14" t="s">
        <v>25</v>
      </c>
      <c r="J17" s="14">
        <v>11.237957000732422</v>
      </c>
      <c r="K17" s="14">
        <f>J17-16.50902</f>
        <v>-5.2710629992675777</v>
      </c>
      <c r="L17" s="14">
        <f t="shared" si="3"/>
        <v>38.614291594047998</v>
      </c>
      <c r="M17" s="14">
        <v>78.863388061523438</v>
      </c>
      <c r="N17" s="14" t="s">
        <v>24</v>
      </c>
      <c r="O17" s="13" t="s">
        <v>25</v>
      </c>
      <c r="R17" s="14"/>
      <c r="S17" s="15"/>
      <c r="T17" s="14" t="s">
        <v>4</v>
      </c>
      <c r="U17" s="14">
        <v>0.55466400000000005</v>
      </c>
      <c r="V17" s="14">
        <f>U17/U11</f>
        <v>0.9591931670992857</v>
      </c>
      <c r="W17" s="14">
        <f>AVERAGE(V17:V22)</f>
        <v>0.98530716561285647</v>
      </c>
      <c r="X17" s="14">
        <v>5.7763000000000002E-2</v>
      </c>
      <c r="Y17" s="14">
        <f>X17/X11</f>
        <v>1.4273041759327898</v>
      </c>
      <c r="Z17" s="14">
        <f>AVERAGE(Y17:Y22)</f>
        <v>1.2623884227221742</v>
      </c>
      <c r="AA17" s="14">
        <v>1.3931000000000001E-2</v>
      </c>
      <c r="AB17" s="14">
        <f>AA17/AA11</f>
        <v>1.5461709211986681</v>
      </c>
      <c r="AC17" s="13">
        <f>AVERAGE(AB17:AB22)</f>
        <v>1.3152234927906663</v>
      </c>
    </row>
    <row r="18" spans="1:29" x14ac:dyDescent="0.2">
      <c r="A18" s="15" t="s">
        <v>32</v>
      </c>
      <c r="B18" s="14" t="s">
        <v>109</v>
      </c>
      <c r="C18" s="14" t="s">
        <v>3</v>
      </c>
      <c r="D18" s="14">
        <v>20.783161163330078</v>
      </c>
      <c r="E18" s="14">
        <f t="shared" ref="E18:E19" si="9">D18-20.71488</f>
        <v>6.8281163330077277E-2</v>
      </c>
      <c r="F18" s="14">
        <f t="shared" si="1"/>
        <v>0.95377365380440216</v>
      </c>
      <c r="G18" s="14">
        <v>78.995597839355469</v>
      </c>
      <c r="H18" s="14" t="s">
        <v>24</v>
      </c>
      <c r="I18" s="14" t="s">
        <v>25</v>
      </c>
      <c r="J18" s="14">
        <v>11.229867935180664</v>
      </c>
      <c r="K18" s="14">
        <f t="shared" ref="K18:K19" si="10">J18-16.50902</f>
        <v>-5.2791520648193355</v>
      </c>
      <c r="L18" s="14">
        <f t="shared" si="3"/>
        <v>38.831406670697298</v>
      </c>
      <c r="M18" s="14">
        <v>78.86273193359375</v>
      </c>
      <c r="N18" s="14" t="s">
        <v>24</v>
      </c>
      <c r="O18" s="13" t="s">
        <v>25</v>
      </c>
      <c r="R18" s="14"/>
      <c r="S18" s="15"/>
      <c r="T18" s="14" t="s">
        <v>4</v>
      </c>
      <c r="U18" s="14">
        <v>0.56637099999999996</v>
      </c>
      <c r="V18" s="14">
        <f t="shared" ref="V18:V22" si="11">U18/U12</f>
        <v>0.9767459106155848</v>
      </c>
      <c r="W18" s="14">
        <f>STDEV(V17:V22)</f>
        <v>2.5613363654566186E-2</v>
      </c>
      <c r="X18" s="14">
        <v>5.8500000000000003E-2</v>
      </c>
      <c r="Y18" s="14">
        <f t="shared" ref="Y18:Y22" si="12">X18/X12</f>
        <v>1.4579439252336448</v>
      </c>
      <c r="Z18" s="14">
        <f>STDEV(Y17:Y22)</f>
        <v>0.23787432807687114</v>
      </c>
      <c r="AA18" s="14">
        <v>1.4932000000000001E-2</v>
      </c>
      <c r="AB18" s="14">
        <f t="shared" ref="AB18:AB22" si="13">AA18/AA12</f>
        <v>1.6495802032699958</v>
      </c>
      <c r="AC18" s="13">
        <f>STDEV(AB17:AB22)</f>
        <v>0.36678820055641487</v>
      </c>
    </row>
    <row r="19" spans="1:29" x14ac:dyDescent="0.2">
      <c r="A19" s="15" t="s">
        <v>33</v>
      </c>
      <c r="B19" s="14" t="s">
        <v>109</v>
      </c>
      <c r="C19" s="14" t="s">
        <v>3</v>
      </c>
      <c r="D19" s="14">
        <v>20.779468536376953</v>
      </c>
      <c r="E19" s="14">
        <f t="shared" si="9"/>
        <v>6.4588536376952277E-2</v>
      </c>
      <c r="F19" s="14">
        <f t="shared" si="1"/>
        <v>0.95621799671771956</v>
      </c>
      <c r="G19" s="14">
        <v>78.993896484375</v>
      </c>
      <c r="H19" s="14" t="s">
        <v>24</v>
      </c>
      <c r="I19" s="14" t="s">
        <v>25</v>
      </c>
      <c r="J19" s="14">
        <v>11.216618537902832</v>
      </c>
      <c r="K19" s="14">
        <f t="shared" si="10"/>
        <v>-5.2924014620971676</v>
      </c>
      <c r="L19" s="14">
        <f t="shared" si="3"/>
        <v>39.18966843959803</v>
      </c>
      <c r="M19" s="14">
        <v>78.86273193359375</v>
      </c>
      <c r="N19" s="14" t="s">
        <v>24</v>
      </c>
      <c r="O19" s="13" t="s">
        <v>25</v>
      </c>
      <c r="R19" s="14"/>
      <c r="S19" s="15"/>
      <c r="T19" s="14" t="s">
        <v>4</v>
      </c>
      <c r="U19" s="14">
        <v>0.56908800000000004</v>
      </c>
      <c r="V19" s="14">
        <f t="shared" si="11"/>
        <v>0.97264869909125251</v>
      </c>
      <c r="W19" s="14"/>
      <c r="X19" s="14">
        <v>5.7937000000000002E-2</v>
      </c>
      <c r="Y19" s="14">
        <f t="shared" si="12"/>
        <v>1.470034507256673</v>
      </c>
      <c r="Z19" s="14"/>
      <c r="AA19" s="14">
        <v>1.5429999999999999E-2</v>
      </c>
      <c r="AB19" s="14">
        <f t="shared" si="13"/>
        <v>1.7397677302965384</v>
      </c>
      <c r="AC19" s="13"/>
    </row>
    <row r="20" spans="1:29" x14ac:dyDescent="0.2">
      <c r="A20" s="15" t="s">
        <v>34</v>
      </c>
      <c r="B20" s="14" t="s">
        <v>13</v>
      </c>
      <c r="C20" s="14" t="s">
        <v>3</v>
      </c>
      <c r="D20" s="14">
        <v>17.457246780395508</v>
      </c>
      <c r="E20" s="14">
        <f>D20-17.32286</f>
        <v>0.13438678039550922</v>
      </c>
      <c r="F20" s="14">
        <f t="shared" si="1"/>
        <v>0.91105699739247203</v>
      </c>
      <c r="G20" s="14">
        <v>78.993896484375</v>
      </c>
      <c r="H20" s="14" t="s">
        <v>24</v>
      </c>
      <c r="I20" s="14" t="s">
        <v>25</v>
      </c>
      <c r="J20" s="14">
        <v>11.617949485778809</v>
      </c>
      <c r="K20" s="14">
        <f>J20-16.8693</f>
        <v>-5.2513505142211905</v>
      </c>
      <c r="L20" s="14">
        <f t="shared" si="3"/>
        <v>38.090267490780022</v>
      </c>
      <c r="M20" s="14">
        <v>79.011528015136719</v>
      </c>
      <c r="N20" s="14" t="s">
        <v>24</v>
      </c>
      <c r="O20" s="13" t="s">
        <v>25</v>
      </c>
      <c r="R20" s="14"/>
      <c r="S20" s="15"/>
      <c r="T20" s="14" t="s">
        <v>4</v>
      </c>
      <c r="U20" s="14">
        <v>2.1195374436867733</v>
      </c>
      <c r="V20" s="14">
        <f t="shared" si="11"/>
        <v>0.97740946175368881</v>
      </c>
      <c r="W20" s="14"/>
      <c r="X20" s="14">
        <v>4.9147856616338657E-2</v>
      </c>
      <c r="Y20" s="14">
        <f t="shared" si="12"/>
        <v>0.93028334194164586</v>
      </c>
      <c r="Z20" s="14"/>
      <c r="AA20" s="14">
        <v>3.9134391649564081E-2</v>
      </c>
      <c r="AB20" s="14">
        <f t="shared" si="13"/>
        <v>0.9853211892458843</v>
      </c>
      <c r="AC20" s="13"/>
    </row>
    <row r="21" spans="1:29" x14ac:dyDescent="0.2">
      <c r="A21" s="15" t="s">
        <v>35</v>
      </c>
      <c r="B21" s="14" t="s">
        <v>13</v>
      </c>
      <c r="C21" s="14" t="s">
        <v>3</v>
      </c>
      <c r="D21" s="14">
        <v>17.437414169311523</v>
      </c>
      <c r="E21" s="14">
        <f t="shared" ref="E21:E22" si="14">D21-17.32286</f>
        <v>0.11455416931152484</v>
      </c>
      <c r="F21" s="14">
        <f t="shared" si="1"/>
        <v>0.92366770422903444</v>
      </c>
      <c r="G21" s="14">
        <v>78.845596313476563</v>
      </c>
      <c r="H21" s="14" t="s">
        <v>24</v>
      </c>
      <c r="I21" s="14" t="s">
        <v>25</v>
      </c>
      <c r="J21" s="14">
        <v>11.596075057983398</v>
      </c>
      <c r="K21" s="14">
        <f t="shared" ref="K21:K22" si="15">J21-16.8693</f>
        <v>-5.2732249420166006</v>
      </c>
      <c r="L21" s="14">
        <f t="shared" si="3"/>
        <v>38.672200207630205</v>
      </c>
      <c r="M21" s="14">
        <v>78.860153198242188</v>
      </c>
      <c r="N21" s="14" t="s">
        <v>24</v>
      </c>
      <c r="O21" s="13" t="s">
        <v>25</v>
      </c>
      <c r="R21" s="14"/>
      <c r="S21" s="15"/>
      <c r="T21" s="14" t="s">
        <v>4</v>
      </c>
      <c r="U21" s="14">
        <v>2.2248530456580284</v>
      </c>
      <c r="V21" s="14">
        <f t="shared" si="11"/>
        <v>1.0326348078235679</v>
      </c>
      <c r="W21" s="14"/>
      <c r="X21" s="14">
        <v>6.5696838702917565E-2</v>
      </c>
      <c r="Y21" s="14">
        <f t="shared" si="12"/>
        <v>1.2789561484619676</v>
      </c>
      <c r="Z21" s="14"/>
      <c r="AA21" s="14">
        <v>3.9508844427176983E-2</v>
      </c>
      <c r="AB21" s="14">
        <f t="shared" si="13"/>
        <v>1.0039460011380621</v>
      </c>
      <c r="AC21" s="13"/>
    </row>
    <row r="22" spans="1:29" x14ac:dyDescent="0.2">
      <c r="A22" s="15" t="s">
        <v>36</v>
      </c>
      <c r="B22" s="14" t="s">
        <v>13</v>
      </c>
      <c r="C22" s="14" t="s">
        <v>3</v>
      </c>
      <c r="D22" s="14">
        <v>17.485073089599609</v>
      </c>
      <c r="E22" s="14">
        <f t="shared" si="14"/>
        <v>0.16221308959961078</v>
      </c>
      <c r="F22" s="14">
        <f t="shared" si="1"/>
        <v>0.89365315784284149</v>
      </c>
      <c r="G22" s="14">
        <v>78.845596313476563</v>
      </c>
      <c r="H22" s="14" t="s">
        <v>24</v>
      </c>
      <c r="I22" s="14" t="s">
        <v>25</v>
      </c>
      <c r="J22" s="14">
        <v>11.620213508605957</v>
      </c>
      <c r="K22" s="14">
        <f t="shared" si="15"/>
        <v>-5.249086491394042</v>
      </c>
      <c r="L22" s="14">
        <f t="shared" si="3"/>
        <v>38.030539272452486</v>
      </c>
      <c r="M22" s="14">
        <v>78.860153198242188</v>
      </c>
      <c r="N22" s="14" t="s">
        <v>24</v>
      </c>
      <c r="O22" s="13" t="s">
        <v>25</v>
      </c>
      <c r="R22" s="14"/>
      <c r="S22" s="15"/>
      <c r="T22" s="14" t="s">
        <v>4</v>
      </c>
      <c r="U22" s="14">
        <v>2.1712317808183488</v>
      </c>
      <c r="V22" s="14">
        <f t="shared" si="11"/>
        <v>0.9932109472937598</v>
      </c>
      <c r="W22" s="14"/>
      <c r="X22" s="14">
        <v>6.6351937894183172E-2</v>
      </c>
      <c r="Y22" s="14">
        <f t="shared" si="12"/>
        <v>1.0098084375063241</v>
      </c>
      <c r="Z22" s="14"/>
      <c r="AA22" s="14">
        <v>3.9113649995472927E-2</v>
      </c>
      <c r="AB22" s="14">
        <f t="shared" si="13"/>
        <v>0.96655491159484763</v>
      </c>
      <c r="AC22" s="13"/>
    </row>
    <row r="23" spans="1:29" x14ac:dyDescent="0.2">
      <c r="A23" s="15" t="s">
        <v>8</v>
      </c>
      <c r="B23" s="14" t="s">
        <v>15</v>
      </c>
      <c r="C23" s="14" t="s">
        <v>37</v>
      </c>
      <c r="D23" s="14">
        <v>20.898626327514648</v>
      </c>
      <c r="E23" s="14">
        <f>D23-16.27164</f>
        <v>4.626986327514647</v>
      </c>
      <c r="F23" s="14">
        <f t="shared" si="1"/>
        <v>4.0470477252904258E-2</v>
      </c>
      <c r="G23" s="14">
        <v>78.249473571777344</v>
      </c>
      <c r="H23" s="14" t="s">
        <v>24</v>
      </c>
      <c r="I23" s="14" t="s">
        <v>25</v>
      </c>
      <c r="J23" s="14">
        <v>18.621896743774414</v>
      </c>
      <c r="K23" s="14">
        <f>J23-14.37943</f>
        <v>4.2424667437744148</v>
      </c>
      <c r="L23" s="14">
        <f t="shared" si="3"/>
        <v>5.2831173142234795E-2</v>
      </c>
      <c r="M23" s="14">
        <v>78.123634338378906</v>
      </c>
      <c r="N23" s="14" t="s">
        <v>24</v>
      </c>
      <c r="O23" s="13" t="s">
        <v>25</v>
      </c>
      <c r="R23" s="14"/>
      <c r="S23" s="15"/>
      <c r="T23" s="14" t="s">
        <v>118</v>
      </c>
      <c r="U23" s="14">
        <v>0.92172299999999996</v>
      </c>
      <c r="V23" s="14">
        <f>U23/U11</f>
        <v>1.5939567081300656</v>
      </c>
      <c r="W23" s="14">
        <f>AVERAGE(V23:V28)</f>
        <v>9.7716729337608594</v>
      </c>
      <c r="X23" s="14">
        <v>7.3441999999999993E-2</v>
      </c>
      <c r="Y23" s="14">
        <f>X23/X11</f>
        <v>1.814726958240672</v>
      </c>
      <c r="Z23" s="14">
        <f>AVERAGE(Y23:Y28)</f>
        <v>1.374190180006593</v>
      </c>
      <c r="AA23" s="14">
        <v>1.4957E-2</v>
      </c>
      <c r="AB23" s="14">
        <f>AA23/AA11</f>
        <v>1.6600443951165371</v>
      </c>
      <c r="AC23" s="13">
        <f>AVERAGE(AB23:AB28)</f>
        <v>2.6111029241835855</v>
      </c>
    </row>
    <row r="24" spans="1:29" x14ac:dyDescent="0.2">
      <c r="A24" s="15" t="s">
        <v>9</v>
      </c>
      <c r="B24" s="14" t="s">
        <v>15</v>
      </c>
      <c r="C24" s="14" t="s">
        <v>37</v>
      </c>
      <c r="D24" s="14">
        <v>20.9110107421875</v>
      </c>
      <c r="E24" s="14">
        <f t="shared" ref="E24:E25" si="16">D24-16.27164</f>
        <v>4.6393707421874986</v>
      </c>
      <c r="F24" s="14">
        <f t="shared" si="1"/>
        <v>4.0124556541447767E-2</v>
      </c>
      <c r="G24" s="14">
        <v>78.249473571777344</v>
      </c>
      <c r="H24" s="14" t="s">
        <v>24</v>
      </c>
      <c r="I24" s="14" t="s">
        <v>25</v>
      </c>
      <c r="J24" s="14">
        <v>18.662425994873047</v>
      </c>
      <c r="K24" s="14">
        <f t="shared" ref="K24:K25" si="17">J24-14.37943</f>
        <v>4.2829959948730476</v>
      </c>
      <c r="L24" s="14">
        <f t="shared" si="3"/>
        <v>5.1367654309656147E-2</v>
      </c>
      <c r="M24" s="14">
        <v>77.974609375</v>
      </c>
      <c r="N24" s="14" t="s">
        <v>24</v>
      </c>
      <c r="O24" s="13" t="s">
        <v>25</v>
      </c>
      <c r="R24" s="14"/>
      <c r="S24" s="15"/>
      <c r="T24" s="14" t="s">
        <v>118</v>
      </c>
      <c r="U24" s="14">
        <v>0.95377599999999996</v>
      </c>
      <c r="V24" s="14">
        <f t="shared" ref="V24:V28" si="18">U24/U12</f>
        <v>1.6448525924584594</v>
      </c>
      <c r="W24" s="14">
        <f>STDEV(V23:V28)</f>
        <v>8.9251993562768313</v>
      </c>
      <c r="X24" s="14">
        <v>7.6524999999999996E-2</v>
      </c>
      <c r="Y24" s="14">
        <f t="shared" ref="Y24:Y27" si="19">X24/X12</f>
        <v>1.9071651090342678</v>
      </c>
      <c r="Z24" s="14">
        <f>STDEV(Y23:Y28)</f>
        <v>0.58555112673366716</v>
      </c>
      <c r="AA24" s="14">
        <v>1.6066E-2</v>
      </c>
      <c r="AB24" s="14">
        <f t="shared" ref="AB24:AB28" si="20">AA24/AA12</f>
        <v>1.7748563853292092</v>
      </c>
      <c r="AC24" s="13">
        <f>STDEV(AB23:AB28)</f>
        <v>0.8895744736769533</v>
      </c>
    </row>
    <row r="25" spans="1:29" x14ac:dyDescent="0.2">
      <c r="A25" s="15" t="s">
        <v>38</v>
      </c>
      <c r="B25" s="14" t="s">
        <v>15</v>
      </c>
      <c r="C25" s="14" t="s">
        <v>37</v>
      </c>
      <c r="D25" s="14">
        <v>20.936853408813477</v>
      </c>
      <c r="E25" s="14">
        <f t="shared" si="16"/>
        <v>4.6652134088134751</v>
      </c>
      <c r="F25" s="14">
        <f t="shared" si="1"/>
        <v>3.9412213593613146E-2</v>
      </c>
      <c r="G25" s="14">
        <v>78.099655151367188</v>
      </c>
      <c r="H25" s="14" t="s">
        <v>24</v>
      </c>
      <c r="I25" s="14" t="s">
        <v>25</v>
      </c>
      <c r="J25" s="14">
        <v>18.307226181030273</v>
      </c>
      <c r="K25" s="14">
        <f t="shared" si="17"/>
        <v>3.9277961810302742</v>
      </c>
      <c r="L25" s="14">
        <f t="shared" si="3"/>
        <v>6.5707589103398537E-2</v>
      </c>
      <c r="M25" s="14">
        <v>77.969078063964844</v>
      </c>
      <c r="N25" s="14" t="s">
        <v>24</v>
      </c>
      <c r="O25" s="13" t="s">
        <v>25</v>
      </c>
      <c r="R25" s="14"/>
      <c r="S25" s="15"/>
      <c r="T25" s="14" t="s">
        <v>118</v>
      </c>
      <c r="U25" s="14">
        <v>0.95621999999999996</v>
      </c>
      <c r="V25" s="14">
        <f t="shared" si="18"/>
        <v>1.6343098765833006</v>
      </c>
      <c r="W25" s="14"/>
      <c r="X25" s="14">
        <v>7.8268000000000004E-2</v>
      </c>
      <c r="Y25" s="14">
        <f t="shared" si="19"/>
        <v>1.9858926215365877</v>
      </c>
      <c r="Z25" s="14"/>
      <c r="AA25" s="14">
        <v>1.7573999999999999E-2</v>
      </c>
      <c r="AB25" s="14">
        <f t="shared" si="20"/>
        <v>1.9815086255496672</v>
      </c>
      <c r="AC25" s="13"/>
    </row>
    <row r="26" spans="1:29" x14ac:dyDescent="0.2">
      <c r="A26" s="15" t="s">
        <v>39</v>
      </c>
      <c r="B26" s="14" t="s">
        <v>108</v>
      </c>
      <c r="C26" s="14" t="s">
        <v>37</v>
      </c>
      <c r="D26" s="14">
        <v>21.570108413696289</v>
      </c>
      <c r="E26" s="14">
        <f>D26-17.45639</f>
        <v>4.1137184136962901</v>
      </c>
      <c r="F26" s="14">
        <f t="shared" si="1"/>
        <v>5.7762683841846858E-2</v>
      </c>
      <c r="G26" s="14">
        <v>77.950424194335938</v>
      </c>
      <c r="H26" s="14" t="s">
        <v>24</v>
      </c>
      <c r="I26" s="14" t="s">
        <v>25</v>
      </c>
      <c r="J26" s="14">
        <v>18.514781951904297</v>
      </c>
      <c r="K26" s="14">
        <f>J26-14.16805</f>
        <v>4.3467319519042977</v>
      </c>
      <c r="L26" s="14">
        <f t="shared" si="3"/>
        <v>4.9147711397132809E-2</v>
      </c>
      <c r="M26" s="14">
        <v>77.819221496582031</v>
      </c>
      <c r="N26" s="14" t="s">
        <v>24</v>
      </c>
      <c r="O26" s="13" t="s">
        <v>25</v>
      </c>
      <c r="R26" s="14"/>
      <c r="S26" s="15"/>
      <c r="T26" s="14" t="s">
        <v>118</v>
      </c>
      <c r="U26" s="14">
        <v>38.614423760354143</v>
      </c>
      <c r="V26" s="14">
        <f t="shared" si="18"/>
        <v>17.806764044652635</v>
      </c>
      <c r="W26" s="14"/>
      <c r="X26" s="14">
        <v>4.6366069115772277E-2</v>
      </c>
      <c r="Y26" s="14">
        <f t="shared" si="19"/>
        <v>0.87762894863208918</v>
      </c>
      <c r="Z26" s="14"/>
      <c r="AA26" s="14">
        <v>0.13400000145568067</v>
      </c>
      <c r="AB26" s="14">
        <f t="shared" si="20"/>
        <v>3.3738365470345117</v>
      </c>
      <c r="AC26" s="13"/>
    </row>
    <row r="27" spans="1:29" x14ac:dyDescent="0.2">
      <c r="A27" s="15" t="s">
        <v>40</v>
      </c>
      <c r="B27" s="14" t="s">
        <v>108</v>
      </c>
      <c r="C27" s="14" t="s">
        <v>37</v>
      </c>
      <c r="D27" s="14">
        <v>21.55180549621582</v>
      </c>
      <c r="E27" s="14">
        <f t="shared" ref="E27:E28" si="21">D27-17.45639</f>
        <v>4.0954154962158213</v>
      </c>
      <c r="F27" s="14">
        <f t="shared" si="1"/>
        <v>5.8500164989000653E-2</v>
      </c>
      <c r="G27" s="14">
        <v>77.949798583984375</v>
      </c>
      <c r="H27" s="14" t="s">
        <v>24</v>
      </c>
      <c r="I27" s="14" t="s">
        <v>25</v>
      </c>
      <c r="J27" s="14">
        <v>18.096086502075195</v>
      </c>
      <c r="K27" s="14">
        <f t="shared" ref="K27:K28" si="22">J27-14.16805</f>
        <v>3.9280365020751962</v>
      </c>
      <c r="L27" s="14">
        <f t="shared" si="3"/>
        <v>6.5696644585749503E-2</v>
      </c>
      <c r="M27" s="14">
        <v>77.819221496582031</v>
      </c>
      <c r="N27" s="14" t="s">
        <v>24</v>
      </c>
      <c r="O27" s="13" t="s">
        <v>25</v>
      </c>
      <c r="R27" s="14"/>
      <c r="S27" s="15"/>
      <c r="T27" s="14" t="s">
        <v>118</v>
      </c>
      <c r="U27" s="14">
        <v>38.831539580129778</v>
      </c>
      <c r="V27" s="14">
        <f t="shared" si="18"/>
        <v>18.023122691216155</v>
      </c>
      <c r="W27" s="14"/>
      <c r="X27" s="14">
        <v>4.8122248869614068E-2</v>
      </c>
      <c r="Y27" s="14">
        <f t="shared" si="19"/>
        <v>0.93682203413048915</v>
      </c>
      <c r="Z27" s="14"/>
      <c r="AA27" s="14">
        <v>0.13756713492809139</v>
      </c>
      <c r="AB27" s="14">
        <f t="shared" si="20"/>
        <v>3.4956723488494577</v>
      </c>
      <c r="AC27" s="13"/>
    </row>
    <row r="28" spans="1:29" x14ac:dyDescent="0.2">
      <c r="A28" s="15" t="s">
        <v>41</v>
      </c>
      <c r="B28" s="14" t="s">
        <v>108</v>
      </c>
      <c r="C28" s="14" t="s">
        <v>37</v>
      </c>
      <c r="D28" s="14">
        <v>21.565774917602539</v>
      </c>
      <c r="E28" s="14">
        <f t="shared" si="21"/>
        <v>4.1093849176025401</v>
      </c>
      <c r="F28" s="14">
        <f t="shared" si="1"/>
        <v>5.7936449381578742E-2</v>
      </c>
      <c r="G28" s="14">
        <v>77.949798583984375</v>
      </c>
      <c r="H28" s="14" t="s">
        <v>24</v>
      </c>
      <c r="I28" s="14" t="s">
        <v>25</v>
      </c>
      <c r="J28" s="14">
        <v>18.081771850585938</v>
      </c>
      <c r="K28" s="14">
        <f t="shared" si="22"/>
        <v>3.9137218505859384</v>
      </c>
      <c r="L28" s="14">
        <f t="shared" si="3"/>
        <v>6.6351741841366441E-2</v>
      </c>
      <c r="M28" s="14">
        <v>77.819290161132813</v>
      </c>
      <c r="N28" s="14" t="s">
        <v>24</v>
      </c>
      <c r="O28" s="13" t="s">
        <v>25</v>
      </c>
      <c r="R28" s="14"/>
      <c r="S28" s="15"/>
      <c r="T28" s="14" t="s">
        <v>118</v>
      </c>
      <c r="U28" s="14">
        <v>39.189802575263947</v>
      </c>
      <c r="V28" s="14">
        <f t="shared" si="18"/>
        <v>17.927031689524537</v>
      </c>
      <c r="W28" s="14"/>
      <c r="X28" s="14">
        <v>4.7500271323063128E-2</v>
      </c>
      <c r="Y28" s="14">
        <f>X28/X16</f>
        <v>0.7229054084654527</v>
      </c>
      <c r="Z28" s="14"/>
      <c r="AA28" s="14">
        <v>0.13680700946536434</v>
      </c>
      <c r="AB28" s="14">
        <f t="shared" si="20"/>
        <v>3.380699243222133</v>
      </c>
      <c r="AC28" s="13"/>
    </row>
    <row r="29" spans="1:29" x14ac:dyDescent="0.2">
      <c r="A29" s="15" t="s">
        <v>42</v>
      </c>
      <c r="B29" s="14" t="s">
        <v>109</v>
      </c>
      <c r="C29" s="14" t="s">
        <v>37</v>
      </c>
      <c r="D29" s="14">
        <v>24.482128143310547</v>
      </c>
      <c r="E29" s="14">
        <f>D29-20.71488</f>
        <v>3.767248143310546</v>
      </c>
      <c r="F29" s="14">
        <f t="shared" si="1"/>
        <v>7.3442137404224506E-2</v>
      </c>
      <c r="G29" s="14">
        <v>77.801956176757813</v>
      </c>
      <c r="H29" s="14" t="s">
        <v>24</v>
      </c>
      <c r="I29" s="14" t="s">
        <v>25</v>
      </c>
      <c r="J29" s="14">
        <v>20.939811706542969</v>
      </c>
      <c r="K29" s="14">
        <f>J29-16.50902</f>
        <v>4.4307917065429692</v>
      </c>
      <c r="L29" s="14">
        <f t="shared" si="3"/>
        <v>4.6365910417765444E-2</v>
      </c>
      <c r="M29" s="14">
        <v>77.820030212402344</v>
      </c>
      <c r="N29" s="14" t="s">
        <v>24</v>
      </c>
      <c r="O29" s="13" t="s">
        <v>25</v>
      </c>
      <c r="R29" s="14"/>
      <c r="S29" s="15"/>
      <c r="T29" s="14" t="s">
        <v>16</v>
      </c>
      <c r="U29" s="14">
        <v>0.91105700000000001</v>
      </c>
      <c r="V29" s="14">
        <f>U29/U11</f>
        <v>1.5755117498845677</v>
      </c>
      <c r="W29" s="14">
        <f>AVERAGE(V29:V34)</f>
        <v>9.6010992762073482</v>
      </c>
      <c r="X29" s="14">
        <v>4.5467E-2</v>
      </c>
      <c r="Y29" s="14">
        <f>X29/X11</f>
        <v>1.1234741784037559</v>
      </c>
      <c r="Z29" s="14">
        <f>AVERAGE(Y29:Y34)</f>
        <v>0.91224389969711173</v>
      </c>
      <c r="AA29" s="14">
        <v>6.3920000000000001E-3</v>
      </c>
      <c r="AB29" s="14">
        <f>AA29/AA11</f>
        <v>0.7094339622641509</v>
      </c>
      <c r="AC29" s="13">
        <f>AVERAGE(AB29:AB34)</f>
        <v>2.0424417997310722</v>
      </c>
    </row>
    <row r="30" spans="1:29" x14ac:dyDescent="0.2">
      <c r="A30" s="15" t="s">
        <v>43</v>
      </c>
      <c r="B30" s="14" t="s">
        <v>109</v>
      </c>
      <c r="C30" s="14" t="s">
        <v>37</v>
      </c>
      <c r="D30" s="14">
        <v>24.422800064086914</v>
      </c>
      <c r="E30" s="14">
        <f t="shared" ref="E30:E31" si="23">D30-20.71488</f>
        <v>3.7079200640869132</v>
      </c>
      <c r="F30" s="14">
        <f t="shared" si="1"/>
        <v>7.6525264469874843E-2</v>
      </c>
      <c r="G30" s="14">
        <v>77.801956176757813</v>
      </c>
      <c r="H30" s="14" t="s">
        <v>24</v>
      </c>
      <c r="I30" s="14" t="s">
        <v>25</v>
      </c>
      <c r="J30" s="14">
        <v>20.886177062988281</v>
      </c>
      <c r="K30" s="14">
        <f t="shared" ref="K30:K31" si="24">J30-16.50902</f>
        <v>4.3771570629882817</v>
      </c>
      <c r="L30" s="14">
        <f t="shared" si="3"/>
        <v>4.8122084160698145E-2</v>
      </c>
      <c r="M30" s="14">
        <v>77.819580078125</v>
      </c>
      <c r="N30" s="14" t="s">
        <v>24</v>
      </c>
      <c r="O30" s="13" t="s">
        <v>25</v>
      </c>
      <c r="R30" s="14"/>
      <c r="S30" s="15"/>
      <c r="T30" s="14" t="s">
        <v>16</v>
      </c>
      <c r="U30" s="14">
        <v>0.92366800000000004</v>
      </c>
      <c r="V30" s="14">
        <f t="shared" ref="V30:V34" si="25">U30/U12</f>
        <v>1.5929292667994586</v>
      </c>
      <c r="W30" s="14">
        <f>STDEV(V29:V34)</f>
        <v>8.8046549143319073</v>
      </c>
      <c r="X30" s="14">
        <v>4.6462999999999997E-2</v>
      </c>
      <c r="Y30" s="14">
        <f t="shared" ref="Y30:Y34" si="26">X30/X12</f>
        <v>1.1579563862928348</v>
      </c>
      <c r="Z30" s="14">
        <f>STDEV(Y29:Y34)</f>
        <v>0.25234037252162828</v>
      </c>
      <c r="AA30" s="14">
        <v>6.1419999999999999E-3</v>
      </c>
      <c r="AB30" s="14">
        <f t="shared" ref="AB30:AB34" si="27">AA30/AA12</f>
        <v>0.67852408307556344</v>
      </c>
      <c r="AC30" s="13">
        <f>STDEV(AB29:AB34)</f>
        <v>1.4767880182013791</v>
      </c>
    </row>
    <row r="31" spans="1:29" x14ac:dyDescent="0.2">
      <c r="A31" s="15" t="s">
        <v>44</v>
      </c>
      <c r="B31" s="14" t="s">
        <v>109</v>
      </c>
      <c r="C31" s="14" t="s">
        <v>37</v>
      </c>
      <c r="D31" s="14">
        <v>24.390314102172852</v>
      </c>
      <c r="E31" s="14">
        <f t="shared" si="23"/>
        <v>3.6754341021728507</v>
      </c>
      <c r="F31" s="14">
        <f t="shared" si="1"/>
        <v>7.8267973295847351E-2</v>
      </c>
      <c r="G31" s="14">
        <v>77.949310302734375</v>
      </c>
      <c r="H31" s="14" t="s">
        <v>24</v>
      </c>
      <c r="I31" s="14" t="s">
        <v>25</v>
      </c>
      <c r="J31" s="14">
        <v>20.904945373535156</v>
      </c>
      <c r="K31" s="14">
        <f t="shared" si="24"/>
        <v>4.3959253735351567</v>
      </c>
      <c r="L31" s="14">
        <f t="shared" si="3"/>
        <v>4.750010874300134E-2</v>
      </c>
      <c r="M31" s="14">
        <v>77.819580078125</v>
      </c>
      <c r="N31" s="14" t="s">
        <v>24</v>
      </c>
      <c r="O31" s="13" t="s">
        <v>25</v>
      </c>
      <c r="R31" s="14"/>
      <c r="S31" s="15"/>
      <c r="T31" s="14" t="s">
        <v>16</v>
      </c>
      <c r="U31" s="14">
        <v>0.89365399999999995</v>
      </c>
      <c r="V31" s="14">
        <f t="shared" si="25"/>
        <v>1.5273760833784829</v>
      </c>
      <c r="W31" s="14"/>
      <c r="X31" s="14">
        <v>4.4245E-2</v>
      </c>
      <c r="Y31" s="14">
        <f t="shared" si="26"/>
        <v>1.1226276261037247</v>
      </c>
      <c r="Z31" s="14"/>
      <c r="AA31" s="14">
        <v>6.1770000000000002E-3</v>
      </c>
      <c r="AB31" s="14">
        <f t="shared" si="27"/>
        <v>0.69647085353478411</v>
      </c>
      <c r="AC31" s="13"/>
    </row>
    <row r="32" spans="1:29" x14ac:dyDescent="0.2">
      <c r="A32" s="15" t="s">
        <v>45</v>
      </c>
      <c r="B32" s="14" t="s">
        <v>13</v>
      </c>
      <c r="C32" s="14" t="s">
        <v>37</v>
      </c>
      <c r="D32" s="14">
        <v>21.781911849975586</v>
      </c>
      <c r="E32" s="14">
        <f>D32-17.32286</f>
        <v>4.4590518499755873</v>
      </c>
      <c r="F32" s="14">
        <f t="shared" si="1"/>
        <v>4.5466512283029739E-2</v>
      </c>
      <c r="G32" s="14">
        <v>77.800086975097656</v>
      </c>
      <c r="H32" s="14" t="s">
        <v>24</v>
      </c>
      <c r="I32" s="14" t="s">
        <v>25</v>
      </c>
      <c r="J32" s="14">
        <v>21.58869743347168</v>
      </c>
      <c r="K32" s="14">
        <f>J32-16.8693</f>
        <v>4.7193974334716806</v>
      </c>
      <c r="L32" s="14">
        <f t="shared" si="3"/>
        <v>3.7959441243832423E-2</v>
      </c>
      <c r="M32" s="14">
        <v>77.819290161132813</v>
      </c>
      <c r="N32" s="14" t="s">
        <v>24</v>
      </c>
      <c r="O32" s="13" t="s">
        <v>25</v>
      </c>
      <c r="R32" s="14"/>
      <c r="S32" s="15"/>
      <c r="T32" s="14" t="s">
        <v>16</v>
      </c>
      <c r="U32" s="14">
        <v>38.090138654766633</v>
      </c>
      <c r="V32" s="14">
        <f t="shared" si="25"/>
        <v>17.564993735576891</v>
      </c>
      <c r="W32" s="14"/>
      <c r="X32" s="14">
        <v>3.7959312850324015E-2</v>
      </c>
      <c r="Y32" s="14">
        <f t="shared" si="26"/>
        <v>0.7185036916639107</v>
      </c>
      <c r="Z32" s="14"/>
      <c r="AA32" s="14">
        <v>0.13632896607452769</v>
      </c>
      <c r="AB32" s="14">
        <f t="shared" si="27"/>
        <v>3.4324749489931503</v>
      </c>
      <c r="AC32" s="13"/>
    </row>
    <row r="33" spans="1:37" x14ac:dyDescent="0.2">
      <c r="A33" s="15" t="s">
        <v>46</v>
      </c>
      <c r="B33" s="14" t="s">
        <v>13</v>
      </c>
      <c r="C33" s="14" t="s">
        <v>37</v>
      </c>
      <c r="D33" s="14">
        <v>21.750629425048828</v>
      </c>
      <c r="E33" s="14">
        <f t="shared" ref="E33:E34" si="28">D33-17.32286</f>
        <v>4.4277694250488295</v>
      </c>
      <c r="F33" s="14">
        <f t="shared" si="1"/>
        <v>4.6463143520147077E-2</v>
      </c>
      <c r="G33" s="14">
        <v>77.65185546875</v>
      </c>
      <c r="H33" s="14" t="s">
        <v>24</v>
      </c>
      <c r="I33" s="14" t="s">
        <v>25</v>
      </c>
      <c r="J33" s="14">
        <v>21.521780014038086</v>
      </c>
      <c r="K33" s="14">
        <f t="shared" ref="K33:K34" si="29">J33-16.8693</f>
        <v>4.6524800140380869</v>
      </c>
      <c r="L33" s="14">
        <f t="shared" si="3"/>
        <v>3.9761610028383444E-2</v>
      </c>
      <c r="M33" s="14">
        <v>77.816864013671875</v>
      </c>
      <c r="N33" s="14" t="s">
        <v>24</v>
      </c>
      <c r="O33" s="13" t="s">
        <v>25</v>
      </c>
      <c r="R33" s="14"/>
      <c r="S33" s="15"/>
      <c r="T33" s="14" t="s">
        <v>16</v>
      </c>
      <c r="U33" s="14">
        <v>38.672069403295367</v>
      </c>
      <c r="V33" s="14">
        <f t="shared" si="25"/>
        <v>17.949106811502045</v>
      </c>
      <c r="W33" s="14"/>
      <c r="X33" s="14">
        <v>3.9761475539243342E-2</v>
      </c>
      <c r="Y33" s="14">
        <f t="shared" si="26"/>
        <v>0.77405830503952444</v>
      </c>
      <c r="Z33" s="14"/>
      <c r="AA33" s="14">
        <v>0.13447693031858468</v>
      </c>
      <c r="AB33" s="14">
        <f t="shared" si="27"/>
        <v>3.4171481954505643</v>
      </c>
      <c r="AC33" s="13"/>
    </row>
    <row r="34" spans="1:37" ht="13.5" thickBot="1" x14ac:dyDescent="0.25">
      <c r="A34" s="15" t="s">
        <v>47</v>
      </c>
      <c r="B34" s="14" t="s">
        <v>13</v>
      </c>
      <c r="C34" s="14" t="s">
        <v>37</v>
      </c>
      <c r="D34" s="14">
        <v>21.821199417114258</v>
      </c>
      <c r="E34" s="14">
        <f t="shared" si="28"/>
        <v>4.4983394171142592</v>
      </c>
      <c r="F34" s="14">
        <f t="shared" si="1"/>
        <v>4.424507185784992E-2</v>
      </c>
      <c r="G34" s="14">
        <v>77.801071166992188</v>
      </c>
      <c r="H34" s="14" t="s">
        <v>24</v>
      </c>
      <c r="I34" s="14" t="s">
        <v>25</v>
      </c>
      <c r="J34" s="14">
        <v>21.590843200683594</v>
      </c>
      <c r="K34" s="14">
        <f t="shared" si="29"/>
        <v>4.7215432006835947</v>
      </c>
      <c r="L34" s="14">
        <f t="shared" si="3"/>
        <v>3.790302489878318E-2</v>
      </c>
      <c r="M34" s="14">
        <v>77.816864013671875</v>
      </c>
      <c r="N34" s="14" t="s">
        <v>24</v>
      </c>
      <c r="O34" s="13" t="s">
        <v>25</v>
      </c>
      <c r="R34" s="14"/>
      <c r="S34" s="12"/>
      <c r="T34" s="11" t="s">
        <v>16</v>
      </c>
      <c r="U34" s="11">
        <v>38.030410638463053</v>
      </c>
      <c r="V34" s="11">
        <f t="shared" si="25"/>
        <v>17.396678010102644</v>
      </c>
      <c r="W34" s="11"/>
      <c r="X34" s="11">
        <v>3.7902896696096658E-2</v>
      </c>
      <c r="Y34" s="11">
        <f t="shared" si="26"/>
        <v>0.57684321067892097</v>
      </c>
      <c r="Z34" s="11"/>
      <c r="AA34" s="11">
        <v>0.13437491851014843</v>
      </c>
      <c r="AB34" s="11">
        <f t="shared" si="27"/>
        <v>3.3205987550682172</v>
      </c>
      <c r="AC34" s="10"/>
    </row>
    <row r="35" spans="1:37" x14ac:dyDescent="0.2">
      <c r="A35" s="15" t="s">
        <v>48</v>
      </c>
      <c r="B35" s="14" t="s">
        <v>15</v>
      </c>
      <c r="C35" s="14" t="s">
        <v>49</v>
      </c>
      <c r="D35" s="14">
        <v>23.065946578979492</v>
      </c>
      <c r="E35" s="14">
        <f>D35-16.27164</f>
        <v>6.7943065789794908</v>
      </c>
      <c r="F35" s="14">
        <f t="shared" si="1"/>
        <v>9.0096914874061781E-3</v>
      </c>
      <c r="G35" s="14">
        <v>77.05548095703125</v>
      </c>
      <c r="H35" s="14" t="s">
        <v>24</v>
      </c>
      <c r="I35" s="14" t="s">
        <v>25</v>
      </c>
      <c r="J35" s="14">
        <v>19.033512115478516</v>
      </c>
      <c r="K35" s="14">
        <f>J35-14.37943</f>
        <v>4.6540821154785164</v>
      </c>
      <c r="L35" s="14">
        <f t="shared" si="3"/>
        <v>3.9717479582497398E-2</v>
      </c>
      <c r="M35" s="14">
        <v>76.782417297363281</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15</v>
      </c>
      <c r="C36" s="14" t="s">
        <v>49</v>
      </c>
      <c r="D36" s="14">
        <v>23.059179306030273</v>
      </c>
      <c r="E36" s="14">
        <f t="shared" ref="E36:E37" si="30">D36-16.27164</f>
        <v>6.787539306030272</v>
      </c>
      <c r="F36" s="14">
        <f t="shared" si="1"/>
        <v>9.0520526673700166E-3</v>
      </c>
      <c r="G36" s="14">
        <v>77.05548095703125</v>
      </c>
      <c r="H36" s="14" t="s">
        <v>24</v>
      </c>
      <c r="I36" s="14" t="s">
        <v>25</v>
      </c>
      <c r="J36" s="14">
        <v>19.046789169311523</v>
      </c>
      <c r="K36" s="14">
        <f t="shared" ref="K36:K37" si="31">J36-14.37943</f>
        <v>4.6673591693115242</v>
      </c>
      <c r="L36" s="14">
        <f t="shared" si="3"/>
        <v>3.9353638282267511E-2</v>
      </c>
      <c r="M36" s="14">
        <v>76.782417297363281</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15</v>
      </c>
      <c r="C37" s="14" t="s">
        <v>49</v>
      </c>
      <c r="D37" s="14">
        <v>23.088663101196289</v>
      </c>
      <c r="E37" s="14">
        <f t="shared" si="30"/>
        <v>6.8170231011962876</v>
      </c>
      <c r="F37" s="14">
        <f t="shared" si="1"/>
        <v>8.868936907769024E-3</v>
      </c>
      <c r="G37" s="14">
        <v>76.905815124511719</v>
      </c>
      <c r="H37" s="14" t="s">
        <v>24</v>
      </c>
      <c r="I37" s="14" t="s">
        <v>25</v>
      </c>
      <c r="J37" s="14">
        <v>19.006534576416016</v>
      </c>
      <c r="K37" s="14">
        <f t="shared" si="31"/>
        <v>4.6271045764160164</v>
      </c>
      <c r="L37" s="14">
        <f t="shared" si="3"/>
        <v>4.0467160270991946E-2</v>
      </c>
      <c r="M37" s="14">
        <v>76.776664733886719</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108</v>
      </c>
      <c r="C38" s="14" t="s">
        <v>49</v>
      </c>
      <c r="D38" s="14">
        <v>23.62199592590332</v>
      </c>
      <c r="E38" s="14">
        <f>D38-17.45639</f>
        <v>6.1656059259033213</v>
      </c>
      <c r="F38" s="14">
        <f t="shared" si="1"/>
        <v>1.3930531122116386E-2</v>
      </c>
      <c r="G38" s="14">
        <v>76.756584167480469</v>
      </c>
      <c r="H38" s="14" t="s">
        <v>24</v>
      </c>
      <c r="I38" s="14" t="s">
        <v>25</v>
      </c>
      <c r="J38" s="14">
        <v>18.843473434448242</v>
      </c>
      <c r="K38" s="14">
        <f>J38-14.16805</f>
        <v>4.675423434448243</v>
      </c>
      <c r="L38" s="14">
        <f t="shared" si="3"/>
        <v>3.9134276017557569E-2</v>
      </c>
      <c r="M38" s="14">
        <v>76.626853942871094</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108</v>
      </c>
      <c r="C39" s="14" t="s">
        <v>49</v>
      </c>
      <c r="D39" s="14">
        <v>23.52186393737793</v>
      </c>
      <c r="E39" s="14">
        <f t="shared" ref="E39:E40" si="32">D39-17.45639</f>
        <v>6.0654739373779307</v>
      </c>
      <c r="F39" s="14">
        <f t="shared" si="1"/>
        <v>1.4931739580373393E-2</v>
      </c>
      <c r="G39" s="14">
        <v>76.75604248046875</v>
      </c>
      <c r="H39" s="14" t="s">
        <v>24</v>
      </c>
      <c r="I39" s="14" t="s">
        <v>25</v>
      </c>
      <c r="J39" s="14">
        <v>18.829734802246094</v>
      </c>
      <c r="K39" s="14">
        <f t="shared" ref="K39:K40" si="33">J39-14.16805</f>
        <v>4.6616848022460946</v>
      </c>
      <c r="L39" s="14">
        <f t="shared" si="3"/>
        <v>3.9508727688759362E-2</v>
      </c>
      <c r="M39" s="14">
        <v>76.626853942871094</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108</v>
      </c>
      <c r="C40" s="14" t="s">
        <v>49</v>
      </c>
      <c r="D40" s="14">
        <v>23.474472045898438</v>
      </c>
      <c r="E40" s="14">
        <f t="shared" si="32"/>
        <v>6.0180820458984385</v>
      </c>
      <c r="F40" s="14">
        <f t="shared" si="1"/>
        <v>1.5430385910886961E-2</v>
      </c>
      <c r="G40" s="14">
        <v>76.75604248046875</v>
      </c>
      <c r="H40" s="14" t="s">
        <v>24</v>
      </c>
      <c r="I40" s="14" t="s">
        <v>25</v>
      </c>
      <c r="J40" s="14">
        <v>18.84423828125</v>
      </c>
      <c r="K40" s="14">
        <f t="shared" si="33"/>
        <v>4.6761882812500009</v>
      </c>
      <c r="L40" s="14">
        <f t="shared" si="3"/>
        <v>3.9113534424752648E-2</v>
      </c>
      <c r="M40" s="14">
        <v>76.627059936523438</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109</v>
      </c>
      <c r="C41" s="14" t="s">
        <v>49</v>
      </c>
      <c r="D41" s="14">
        <v>26.777935028076172</v>
      </c>
      <c r="E41" s="14">
        <f>D41-20.71488</f>
        <v>6.063055028076171</v>
      </c>
      <c r="F41" s="14">
        <f t="shared" si="1"/>
        <v>1.4956796032993389E-2</v>
      </c>
      <c r="G41" s="14">
        <v>76.757522583007813</v>
      </c>
      <c r="H41" s="14" t="s">
        <v>24</v>
      </c>
      <c r="I41" s="14" t="s">
        <v>25</v>
      </c>
      <c r="J41" s="14">
        <v>19.408720016479492</v>
      </c>
      <c r="K41" s="14">
        <f>J41-16.50902</f>
        <v>2.8997000164794926</v>
      </c>
      <c r="L41" s="14">
        <f t="shared" si="3"/>
        <v>0.13399954281138426</v>
      </c>
      <c r="M41" s="14">
        <v>76.627609252929688</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109</v>
      </c>
      <c r="C42" s="14" t="s">
        <v>49</v>
      </c>
      <c r="D42" s="14">
        <v>26.674764633178711</v>
      </c>
      <c r="E42" s="14">
        <f t="shared" ref="E42:E43" si="34">D42-20.71488</f>
        <v>5.9598846331787101</v>
      </c>
      <c r="F42" s="14">
        <f t="shared" si="1"/>
        <v>1.6065563191965036E-2</v>
      </c>
      <c r="G42" s="14">
        <v>76.757522583007813</v>
      </c>
      <c r="H42" s="14" t="s">
        <v>24</v>
      </c>
      <c r="I42" s="14" t="s">
        <v>25</v>
      </c>
      <c r="J42" s="14">
        <v>19.370817184448242</v>
      </c>
      <c r="K42" s="14">
        <f t="shared" ref="K42:K43" si="35">J42-16.50902</f>
        <v>2.8617971844482426</v>
      </c>
      <c r="L42" s="14">
        <f t="shared" si="3"/>
        <v>0.13756666407450097</v>
      </c>
      <c r="M42" s="14">
        <v>76.776435852050781</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109</v>
      </c>
      <c r="C43" s="14" t="s">
        <v>49</v>
      </c>
      <c r="D43" s="14">
        <v>26.545282363891602</v>
      </c>
      <c r="E43" s="14">
        <f t="shared" si="34"/>
        <v>5.8304023638916007</v>
      </c>
      <c r="F43" s="14">
        <f t="shared" si="1"/>
        <v>1.757413675871099E-2</v>
      </c>
      <c r="G43" s="14">
        <v>76.755508422851563</v>
      </c>
      <c r="H43" s="14" t="s">
        <v>24</v>
      </c>
      <c r="I43" s="14" t="s">
        <v>25</v>
      </c>
      <c r="J43" s="14">
        <v>19.378810882568359</v>
      </c>
      <c r="K43" s="14">
        <f t="shared" si="35"/>
        <v>2.8697908825683598</v>
      </c>
      <c r="L43" s="14">
        <f t="shared" si="3"/>
        <v>0.13680654121346944</v>
      </c>
      <c r="M43" s="14">
        <v>76.776435852050781</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13</v>
      </c>
      <c r="C44" s="14" t="s">
        <v>49</v>
      </c>
      <c r="D44" s="14">
        <v>24.612419128417969</v>
      </c>
      <c r="E44" s="14">
        <f>D44-17.32286</f>
        <v>7.2895591284179702</v>
      </c>
      <c r="F44" s="14">
        <f t="shared" si="1"/>
        <v>6.391812801069716E-3</v>
      </c>
      <c r="G44" s="14">
        <v>76.755508422851563</v>
      </c>
      <c r="H44" s="14" t="s">
        <v>24</v>
      </c>
      <c r="I44" s="14" t="s">
        <v>25</v>
      </c>
      <c r="J44" s="14">
        <v>19.744131088256836</v>
      </c>
      <c r="K44" s="14">
        <f>J44-16.8693</f>
        <v>2.8748310882568369</v>
      </c>
      <c r="L44" s="14">
        <f t="shared" si="3"/>
        <v>0.13632942719336624</v>
      </c>
      <c r="M44" s="14">
        <v>76.627059936523438</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13</v>
      </c>
      <c r="C45" s="14" t="s">
        <v>49</v>
      </c>
      <c r="D45" s="14">
        <v>24.669836044311523</v>
      </c>
      <c r="E45" s="14">
        <f t="shared" ref="E45:E46" si="36">D45-17.32286</f>
        <v>7.3469760443115248</v>
      </c>
      <c r="F45" s="14">
        <f t="shared" si="1"/>
        <v>6.1424245878414505E-3</v>
      </c>
      <c r="G45" s="14">
        <v>76.607337951660156</v>
      </c>
      <c r="H45" s="14" t="s">
        <v>24</v>
      </c>
      <c r="I45" s="14" t="s">
        <v>25</v>
      </c>
      <c r="J45" s="14">
        <v>19.763864517211914</v>
      </c>
      <c r="K45" s="14">
        <f t="shared" ref="K45:K46" si="37">J45-16.8693</f>
        <v>2.894564517211915</v>
      </c>
      <c r="L45" s="14">
        <f t="shared" si="3"/>
        <v>0.13447738517310104</v>
      </c>
      <c r="M45" s="14">
        <v>76.624526977539063</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13</v>
      </c>
      <c r="C46" s="14" t="s">
        <v>49</v>
      </c>
      <c r="D46" s="14">
        <v>24.661666870117188</v>
      </c>
      <c r="E46" s="14">
        <f t="shared" si="36"/>
        <v>7.3388068701171889</v>
      </c>
      <c r="F46" s="14">
        <f t="shared" si="1"/>
        <v>6.1773043580025371E-3</v>
      </c>
      <c r="G46" s="14">
        <v>76.607337951660156</v>
      </c>
      <c r="H46" s="14" t="s">
        <v>24</v>
      </c>
      <c r="I46" s="14" t="s">
        <v>25</v>
      </c>
      <c r="J46" s="14">
        <v>19.764959335327148</v>
      </c>
      <c r="K46" s="14">
        <f t="shared" si="37"/>
        <v>2.8956593353271494</v>
      </c>
      <c r="L46" s="14">
        <f t="shared" si="3"/>
        <v>0.13437537301962016</v>
      </c>
      <c r="M46" s="14">
        <v>76.624526977539063</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15</v>
      </c>
      <c r="C47" s="14" t="s">
        <v>0</v>
      </c>
      <c r="D47" s="14">
        <v>18.31163215637207</v>
      </c>
      <c r="E47" s="14" t="s">
        <v>24</v>
      </c>
      <c r="F47" s="14"/>
      <c r="G47" s="14">
        <v>76.159980773925781</v>
      </c>
      <c r="H47" s="14" t="s">
        <v>24</v>
      </c>
      <c r="I47" s="14" t="s">
        <v>25</v>
      </c>
      <c r="J47" s="14">
        <v>18.020452499389648</v>
      </c>
      <c r="K47" s="14"/>
      <c r="L47" s="14"/>
      <c r="M47" s="14">
        <v>75.888267517089844</v>
      </c>
      <c r="N47" s="14" t="s">
        <v>24</v>
      </c>
      <c r="O47" s="13" t="s">
        <v>25</v>
      </c>
      <c r="R47" s="14"/>
      <c r="S47" s="14"/>
      <c r="T47" s="14"/>
      <c r="U47" s="14"/>
      <c r="V47" s="14"/>
      <c r="W47" s="14"/>
      <c r="X47" s="14"/>
    </row>
    <row r="48" spans="1:37" x14ac:dyDescent="0.2">
      <c r="A48" s="15" t="s">
        <v>62</v>
      </c>
      <c r="B48" s="14" t="s">
        <v>15</v>
      </c>
      <c r="C48" s="14" t="s">
        <v>0</v>
      </c>
      <c r="D48" s="14">
        <v>18.297079086303711</v>
      </c>
      <c r="E48" s="14" t="s">
        <v>24</v>
      </c>
      <c r="F48" s="14"/>
      <c r="G48" s="14">
        <v>76.010726928710938</v>
      </c>
      <c r="H48" s="14" t="s">
        <v>24</v>
      </c>
      <c r="I48" s="14" t="s">
        <v>25</v>
      </c>
      <c r="J48" s="14">
        <v>18.372184753417969</v>
      </c>
      <c r="K48" s="14"/>
      <c r="L48" s="14"/>
      <c r="M48" s="14">
        <v>75.888267517089844</v>
      </c>
      <c r="N48" s="14" t="s">
        <v>24</v>
      </c>
      <c r="O48" s="13" t="s">
        <v>25</v>
      </c>
      <c r="R48" s="14"/>
      <c r="S48" s="14"/>
      <c r="T48" s="14"/>
      <c r="U48" s="14"/>
      <c r="V48" s="14"/>
      <c r="W48" s="14"/>
      <c r="X48" s="14"/>
    </row>
    <row r="49" spans="1:24" x14ac:dyDescent="0.2">
      <c r="A49" s="15" t="s">
        <v>63</v>
      </c>
      <c r="B49" s="14" t="s">
        <v>15</v>
      </c>
      <c r="C49" s="14" t="s">
        <v>0</v>
      </c>
      <c r="D49" s="14">
        <v>18.290151596069336</v>
      </c>
      <c r="E49" s="14" t="s">
        <v>24</v>
      </c>
      <c r="F49" s="14"/>
      <c r="G49" s="14">
        <v>76.010429382324219</v>
      </c>
      <c r="H49" s="14" t="s">
        <v>24</v>
      </c>
      <c r="I49" s="14" t="s">
        <v>25</v>
      </c>
      <c r="J49" s="14">
        <v>18.022937774658203</v>
      </c>
      <c r="K49" s="14"/>
      <c r="L49" s="14"/>
      <c r="M49" s="14">
        <v>75.882354736328125</v>
      </c>
      <c r="N49" s="14" t="s">
        <v>24</v>
      </c>
      <c r="O49" s="13" t="s">
        <v>25</v>
      </c>
      <c r="R49" s="14"/>
      <c r="S49" s="14"/>
      <c r="T49" s="14"/>
      <c r="U49" s="14"/>
      <c r="V49" s="14"/>
      <c r="W49" s="14"/>
      <c r="X49" s="14"/>
    </row>
    <row r="50" spans="1:24" x14ac:dyDescent="0.2">
      <c r="A50" s="15" t="s">
        <v>64</v>
      </c>
      <c r="B50" s="14" t="s">
        <v>108</v>
      </c>
      <c r="C50" s="14" t="s">
        <v>0</v>
      </c>
      <c r="D50" s="14">
        <v>19.574249267578125</v>
      </c>
      <c r="E50" s="14" t="s">
        <v>24</v>
      </c>
      <c r="F50" s="14"/>
      <c r="G50" s="14">
        <v>75.861198425292969</v>
      </c>
      <c r="H50" s="14" t="s">
        <v>24</v>
      </c>
      <c r="I50" s="14" t="s">
        <v>65</v>
      </c>
      <c r="J50" s="14">
        <v>17.925838470458984</v>
      </c>
      <c r="K50" s="14"/>
      <c r="L50" s="14"/>
      <c r="M50" s="14">
        <v>75.732574462890625</v>
      </c>
      <c r="N50" s="14" t="s">
        <v>24</v>
      </c>
      <c r="O50" s="13" t="s">
        <v>25</v>
      </c>
      <c r="R50" s="14"/>
      <c r="S50" s="14"/>
      <c r="T50" s="14"/>
      <c r="U50" s="14"/>
      <c r="V50" s="14"/>
      <c r="W50" s="14"/>
      <c r="X50" s="14"/>
    </row>
    <row r="51" spans="1:24" x14ac:dyDescent="0.2">
      <c r="A51" s="15" t="s">
        <v>66</v>
      </c>
      <c r="B51" s="14" t="s">
        <v>108</v>
      </c>
      <c r="C51" s="14" t="s">
        <v>0</v>
      </c>
      <c r="D51" s="14">
        <v>18.667905807495117</v>
      </c>
      <c r="E51" s="14" t="s">
        <v>24</v>
      </c>
      <c r="F51" s="14"/>
      <c r="G51" s="14">
        <v>75.860725402832031</v>
      </c>
      <c r="H51" s="14" t="s">
        <v>24</v>
      </c>
      <c r="I51" s="14" t="s">
        <v>25</v>
      </c>
      <c r="J51" s="14">
        <v>17.954900741577148</v>
      </c>
      <c r="K51" s="14"/>
      <c r="L51" s="14"/>
      <c r="M51" s="14">
        <v>75.732574462890625</v>
      </c>
      <c r="N51" s="14" t="s">
        <v>24</v>
      </c>
      <c r="O51" s="13" t="s">
        <v>25</v>
      </c>
      <c r="R51" s="14"/>
      <c r="S51" s="14"/>
      <c r="T51" s="14"/>
      <c r="U51" s="14"/>
      <c r="V51" s="14"/>
      <c r="W51" s="14"/>
      <c r="X51" s="14"/>
    </row>
    <row r="52" spans="1:24" x14ac:dyDescent="0.2">
      <c r="A52" s="15" t="s">
        <v>67</v>
      </c>
      <c r="B52" s="14" t="s">
        <v>108</v>
      </c>
      <c r="C52" s="14" t="s">
        <v>0</v>
      </c>
      <c r="D52" s="14">
        <v>18.635631561279297</v>
      </c>
      <c r="E52" s="14" t="s">
        <v>24</v>
      </c>
      <c r="F52" s="14"/>
      <c r="G52" s="14">
        <v>75.860725402832031</v>
      </c>
      <c r="H52" s="14" t="s">
        <v>24</v>
      </c>
      <c r="I52" s="14" t="s">
        <v>25</v>
      </c>
      <c r="J52" s="14">
        <v>17.856790542602539</v>
      </c>
      <c r="K52" s="14"/>
      <c r="L52" s="14"/>
      <c r="M52" s="14">
        <v>75.583847045898438</v>
      </c>
      <c r="N52" s="14" t="s">
        <v>24</v>
      </c>
      <c r="O52" s="13" t="s">
        <v>25</v>
      </c>
      <c r="R52" s="14"/>
      <c r="S52" s="14"/>
      <c r="T52" s="14"/>
      <c r="U52" s="14"/>
      <c r="V52" s="14"/>
      <c r="W52" s="14"/>
      <c r="X52" s="14"/>
    </row>
    <row r="53" spans="1:24" x14ac:dyDescent="0.2">
      <c r="A53" s="15" t="s">
        <v>68</v>
      </c>
      <c r="B53" s="14" t="s">
        <v>109</v>
      </c>
      <c r="C53" s="14" t="s">
        <v>0</v>
      </c>
      <c r="D53" s="14">
        <v>22.513950347900391</v>
      </c>
      <c r="E53" s="14" t="s">
        <v>24</v>
      </c>
      <c r="F53" s="14"/>
      <c r="G53" s="14">
        <v>75.713088989257813</v>
      </c>
      <c r="H53" s="14" t="s">
        <v>24</v>
      </c>
      <c r="I53" s="14" t="s">
        <v>25</v>
      </c>
      <c r="J53" s="14">
        <v>19.906410217285156</v>
      </c>
      <c r="K53" s="14"/>
      <c r="L53" s="14"/>
      <c r="M53" s="14">
        <v>75.733299255371094</v>
      </c>
      <c r="N53" s="14" t="s">
        <v>24</v>
      </c>
      <c r="O53" s="13" t="s">
        <v>25</v>
      </c>
      <c r="R53" s="14"/>
      <c r="S53" s="14"/>
      <c r="T53" s="14"/>
      <c r="U53" s="14"/>
      <c r="V53" s="14"/>
      <c r="W53" s="14"/>
      <c r="X53" s="14"/>
    </row>
    <row r="54" spans="1:24" x14ac:dyDescent="0.2">
      <c r="A54" s="15" t="s">
        <v>69</v>
      </c>
      <c r="B54" s="14" t="s">
        <v>109</v>
      </c>
      <c r="C54" s="14" t="s">
        <v>0</v>
      </c>
      <c r="D54" s="14">
        <v>22.452169418334961</v>
      </c>
      <c r="E54" s="14" t="s">
        <v>24</v>
      </c>
      <c r="F54" s="14"/>
      <c r="G54" s="14">
        <v>75.713088989257813</v>
      </c>
      <c r="H54" s="14" t="s">
        <v>24</v>
      </c>
      <c r="I54" s="14" t="s">
        <v>25</v>
      </c>
      <c r="J54" s="14">
        <v>19.929697036743164</v>
      </c>
      <c r="K54" s="14"/>
      <c r="L54" s="14"/>
      <c r="M54" s="14">
        <v>75.882308959960938</v>
      </c>
      <c r="N54" s="14" t="s">
        <v>24</v>
      </c>
      <c r="O54" s="13" t="s">
        <v>25</v>
      </c>
      <c r="R54" s="14"/>
      <c r="S54" s="14"/>
      <c r="T54" s="14"/>
      <c r="U54" s="14"/>
      <c r="V54" s="14"/>
      <c r="W54" s="14"/>
      <c r="X54" s="14"/>
    </row>
    <row r="55" spans="1:24" x14ac:dyDescent="0.2">
      <c r="A55" s="15" t="s">
        <v>70</v>
      </c>
      <c r="B55" s="14" t="s">
        <v>109</v>
      </c>
      <c r="C55" s="14" t="s">
        <v>0</v>
      </c>
      <c r="D55" s="14">
        <v>22.483213424682617</v>
      </c>
      <c r="E55" s="14" t="s">
        <v>24</v>
      </c>
      <c r="F55" s="14"/>
      <c r="G55" s="14">
        <v>75.710922241210938</v>
      </c>
      <c r="H55" s="14" t="s">
        <v>24</v>
      </c>
      <c r="I55" s="14" t="s">
        <v>25</v>
      </c>
      <c r="J55" s="14">
        <v>19.860427856445313</v>
      </c>
      <c r="K55" s="14"/>
      <c r="L55" s="14"/>
      <c r="M55" s="14">
        <v>75.882308959960938</v>
      </c>
      <c r="N55" s="14" t="s">
        <v>24</v>
      </c>
      <c r="O55" s="13" t="s">
        <v>25</v>
      </c>
      <c r="R55" s="14"/>
      <c r="S55" s="14"/>
      <c r="T55" s="14"/>
      <c r="U55" s="14"/>
      <c r="V55" s="14"/>
      <c r="W55" s="14"/>
      <c r="X55" s="14"/>
    </row>
    <row r="56" spans="1:24" x14ac:dyDescent="0.2">
      <c r="A56" s="15" t="s">
        <v>71</v>
      </c>
      <c r="B56" s="14" t="s">
        <v>13</v>
      </c>
      <c r="C56" s="14" t="s">
        <v>0</v>
      </c>
      <c r="D56" s="14">
        <v>19.846347808837891</v>
      </c>
      <c r="E56" s="14" t="s">
        <v>24</v>
      </c>
      <c r="F56" s="14"/>
      <c r="G56" s="14">
        <v>75.710922241210938</v>
      </c>
      <c r="H56" s="14" t="s">
        <v>24</v>
      </c>
      <c r="I56" s="14" t="s">
        <v>25</v>
      </c>
      <c r="J56" s="14">
        <v>20.440313339233398</v>
      </c>
      <c r="K56" s="14"/>
      <c r="L56" s="14"/>
      <c r="M56" s="14">
        <v>75.732879638671875</v>
      </c>
      <c r="N56" s="14" t="s">
        <v>24</v>
      </c>
      <c r="O56" s="13" t="s">
        <v>25</v>
      </c>
      <c r="R56" s="14"/>
      <c r="S56" s="14"/>
      <c r="T56" s="14"/>
      <c r="U56" s="14"/>
      <c r="V56" s="14"/>
      <c r="W56" s="14"/>
      <c r="X56" s="14"/>
    </row>
    <row r="57" spans="1:24" x14ac:dyDescent="0.2">
      <c r="A57" s="15" t="s">
        <v>72</v>
      </c>
      <c r="B57" s="14" t="s">
        <v>13</v>
      </c>
      <c r="C57" s="14" t="s">
        <v>0</v>
      </c>
      <c r="D57" s="14">
        <v>19.856817245483398</v>
      </c>
      <c r="E57" s="14" t="s">
        <v>24</v>
      </c>
      <c r="F57" s="14"/>
      <c r="G57" s="14">
        <v>75.7120361328125</v>
      </c>
      <c r="H57" s="14" t="s">
        <v>24</v>
      </c>
      <c r="I57" s="14" t="s">
        <v>25</v>
      </c>
      <c r="J57" s="14">
        <v>20.457185745239258</v>
      </c>
      <c r="K57" s="14"/>
      <c r="L57" s="14"/>
      <c r="M57" s="14">
        <v>75.730270385742188</v>
      </c>
      <c r="N57" s="14" t="s">
        <v>24</v>
      </c>
      <c r="O57" s="13" t="s">
        <v>25</v>
      </c>
      <c r="R57" s="14"/>
      <c r="S57" s="14"/>
      <c r="T57" s="14"/>
      <c r="U57" s="14"/>
      <c r="V57" s="14"/>
      <c r="W57" s="14"/>
      <c r="X57" s="14"/>
    </row>
    <row r="58" spans="1:24" x14ac:dyDescent="0.2">
      <c r="A58" s="15" t="s">
        <v>73</v>
      </c>
      <c r="B58" s="14" t="s">
        <v>13</v>
      </c>
      <c r="C58" s="14" t="s">
        <v>0</v>
      </c>
      <c r="D58" s="14">
        <v>19.848627090454102</v>
      </c>
      <c r="E58" s="14" t="s">
        <v>24</v>
      </c>
      <c r="F58" s="14"/>
      <c r="G58" s="14">
        <v>75.7120361328125</v>
      </c>
      <c r="H58" s="14" t="s">
        <v>24</v>
      </c>
      <c r="I58" s="14" t="s">
        <v>25</v>
      </c>
      <c r="J58" s="14">
        <v>20.472936630249023</v>
      </c>
      <c r="K58" s="14"/>
      <c r="L58" s="14"/>
      <c r="M58" s="14">
        <v>75.730270385742188</v>
      </c>
      <c r="N58" s="14" t="s">
        <v>24</v>
      </c>
      <c r="O58" s="13" t="s">
        <v>25</v>
      </c>
      <c r="R58" s="14"/>
      <c r="S58" s="14"/>
      <c r="T58" s="14"/>
      <c r="U58" s="14"/>
      <c r="V58" s="14"/>
      <c r="W58" s="14"/>
      <c r="X58" s="14"/>
    </row>
    <row r="59" spans="1:24" x14ac:dyDescent="0.2">
      <c r="A59" s="15" t="s">
        <v>74</v>
      </c>
      <c r="B59" s="14" t="s">
        <v>15</v>
      </c>
      <c r="C59" s="14" t="s">
        <v>1</v>
      </c>
      <c r="D59" s="14">
        <v>15.295830726623535</v>
      </c>
      <c r="E59" s="14" t="s">
        <v>24</v>
      </c>
      <c r="F59" s="14"/>
      <c r="G59" s="14">
        <v>81.085205078125</v>
      </c>
      <c r="H59" s="14" t="s">
        <v>24</v>
      </c>
      <c r="I59" s="14" t="s">
        <v>25</v>
      </c>
      <c r="J59" s="14">
        <v>14.17463493347168</v>
      </c>
      <c r="K59" s="14"/>
      <c r="L59" s="14"/>
      <c r="M59" s="14">
        <v>80.955101013183594</v>
      </c>
      <c r="N59" s="14" t="s">
        <v>24</v>
      </c>
      <c r="O59" s="13" t="s">
        <v>25</v>
      </c>
      <c r="R59" s="14"/>
      <c r="S59" s="14"/>
      <c r="T59" s="14"/>
      <c r="U59" s="14"/>
      <c r="V59" s="14"/>
      <c r="W59" s="14"/>
      <c r="X59" s="14"/>
    </row>
    <row r="60" spans="1:24" x14ac:dyDescent="0.2">
      <c r="A60" s="15" t="s">
        <v>75</v>
      </c>
      <c r="B60" s="14" t="s">
        <v>15</v>
      </c>
      <c r="C60" s="14" t="s">
        <v>1</v>
      </c>
      <c r="D60" s="14">
        <v>15.302103996276855</v>
      </c>
      <c r="E60" s="14" t="s">
        <v>24</v>
      </c>
      <c r="F60" s="14"/>
      <c r="G60" s="14">
        <v>81.085205078125</v>
      </c>
      <c r="H60" s="14" t="s">
        <v>24</v>
      </c>
      <c r="I60" s="14" t="s">
        <v>25</v>
      </c>
      <c r="J60" s="14">
        <v>14.229432106018066</v>
      </c>
      <c r="K60" s="14"/>
      <c r="L60" s="14"/>
      <c r="M60" s="14">
        <v>80.955101013183594</v>
      </c>
      <c r="N60" s="14" t="s">
        <v>24</v>
      </c>
      <c r="O60" s="13" t="s">
        <v>25</v>
      </c>
      <c r="R60" s="14"/>
      <c r="S60" s="14"/>
      <c r="T60" s="14"/>
      <c r="U60" s="14"/>
      <c r="V60" s="14"/>
      <c r="W60" s="14"/>
      <c r="X60" s="14"/>
    </row>
    <row r="61" spans="1:24" x14ac:dyDescent="0.2">
      <c r="A61" s="15" t="s">
        <v>76</v>
      </c>
      <c r="B61" s="14" t="s">
        <v>15</v>
      </c>
      <c r="C61" s="14" t="s">
        <v>1</v>
      </c>
      <c r="D61" s="14">
        <v>15.288994789123535</v>
      </c>
      <c r="E61" s="14" t="s">
        <v>24</v>
      </c>
      <c r="F61" s="14"/>
      <c r="G61" s="14">
        <v>81.084266662597656</v>
      </c>
      <c r="H61" s="14" t="s">
        <v>24</v>
      </c>
      <c r="I61" s="14" t="s">
        <v>25</v>
      </c>
      <c r="J61" s="14">
        <v>14.216517448425293</v>
      </c>
      <c r="K61" s="14"/>
      <c r="L61" s="14"/>
      <c r="M61" s="14">
        <v>80.950119018554688</v>
      </c>
      <c r="N61" s="14" t="s">
        <v>24</v>
      </c>
      <c r="O61" s="13" t="s">
        <v>25</v>
      </c>
      <c r="R61" s="14"/>
      <c r="S61" s="14"/>
      <c r="T61" s="14"/>
      <c r="U61" s="14"/>
      <c r="V61" s="14"/>
      <c r="W61" s="14"/>
      <c r="X61" s="14"/>
    </row>
    <row r="62" spans="1:24" x14ac:dyDescent="0.2">
      <c r="A62" s="15" t="s">
        <v>77</v>
      </c>
      <c r="B62" s="14" t="s">
        <v>108</v>
      </c>
      <c r="C62" s="14" t="s">
        <v>1</v>
      </c>
      <c r="D62" s="14">
        <v>16.927913665771484</v>
      </c>
      <c r="E62" s="14" t="s">
        <v>24</v>
      </c>
      <c r="F62" s="14"/>
      <c r="G62" s="14">
        <v>80.935035705566406</v>
      </c>
      <c r="H62" s="14" t="s">
        <v>24</v>
      </c>
      <c r="I62" s="14" t="s">
        <v>25</v>
      </c>
      <c r="J62" s="14">
        <v>13.94188404083252</v>
      </c>
      <c r="K62" s="14"/>
      <c r="L62" s="14"/>
      <c r="M62" s="14">
        <v>80.800140380859375</v>
      </c>
      <c r="N62" s="14" t="s">
        <v>24</v>
      </c>
      <c r="O62" s="13" t="s">
        <v>25</v>
      </c>
      <c r="R62" s="14"/>
      <c r="S62" s="14"/>
      <c r="T62" s="14"/>
      <c r="U62" s="14"/>
      <c r="V62" s="14"/>
      <c r="W62" s="14"/>
      <c r="X62" s="14"/>
    </row>
    <row r="63" spans="1:24" x14ac:dyDescent="0.2">
      <c r="A63" s="15" t="s">
        <v>78</v>
      </c>
      <c r="B63" s="14" t="s">
        <v>108</v>
      </c>
      <c r="C63" s="14" t="s">
        <v>1</v>
      </c>
      <c r="D63" s="14">
        <v>16.924434661865234</v>
      </c>
      <c r="E63" s="14" t="s">
        <v>24</v>
      </c>
      <c r="F63" s="14"/>
      <c r="G63" s="14">
        <v>80.934181213378906</v>
      </c>
      <c r="H63" s="14" t="s">
        <v>24</v>
      </c>
      <c r="I63" s="14" t="s">
        <v>25</v>
      </c>
      <c r="J63" s="14">
        <v>13.936059951782227</v>
      </c>
      <c r="K63" s="14"/>
      <c r="L63" s="14"/>
      <c r="M63" s="14">
        <v>80.800140380859375</v>
      </c>
      <c r="N63" s="14" t="s">
        <v>24</v>
      </c>
      <c r="O63" s="13" t="s">
        <v>25</v>
      </c>
      <c r="R63" s="14"/>
      <c r="S63" s="14"/>
      <c r="T63" s="14"/>
      <c r="U63" s="14"/>
      <c r="V63" s="14"/>
      <c r="W63" s="14"/>
      <c r="X63" s="14"/>
    </row>
    <row r="64" spans="1:24" x14ac:dyDescent="0.2">
      <c r="A64" s="15" t="s">
        <v>79</v>
      </c>
      <c r="B64" s="14" t="s">
        <v>108</v>
      </c>
      <c r="C64" s="14" t="s">
        <v>1</v>
      </c>
      <c r="D64" s="14">
        <v>16.914922714233398</v>
      </c>
      <c r="E64" s="14" t="s">
        <v>24</v>
      </c>
      <c r="F64" s="14"/>
      <c r="G64" s="14">
        <v>80.934181213378906</v>
      </c>
      <c r="H64" s="14" t="s">
        <v>24</v>
      </c>
      <c r="I64" s="14" t="s">
        <v>25</v>
      </c>
      <c r="J64" s="14">
        <v>14.002756118774414</v>
      </c>
      <c r="K64" s="14"/>
      <c r="L64" s="14"/>
      <c r="M64" s="14">
        <v>80.650856018066406</v>
      </c>
      <c r="N64" s="14" t="s">
        <v>24</v>
      </c>
      <c r="O64" s="13" t="s">
        <v>25</v>
      </c>
      <c r="R64" s="14"/>
      <c r="S64" s="14"/>
      <c r="T64" s="14"/>
      <c r="U64" s="14"/>
      <c r="V64" s="14"/>
      <c r="W64" s="14"/>
      <c r="X64" s="14"/>
    </row>
    <row r="65" spans="1:24" x14ac:dyDescent="0.2">
      <c r="A65" s="15" t="s">
        <v>80</v>
      </c>
      <c r="B65" s="14" t="s">
        <v>109</v>
      </c>
      <c r="C65" s="14" t="s">
        <v>1</v>
      </c>
      <c r="D65" s="14">
        <v>19.908262252807617</v>
      </c>
      <c r="E65" s="14" t="s">
        <v>24</v>
      </c>
      <c r="F65" s="14"/>
      <c r="G65" s="14">
        <v>80.786056518554688</v>
      </c>
      <c r="H65" s="14" t="s">
        <v>24</v>
      </c>
      <c r="I65" s="14" t="s">
        <v>25</v>
      </c>
      <c r="J65" s="14">
        <v>15.140032768249512</v>
      </c>
      <c r="K65" s="14"/>
      <c r="L65" s="14"/>
      <c r="M65" s="14">
        <v>80.801071166992188</v>
      </c>
      <c r="N65" s="14" t="s">
        <v>24</v>
      </c>
      <c r="O65" s="13" t="s">
        <v>25</v>
      </c>
      <c r="R65" s="14"/>
      <c r="S65" s="14"/>
      <c r="T65" s="14"/>
      <c r="U65" s="14"/>
      <c r="V65" s="14"/>
      <c r="W65" s="14"/>
      <c r="X65" s="14"/>
    </row>
    <row r="66" spans="1:24" x14ac:dyDescent="0.2">
      <c r="A66" s="15" t="s">
        <v>81</v>
      </c>
      <c r="B66" s="14" t="s">
        <v>109</v>
      </c>
      <c r="C66" s="14" t="s">
        <v>1</v>
      </c>
      <c r="D66" s="14">
        <v>19.910282135009766</v>
      </c>
      <c r="E66" s="14" t="s">
        <v>24</v>
      </c>
      <c r="F66" s="14"/>
      <c r="G66" s="14">
        <v>80.786056518554688</v>
      </c>
      <c r="H66" s="14" t="s">
        <v>24</v>
      </c>
      <c r="I66" s="14" t="s">
        <v>25</v>
      </c>
      <c r="J66" s="14">
        <v>15.291486740112305</v>
      </c>
      <c r="K66" s="14"/>
      <c r="L66" s="14"/>
      <c r="M66" s="14">
        <v>80.949020385742188</v>
      </c>
      <c r="N66" s="14" t="s">
        <v>24</v>
      </c>
      <c r="O66" s="13" t="s">
        <v>25</v>
      </c>
      <c r="R66" s="14"/>
      <c r="S66" s="14"/>
      <c r="T66" s="14"/>
      <c r="U66" s="14"/>
      <c r="V66" s="14"/>
      <c r="W66" s="14"/>
      <c r="X66" s="14"/>
    </row>
    <row r="67" spans="1:24" x14ac:dyDescent="0.2">
      <c r="A67" s="15" t="s">
        <v>82</v>
      </c>
      <c r="B67" s="14" t="s">
        <v>109</v>
      </c>
      <c r="C67" s="14" t="s">
        <v>1</v>
      </c>
      <c r="D67" s="14">
        <v>19.946243286132813</v>
      </c>
      <c r="E67" s="14" t="s">
        <v>24</v>
      </c>
      <c r="F67" s="14"/>
      <c r="G67" s="14">
        <v>80.784614562988281</v>
      </c>
      <c r="H67" s="14" t="s">
        <v>24</v>
      </c>
      <c r="I67" s="14" t="s">
        <v>25</v>
      </c>
      <c r="J67" s="14">
        <v>15.266446113586426</v>
      </c>
      <c r="K67" s="14"/>
      <c r="L67" s="14"/>
      <c r="M67" s="14">
        <v>80.949020385742188</v>
      </c>
      <c r="N67" s="14" t="s">
        <v>24</v>
      </c>
      <c r="O67" s="13" t="s">
        <v>25</v>
      </c>
      <c r="R67" s="14"/>
      <c r="S67" s="14"/>
      <c r="T67" s="14"/>
      <c r="U67" s="14"/>
      <c r="V67" s="14"/>
      <c r="W67" s="14"/>
      <c r="X67" s="14"/>
    </row>
    <row r="68" spans="1:24" x14ac:dyDescent="0.2">
      <c r="A68" s="15" t="s">
        <v>83</v>
      </c>
      <c r="B68" s="14" t="s">
        <v>13</v>
      </c>
      <c r="C68" s="14" t="s">
        <v>1</v>
      </c>
      <c r="D68" s="14">
        <v>16.007598876953125</v>
      </c>
      <c r="E68" s="14" t="s">
        <v>24</v>
      </c>
      <c r="F68" s="14"/>
      <c r="G68" s="14">
        <v>80.635383605957031</v>
      </c>
      <c r="H68" s="14" t="s">
        <v>24</v>
      </c>
      <c r="I68" s="14" t="s">
        <v>25</v>
      </c>
      <c r="J68" s="14">
        <v>15.532242774963379</v>
      </c>
      <c r="K68" s="14"/>
      <c r="L68" s="14"/>
      <c r="M68" s="14">
        <v>80.650856018066406</v>
      </c>
      <c r="N68" s="14" t="s">
        <v>24</v>
      </c>
      <c r="O68" s="13" t="s">
        <v>25</v>
      </c>
      <c r="R68" s="14"/>
      <c r="S68" s="14"/>
      <c r="T68" s="14"/>
      <c r="U68" s="14"/>
      <c r="V68" s="14"/>
      <c r="W68" s="14"/>
      <c r="X68" s="14"/>
    </row>
    <row r="69" spans="1:24" x14ac:dyDescent="0.2">
      <c r="A69" s="15" t="s">
        <v>84</v>
      </c>
      <c r="B69" s="14" t="s">
        <v>13</v>
      </c>
      <c r="C69" s="14" t="s">
        <v>1</v>
      </c>
      <c r="D69" s="14">
        <v>16.022321701049805</v>
      </c>
      <c r="E69" s="14" t="s">
        <v>24</v>
      </c>
      <c r="F69" s="14"/>
      <c r="G69" s="14">
        <v>80.636192321777344</v>
      </c>
      <c r="H69" s="14" t="s">
        <v>24</v>
      </c>
      <c r="I69" s="14" t="s">
        <v>25</v>
      </c>
      <c r="J69" s="14">
        <v>15.552033424377441</v>
      </c>
      <c r="K69" s="14"/>
      <c r="L69" s="14"/>
      <c r="M69" s="14">
        <v>80.648666381835938</v>
      </c>
      <c r="N69" s="14" t="s">
        <v>24</v>
      </c>
      <c r="O69" s="13" t="s">
        <v>25</v>
      </c>
      <c r="R69" s="14"/>
      <c r="S69" s="14"/>
      <c r="T69" s="14"/>
      <c r="U69" s="14"/>
      <c r="V69" s="14"/>
      <c r="W69" s="14"/>
      <c r="X69" s="14"/>
    </row>
    <row r="70" spans="1:24" x14ac:dyDescent="0.2">
      <c r="A70" s="15" t="s">
        <v>85</v>
      </c>
      <c r="B70" s="14" t="s">
        <v>13</v>
      </c>
      <c r="C70" s="14" t="s">
        <v>1</v>
      </c>
      <c r="D70" s="14">
        <v>15.987017631530762</v>
      </c>
      <c r="E70" s="14" t="s">
        <v>24</v>
      </c>
      <c r="F70" s="14"/>
      <c r="G70" s="14">
        <v>80.636192321777344</v>
      </c>
      <c r="H70" s="14" t="s">
        <v>24</v>
      </c>
      <c r="I70" s="14" t="s">
        <v>25</v>
      </c>
      <c r="J70" s="14">
        <v>15.531899452209473</v>
      </c>
      <c r="K70" s="14"/>
      <c r="L70" s="14"/>
      <c r="M70" s="14">
        <v>80.648666381835938</v>
      </c>
      <c r="N70" s="14" t="s">
        <v>24</v>
      </c>
      <c r="O70" s="13" t="s">
        <v>25</v>
      </c>
      <c r="R70" s="14"/>
      <c r="S70" s="14"/>
      <c r="T70" s="14"/>
      <c r="U70" s="14"/>
      <c r="V70" s="14"/>
      <c r="W70" s="14"/>
      <c r="X70" s="14"/>
    </row>
    <row r="71" spans="1:24" x14ac:dyDescent="0.2">
      <c r="A71" s="15" t="s">
        <v>86</v>
      </c>
      <c r="B71" s="14" t="s">
        <v>15</v>
      </c>
      <c r="C71" s="14" t="s">
        <v>2</v>
      </c>
      <c r="D71" s="14">
        <v>15.22657585144043</v>
      </c>
      <c r="E71" s="14" t="s">
        <v>24</v>
      </c>
      <c r="F71" s="14"/>
      <c r="G71" s="14">
        <v>78.249473571777344</v>
      </c>
      <c r="H71" s="14" t="s">
        <v>24</v>
      </c>
      <c r="I71" s="14" t="s">
        <v>25</v>
      </c>
      <c r="J71" s="14">
        <v>10.716816902160645</v>
      </c>
      <c r="K71" s="14"/>
      <c r="L71" s="14"/>
      <c r="M71" s="14">
        <v>77.974609375</v>
      </c>
      <c r="N71" s="14" t="s">
        <v>24</v>
      </c>
      <c r="O71" s="13" t="s">
        <v>25</v>
      </c>
      <c r="R71" s="14"/>
      <c r="S71" s="14"/>
      <c r="T71" s="14"/>
      <c r="U71" s="14"/>
      <c r="V71" s="14"/>
      <c r="W71" s="14"/>
      <c r="X71" s="14"/>
    </row>
    <row r="72" spans="1:24" x14ac:dyDescent="0.2">
      <c r="A72" s="15" t="s">
        <v>87</v>
      </c>
      <c r="B72" s="14" t="s">
        <v>15</v>
      </c>
      <c r="C72" s="14" t="s">
        <v>2</v>
      </c>
      <c r="D72" s="14">
        <v>15.202852249145508</v>
      </c>
      <c r="E72" s="14" t="s">
        <v>24</v>
      </c>
      <c r="F72" s="14"/>
      <c r="G72" s="14">
        <v>78.1002197265625</v>
      </c>
      <c r="H72" s="14" t="s">
        <v>24</v>
      </c>
      <c r="I72" s="14" t="s">
        <v>25</v>
      </c>
      <c r="J72" s="14">
        <v>10.813698768615723</v>
      </c>
      <c r="K72" s="14"/>
      <c r="L72" s="14"/>
      <c r="M72" s="14">
        <v>77.974609375</v>
      </c>
      <c r="N72" s="14" t="s">
        <v>24</v>
      </c>
      <c r="O72" s="13" t="s">
        <v>25</v>
      </c>
      <c r="R72" s="14"/>
      <c r="S72" s="14"/>
      <c r="T72" s="14"/>
      <c r="U72" s="14"/>
      <c r="V72" s="14"/>
      <c r="W72" s="14"/>
      <c r="X72" s="14"/>
    </row>
    <row r="73" spans="1:24" x14ac:dyDescent="0.2">
      <c r="A73" s="15" t="s">
        <v>88</v>
      </c>
      <c r="B73" s="14" t="s">
        <v>15</v>
      </c>
      <c r="C73" s="14" t="s">
        <v>2</v>
      </c>
      <c r="D73" s="14">
        <v>15.229528427124023</v>
      </c>
      <c r="E73" s="14" t="s">
        <v>24</v>
      </c>
      <c r="F73" s="14"/>
      <c r="G73" s="14">
        <v>78.248886108398438</v>
      </c>
      <c r="H73" s="14" t="s">
        <v>24</v>
      </c>
      <c r="I73" s="14" t="s">
        <v>25</v>
      </c>
      <c r="J73" s="14">
        <v>10.84816837310791</v>
      </c>
      <c r="K73" s="14"/>
      <c r="L73" s="14"/>
      <c r="M73" s="14">
        <v>77.969078063964844</v>
      </c>
      <c r="N73" s="14" t="s">
        <v>24</v>
      </c>
      <c r="O73" s="13" t="s">
        <v>25</v>
      </c>
      <c r="R73" s="14"/>
      <c r="S73" s="14"/>
      <c r="T73" s="14"/>
      <c r="U73" s="14"/>
      <c r="V73" s="14"/>
      <c r="W73" s="14"/>
      <c r="X73" s="14"/>
    </row>
    <row r="74" spans="1:24" x14ac:dyDescent="0.2">
      <c r="A74" s="15" t="s">
        <v>89</v>
      </c>
      <c r="B74" s="14" t="s">
        <v>108</v>
      </c>
      <c r="C74" s="14" t="s">
        <v>2</v>
      </c>
      <c r="D74" s="14">
        <v>16.500358581542969</v>
      </c>
      <c r="E74" s="14" t="s">
        <v>24</v>
      </c>
      <c r="F74" s="14"/>
      <c r="G74" s="14">
        <v>77.950424194335938</v>
      </c>
      <c r="H74" s="14" t="s">
        <v>24</v>
      </c>
      <c r="I74" s="14" t="s">
        <v>25</v>
      </c>
      <c r="J74" s="14">
        <v>10.71855640411377</v>
      </c>
      <c r="K74" s="14"/>
      <c r="L74" s="14"/>
      <c r="M74" s="14">
        <v>77.819221496582031</v>
      </c>
      <c r="N74" s="14" t="s">
        <v>24</v>
      </c>
      <c r="O74" s="13" t="s">
        <v>25</v>
      </c>
      <c r="R74" s="14"/>
      <c r="S74" s="14"/>
      <c r="T74" s="14"/>
      <c r="U74" s="14"/>
      <c r="V74" s="14"/>
      <c r="W74" s="14"/>
      <c r="X74" s="14"/>
    </row>
    <row r="75" spans="1:24" x14ac:dyDescent="0.2">
      <c r="A75" s="15" t="s">
        <v>90</v>
      </c>
      <c r="B75" s="14" t="s">
        <v>108</v>
      </c>
      <c r="C75" s="14" t="s">
        <v>2</v>
      </c>
      <c r="D75" s="14">
        <v>16.492031097412109</v>
      </c>
      <c r="E75" s="14" t="s">
        <v>24</v>
      </c>
      <c r="F75" s="14"/>
      <c r="G75" s="14">
        <v>78.099014282226563</v>
      </c>
      <c r="H75" s="14" t="s">
        <v>24</v>
      </c>
      <c r="I75" s="14" t="s">
        <v>25</v>
      </c>
      <c r="J75" s="14">
        <v>10.628211975097656</v>
      </c>
      <c r="K75" s="14"/>
      <c r="L75" s="14"/>
      <c r="M75" s="14">
        <v>77.819221496582031</v>
      </c>
      <c r="N75" s="14" t="s">
        <v>24</v>
      </c>
      <c r="O75" s="13" t="s">
        <v>25</v>
      </c>
      <c r="R75" s="14"/>
      <c r="S75" s="14"/>
      <c r="T75" s="14"/>
      <c r="U75" s="14"/>
      <c r="V75" s="14"/>
      <c r="W75" s="14"/>
      <c r="X75" s="14"/>
    </row>
    <row r="76" spans="1:24" x14ac:dyDescent="0.2">
      <c r="A76" s="15" t="s">
        <v>91</v>
      </c>
      <c r="B76" s="14" t="s">
        <v>108</v>
      </c>
      <c r="C76" s="14" t="s">
        <v>2</v>
      </c>
      <c r="D76" s="14">
        <v>16.470109939575195</v>
      </c>
      <c r="E76" s="14" t="s">
        <v>24</v>
      </c>
      <c r="F76" s="14"/>
      <c r="G76" s="14">
        <v>77.949798583984375</v>
      </c>
      <c r="H76" s="14" t="s">
        <v>24</v>
      </c>
      <c r="I76" s="14" t="s">
        <v>25</v>
      </c>
      <c r="J76" s="14">
        <v>10.547492980957031</v>
      </c>
      <c r="K76" s="14"/>
      <c r="L76" s="14"/>
      <c r="M76" s="14">
        <v>77.670265197753906</v>
      </c>
      <c r="N76" s="14" t="s">
        <v>24</v>
      </c>
      <c r="O76" s="13" t="s">
        <v>25</v>
      </c>
      <c r="R76" s="14"/>
      <c r="S76" s="14"/>
      <c r="T76" s="14"/>
      <c r="U76" s="14"/>
      <c r="V76" s="14"/>
      <c r="W76" s="14"/>
      <c r="X76" s="14"/>
    </row>
    <row r="77" spans="1:24" x14ac:dyDescent="0.2">
      <c r="A77" s="15" t="s">
        <v>92</v>
      </c>
      <c r="B77" s="14" t="s">
        <v>109</v>
      </c>
      <c r="C77" s="14" t="s">
        <v>2</v>
      </c>
      <c r="D77" s="14">
        <v>19.754594802856445</v>
      </c>
      <c r="E77" s="14" t="s">
        <v>24</v>
      </c>
      <c r="F77" s="14"/>
      <c r="G77" s="14">
        <v>77.801956176757813</v>
      </c>
      <c r="H77" s="14" t="s">
        <v>24</v>
      </c>
      <c r="I77" s="14" t="s">
        <v>25</v>
      </c>
      <c r="J77" s="14">
        <v>14.403401374816895</v>
      </c>
      <c r="K77" s="14"/>
      <c r="L77" s="14"/>
      <c r="M77" s="14">
        <v>77.969078063964844</v>
      </c>
      <c r="N77" s="14" t="s">
        <v>24</v>
      </c>
      <c r="O77" s="13" t="s">
        <v>25</v>
      </c>
      <c r="R77" s="14"/>
      <c r="S77" s="14"/>
      <c r="T77" s="14"/>
      <c r="U77" s="14"/>
      <c r="V77" s="14"/>
      <c r="W77" s="14"/>
      <c r="X77" s="14"/>
    </row>
    <row r="78" spans="1:24" x14ac:dyDescent="0.2">
      <c r="A78" s="15" t="s">
        <v>93</v>
      </c>
      <c r="B78" s="14" t="s">
        <v>109</v>
      </c>
      <c r="C78" s="14" t="s">
        <v>2</v>
      </c>
      <c r="D78" s="14">
        <v>19.72608757019043</v>
      </c>
      <c r="E78" s="14" t="s">
        <v>24</v>
      </c>
      <c r="F78" s="14"/>
      <c r="G78" s="14">
        <v>77.801956176757813</v>
      </c>
      <c r="H78" s="14" t="s">
        <v>24</v>
      </c>
      <c r="I78" s="14" t="s">
        <v>25</v>
      </c>
      <c r="J78" s="14">
        <v>14.400165557861328</v>
      </c>
      <c r="K78" s="14"/>
      <c r="L78" s="14"/>
      <c r="M78" s="14">
        <v>77.968605041503906</v>
      </c>
      <c r="N78" s="14" t="s">
        <v>24</v>
      </c>
      <c r="O78" s="13" t="s">
        <v>25</v>
      </c>
      <c r="R78" s="14"/>
      <c r="S78" s="14"/>
      <c r="T78" s="14"/>
      <c r="U78" s="14"/>
      <c r="V78" s="14"/>
      <c r="W78" s="14"/>
      <c r="X78" s="14"/>
    </row>
    <row r="79" spans="1:24" x14ac:dyDescent="0.2">
      <c r="A79" s="15" t="s">
        <v>94</v>
      </c>
      <c r="B79" s="14" t="s">
        <v>109</v>
      </c>
      <c r="C79" s="14" t="s">
        <v>2</v>
      </c>
      <c r="D79" s="14">
        <v>19.739152908325195</v>
      </c>
      <c r="E79" s="14" t="s">
        <v>24</v>
      </c>
      <c r="F79" s="14"/>
      <c r="G79" s="14">
        <v>77.800086975097656</v>
      </c>
      <c r="H79" s="14" t="s">
        <v>24</v>
      </c>
      <c r="I79" s="14" t="s">
        <v>25</v>
      </c>
      <c r="J79" s="14">
        <v>14.383157730102539</v>
      </c>
      <c r="K79" s="14"/>
      <c r="L79" s="14"/>
      <c r="M79" s="14">
        <v>77.968605041503906</v>
      </c>
      <c r="N79" s="14" t="s">
        <v>24</v>
      </c>
      <c r="O79" s="13" t="s">
        <v>25</v>
      </c>
      <c r="R79" s="14"/>
      <c r="S79" s="14"/>
      <c r="T79" s="14"/>
      <c r="U79" s="14"/>
      <c r="V79" s="14"/>
      <c r="W79" s="14"/>
      <c r="X79" s="14"/>
    </row>
    <row r="80" spans="1:24" x14ac:dyDescent="0.2">
      <c r="A80" s="15" t="s">
        <v>95</v>
      </c>
      <c r="B80" s="14" t="s">
        <v>13</v>
      </c>
      <c r="C80" s="14" t="s">
        <v>2</v>
      </c>
      <c r="D80" s="14">
        <v>16.134140014648438</v>
      </c>
      <c r="E80" s="14" t="s">
        <v>24</v>
      </c>
      <c r="F80" s="14"/>
      <c r="G80" s="14">
        <v>77.800086975097656</v>
      </c>
      <c r="H80" s="14" t="s">
        <v>24</v>
      </c>
      <c r="I80" s="14" t="s">
        <v>25</v>
      </c>
      <c r="J80" s="14">
        <v>14.594515800476074</v>
      </c>
      <c r="K80" s="14"/>
      <c r="L80" s="14"/>
      <c r="M80" s="14">
        <v>77.819290161132813</v>
      </c>
      <c r="N80" s="14" t="s">
        <v>24</v>
      </c>
      <c r="O80" s="13" t="s">
        <v>25</v>
      </c>
      <c r="R80" s="14"/>
      <c r="S80" s="14"/>
      <c r="T80" s="14"/>
      <c r="U80" s="14"/>
      <c r="V80" s="14"/>
      <c r="W80" s="14"/>
      <c r="X80" s="14"/>
    </row>
    <row r="81" spans="1:24" x14ac:dyDescent="0.2">
      <c r="A81" s="15" t="s">
        <v>96</v>
      </c>
      <c r="B81" s="14" t="s">
        <v>13</v>
      </c>
      <c r="C81" s="14" t="s">
        <v>2</v>
      </c>
      <c r="D81" s="14">
        <v>16.100221633911133</v>
      </c>
      <c r="E81" s="14" t="s">
        <v>24</v>
      </c>
      <c r="F81" s="14"/>
      <c r="G81" s="14">
        <v>77.65185546875</v>
      </c>
      <c r="H81" s="14" t="s">
        <v>24</v>
      </c>
      <c r="I81" s="14" t="s">
        <v>25</v>
      </c>
      <c r="J81" s="14">
        <v>14.631560325622559</v>
      </c>
      <c r="K81" s="14"/>
      <c r="L81" s="14"/>
      <c r="M81" s="14">
        <v>77.667816162109375</v>
      </c>
      <c r="N81" s="14" t="s">
        <v>24</v>
      </c>
      <c r="O81" s="13" t="s">
        <v>25</v>
      </c>
      <c r="R81" s="14"/>
      <c r="S81" s="14"/>
      <c r="T81" s="14"/>
      <c r="U81" s="14"/>
      <c r="V81" s="14"/>
      <c r="W81" s="14"/>
      <c r="X81" s="14"/>
    </row>
    <row r="82" spans="1:24" x14ac:dyDescent="0.2">
      <c r="A82" s="15" t="s">
        <v>97</v>
      </c>
      <c r="B82" s="14" t="s">
        <v>13</v>
      </c>
      <c r="C82" s="14" t="s">
        <v>2</v>
      </c>
      <c r="D82" s="14">
        <v>16.102655410766602</v>
      </c>
      <c r="E82" s="14" t="s">
        <v>24</v>
      </c>
      <c r="F82" s="14"/>
      <c r="G82" s="14">
        <v>77.65185546875</v>
      </c>
      <c r="H82" s="14" t="s">
        <v>24</v>
      </c>
      <c r="I82" s="14" t="s">
        <v>25</v>
      </c>
      <c r="J82" s="14">
        <v>14.610965728759766</v>
      </c>
      <c r="K82" s="14"/>
      <c r="L82" s="14"/>
      <c r="M82" s="14">
        <v>77.667816162109375</v>
      </c>
      <c r="N82" s="14" t="s">
        <v>24</v>
      </c>
      <c r="O82" s="13" t="s">
        <v>25</v>
      </c>
      <c r="R82" s="14"/>
      <c r="S82" s="14"/>
      <c r="T82" s="14"/>
      <c r="U82" s="14"/>
      <c r="V82" s="14"/>
      <c r="W82" s="14"/>
      <c r="X82" s="14"/>
    </row>
    <row r="83" spans="1:24" x14ac:dyDescent="0.2">
      <c r="A83" s="15" t="s">
        <v>98</v>
      </c>
      <c r="B83" s="14" t="s">
        <v>148</v>
      </c>
      <c r="C83" s="14" t="s">
        <v>3</v>
      </c>
      <c r="D83" s="14">
        <v>29.918987274169922</v>
      </c>
      <c r="E83" s="14" t="s">
        <v>24</v>
      </c>
      <c r="F83" s="14"/>
      <c r="G83" s="14">
        <v>72.876495361328125</v>
      </c>
      <c r="H83" s="14" t="s">
        <v>24</v>
      </c>
      <c r="I83" s="14" t="s">
        <v>25</v>
      </c>
      <c r="J83" s="14">
        <v>33.922229766845703</v>
      </c>
      <c r="K83" s="14"/>
      <c r="L83" s="14"/>
      <c r="M83" s="14">
        <v>72.013633728027344</v>
      </c>
      <c r="N83" s="14">
        <v>74.696075439453125</v>
      </c>
      <c r="O83" s="13" t="s">
        <v>25</v>
      </c>
      <c r="R83" s="14"/>
      <c r="S83" s="14"/>
      <c r="T83" s="14"/>
      <c r="U83" s="14"/>
      <c r="V83" s="14"/>
      <c r="W83" s="14"/>
      <c r="X83" s="14"/>
    </row>
    <row r="84" spans="1:24" x14ac:dyDescent="0.2">
      <c r="A84" s="15" t="s">
        <v>99</v>
      </c>
      <c r="B84" s="14" t="s">
        <v>148</v>
      </c>
      <c r="C84" s="14" t="s">
        <v>37</v>
      </c>
      <c r="D84" s="14">
        <v>36.913990020751953</v>
      </c>
      <c r="E84" s="14" t="s">
        <v>24</v>
      </c>
      <c r="F84" s="14"/>
      <c r="G84" s="14">
        <v>74.965988159179688</v>
      </c>
      <c r="H84" s="14" t="s">
        <v>24</v>
      </c>
      <c r="I84" s="14" t="s">
        <v>25</v>
      </c>
      <c r="J84" s="14">
        <v>34.926959991455078</v>
      </c>
      <c r="K84" s="14"/>
      <c r="L84" s="14"/>
      <c r="M84" s="14">
        <v>74.0999755859375</v>
      </c>
      <c r="N84" s="14" t="s">
        <v>24</v>
      </c>
      <c r="O84" s="13" t="s">
        <v>25</v>
      </c>
      <c r="R84" s="14"/>
      <c r="S84" s="14"/>
      <c r="T84" s="14"/>
      <c r="U84" s="14"/>
      <c r="V84" s="14"/>
      <c r="W84" s="14"/>
      <c r="X84" s="14"/>
    </row>
    <row r="85" spans="1:24" x14ac:dyDescent="0.2">
      <c r="A85" s="15" t="s">
        <v>124</v>
      </c>
      <c r="B85" s="14" t="s">
        <v>148</v>
      </c>
      <c r="C85" s="14" t="s">
        <v>49</v>
      </c>
      <c r="D85" s="14">
        <v>36.926139831542969</v>
      </c>
      <c r="E85" s="14" t="s">
        <v>24</v>
      </c>
      <c r="F85" s="14"/>
      <c r="G85" s="14">
        <v>78.248886108398438</v>
      </c>
      <c r="H85" s="14" t="s">
        <v>24</v>
      </c>
      <c r="I85" s="14" t="s">
        <v>25</v>
      </c>
      <c r="J85" s="14">
        <v>31.923831939697266</v>
      </c>
      <c r="K85" s="14"/>
      <c r="L85" s="14"/>
      <c r="M85" s="14">
        <v>76.478561401367188</v>
      </c>
      <c r="N85" s="14">
        <v>73.199417114257813</v>
      </c>
      <c r="O85" s="13" t="s">
        <v>25</v>
      </c>
      <c r="R85" s="14"/>
      <c r="S85" s="14"/>
      <c r="T85" s="14"/>
      <c r="U85" s="14"/>
      <c r="V85" s="14"/>
      <c r="W85" s="14"/>
      <c r="X85" s="14"/>
    </row>
    <row r="86" spans="1:24" x14ac:dyDescent="0.2">
      <c r="A86" s="15" t="s">
        <v>100</v>
      </c>
      <c r="B86" s="14" t="s">
        <v>148</v>
      </c>
      <c r="C86" s="14" t="s">
        <v>0</v>
      </c>
      <c r="D86" s="14">
        <v>37.048362731933594</v>
      </c>
      <c r="E86" s="14" t="s">
        <v>24</v>
      </c>
      <c r="F86" s="14"/>
      <c r="G86" s="14">
        <v>74.517753601074219</v>
      </c>
      <c r="H86" s="14" t="s">
        <v>24</v>
      </c>
      <c r="I86" s="14" t="s">
        <v>25</v>
      </c>
      <c r="J86" s="14">
        <v>32.587623596191406</v>
      </c>
      <c r="K86" s="14"/>
      <c r="L86" s="14"/>
      <c r="M86" s="14">
        <v>74.541122436523438</v>
      </c>
      <c r="N86" s="14" t="s">
        <v>24</v>
      </c>
      <c r="O86" s="13" t="s">
        <v>25</v>
      </c>
      <c r="R86" s="14"/>
      <c r="S86" s="14"/>
      <c r="T86" s="14"/>
      <c r="U86" s="14"/>
      <c r="V86" s="14"/>
      <c r="W86" s="14"/>
      <c r="X86" s="14"/>
    </row>
    <row r="87" spans="1:24" x14ac:dyDescent="0.2">
      <c r="A87" s="15" t="s">
        <v>101</v>
      </c>
      <c r="B87" s="14" t="s">
        <v>148</v>
      </c>
      <c r="C87" s="14" t="s">
        <v>1</v>
      </c>
      <c r="D87" s="14">
        <v>37.000526428222656</v>
      </c>
      <c r="E87" s="14" t="s">
        <v>24</v>
      </c>
      <c r="F87" s="14"/>
      <c r="G87" s="14">
        <v>76.75604248046875</v>
      </c>
      <c r="H87" s="14" t="s">
        <v>24</v>
      </c>
      <c r="I87" s="14" t="s">
        <v>25</v>
      </c>
      <c r="J87" s="14">
        <v>34.909198760986328</v>
      </c>
      <c r="K87" s="14"/>
      <c r="L87" s="14"/>
      <c r="M87" s="14">
        <v>80.650985717773438</v>
      </c>
      <c r="N87" s="14" t="s">
        <v>24</v>
      </c>
      <c r="O87" s="13" t="s">
        <v>25</v>
      </c>
      <c r="R87" s="14"/>
      <c r="S87" s="14"/>
      <c r="T87" s="14"/>
      <c r="U87" s="14"/>
      <c r="V87" s="14"/>
      <c r="W87" s="14"/>
      <c r="X87" s="14"/>
    </row>
    <row r="88" spans="1:24" ht="13.5" thickBot="1" x14ac:dyDescent="0.25">
      <c r="A88" s="12" t="s">
        <v>102</v>
      </c>
      <c r="B88" s="11" t="s">
        <v>148</v>
      </c>
      <c r="C88" s="11" t="s">
        <v>2</v>
      </c>
      <c r="D88" s="11">
        <v>36.946392059326172</v>
      </c>
      <c r="E88" s="11" t="s">
        <v>24</v>
      </c>
      <c r="F88" s="11"/>
      <c r="G88" s="11">
        <v>75.11627197265625</v>
      </c>
      <c r="H88" s="11" t="s">
        <v>24</v>
      </c>
      <c r="I88" s="11" t="s">
        <v>25</v>
      </c>
      <c r="J88" s="11">
        <v>37.041259765625</v>
      </c>
      <c r="K88" s="11"/>
      <c r="L88" s="11"/>
      <c r="M88" s="11">
        <v>75.583526611328125</v>
      </c>
      <c r="N88" s="11" t="s">
        <v>24</v>
      </c>
      <c r="O88" s="10" t="s">
        <v>25</v>
      </c>
      <c r="R88" s="14"/>
      <c r="S88" s="14"/>
      <c r="T88" s="14"/>
      <c r="U88" s="14"/>
      <c r="V88" s="14"/>
      <c r="W88" s="14"/>
      <c r="X88" s="14"/>
    </row>
    <row r="89" spans="1:24" x14ac:dyDescent="0.2">
      <c r="A89" s="9" t="s">
        <v>149</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I5" workbookViewId="0">
      <selection activeCell="T11" sqref="T11:T16"/>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141</v>
      </c>
      <c r="H2" s="21" t="s">
        <v>138</v>
      </c>
      <c r="I2" s="21"/>
      <c r="J2" s="21"/>
      <c r="K2" s="21"/>
      <c r="L2" s="21" t="s">
        <v>137</v>
      </c>
      <c r="M2" s="21"/>
      <c r="N2" s="21"/>
      <c r="O2" s="20"/>
      <c r="P2" s="17"/>
      <c r="Q2" s="17"/>
      <c r="R2" s="17"/>
      <c r="S2" s="17"/>
    </row>
    <row r="3" spans="1:40" ht="63.75" x14ac:dyDescent="0.2">
      <c r="G3" s="18" t="s">
        <v>140</v>
      </c>
      <c r="H3" s="17" t="s">
        <v>0</v>
      </c>
      <c r="I3" s="17" t="s">
        <v>1</v>
      </c>
      <c r="J3" s="17" t="s">
        <v>2</v>
      </c>
      <c r="K3" s="27" t="s">
        <v>139</v>
      </c>
      <c r="L3" s="17" t="s">
        <v>0</v>
      </c>
      <c r="M3" s="17" t="s">
        <v>1</v>
      </c>
      <c r="N3" s="17" t="s">
        <v>2</v>
      </c>
      <c r="O3" s="26" t="s">
        <v>139</v>
      </c>
      <c r="P3" s="17"/>
      <c r="Q3" s="17"/>
      <c r="R3" s="17"/>
      <c r="S3" s="27"/>
    </row>
    <row r="4" spans="1:40" x14ac:dyDescent="0.2">
      <c r="G4" s="15" t="s">
        <v>14</v>
      </c>
      <c r="H4" s="14">
        <v>18.608724594116211</v>
      </c>
      <c r="I4" s="14">
        <v>13.059191703796387</v>
      </c>
      <c r="J4" s="14">
        <v>13.710540771484375</v>
      </c>
      <c r="K4" s="14">
        <f>AVERAGE(H4:J4)</f>
        <v>15.126152356465658</v>
      </c>
      <c r="L4" s="14">
        <v>17.259920120239258</v>
      </c>
      <c r="M4" s="14">
        <v>15.054447174072266</v>
      </c>
      <c r="N4" s="14">
        <v>13.936203956604004</v>
      </c>
      <c r="O4" s="13">
        <f>AVERAGE(L4:N4)</f>
        <v>15.41685708363851</v>
      </c>
      <c r="P4" s="14"/>
      <c r="Q4" s="14"/>
      <c r="R4" s="14"/>
      <c r="S4" s="14"/>
    </row>
    <row r="5" spans="1:40" x14ac:dyDescent="0.2">
      <c r="G5" s="15" t="s">
        <v>27</v>
      </c>
      <c r="H5" s="14">
        <v>18.293333053588867</v>
      </c>
      <c r="I5" s="14">
        <v>13.1982421875</v>
      </c>
      <c r="J5" s="14">
        <v>13.888801574707031</v>
      </c>
      <c r="K5" s="14">
        <f>AVERAGE(H5:J5)</f>
        <v>15.126792271931967</v>
      </c>
      <c r="L5" s="14">
        <v>17.903501510620117</v>
      </c>
      <c r="M5" s="14">
        <v>15.07369327545166</v>
      </c>
      <c r="N5" s="14">
        <v>13.842320442199707</v>
      </c>
      <c r="O5" s="13">
        <f>AVERAGE(L5:N5)</f>
        <v>15.606505076090494</v>
      </c>
      <c r="P5" s="14"/>
      <c r="Q5" s="14"/>
      <c r="R5" s="14"/>
      <c r="S5" s="14"/>
    </row>
    <row r="6" spans="1:40" x14ac:dyDescent="0.2">
      <c r="G6" s="15" t="s">
        <v>31</v>
      </c>
      <c r="H6" s="14">
        <v>19.324455261230469</v>
      </c>
      <c r="I6" s="14">
        <v>14.422673225402832</v>
      </c>
      <c r="J6" s="14">
        <v>14.63084888458252</v>
      </c>
      <c r="K6" s="14">
        <f>AVERAGE(H6:J6)</f>
        <v>16.125992457071941</v>
      </c>
      <c r="L6" s="14">
        <v>18.105241775512695</v>
      </c>
      <c r="M6" s="14">
        <v>14.798229217529297</v>
      </c>
      <c r="N6" s="14">
        <v>13.757184028625488</v>
      </c>
      <c r="O6" s="13">
        <f>AVERAGE(L6:N6)</f>
        <v>15.55355167388916</v>
      </c>
      <c r="P6" s="14"/>
      <c r="Q6" s="14"/>
      <c r="R6" s="14"/>
      <c r="S6" s="14"/>
    </row>
    <row r="7" spans="1:40" ht="13.5" thickBot="1" x14ac:dyDescent="0.25">
      <c r="G7" s="12" t="s">
        <v>123</v>
      </c>
      <c r="H7" s="11">
        <v>18.723886489868164</v>
      </c>
      <c r="I7" s="11">
        <v>13.83995532989502</v>
      </c>
      <c r="J7" s="11">
        <v>14.221776008605957</v>
      </c>
      <c r="K7" s="11">
        <f>AVERAGE(H7:J7)</f>
        <v>15.595205942789713</v>
      </c>
      <c r="L7" s="11">
        <v>19.872766494750977</v>
      </c>
      <c r="M7" s="11">
        <v>15.589493751525879</v>
      </c>
      <c r="N7" s="11">
        <v>14.595110893249512</v>
      </c>
      <c r="O7" s="10">
        <f>AVERAGE(L7:N7)</f>
        <v>16.685790379842121</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138</v>
      </c>
      <c r="E9" s="21"/>
      <c r="F9" s="21"/>
      <c r="G9" s="21"/>
      <c r="H9" s="21"/>
      <c r="I9" s="21"/>
      <c r="J9" s="21" t="s">
        <v>137</v>
      </c>
      <c r="K9" s="21"/>
      <c r="L9" s="21"/>
      <c r="M9" s="21"/>
      <c r="N9" s="21"/>
      <c r="O9" s="20"/>
      <c r="R9" s="17"/>
      <c r="S9" s="22" t="s">
        <v>143</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135</v>
      </c>
      <c r="W10" s="17" t="s">
        <v>134</v>
      </c>
      <c r="X10" s="17" t="s">
        <v>37</v>
      </c>
      <c r="Y10" s="17" t="s">
        <v>135</v>
      </c>
      <c r="Z10" s="17" t="s">
        <v>134</v>
      </c>
      <c r="AA10" s="17" t="s">
        <v>49</v>
      </c>
      <c r="AB10" s="17" t="s">
        <v>135</v>
      </c>
      <c r="AC10" s="19" t="s">
        <v>134</v>
      </c>
      <c r="AN10" s="16"/>
    </row>
    <row r="11" spans="1:40" x14ac:dyDescent="0.2">
      <c r="A11" s="15" t="s">
        <v>5</v>
      </c>
      <c r="B11" s="14" t="s">
        <v>14</v>
      </c>
      <c r="C11" s="14" t="s">
        <v>3</v>
      </c>
      <c r="D11" s="14">
        <v>14.50296688079834</v>
      </c>
      <c r="E11" s="14">
        <f>D11-15.12615</f>
        <v>-0.62318311920166103</v>
      </c>
      <c r="F11" s="14">
        <f>POWER(2,-E11)</f>
        <v>1.5402698402954127</v>
      </c>
      <c r="G11" s="14">
        <v>79.304519653320313</v>
      </c>
      <c r="H11" s="14" t="s">
        <v>24</v>
      </c>
      <c r="I11" s="14" t="s">
        <v>25</v>
      </c>
      <c r="J11" s="14">
        <v>14.048232078552246</v>
      </c>
      <c r="K11" s="14">
        <f>J11-15.41686</f>
        <v>-1.3686279214477537</v>
      </c>
      <c r="L11" s="14">
        <f>POWER(2,-K11)</f>
        <v>2.5822486393677035</v>
      </c>
      <c r="M11" s="14">
        <v>79.141120910644531</v>
      </c>
      <c r="N11" s="14" t="s">
        <v>24</v>
      </c>
      <c r="O11" s="13" t="s">
        <v>25</v>
      </c>
      <c r="R11" s="14"/>
      <c r="S11" s="15"/>
      <c r="T11" s="14" t="s">
        <v>150</v>
      </c>
      <c r="U11" s="14">
        <v>1.5402723561396092</v>
      </c>
      <c r="V11" s="14">
        <f>U11/U11</f>
        <v>1</v>
      </c>
      <c r="W11" s="14">
        <f>AVERAGE(V11:V16)</f>
        <v>1</v>
      </c>
      <c r="X11" s="14">
        <v>3.8405457659654488E-2</v>
      </c>
      <c r="Y11" s="14">
        <f>X11/X11</f>
        <v>1</v>
      </c>
      <c r="Z11" s="14">
        <f>AVERAGE(Y11:Y16)</f>
        <v>1</v>
      </c>
      <c r="AA11" s="14">
        <v>3.8405457659654488E-2</v>
      </c>
      <c r="AB11" s="14">
        <f>AA11/AA11</f>
        <v>1</v>
      </c>
      <c r="AC11" s="13">
        <f>AVERAGE(AB11:AB16)</f>
        <v>1</v>
      </c>
    </row>
    <row r="12" spans="1:40" x14ac:dyDescent="0.2">
      <c r="A12" s="15" t="s">
        <v>6</v>
      </c>
      <c r="B12" s="14" t="s">
        <v>14</v>
      </c>
      <c r="C12" s="14" t="s">
        <v>3</v>
      </c>
      <c r="D12" s="14">
        <v>14.565154075622559</v>
      </c>
      <c r="E12" s="14">
        <f t="shared" ref="E12:E13" si="0">D12-15.12615</f>
        <v>-0.56099592437744228</v>
      </c>
      <c r="F12" s="14">
        <f t="shared" ref="F12:F46" si="1">POWER(2,-E12)</f>
        <v>1.475287289381088</v>
      </c>
      <c r="G12" s="14">
        <v>79.155418395996094</v>
      </c>
      <c r="H12" s="14" t="s">
        <v>24</v>
      </c>
      <c r="I12" s="14" t="s">
        <v>25</v>
      </c>
      <c r="J12" s="14">
        <v>14.118778228759766</v>
      </c>
      <c r="K12" s="14">
        <f t="shared" ref="K12:K13" si="2">J12-15.41686</f>
        <v>-1.2980817712402342</v>
      </c>
      <c r="L12" s="14">
        <f t="shared" ref="L12:L46" si="3">POWER(2,-K12)</f>
        <v>2.4590171064308008</v>
      </c>
      <c r="M12" s="14">
        <v>79.141120910644531</v>
      </c>
      <c r="N12" s="14" t="s">
        <v>24</v>
      </c>
      <c r="O12" s="13" t="s">
        <v>25</v>
      </c>
      <c r="R12" s="14"/>
      <c r="S12" s="15"/>
      <c r="T12" s="14" t="s">
        <v>150</v>
      </c>
      <c r="U12" s="14">
        <v>1.4752896990841595</v>
      </c>
      <c r="V12" s="14">
        <f t="shared" ref="V12:V16" si="4">U12/U12</f>
        <v>1</v>
      </c>
      <c r="W12" s="14">
        <f>STDEV(V11:V16)</f>
        <v>0</v>
      </c>
      <c r="X12" s="14">
        <v>3.8180273965057562E-2</v>
      </c>
      <c r="Y12" s="14">
        <f t="shared" ref="Y12:Y16" si="5">X12/X12</f>
        <v>1</v>
      </c>
      <c r="Z12" s="14">
        <f>STDEV(Y11:Y16)</f>
        <v>0</v>
      </c>
      <c r="AA12" s="14">
        <v>3.8180273965057562E-2</v>
      </c>
      <c r="AB12" s="14">
        <f t="shared" ref="AB12:AB16" si="6">AA12/AA12</f>
        <v>1</v>
      </c>
      <c r="AC12" s="13">
        <f>STDEV(AB11:AB16)</f>
        <v>0</v>
      </c>
    </row>
    <row r="13" spans="1:40" x14ac:dyDescent="0.2">
      <c r="A13" s="15" t="s">
        <v>7</v>
      </c>
      <c r="B13" s="14" t="s">
        <v>14</v>
      </c>
      <c r="C13" s="14" t="s">
        <v>3</v>
      </c>
      <c r="D13" s="14">
        <v>14.544414520263672</v>
      </c>
      <c r="E13" s="14">
        <f t="shared" si="0"/>
        <v>-0.581735479736329</v>
      </c>
      <c r="F13" s="14">
        <f t="shared" si="1"/>
        <v>1.4966485489152184</v>
      </c>
      <c r="G13" s="14">
        <v>79.1524658203125</v>
      </c>
      <c r="H13" s="14" t="s">
        <v>24</v>
      </c>
      <c r="I13" s="14" t="s">
        <v>25</v>
      </c>
      <c r="J13" s="14">
        <v>14.204913139343262</v>
      </c>
      <c r="K13" s="14">
        <f t="shared" si="2"/>
        <v>-1.2119468606567381</v>
      </c>
      <c r="L13" s="14">
        <f t="shared" si="3"/>
        <v>2.3165002862687532</v>
      </c>
      <c r="M13" s="14">
        <v>78.989959716796875</v>
      </c>
      <c r="N13" s="14" t="s">
        <v>24</v>
      </c>
      <c r="O13" s="13" t="s">
        <v>25</v>
      </c>
      <c r="R13" s="14"/>
      <c r="S13" s="15"/>
      <c r="T13" s="14" t="s">
        <v>150</v>
      </c>
      <c r="U13" s="14">
        <v>1.4966509935093195</v>
      </c>
      <c r="V13" s="14">
        <f t="shared" si="4"/>
        <v>1</v>
      </c>
      <c r="W13" s="14"/>
      <c r="X13" s="14">
        <v>3.7191336275857211E-2</v>
      </c>
      <c r="Y13" s="14">
        <f t="shared" si="5"/>
        <v>1</v>
      </c>
      <c r="Z13" s="14"/>
      <c r="AA13" s="14">
        <v>3.7191336275857211E-2</v>
      </c>
      <c r="AB13" s="14">
        <f t="shared" si="6"/>
        <v>1</v>
      </c>
      <c r="AC13" s="13"/>
    </row>
    <row r="14" spans="1:40" x14ac:dyDescent="0.2">
      <c r="A14" s="15" t="s">
        <v>26</v>
      </c>
      <c r="B14" s="14" t="s">
        <v>27</v>
      </c>
      <c r="C14" s="14" t="s">
        <v>3</v>
      </c>
      <c r="D14" s="14">
        <v>14.144407272338867</v>
      </c>
      <c r="E14" s="14">
        <f>D14-15.12679</f>
        <v>-0.98238272766113255</v>
      </c>
      <c r="F14" s="14">
        <f t="shared" si="1"/>
        <v>1.9757257869491287</v>
      </c>
      <c r="G14" s="14">
        <v>79.1524658203125</v>
      </c>
      <c r="H14" s="14" t="s">
        <v>24</v>
      </c>
      <c r="I14" s="14" t="s">
        <v>25</v>
      </c>
      <c r="J14" s="14">
        <v>15.162886619567871</v>
      </c>
      <c r="K14" s="14">
        <f>J14-15.60651</f>
        <v>-0.44362338043212901</v>
      </c>
      <c r="L14" s="14">
        <f t="shared" si="3"/>
        <v>1.3600157701469289</v>
      </c>
      <c r="M14" s="14">
        <v>78.989959716796875</v>
      </c>
      <c r="N14" s="14" t="s">
        <v>24</v>
      </c>
      <c r="O14" s="13" t="s">
        <v>25</v>
      </c>
      <c r="R14" s="14"/>
      <c r="S14" s="15"/>
      <c r="T14" s="14" t="s">
        <v>150</v>
      </c>
      <c r="U14" s="14">
        <v>2.5822434194406467</v>
      </c>
      <c r="V14" s="14">
        <f t="shared" si="4"/>
        <v>1</v>
      </c>
      <c r="W14" s="14"/>
      <c r="X14" s="14">
        <v>3.8201985298215793E-2</v>
      </c>
      <c r="Y14" s="14">
        <f t="shared" si="5"/>
        <v>1</v>
      </c>
      <c r="Z14" s="14"/>
      <c r="AA14" s="14">
        <v>1.9974057683742465E-2</v>
      </c>
      <c r="AB14" s="14">
        <f t="shared" si="6"/>
        <v>1</v>
      </c>
      <c r="AC14" s="13"/>
    </row>
    <row r="15" spans="1:40" x14ac:dyDescent="0.2">
      <c r="A15" s="15" t="s">
        <v>28</v>
      </c>
      <c r="B15" s="14" t="s">
        <v>27</v>
      </c>
      <c r="C15" s="14" t="s">
        <v>3</v>
      </c>
      <c r="D15" s="14">
        <v>14.059597015380859</v>
      </c>
      <c r="E15" s="14">
        <f t="shared" ref="E15:E16" si="7">D15-15.12679</f>
        <v>-1.0671929846191404</v>
      </c>
      <c r="F15" s="14">
        <f t="shared" si="1"/>
        <v>2.0953525239398103</v>
      </c>
      <c r="G15" s="14">
        <v>79.153472900390625</v>
      </c>
      <c r="H15" s="14" t="s">
        <v>24</v>
      </c>
      <c r="I15" s="14" t="s">
        <v>25</v>
      </c>
      <c r="J15" s="14">
        <v>15.148985862731934</v>
      </c>
      <c r="K15" s="14">
        <f t="shared" ref="K15:K16" si="8">J15-15.60651</f>
        <v>-0.45752413726806651</v>
      </c>
      <c r="L15" s="14">
        <f t="shared" si="3"/>
        <v>1.3731832239708561</v>
      </c>
      <c r="M15" s="14">
        <v>78.990402221679688</v>
      </c>
      <c r="N15" s="14" t="s">
        <v>24</v>
      </c>
      <c r="O15" s="13" t="s">
        <v>25</v>
      </c>
      <c r="R15" s="14"/>
      <c r="S15" s="15"/>
      <c r="T15" s="14" t="s">
        <v>150</v>
      </c>
      <c r="U15" s="14">
        <v>2.4590121356120616</v>
      </c>
      <c r="V15" s="14">
        <f t="shared" si="4"/>
        <v>1</v>
      </c>
      <c r="W15" s="14"/>
      <c r="X15" s="14">
        <v>3.8636770748873839E-2</v>
      </c>
      <c r="Y15" s="14">
        <f t="shared" si="5"/>
        <v>1</v>
      </c>
      <c r="Z15" s="14"/>
      <c r="AA15" s="14">
        <v>2.0144952410218325E-2</v>
      </c>
      <c r="AB15" s="14">
        <f t="shared" si="6"/>
        <v>1</v>
      </c>
      <c r="AC15" s="13"/>
    </row>
    <row r="16" spans="1:40" x14ac:dyDescent="0.2">
      <c r="A16" s="15" t="s">
        <v>29</v>
      </c>
      <c r="B16" s="14" t="s">
        <v>27</v>
      </c>
      <c r="C16" s="14" t="s">
        <v>3</v>
      </c>
      <c r="D16" s="14">
        <v>14.16026496887207</v>
      </c>
      <c r="E16" s="14">
        <f t="shared" si="7"/>
        <v>-0.96652503112792942</v>
      </c>
      <c r="F16" s="14">
        <f t="shared" si="1"/>
        <v>1.9541280823445994</v>
      </c>
      <c r="G16" s="14">
        <v>79.153472900390625</v>
      </c>
      <c r="H16" s="14" t="s">
        <v>24</v>
      </c>
      <c r="I16" s="14" t="s">
        <v>25</v>
      </c>
      <c r="J16" s="14">
        <v>15.147655487060547</v>
      </c>
      <c r="K16" s="14">
        <f t="shared" si="8"/>
        <v>-0.45885451293945323</v>
      </c>
      <c r="L16" s="14">
        <f t="shared" si="3"/>
        <v>1.3744500836132856</v>
      </c>
      <c r="M16" s="14">
        <v>78.990402221679688</v>
      </c>
      <c r="N16" s="14" t="s">
        <v>24</v>
      </c>
      <c r="O16" s="13" t="s">
        <v>25</v>
      </c>
      <c r="R16" s="14"/>
      <c r="S16" s="15"/>
      <c r="T16" s="14" t="s">
        <v>150</v>
      </c>
      <c r="U16" s="14">
        <v>2.3164956035428776</v>
      </c>
      <c r="V16" s="14">
        <f t="shared" si="4"/>
        <v>1</v>
      </c>
      <c r="W16" s="14"/>
      <c r="X16" s="14">
        <v>3.6754395533955785E-2</v>
      </c>
      <c r="Y16" s="14">
        <f t="shared" si="5"/>
        <v>1</v>
      </c>
      <c r="Z16" s="14"/>
      <c r="AA16" s="14">
        <v>2.0113948726062158E-2</v>
      </c>
      <c r="AB16" s="14">
        <f t="shared" si="6"/>
        <v>1</v>
      </c>
      <c r="AC16" s="13"/>
    </row>
    <row r="17" spans="1:29" x14ac:dyDescent="0.2">
      <c r="A17" s="15" t="s">
        <v>30</v>
      </c>
      <c r="B17" s="14" t="s">
        <v>31</v>
      </c>
      <c r="C17" s="14" t="s">
        <v>3</v>
      </c>
      <c r="D17" s="14">
        <v>13.894190788269043</v>
      </c>
      <c r="E17" s="14">
        <f>D17-16.12599</f>
        <v>-2.2317992117309586</v>
      </c>
      <c r="F17" s="14">
        <f t="shared" si="1"/>
        <v>4.6971941035072371</v>
      </c>
      <c r="G17" s="14">
        <v>79.156044006347656</v>
      </c>
      <c r="H17" s="14" t="s">
        <v>24</v>
      </c>
      <c r="I17" s="14" t="s">
        <v>25</v>
      </c>
      <c r="J17" s="14">
        <v>11.083100318908691</v>
      </c>
      <c r="K17" s="14">
        <f>J17-15.55355</f>
        <v>-4.4704496810913081</v>
      </c>
      <c r="L17" s="14">
        <f t="shared" si="3"/>
        <v>22.168660277569614</v>
      </c>
      <c r="M17" s="14">
        <v>78.993698120117188</v>
      </c>
      <c r="N17" s="14" t="s">
        <v>24</v>
      </c>
      <c r="O17" s="13" t="s">
        <v>25</v>
      </c>
      <c r="R17" s="14"/>
      <c r="S17" s="15"/>
      <c r="T17" s="14" t="s">
        <v>4</v>
      </c>
      <c r="U17" s="14">
        <v>1.9757288982914296</v>
      </c>
      <c r="V17" s="14">
        <f>U17/U11</f>
        <v>1.2827139891306021</v>
      </c>
      <c r="W17" s="14">
        <f>AVERAGE(V17:V22)</f>
        <v>0.947853185708316</v>
      </c>
      <c r="X17" s="14">
        <v>3.82441051066865E-2</v>
      </c>
      <c r="Y17" s="14">
        <f>X17/X11</f>
        <v>0.99579870771498469</v>
      </c>
      <c r="Z17" s="14">
        <f>AVERAGE(Y17:Y22)</f>
        <v>1.0313535386211055</v>
      </c>
      <c r="AA17" s="14">
        <v>3.82441051066865E-2</v>
      </c>
      <c r="AB17" s="14">
        <f>AA17/AA11</f>
        <v>0.99579870771498469</v>
      </c>
      <c r="AC17" s="13">
        <f>AVERAGE(AB17:AB22)</f>
        <v>0.69576990575347086</v>
      </c>
    </row>
    <row r="18" spans="1:29" x14ac:dyDescent="0.2">
      <c r="A18" s="15" t="s">
        <v>32</v>
      </c>
      <c r="B18" s="14" t="s">
        <v>31</v>
      </c>
      <c r="C18" s="14" t="s">
        <v>3</v>
      </c>
      <c r="D18" s="14">
        <v>13.827547073364258</v>
      </c>
      <c r="E18" s="14">
        <f t="shared" ref="E18:E19" si="9">D18-16.12599</f>
        <v>-2.2984429266357438</v>
      </c>
      <c r="F18" s="14">
        <f t="shared" si="1"/>
        <v>4.9192655173838942</v>
      </c>
      <c r="G18" s="14">
        <v>79.156044006347656</v>
      </c>
      <c r="H18" s="14" t="s">
        <v>24</v>
      </c>
      <c r="I18" s="14" t="s">
        <v>25</v>
      </c>
      <c r="J18" s="14">
        <v>11.009733200073242</v>
      </c>
      <c r="K18" s="14">
        <f t="shared" ref="K18:K19" si="10">J18-15.55355</f>
        <v>-4.5438167999267574</v>
      </c>
      <c r="L18" s="14">
        <f t="shared" si="3"/>
        <v>23.325187933005001</v>
      </c>
      <c r="M18" s="14">
        <v>78.993698120117188</v>
      </c>
      <c r="N18" s="14" t="s">
        <v>24</v>
      </c>
      <c r="O18" s="13" t="s">
        <v>25</v>
      </c>
      <c r="R18" s="14"/>
      <c r="S18" s="15"/>
      <c r="T18" s="14" t="s">
        <v>4</v>
      </c>
      <c r="U18" s="14">
        <v>2.0953558236684393</v>
      </c>
      <c r="V18" s="14">
        <f t="shared" ref="V18:V22" si="11">U18/U12</f>
        <v>1.420301263520791</v>
      </c>
      <c r="W18" s="14">
        <f>STDEV(V17:V22)</f>
        <v>0.42850892770600457</v>
      </c>
      <c r="X18" s="14">
        <v>3.8882043488853171E-2</v>
      </c>
      <c r="Y18" s="14">
        <f t="shared" ref="Y18:Y22" si="12">X18/X12</f>
        <v>1.0183804213777476</v>
      </c>
      <c r="Z18" s="14">
        <f>STDEV(Y17:Y22)</f>
        <v>2.6898508982302668E-2</v>
      </c>
      <c r="AA18" s="14">
        <v>3.8882043488853171E-2</v>
      </c>
      <c r="AB18" s="14">
        <f t="shared" ref="AB18:AB22" si="13">AA18/AA12</f>
        <v>1.0183804213777476</v>
      </c>
      <c r="AC18" s="13">
        <f>STDEV(AB17:AB22)</f>
        <v>0.34824539178816682</v>
      </c>
    </row>
    <row r="19" spans="1:29" x14ac:dyDescent="0.2">
      <c r="A19" s="15" t="s">
        <v>33</v>
      </c>
      <c r="B19" s="14" t="s">
        <v>31</v>
      </c>
      <c r="C19" s="14" t="s">
        <v>3</v>
      </c>
      <c r="D19" s="14">
        <v>13.873188972473145</v>
      </c>
      <c r="E19" s="14">
        <f t="shared" si="9"/>
        <v>-2.2528010275268571</v>
      </c>
      <c r="F19" s="14">
        <f t="shared" si="1"/>
        <v>4.7660729294907709</v>
      </c>
      <c r="G19" s="14">
        <v>79.300971984863281</v>
      </c>
      <c r="H19" s="14" t="s">
        <v>24</v>
      </c>
      <c r="I19" s="14" t="s">
        <v>25</v>
      </c>
      <c r="J19" s="14">
        <v>11.039707183837891</v>
      </c>
      <c r="K19" s="14">
        <f t="shared" si="10"/>
        <v>-4.5138428161621089</v>
      </c>
      <c r="L19" s="14">
        <f t="shared" si="3"/>
        <v>22.845574478976573</v>
      </c>
      <c r="M19" s="14">
        <v>78.989349365234375</v>
      </c>
      <c r="N19" s="14" t="s">
        <v>24</v>
      </c>
      <c r="O19" s="13" t="s">
        <v>25</v>
      </c>
      <c r="R19" s="14"/>
      <c r="S19" s="15"/>
      <c r="T19" s="14" t="s">
        <v>4</v>
      </c>
      <c r="U19" s="14">
        <v>1.9541311596751703</v>
      </c>
      <c r="V19" s="14">
        <f t="shared" si="11"/>
        <v>1.305669236281439</v>
      </c>
      <c r="W19" s="14"/>
      <c r="X19" s="14">
        <v>3.8174040549408733E-2</v>
      </c>
      <c r="Y19" s="14">
        <f t="shared" si="12"/>
        <v>1.0264229353380196</v>
      </c>
      <c r="Z19" s="14"/>
      <c r="AA19" s="14">
        <v>3.8174040549408733E-2</v>
      </c>
      <c r="AB19" s="14">
        <f t="shared" si="13"/>
        <v>1.0264229353380196</v>
      </c>
      <c r="AC19" s="13"/>
    </row>
    <row r="20" spans="1:29" x14ac:dyDescent="0.2">
      <c r="A20" s="15" t="s">
        <v>34</v>
      </c>
      <c r="B20" s="14" t="s">
        <v>123</v>
      </c>
      <c r="C20" s="14" t="s">
        <v>3</v>
      </c>
      <c r="D20" s="14">
        <v>12.920967102050781</v>
      </c>
      <c r="E20" s="14">
        <f>D20-15.59521</f>
        <v>-2.6742428979492185</v>
      </c>
      <c r="F20" s="14">
        <f t="shared" si="1"/>
        <v>6.3830365017496886</v>
      </c>
      <c r="G20" s="14">
        <v>79.300971984863281</v>
      </c>
      <c r="H20" s="14" t="s">
        <v>24</v>
      </c>
      <c r="I20" s="14" t="s">
        <v>25</v>
      </c>
      <c r="J20" s="14">
        <v>12.947345733642578</v>
      </c>
      <c r="K20" s="14">
        <f>J20-16.68579</f>
        <v>-3.7384442663574227</v>
      </c>
      <c r="L20" s="14">
        <f t="shared" si="3"/>
        <v>13.34700617184277</v>
      </c>
      <c r="M20" s="14">
        <v>78.989349365234375</v>
      </c>
      <c r="N20" s="14" t="s">
        <v>24</v>
      </c>
      <c r="O20" s="13" t="s">
        <v>25</v>
      </c>
      <c r="R20" s="14"/>
      <c r="S20" s="15"/>
      <c r="T20" s="14" t="s">
        <v>4</v>
      </c>
      <c r="U20" s="14">
        <v>1.3600111284291982</v>
      </c>
      <c r="V20" s="14">
        <f t="shared" si="11"/>
        <v>0.526678127317601</v>
      </c>
      <c r="W20" s="14"/>
      <c r="X20" s="14">
        <v>3.9178886195997936E-2</v>
      </c>
      <c r="Y20" s="14">
        <f t="shared" si="12"/>
        <v>1.0255719929253984</v>
      </c>
      <c r="Z20" s="14"/>
      <c r="AA20" s="14">
        <v>7.4689848855578646E-3</v>
      </c>
      <c r="AB20" s="14">
        <f t="shared" si="13"/>
        <v>0.37393428034590659</v>
      </c>
      <c r="AC20" s="13"/>
    </row>
    <row r="21" spans="1:29" x14ac:dyDescent="0.2">
      <c r="A21" s="15" t="s">
        <v>35</v>
      </c>
      <c r="B21" s="14" t="s">
        <v>123</v>
      </c>
      <c r="C21" s="14" t="s">
        <v>3</v>
      </c>
      <c r="D21" s="14">
        <v>12.922874450683594</v>
      </c>
      <c r="E21" s="14">
        <f t="shared" ref="E21:E22" si="14">D21-15.59521</f>
        <v>-2.672335549316406</v>
      </c>
      <c r="F21" s="14">
        <f t="shared" si="1"/>
        <v>6.3746032353709454</v>
      </c>
      <c r="G21" s="14">
        <v>79.006645202636719</v>
      </c>
      <c r="H21" s="14" t="s">
        <v>24</v>
      </c>
      <c r="I21" s="14" t="s">
        <v>25</v>
      </c>
      <c r="J21" s="14">
        <v>12.973047256469727</v>
      </c>
      <c r="K21" s="14">
        <f t="shared" ref="K21:K22" si="15">J21-16.68579</f>
        <v>-3.7127427435302742</v>
      </c>
      <c r="L21" s="14">
        <f t="shared" si="3"/>
        <v>13.111335545006368</v>
      </c>
      <c r="M21" s="14">
        <v>78.842941284179688</v>
      </c>
      <c r="N21" s="14" t="s">
        <v>24</v>
      </c>
      <c r="O21" s="13" t="s">
        <v>25</v>
      </c>
      <c r="R21" s="14"/>
      <c r="S21" s="15"/>
      <c r="T21" s="14" t="s">
        <v>4</v>
      </c>
      <c r="U21" s="14">
        <v>1.3731785373127614</v>
      </c>
      <c r="V21" s="14">
        <f t="shared" si="11"/>
        <v>0.55842690543329498</v>
      </c>
      <c r="W21" s="14"/>
      <c r="X21" s="14">
        <v>4.0465113257493038E-2</v>
      </c>
      <c r="Y21" s="14">
        <f t="shared" si="12"/>
        <v>1.047321307479417</v>
      </c>
      <c r="Z21" s="14"/>
      <c r="AA21" s="14">
        <v>7.6413486858218005E-3</v>
      </c>
      <c r="AB21" s="14">
        <f t="shared" si="13"/>
        <v>0.37931827934951107</v>
      </c>
      <c r="AC21" s="13"/>
    </row>
    <row r="22" spans="1:29" x14ac:dyDescent="0.2">
      <c r="A22" s="15" t="s">
        <v>36</v>
      </c>
      <c r="B22" s="14" t="s">
        <v>123</v>
      </c>
      <c r="C22" s="14" t="s">
        <v>3</v>
      </c>
      <c r="D22" s="14">
        <v>13.019716262817383</v>
      </c>
      <c r="E22" s="14">
        <f t="shared" si="14"/>
        <v>-2.575493737182617</v>
      </c>
      <c r="F22" s="14">
        <f t="shared" si="1"/>
        <v>5.9607494658664448</v>
      </c>
      <c r="G22" s="14">
        <v>79.155769348144531</v>
      </c>
      <c r="H22" s="14" t="s">
        <v>24</v>
      </c>
      <c r="I22" s="14" t="s">
        <v>25</v>
      </c>
      <c r="J22" s="14">
        <v>12.941669464111328</v>
      </c>
      <c r="K22" s="14">
        <f t="shared" si="15"/>
        <v>-3.7441205358886727</v>
      </c>
      <c r="L22" s="14">
        <f t="shared" si="3"/>
        <v>13.399623279986399</v>
      </c>
      <c r="M22" s="14">
        <v>78.842941284179688</v>
      </c>
      <c r="N22" s="14" t="s">
        <v>24</v>
      </c>
      <c r="O22" s="13" t="s">
        <v>25</v>
      </c>
      <c r="R22" s="14"/>
      <c r="S22" s="15"/>
      <c r="T22" s="14" t="s">
        <v>4</v>
      </c>
      <c r="U22" s="14">
        <v>1.374445392631414</v>
      </c>
      <c r="V22" s="14">
        <f t="shared" si="11"/>
        <v>0.59332959256616757</v>
      </c>
      <c r="W22" s="14"/>
      <c r="X22" s="14">
        <v>3.949722416273433E-2</v>
      </c>
      <c r="Y22" s="14">
        <f t="shared" si="12"/>
        <v>1.0746258668910651</v>
      </c>
      <c r="Z22" s="14"/>
      <c r="AA22" s="14">
        <v>7.6586838729668727E-3</v>
      </c>
      <c r="AB22" s="14">
        <f t="shared" si="13"/>
        <v>0.38076481039465515</v>
      </c>
      <c r="AC22" s="13"/>
    </row>
    <row r="23" spans="1:29" x14ac:dyDescent="0.2">
      <c r="A23" s="15" t="s">
        <v>8</v>
      </c>
      <c r="B23" s="14" t="s">
        <v>14</v>
      </c>
      <c r="C23" s="14" t="s">
        <v>37</v>
      </c>
      <c r="D23" s="14">
        <v>19.828697204589844</v>
      </c>
      <c r="E23" s="14">
        <f>D23-15.12615</f>
        <v>4.7025472045898429</v>
      </c>
      <c r="F23" s="14">
        <f t="shared" si="1"/>
        <v>3.8405394929094283E-2</v>
      </c>
      <c r="G23" s="14">
        <v>78.111740112304688</v>
      </c>
      <c r="H23" s="14" t="s">
        <v>24</v>
      </c>
      <c r="I23" s="14" t="s">
        <v>25</v>
      </c>
      <c r="J23" s="14">
        <v>20.127065658569336</v>
      </c>
      <c r="K23" s="14">
        <f>J23-15.41686</f>
        <v>4.7102056585693362</v>
      </c>
      <c r="L23" s="14">
        <f t="shared" si="3"/>
        <v>3.8202062522374895E-2</v>
      </c>
      <c r="M23" s="14">
        <v>77.946624755859375</v>
      </c>
      <c r="N23" s="14" t="s">
        <v>24</v>
      </c>
      <c r="O23" s="13" t="s">
        <v>25</v>
      </c>
      <c r="R23" s="14"/>
      <c r="S23" s="15"/>
      <c r="T23" s="14" t="s">
        <v>118</v>
      </c>
      <c r="U23" s="14">
        <v>4.6972021033639839</v>
      </c>
      <c r="V23" s="14">
        <f>U23/U11</f>
        <v>3.049591901484618</v>
      </c>
      <c r="W23" s="14">
        <f>AVERAGE(V23:V28)</f>
        <v>6.2502211176244478</v>
      </c>
      <c r="X23" s="14">
        <v>5.7646916359069149E-2</v>
      </c>
      <c r="Y23" s="14">
        <f>X23/X11</f>
        <v>1.5010084470267386</v>
      </c>
      <c r="Z23" s="14">
        <f>AVERAGE(Y23:Y28)</f>
        <v>1.1499665231691956</v>
      </c>
      <c r="AA23" s="14">
        <v>5.7646916359069149E-2</v>
      </c>
      <c r="AB23" s="14">
        <f>AA23/AA11</f>
        <v>1.5010084470267386</v>
      </c>
      <c r="AC23" s="13">
        <f>AVERAGE(AB23:AB28)</f>
        <v>1.7452714947189492</v>
      </c>
    </row>
    <row r="24" spans="1:29" x14ac:dyDescent="0.2">
      <c r="A24" s="15" t="s">
        <v>9</v>
      </c>
      <c r="B24" s="14" t="s">
        <v>14</v>
      </c>
      <c r="C24" s="14" t="s">
        <v>37</v>
      </c>
      <c r="D24" s="14">
        <v>19.837181091308594</v>
      </c>
      <c r="E24" s="14">
        <f t="shared" ref="E24:E25" si="16">D24-15.12615</f>
        <v>4.7110310913085929</v>
      </c>
      <c r="F24" s="14">
        <f t="shared" si="1"/>
        <v>3.8180211602307057E-2</v>
      </c>
      <c r="G24" s="14">
        <v>78.111740112304688</v>
      </c>
      <c r="H24" s="14" t="s">
        <v>24</v>
      </c>
      <c r="I24" s="14" t="s">
        <v>25</v>
      </c>
      <c r="J24" s="14">
        <v>20.110738754272461</v>
      </c>
      <c r="K24" s="14">
        <f t="shared" ref="K24:K25" si="17">J24-15.41686</f>
        <v>4.6938787542724612</v>
      </c>
      <c r="L24" s="14">
        <f t="shared" si="3"/>
        <v>3.8636848851938591E-2</v>
      </c>
      <c r="M24" s="14">
        <v>77.946624755859375</v>
      </c>
      <c r="N24" s="14" t="s">
        <v>24</v>
      </c>
      <c r="O24" s="13" t="s">
        <v>25</v>
      </c>
      <c r="R24" s="14"/>
      <c r="S24" s="15"/>
      <c r="T24" s="14" t="s">
        <v>118</v>
      </c>
      <c r="U24" s="14">
        <v>4.9192738954535598</v>
      </c>
      <c r="V24" s="14">
        <f t="shared" ref="V24:V28" si="18">U24/U12</f>
        <v>3.3344460403318621</v>
      </c>
      <c r="W24" s="14">
        <f>STDEV(V23:V28)</f>
        <v>3.3796303100181402</v>
      </c>
      <c r="X24" s="14">
        <v>5.7638000074973876E-2</v>
      </c>
      <c r="Y24" s="14">
        <f t="shared" ref="Y24:Y28" si="19">X24/X12</f>
        <v>1.5096277236701849</v>
      </c>
      <c r="Z24" s="14">
        <f>STDEV(Y23:Y28)</f>
        <v>0.41833456834770499</v>
      </c>
      <c r="AA24" s="14">
        <v>5.7638000074973876E-2</v>
      </c>
      <c r="AB24" s="14">
        <f t="shared" ref="AB24:AB28" si="20">AA24/AA12</f>
        <v>1.5096277236701849</v>
      </c>
      <c r="AC24" s="13">
        <f>STDEV(AB23:AB28)</f>
        <v>0.24204607894803515</v>
      </c>
    </row>
    <row r="25" spans="1:29" x14ac:dyDescent="0.2">
      <c r="A25" s="15" t="s">
        <v>38</v>
      </c>
      <c r="B25" s="14" t="s">
        <v>14</v>
      </c>
      <c r="C25" s="14" t="s">
        <v>37</v>
      </c>
      <c r="D25" s="14">
        <v>19.875041961669922</v>
      </c>
      <c r="E25" s="14">
        <f t="shared" si="16"/>
        <v>4.748891961669921</v>
      </c>
      <c r="F25" s="14">
        <f t="shared" si="1"/>
        <v>3.7191275528413968E-2</v>
      </c>
      <c r="G25" s="14">
        <v>77.959465026855469</v>
      </c>
      <c r="H25" s="14" t="s">
        <v>24</v>
      </c>
      <c r="I25" s="14" t="s">
        <v>25</v>
      </c>
      <c r="J25" s="14">
        <v>20.182796478271484</v>
      </c>
      <c r="K25" s="14">
        <f t="shared" si="17"/>
        <v>4.7659364782714846</v>
      </c>
      <c r="L25" s="14">
        <f t="shared" si="3"/>
        <v>3.6754469831855915E-2</v>
      </c>
      <c r="M25" s="14">
        <v>77.795639038085938</v>
      </c>
      <c r="N25" s="14" t="s">
        <v>24</v>
      </c>
      <c r="O25" s="13" t="s">
        <v>25</v>
      </c>
      <c r="R25" s="14"/>
      <c r="S25" s="15"/>
      <c r="T25" s="14" t="s">
        <v>118</v>
      </c>
      <c r="U25" s="14">
        <v>4.7660810466560051</v>
      </c>
      <c r="V25" s="14">
        <f t="shared" si="18"/>
        <v>3.1844972991870244</v>
      </c>
      <c r="W25" s="14"/>
      <c r="X25" s="14">
        <v>5.8339248234899346E-2</v>
      </c>
      <c r="Y25" s="14">
        <f t="shared" si="19"/>
        <v>1.5686246872707912</v>
      </c>
      <c r="Z25" s="14"/>
      <c r="AA25" s="14">
        <v>5.8339248234899346E-2</v>
      </c>
      <c r="AB25" s="14">
        <f t="shared" si="20"/>
        <v>1.5686246872707912</v>
      </c>
      <c r="AC25" s="13"/>
    </row>
    <row r="26" spans="1:29" x14ac:dyDescent="0.2">
      <c r="A26" s="15" t="s">
        <v>39</v>
      </c>
      <c r="B26" s="14" t="s">
        <v>27</v>
      </c>
      <c r="C26" s="14" t="s">
        <v>37</v>
      </c>
      <c r="D26" s="14">
        <v>19.835411071777344</v>
      </c>
      <c r="E26" s="14">
        <f>D26-15.12679</f>
        <v>4.708621071777344</v>
      </c>
      <c r="F26" s="14">
        <f t="shared" si="1"/>
        <v>3.8244044880558277E-2</v>
      </c>
      <c r="G26" s="14">
        <v>78.108589172363281</v>
      </c>
      <c r="H26" s="14" t="s">
        <v>24</v>
      </c>
      <c r="I26" s="14" t="s">
        <v>25</v>
      </c>
      <c r="J26" s="14">
        <v>20.280284881591797</v>
      </c>
      <c r="K26" s="14">
        <f>J26-15.60651</f>
        <v>4.6737748815917968</v>
      </c>
      <c r="L26" s="14">
        <f t="shared" si="3"/>
        <v>3.9179019913529303E-2</v>
      </c>
      <c r="M26" s="14">
        <v>77.795639038085938</v>
      </c>
      <c r="N26" s="14" t="s">
        <v>24</v>
      </c>
      <c r="O26" s="13" t="s">
        <v>25</v>
      </c>
      <c r="R26" s="14"/>
      <c r="S26" s="15"/>
      <c r="T26" s="14" t="s">
        <v>118</v>
      </c>
      <c r="U26" s="14">
        <v>22.168685998807035</v>
      </c>
      <c r="V26" s="14">
        <f t="shared" si="18"/>
        <v>8.5850488888491814</v>
      </c>
      <c r="W26" s="14"/>
      <c r="X26" s="14">
        <v>3.2012974222211672E-2</v>
      </c>
      <c r="Y26" s="14">
        <f t="shared" si="19"/>
        <v>0.83799242296726462</v>
      </c>
      <c r="Z26" s="14"/>
      <c r="AA26" s="14">
        <v>3.8614165665758288E-2</v>
      </c>
      <c r="AB26" s="14">
        <f t="shared" si="20"/>
        <v>1.9332158881861852</v>
      </c>
      <c r="AC26" s="13"/>
    </row>
    <row r="27" spans="1:29" x14ac:dyDescent="0.2">
      <c r="A27" s="15" t="s">
        <v>40</v>
      </c>
      <c r="B27" s="14" t="s">
        <v>27</v>
      </c>
      <c r="C27" s="14" t="s">
        <v>37</v>
      </c>
      <c r="D27" s="14">
        <v>19.811544418334961</v>
      </c>
      <c r="E27" s="14">
        <f t="shared" ref="E27:E28" si="21">D27-15.12679</f>
        <v>4.6847544183349612</v>
      </c>
      <c r="F27" s="14">
        <f t="shared" si="1"/>
        <v>3.8881982258111056E-2</v>
      </c>
      <c r="G27" s="14">
        <v>78.109756469726563</v>
      </c>
      <c r="H27" s="14" t="s">
        <v>24</v>
      </c>
      <c r="I27" s="14" t="s">
        <v>25</v>
      </c>
      <c r="J27" s="14">
        <v>20.233682632446289</v>
      </c>
      <c r="K27" s="14">
        <f t="shared" ref="K27:K28" si="22">J27-15.60651</f>
        <v>4.627172632446289</v>
      </c>
      <c r="L27" s="14">
        <f t="shared" si="3"/>
        <v>4.0465251364917125E-2</v>
      </c>
      <c r="M27" s="14">
        <v>77.945411682128906</v>
      </c>
      <c r="N27" s="14" t="s">
        <v>24</v>
      </c>
      <c r="O27" s="13" t="s">
        <v>25</v>
      </c>
      <c r="R27" s="14"/>
      <c r="S27" s="15"/>
      <c r="T27" s="14" t="s">
        <v>118</v>
      </c>
      <c r="U27" s="14">
        <v>23.325214996106205</v>
      </c>
      <c r="V27" s="14">
        <f t="shared" si="18"/>
        <v>9.4856038562414131</v>
      </c>
      <c r="W27" s="14"/>
      <c r="X27" s="14">
        <v>3.2071137159715254E-2</v>
      </c>
      <c r="Y27" s="14">
        <f t="shared" si="19"/>
        <v>0.83006774474417078</v>
      </c>
      <c r="Z27" s="14"/>
      <c r="AA27" s="14">
        <v>3.9342708850772241E-2</v>
      </c>
      <c r="AB27" s="14">
        <f t="shared" si="20"/>
        <v>1.9529809775483038</v>
      </c>
      <c r="AC27" s="13"/>
    </row>
    <row r="28" spans="1:29" x14ac:dyDescent="0.2">
      <c r="A28" s="15" t="s">
        <v>41</v>
      </c>
      <c r="B28" s="14" t="s">
        <v>27</v>
      </c>
      <c r="C28" s="14" t="s">
        <v>37</v>
      </c>
      <c r="D28" s="14">
        <v>19.838056564331055</v>
      </c>
      <c r="E28" s="14">
        <f t="shared" si="21"/>
        <v>4.711266564331055</v>
      </c>
      <c r="F28" s="14">
        <f t="shared" si="1"/>
        <v>3.8173980433616903E-2</v>
      </c>
      <c r="G28" s="14">
        <v>78.109756469726563</v>
      </c>
      <c r="H28" s="14" t="s">
        <v>24</v>
      </c>
      <c r="I28" s="14" t="s">
        <v>25</v>
      </c>
      <c r="J28" s="14">
        <v>20.268610000610352</v>
      </c>
      <c r="K28" s="14">
        <f t="shared" si="22"/>
        <v>4.6621000006103515</v>
      </c>
      <c r="L28" s="14">
        <f t="shared" si="3"/>
        <v>3.9497358966753118E-2</v>
      </c>
      <c r="M28" s="14">
        <v>77.945411682128906</v>
      </c>
      <c r="N28" s="14" t="s">
        <v>24</v>
      </c>
      <c r="O28" s="13" t="s">
        <v>25</v>
      </c>
      <c r="R28" s="14"/>
      <c r="S28" s="15"/>
      <c r="T28" s="14" t="s">
        <v>118</v>
      </c>
      <c r="U28" s="14">
        <v>22.845600985605198</v>
      </c>
      <c r="V28" s="14">
        <f t="shared" si="18"/>
        <v>9.8621387196525863</v>
      </c>
      <c r="W28" s="14"/>
      <c r="X28" s="14">
        <v>2.398143865480145E-2</v>
      </c>
      <c r="Y28" s="14">
        <f t="shared" si="19"/>
        <v>0.65247811333602379</v>
      </c>
      <c r="Z28" s="14"/>
      <c r="AA28" s="14">
        <v>4.0352025549815838E-2</v>
      </c>
      <c r="AB28" s="14">
        <f t="shared" si="20"/>
        <v>2.0061712446114912</v>
      </c>
      <c r="AC28" s="13"/>
    </row>
    <row r="29" spans="1:29" x14ac:dyDescent="0.2">
      <c r="A29" s="15" t="s">
        <v>42</v>
      </c>
      <c r="B29" s="14" t="s">
        <v>31</v>
      </c>
      <c r="C29" s="14" t="s">
        <v>37</v>
      </c>
      <c r="D29" s="14">
        <v>20.242605209350586</v>
      </c>
      <c r="E29" s="14">
        <f>D29-16.12599</f>
        <v>4.1166152093505843</v>
      </c>
      <c r="F29" s="14">
        <f t="shared" si="1"/>
        <v>5.7646818179969639E-2</v>
      </c>
      <c r="G29" s="14">
        <v>78.11224365234375</v>
      </c>
      <c r="H29" s="14" t="s">
        <v>24</v>
      </c>
      <c r="I29" s="14" t="s">
        <v>25</v>
      </c>
      <c r="J29" s="14">
        <v>20.51875114440918</v>
      </c>
      <c r="K29" s="14">
        <f>J29-15.55355</f>
        <v>4.9652011444091801</v>
      </c>
      <c r="L29" s="14">
        <f t="shared" si="3"/>
        <v>3.2012937079130187E-2</v>
      </c>
      <c r="M29" s="14">
        <v>77.79925537109375</v>
      </c>
      <c r="N29" s="14" t="s">
        <v>24</v>
      </c>
      <c r="O29" s="13" t="s">
        <v>25</v>
      </c>
      <c r="R29" s="14"/>
      <c r="S29" s="15"/>
      <c r="T29" s="14" t="s">
        <v>16</v>
      </c>
      <c r="U29" s="14">
        <v>6.3830185511196467</v>
      </c>
      <c r="V29" s="14">
        <f>U29/U11</f>
        <v>4.1440843404587433</v>
      </c>
      <c r="W29" s="14">
        <f>AVERAGE(V29:V34)</f>
        <v>4.7888099821347145</v>
      </c>
      <c r="X29" s="14">
        <v>5.4526062113423625E-2</v>
      </c>
      <c r="Y29" s="14">
        <f>X29/X11</f>
        <v>1.4197477503491405</v>
      </c>
      <c r="Z29" s="14">
        <f>AVERAGE(Y29:Y34)</f>
        <v>1.1998452187399902</v>
      </c>
      <c r="AA29" s="14">
        <v>5.4526062113423625E-2</v>
      </c>
      <c r="AB29" s="14">
        <f>AA29/AA11</f>
        <v>1.4197477503491405</v>
      </c>
      <c r="AC29" s="13">
        <f>AVERAGE(AB29:AB34)</f>
        <v>1.0349729158685161</v>
      </c>
    </row>
    <row r="30" spans="1:29" x14ac:dyDescent="0.2">
      <c r="A30" s="15" t="s">
        <v>43</v>
      </c>
      <c r="B30" s="14" t="s">
        <v>31</v>
      </c>
      <c r="C30" s="14" t="s">
        <v>37</v>
      </c>
      <c r="D30" s="14">
        <v>20.242828369140625</v>
      </c>
      <c r="E30" s="14">
        <f t="shared" ref="E30:E31" si="23">D30-16.12599</f>
        <v>4.1168383691406234</v>
      </c>
      <c r="F30" s="14">
        <f t="shared" si="1"/>
        <v>5.7637901911059816E-2</v>
      </c>
      <c r="G30" s="14">
        <v>78.11224365234375</v>
      </c>
      <c r="H30" s="14" t="s">
        <v>24</v>
      </c>
      <c r="I30" s="14" t="s">
        <v>25</v>
      </c>
      <c r="J30" s="14">
        <v>20.516132354736328</v>
      </c>
      <c r="K30" s="14">
        <f t="shared" ref="K30:K31" si="24">J30-15.55355</f>
        <v>4.9625823547363286</v>
      </c>
      <c r="L30" s="14">
        <f t="shared" si="3"/>
        <v>3.2071099949150153E-2</v>
      </c>
      <c r="M30" s="14">
        <v>77.79925537109375</v>
      </c>
      <c r="N30" s="14" t="s">
        <v>24</v>
      </c>
      <c r="O30" s="13" t="s">
        <v>25</v>
      </c>
      <c r="R30" s="14"/>
      <c r="S30" s="15"/>
      <c r="T30" s="14" t="s">
        <v>16</v>
      </c>
      <c r="U30" s="14">
        <v>6.3745853084572728</v>
      </c>
      <c r="V30" s="14">
        <f t="shared" ref="V30:V34" si="25">U30/U12</f>
        <v>4.3209040993199723</v>
      </c>
      <c r="W30" s="14">
        <f>STDEV(V29:V34)</f>
        <v>0.7368915211074909</v>
      </c>
      <c r="X30" s="14">
        <v>5.6036137350445193E-2</v>
      </c>
      <c r="Y30" s="14">
        <f t="shared" ref="Y30:Y34" si="26">X30/X12</f>
        <v>1.4676724792946547</v>
      </c>
      <c r="Z30" s="14">
        <f>STDEV(Y29:Y34)</f>
        <v>0.29146408830463083</v>
      </c>
      <c r="AA30" s="14">
        <v>5.6036137350445193E-2</v>
      </c>
      <c r="AB30" s="14">
        <f t="shared" ref="AB30:AB34" si="27">AA30/AA12</f>
        <v>1.4676724792946547</v>
      </c>
      <c r="AC30" s="13">
        <f>STDEV(AB29:AB34)</f>
        <v>0.47162434545644943</v>
      </c>
    </row>
    <row r="31" spans="1:29" x14ac:dyDescent="0.2">
      <c r="A31" s="15" t="s">
        <v>44</v>
      </c>
      <c r="B31" s="14" t="s">
        <v>31</v>
      </c>
      <c r="C31" s="14" t="s">
        <v>37</v>
      </c>
      <c r="D31" s="14">
        <v>20.225381851196289</v>
      </c>
      <c r="E31" s="14">
        <f t="shared" si="23"/>
        <v>4.0993918511962875</v>
      </c>
      <c r="F31" s="14">
        <f t="shared" si="1"/>
        <v>5.8339148876681769E-2</v>
      </c>
      <c r="G31" s="14">
        <v>78.108016967773438</v>
      </c>
      <c r="H31" s="14" t="s">
        <v>24</v>
      </c>
      <c r="I31" s="14" t="s">
        <v>25</v>
      </c>
      <c r="J31" s="14">
        <v>20.935489654541016</v>
      </c>
      <c r="K31" s="14">
        <f t="shared" si="24"/>
        <v>5.3819396545410161</v>
      </c>
      <c r="L31" s="14">
        <f t="shared" si="3"/>
        <v>2.3981410830316168E-2</v>
      </c>
      <c r="M31" s="14">
        <v>77.645599365234375</v>
      </c>
      <c r="N31" s="14" t="s">
        <v>24</v>
      </c>
      <c r="O31" s="13" t="s">
        <v>65</v>
      </c>
      <c r="R31" s="14"/>
      <c r="S31" s="15"/>
      <c r="T31" s="14" t="s">
        <v>16</v>
      </c>
      <c r="U31" s="14">
        <v>5.9607327028088619</v>
      </c>
      <c r="V31" s="14">
        <f t="shared" si="25"/>
        <v>3.9827138916550253</v>
      </c>
      <c r="W31" s="14"/>
      <c r="X31" s="14">
        <v>5.6025322147416498E-2</v>
      </c>
      <c r="Y31" s="14">
        <f t="shared" si="26"/>
        <v>1.5064078830581138</v>
      </c>
      <c r="Z31" s="14"/>
      <c r="AA31" s="14">
        <v>5.6025322147416498E-2</v>
      </c>
      <c r="AB31" s="14">
        <f t="shared" si="27"/>
        <v>1.5064078830581138</v>
      </c>
      <c r="AC31" s="13"/>
    </row>
    <row r="32" spans="1:29" x14ac:dyDescent="0.2">
      <c r="A32" s="15" t="s">
        <v>45</v>
      </c>
      <c r="B32" s="14" t="s">
        <v>123</v>
      </c>
      <c r="C32" s="14" t="s">
        <v>37</v>
      </c>
      <c r="D32" s="14">
        <v>19.792116165161133</v>
      </c>
      <c r="E32" s="14">
        <f>D32-15.59521</f>
        <v>4.196906165161133</v>
      </c>
      <c r="F32" s="14">
        <f t="shared" si="1"/>
        <v>5.4526215454223266E-2</v>
      </c>
      <c r="G32" s="14">
        <v>78.108016967773438</v>
      </c>
      <c r="H32" s="14" t="s">
        <v>24</v>
      </c>
      <c r="I32" s="14" t="s">
        <v>25</v>
      </c>
      <c r="J32" s="14">
        <v>21.508382797241211</v>
      </c>
      <c r="K32" s="14">
        <f>J32-16.68579</f>
        <v>4.8225927972412101</v>
      </c>
      <c r="L32" s="14">
        <f t="shared" si="3"/>
        <v>3.5339053313951097E-2</v>
      </c>
      <c r="M32" s="14">
        <v>77.794906616210938</v>
      </c>
      <c r="N32" s="14" t="s">
        <v>24</v>
      </c>
      <c r="O32" s="13" t="s">
        <v>25</v>
      </c>
      <c r="R32" s="14"/>
      <c r="S32" s="15"/>
      <c r="T32" s="14" t="s">
        <v>16</v>
      </c>
      <c r="U32" s="14">
        <v>13.347009685929704</v>
      </c>
      <c r="V32" s="14">
        <f t="shared" si="25"/>
        <v>5.1687651076755845</v>
      </c>
      <c r="W32" s="14"/>
      <c r="X32" s="14">
        <v>3.5339062618247798E-2</v>
      </c>
      <c r="Y32" s="14">
        <f t="shared" si="26"/>
        <v>0.92505827491374626</v>
      </c>
      <c r="Z32" s="14"/>
      <c r="AA32" s="14">
        <v>1.2294045987464749E-2</v>
      </c>
      <c r="AB32" s="14">
        <f t="shared" si="27"/>
        <v>0.61550067503165728</v>
      </c>
      <c r="AC32" s="13"/>
    </row>
    <row r="33" spans="1:37" x14ac:dyDescent="0.2">
      <c r="A33" s="15" t="s">
        <v>46</v>
      </c>
      <c r="B33" s="14" t="s">
        <v>123</v>
      </c>
      <c r="C33" s="14" t="s">
        <v>37</v>
      </c>
      <c r="D33" s="14">
        <v>19.752704620361328</v>
      </c>
      <c r="E33" s="14">
        <f t="shared" ref="E33:E34" si="28">D33-15.59521</f>
        <v>4.1574946203613283</v>
      </c>
      <c r="F33" s="14">
        <f t="shared" si="1"/>
        <v>5.6036294937950641E-2</v>
      </c>
      <c r="G33" s="14">
        <v>77.962799072265625</v>
      </c>
      <c r="H33" s="14" t="s">
        <v>24</v>
      </c>
      <c r="I33" s="14" t="s">
        <v>25</v>
      </c>
      <c r="J33" s="14">
        <v>21.48558235168457</v>
      </c>
      <c r="K33" s="14">
        <f t="shared" ref="K33:K34" si="29">J33-16.68579</f>
        <v>4.7997923516845695</v>
      </c>
      <c r="L33" s="14">
        <f t="shared" si="3"/>
        <v>3.5901990625626767E-2</v>
      </c>
      <c r="M33" s="14">
        <v>77.648452758789063</v>
      </c>
      <c r="N33" s="14" t="s">
        <v>24</v>
      </c>
      <c r="O33" s="13" t="s">
        <v>25</v>
      </c>
      <c r="R33" s="14"/>
      <c r="S33" s="15"/>
      <c r="T33" s="14" t="s">
        <v>16</v>
      </c>
      <c r="U33" s="14">
        <v>13.111338997044399</v>
      </c>
      <c r="V33" s="14">
        <f t="shared" si="25"/>
        <v>5.3319537578373586</v>
      </c>
      <c r="W33" s="14"/>
      <c r="X33" s="14">
        <v>3.5902000078137278E-2</v>
      </c>
      <c r="Y33" s="14">
        <f t="shared" si="26"/>
        <v>0.92921844611415216</v>
      </c>
      <c r="Z33" s="14"/>
      <c r="AA33" s="14">
        <v>1.2468618792844853E-2</v>
      </c>
      <c r="AB33" s="14">
        <f t="shared" si="27"/>
        <v>0.61894506072500177</v>
      </c>
      <c r="AC33" s="13"/>
    </row>
    <row r="34" spans="1:37" ht="13.5" thickBot="1" x14ac:dyDescent="0.25">
      <c r="A34" s="15" t="s">
        <v>47</v>
      </c>
      <c r="B34" s="14" t="s">
        <v>123</v>
      </c>
      <c r="C34" s="14" t="s">
        <v>37</v>
      </c>
      <c r="D34" s="14">
        <v>19.752983093261719</v>
      </c>
      <c r="E34" s="14">
        <f t="shared" si="28"/>
        <v>4.157773093261719</v>
      </c>
      <c r="F34" s="14">
        <f t="shared" si="1"/>
        <v>5.6025479704506879E-2</v>
      </c>
      <c r="G34" s="14">
        <v>77.962799072265625</v>
      </c>
      <c r="H34" s="14" t="s">
        <v>24</v>
      </c>
      <c r="I34" s="14" t="s">
        <v>25</v>
      </c>
      <c r="J34" s="14">
        <v>21.524263381958008</v>
      </c>
      <c r="K34" s="14">
        <f t="shared" si="29"/>
        <v>4.838473381958007</v>
      </c>
      <c r="L34" s="14">
        <f t="shared" si="3"/>
        <v>3.4952188895604863E-2</v>
      </c>
      <c r="M34" s="14">
        <v>77.648452758789063</v>
      </c>
      <c r="N34" s="14" t="s">
        <v>24</v>
      </c>
      <c r="O34" s="13" t="s">
        <v>25</v>
      </c>
      <c r="R34" s="14"/>
      <c r="S34" s="12"/>
      <c r="T34" s="11" t="s">
        <v>16</v>
      </c>
      <c r="U34" s="11">
        <v>13.399626807926708</v>
      </c>
      <c r="V34" s="11">
        <f t="shared" si="25"/>
        <v>5.7844386958616063</v>
      </c>
      <c r="W34" s="11"/>
      <c r="X34" s="11">
        <v>3.4952198098045381E-2</v>
      </c>
      <c r="Y34" s="11">
        <f t="shared" si="26"/>
        <v>0.95096647871013329</v>
      </c>
      <c r="Z34" s="11"/>
      <c r="AA34" s="11">
        <v>1.1697541371722089E-2</v>
      </c>
      <c r="AB34" s="11">
        <f t="shared" si="27"/>
        <v>0.58156364675252881</v>
      </c>
      <c r="AC34" s="10"/>
    </row>
    <row r="35" spans="1:37" x14ac:dyDescent="0.2">
      <c r="A35" s="15" t="s">
        <v>48</v>
      </c>
      <c r="B35" s="14" t="s">
        <v>14</v>
      </c>
      <c r="C35" s="14" t="s">
        <v>49</v>
      </c>
      <c r="D35" s="14">
        <v>21.508049011230469</v>
      </c>
      <c r="E35" s="14">
        <f>D35-15.12615</f>
        <v>6.3818990112304679</v>
      </c>
      <c r="F35" s="14">
        <f t="shared" si="1"/>
        <v>1.1991043219624577E-2</v>
      </c>
      <c r="G35" s="14">
        <v>76.918968200683594</v>
      </c>
      <c r="H35" s="14" t="s">
        <v>24</v>
      </c>
      <c r="I35" s="14" t="s">
        <v>25</v>
      </c>
      <c r="J35" s="14">
        <v>21.062585830688477</v>
      </c>
      <c r="K35" s="14">
        <f>J35-15.41686</f>
        <v>5.6457258306884768</v>
      </c>
      <c r="L35" s="14">
        <f t="shared" si="3"/>
        <v>1.9974098060696603E-2</v>
      </c>
      <c r="M35" s="14">
        <v>76.75213623046875</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14</v>
      </c>
      <c r="C36" s="14" t="s">
        <v>49</v>
      </c>
      <c r="D36" s="14">
        <v>21.484811782836914</v>
      </c>
      <c r="E36" s="14">
        <f t="shared" ref="E36:E37" si="30">D36-15.12615</f>
        <v>6.3586617828369132</v>
      </c>
      <c r="F36" s="14">
        <f t="shared" si="1"/>
        <v>1.2185744587140699E-2</v>
      </c>
      <c r="G36" s="14">
        <v>76.918968200683594</v>
      </c>
      <c r="H36" s="14" t="s">
        <v>24</v>
      </c>
      <c r="I36" s="14" t="s">
        <v>25</v>
      </c>
      <c r="J36" s="14">
        <v>21.050294876098633</v>
      </c>
      <c r="K36" s="14">
        <f t="shared" ref="K36:K37" si="31">J36-15.41686</f>
        <v>5.633434876098633</v>
      </c>
      <c r="L36" s="14">
        <f t="shared" si="3"/>
        <v>2.0144993132630993E-2</v>
      </c>
      <c r="M36" s="14">
        <v>76.75213623046875</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14</v>
      </c>
      <c r="C37" s="14" t="s">
        <v>49</v>
      </c>
      <c r="D37" s="14">
        <v>21.478340148925781</v>
      </c>
      <c r="E37" s="14">
        <f t="shared" si="30"/>
        <v>6.3521901489257804</v>
      </c>
      <c r="F37" s="14">
        <f t="shared" si="1"/>
        <v>1.2240530123301863E-2</v>
      </c>
      <c r="G37" s="14">
        <v>76.91558837890625</v>
      </c>
      <c r="H37" s="14" t="s">
        <v>24</v>
      </c>
      <c r="I37" s="14" t="s">
        <v>25</v>
      </c>
      <c r="J37" s="14">
        <v>21.052516937255859</v>
      </c>
      <c r="K37" s="14">
        <f t="shared" si="31"/>
        <v>5.6356569372558596</v>
      </c>
      <c r="L37" s="14">
        <f t="shared" si="3"/>
        <v>2.0113989385801813E-2</v>
      </c>
      <c r="M37" s="14">
        <v>76.750602722167969</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27</v>
      </c>
      <c r="C38" s="14" t="s">
        <v>49</v>
      </c>
      <c r="D38" s="14">
        <v>20.921384811401367</v>
      </c>
      <c r="E38" s="14">
        <f>D38-15.12679</f>
        <v>5.7945948114013675</v>
      </c>
      <c r="F38" s="14">
        <f t="shared" si="1"/>
        <v>1.8015783287104462E-2</v>
      </c>
      <c r="G38" s="14">
        <v>76.91558837890625</v>
      </c>
      <c r="H38" s="14" t="s">
        <v>24</v>
      </c>
      <c r="I38" s="14" t="s">
        <v>25</v>
      </c>
      <c r="J38" s="14">
        <v>22.671377182006836</v>
      </c>
      <c r="K38" s="14">
        <f>J38-15.60651</f>
        <v>7.0648671820068358</v>
      </c>
      <c r="L38" s="14">
        <f t="shared" si="3"/>
        <v>7.4690103772019033E-3</v>
      </c>
      <c r="M38" s="14">
        <v>76.750602722167969</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27</v>
      </c>
      <c r="C39" s="14" t="s">
        <v>49</v>
      </c>
      <c r="D39" s="14">
        <v>20.886163711547852</v>
      </c>
      <c r="E39" s="14">
        <f t="shared" ref="E39:E40" si="32">D39-15.12679</f>
        <v>5.7593737115478518</v>
      </c>
      <c r="F39" s="14">
        <f t="shared" si="1"/>
        <v>1.8461022711534488E-2</v>
      </c>
      <c r="G39" s="14">
        <v>77.0660400390625</v>
      </c>
      <c r="H39" s="14" t="s">
        <v>24</v>
      </c>
      <c r="I39" s="14" t="s">
        <v>25</v>
      </c>
      <c r="J39" s="14">
        <v>22.638462066650391</v>
      </c>
      <c r="K39" s="14">
        <f t="shared" ref="K39:K40" si="33">J39-15.60651</f>
        <v>7.0319520666503905</v>
      </c>
      <c r="L39" s="14">
        <f t="shared" si="3"/>
        <v>7.6413747657434567E-3</v>
      </c>
      <c r="M39" s="14">
        <v>76.751129150390625</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27</v>
      </c>
      <c r="C40" s="14" t="s">
        <v>49</v>
      </c>
      <c r="D40" s="14">
        <v>20.876985549926758</v>
      </c>
      <c r="E40" s="14">
        <f t="shared" si="32"/>
        <v>5.7501955499267581</v>
      </c>
      <c r="F40" s="14">
        <f t="shared" si="1"/>
        <v>1.8578842734224492E-2</v>
      </c>
      <c r="G40" s="14">
        <v>77.0660400390625</v>
      </c>
      <c r="H40" s="14" t="s">
        <v>24</v>
      </c>
      <c r="I40" s="14" t="s">
        <v>25</v>
      </c>
      <c r="J40" s="14">
        <v>22.63519287109375</v>
      </c>
      <c r="K40" s="14">
        <f t="shared" si="33"/>
        <v>7.0286828710937499</v>
      </c>
      <c r="L40" s="14">
        <f t="shared" si="3"/>
        <v>7.6587100120535188E-3</v>
      </c>
      <c r="M40" s="14">
        <v>76.751129150390625</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31</v>
      </c>
      <c r="C41" s="14" t="s">
        <v>49</v>
      </c>
      <c r="D41" s="14">
        <v>22.085241317749023</v>
      </c>
      <c r="E41" s="14">
        <f>D41-16.12599</f>
        <v>5.9592513177490218</v>
      </c>
      <c r="F41" s="14">
        <f t="shared" si="1"/>
        <v>1.6072617213996544E-2</v>
      </c>
      <c r="G41" s="14">
        <v>77.068450927734375</v>
      </c>
      <c r="H41" s="14" t="s">
        <v>24</v>
      </c>
      <c r="I41" s="14" t="s">
        <v>25</v>
      </c>
      <c r="J41" s="14">
        <v>20.24827766418457</v>
      </c>
      <c r="K41" s="14">
        <f>J41-15.55355</f>
        <v>4.6947276641845708</v>
      </c>
      <c r="L41" s="14">
        <f t="shared" si="3"/>
        <v>3.8614120863638628E-2</v>
      </c>
      <c r="M41" s="14">
        <v>76.604820251464844</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31</v>
      </c>
      <c r="C42" s="14" t="s">
        <v>49</v>
      </c>
      <c r="D42" s="14">
        <v>22.065235137939453</v>
      </c>
      <c r="E42" s="14">
        <f t="shared" ref="E42:E43" si="34">D42-16.12599</f>
        <v>5.9392451379394515</v>
      </c>
      <c r="F42" s="14">
        <f t="shared" si="1"/>
        <v>1.6297052397729141E-2</v>
      </c>
      <c r="G42" s="14">
        <v>77.068450927734375</v>
      </c>
      <c r="H42" s="14" t="s">
        <v>24</v>
      </c>
      <c r="I42" s="14" t="s">
        <v>25</v>
      </c>
      <c r="J42" s="14">
        <v>20.221311569213867</v>
      </c>
      <c r="K42" s="14">
        <f t="shared" ref="K42:K43" si="35">J42-15.55355</f>
        <v>4.6677615692138676</v>
      </c>
      <c r="L42" s="14">
        <f t="shared" si="3"/>
        <v>3.9342663203359697E-2</v>
      </c>
      <c r="M42" s="14">
        <v>76.754127502441406</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31</v>
      </c>
      <c r="C43" s="14" t="s">
        <v>49</v>
      </c>
      <c r="D43" s="14">
        <v>22.07733154296875</v>
      </c>
      <c r="E43" s="14">
        <f t="shared" si="34"/>
        <v>5.9513415429687484</v>
      </c>
      <c r="F43" s="14">
        <f t="shared" si="1"/>
        <v>1.6160979565358783E-2</v>
      </c>
      <c r="G43" s="14">
        <v>77.064186096191406</v>
      </c>
      <c r="H43" s="14" t="s">
        <v>24</v>
      </c>
      <c r="I43" s="14" t="s">
        <v>25</v>
      </c>
      <c r="J43" s="14">
        <v>20.18476676940918</v>
      </c>
      <c r="K43" s="14">
        <f t="shared" si="35"/>
        <v>4.6312167694091801</v>
      </c>
      <c r="L43" s="14">
        <f t="shared" si="3"/>
        <v>4.0351978731342705E-2</v>
      </c>
      <c r="M43" s="14">
        <v>76.6004638671875</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123</v>
      </c>
      <c r="C44" s="14" t="s">
        <v>49</v>
      </c>
      <c r="D44" s="14">
        <v>21.341985702514648</v>
      </c>
      <c r="E44" s="14">
        <f>D44-15.59521</f>
        <v>5.7467757025146486</v>
      </c>
      <c r="F44" s="14">
        <f t="shared" si="1"/>
        <v>1.8622935332198078E-2</v>
      </c>
      <c r="G44" s="14">
        <v>76.915069580078125</v>
      </c>
      <c r="H44" s="14" t="s">
        <v>24</v>
      </c>
      <c r="I44" s="14" t="s">
        <v>25</v>
      </c>
      <c r="J44" s="14">
        <v>23.031686782836914</v>
      </c>
      <c r="K44" s="14">
        <f>J44-16.68579</f>
        <v>6.3458967828369133</v>
      </c>
      <c r="L44" s="14">
        <f t="shared" si="3"/>
        <v>1.2294042750608901E-2</v>
      </c>
      <c r="M44" s="14">
        <v>76.6004638671875</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123</v>
      </c>
      <c r="C45" s="14" t="s">
        <v>49</v>
      </c>
      <c r="D45" s="14">
        <v>21.398614883422852</v>
      </c>
      <c r="E45" s="14">
        <f t="shared" ref="E45:E46" si="36">D45-15.59521</f>
        <v>5.8034048834228518</v>
      </c>
      <c r="F45" s="14">
        <f t="shared" si="1"/>
        <v>1.7906101960238063E-2</v>
      </c>
      <c r="G45" s="14">
        <v>76.918952941894531</v>
      </c>
      <c r="H45" s="14" t="s">
        <v>24</v>
      </c>
      <c r="I45" s="14" t="s">
        <v>25</v>
      </c>
      <c r="J45" s="14">
        <v>23.011344909667969</v>
      </c>
      <c r="K45" s="14">
        <f t="shared" ref="K45:K46" si="37">J45-16.68579</f>
        <v>6.325554909667968</v>
      </c>
      <c r="L45" s="14">
        <f t="shared" si="3"/>
        <v>1.2468615510026346E-2</v>
      </c>
      <c r="M45" s="14">
        <v>76.603279113769531</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123</v>
      </c>
      <c r="C46" s="14" t="s">
        <v>49</v>
      </c>
      <c r="D46" s="14">
        <v>21.415977478027344</v>
      </c>
      <c r="E46" s="14">
        <f t="shared" si="36"/>
        <v>5.820767478027344</v>
      </c>
      <c r="F46" s="14">
        <f t="shared" si="1"/>
        <v>1.769189655316826E-2</v>
      </c>
      <c r="G46" s="14">
        <v>76.918952941894531</v>
      </c>
      <c r="H46" s="14" t="s">
        <v>24</v>
      </c>
      <c r="I46" s="14" t="s">
        <v>25</v>
      </c>
      <c r="J46" s="14">
        <v>23.10344123840332</v>
      </c>
      <c r="K46" s="14">
        <f t="shared" si="37"/>
        <v>6.4176512384033195</v>
      </c>
      <c r="L46" s="14">
        <f t="shared" si="3"/>
        <v>1.1697538291917831E-2</v>
      </c>
      <c r="M46" s="14">
        <v>76.603279113769531</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14</v>
      </c>
      <c r="C47" s="14" t="s">
        <v>0</v>
      </c>
      <c r="D47" s="14">
        <v>18.628652572631836</v>
      </c>
      <c r="E47" s="14" t="s">
        <v>24</v>
      </c>
      <c r="F47" s="14"/>
      <c r="G47" s="14">
        <v>76.024383544921875</v>
      </c>
      <c r="H47" s="14" t="s">
        <v>24</v>
      </c>
      <c r="I47" s="14" t="s">
        <v>25</v>
      </c>
      <c r="J47" s="14">
        <v>17.28778076171875</v>
      </c>
      <c r="K47" s="14"/>
      <c r="L47" s="14"/>
      <c r="M47" s="14">
        <v>75.856269836425781</v>
      </c>
      <c r="N47" s="14" t="s">
        <v>24</v>
      </c>
      <c r="O47" s="13" t="s">
        <v>25</v>
      </c>
      <c r="R47" s="14"/>
      <c r="S47" s="14"/>
      <c r="T47" s="14"/>
      <c r="U47" s="14"/>
      <c r="V47" s="14"/>
      <c r="W47" s="14"/>
      <c r="X47" s="14"/>
    </row>
    <row r="48" spans="1:37" x14ac:dyDescent="0.2">
      <c r="A48" s="15" t="s">
        <v>62</v>
      </c>
      <c r="B48" s="14" t="s">
        <v>14</v>
      </c>
      <c r="C48" s="14" t="s">
        <v>0</v>
      </c>
      <c r="D48" s="14">
        <v>18.587320327758789</v>
      </c>
      <c r="E48" s="14" t="s">
        <v>24</v>
      </c>
      <c r="F48" s="14"/>
      <c r="G48" s="14">
        <v>76.024383544921875</v>
      </c>
      <c r="H48" s="14" t="s">
        <v>24</v>
      </c>
      <c r="I48" s="14" t="s">
        <v>25</v>
      </c>
      <c r="J48" s="14">
        <v>17.244882583618164</v>
      </c>
      <c r="K48" s="14"/>
      <c r="L48" s="14"/>
      <c r="M48" s="14">
        <v>75.856269836425781</v>
      </c>
      <c r="N48" s="14" t="s">
        <v>24</v>
      </c>
      <c r="O48" s="13" t="s">
        <v>25</v>
      </c>
      <c r="R48" s="14"/>
      <c r="S48" s="14"/>
      <c r="T48" s="14"/>
      <c r="U48" s="14"/>
      <c r="V48" s="14"/>
      <c r="W48" s="14"/>
      <c r="X48" s="14"/>
    </row>
    <row r="49" spans="1:24" x14ac:dyDescent="0.2">
      <c r="A49" s="15" t="s">
        <v>63</v>
      </c>
      <c r="B49" s="14" t="s">
        <v>14</v>
      </c>
      <c r="C49" s="14" t="s">
        <v>0</v>
      </c>
      <c r="D49" s="14">
        <v>18.610200881958008</v>
      </c>
      <c r="E49" s="14" t="s">
        <v>24</v>
      </c>
      <c r="F49" s="14"/>
      <c r="G49" s="14">
        <v>76.020828247070313</v>
      </c>
      <c r="H49" s="14" t="s">
        <v>24</v>
      </c>
      <c r="I49" s="14" t="s">
        <v>25</v>
      </c>
      <c r="J49" s="14">
        <v>17.247097015380859</v>
      </c>
      <c r="K49" s="14"/>
      <c r="L49" s="14"/>
      <c r="M49" s="14">
        <v>75.854866027832031</v>
      </c>
      <c r="N49" s="14" t="s">
        <v>24</v>
      </c>
      <c r="O49" s="13" t="s">
        <v>25</v>
      </c>
      <c r="R49" s="14"/>
      <c r="S49" s="14"/>
      <c r="T49" s="14"/>
      <c r="U49" s="14"/>
      <c r="V49" s="14"/>
      <c r="W49" s="14"/>
      <c r="X49" s="14"/>
    </row>
    <row r="50" spans="1:24" x14ac:dyDescent="0.2">
      <c r="A50" s="15" t="s">
        <v>64</v>
      </c>
      <c r="B50" s="14" t="s">
        <v>27</v>
      </c>
      <c r="C50" s="14" t="s">
        <v>0</v>
      </c>
      <c r="D50" s="14">
        <v>18.936380386352539</v>
      </c>
      <c r="E50" s="14" t="s">
        <v>24</v>
      </c>
      <c r="F50" s="14"/>
      <c r="G50" s="14">
        <v>76.169952392578125</v>
      </c>
      <c r="H50" s="14" t="s">
        <v>24</v>
      </c>
      <c r="I50" s="14" t="s">
        <v>65</v>
      </c>
      <c r="J50" s="14">
        <v>17.908178329467773</v>
      </c>
      <c r="K50" s="14"/>
      <c r="L50" s="14"/>
      <c r="M50" s="14">
        <v>75.854866027832031</v>
      </c>
      <c r="N50" s="14" t="s">
        <v>24</v>
      </c>
      <c r="O50" s="13" t="s">
        <v>25</v>
      </c>
      <c r="R50" s="14"/>
      <c r="S50" s="14"/>
      <c r="T50" s="14"/>
      <c r="U50" s="14"/>
      <c r="V50" s="14"/>
      <c r="W50" s="14"/>
      <c r="X50" s="14"/>
    </row>
    <row r="51" spans="1:24" x14ac:dyDescent="0.2">
      <c r="A51" s="15" t="s">
        <v>66</v>
      </c>
      <c r="B51" s="14" t="s">
        <v>27</v>
      </c>
      <c r="C51" s="14" t="s">
        <v>0</v>
      </c>
      <c r="D51" s="14">
        <v>18.01678466796875</v>
      </c>
      <c r="E51" s="14" t="s">
        <v>24</v>
      </c>
      <c r="F51" s="14"/>
      <c r="G51" s="14">
        <v>76.171417236328125</v>
      </c>
      <c r="H51" s="14" t="s">
        <v>24</v>
      </c>
      <c r="I51" s="14" t="s">
        <v>25</v>
      </c>
      <c r="J51" s="14">
        <v>17.923557281494141</v>
      </c>
      <c r="K51" s="14"/>
      <c r="L51" s="14"/>
      <c r="M51" s="14">
        <v>75.855422973632813</v>
      </c>
      <c r="N51" s="14" t="s">
        <v>24</v>
      </c>
      <c r="O51" s="13" t="s">
        <v>25</v>
      </c>
      <c r="R51" s="14"/>
      <c r="S51" s="14"/>
      <c r="T51" s="14"/>
      <c r="U51" s="14"/>
      <c r="V51" s="14"/>
      <c r="W51" s="14"/>
      <c r="X51" s="14"/>
    </row>
    <row r="52" spans="1:24" x14ac:dyDescent="0.2">
      <c r="A52" s="15" t="s">
        <v>67</v>
      </c>
      <c r="B52" s="14" t="s">
        <v>27</v>
      </c>
      <c r="C52" s="14" t="s">
        <v>0</v>
      </c>
      <c r="D52" s="14">
        <v>17.926834106445313</v>
      </c>
      <c r="E52" s="14" t="s">
        <v>24</v>
      </c>
      <c r="F52" s="14"/>
      <c r="G52" s="14">
        <v>76.171417236328125</v>
      </c>
      <c r="H52" s="14" t="s">
        <v>24</v>
      </c>
      <c r="I52" s="14" t="s">
        <v>25</v>
      </c>
      <c r="J52" s="14">
        <v>17.878763198852539</v>
      </c>
      <c r="K52" s="14"/>
      <c r="L52" s="14"/>
      <c r="M52" s="14">
        <v>75.855422973632813</v>
      </c>
      <c r="N52" s="14" t="s">
        <v>24</v>
      </c>
      <c r="O52" s="13" t="s">
        <v>25</v>
      </c>
      <c r="R52" s="14"/>
      <c r="S52" s="14"/>
      <c r="T52" s="14"/>
      <c r="U52" s="14"/>
      <c r="V52" s="14"/>
      <c r="W52" s="14"/>
      <c r="X52" s="14"/>
    </row>
    <row r="53" spans="1:24" x14ac:dyDescent="0.2">
      <c r="A53" s="15" t="s">
        <v>68</v>
      </c>
      <c r="B53" s="14" t="s">
        <v>31</v>
      </c>
      <c r="C53" s="14" t="s">
        <v>0</v>
      </c>
      <c r="D53" s="14">
        <v>19.316095352172852</v>
      </c>
      <c r="E53" s="14" t="s">
        <v>24</v>
      </c>
      <c r="F53" s="14"/>
      <c r="G53" s="14">
        <v>76.17376708984375</v>
      </c>
      <c r="H53" s="14" t="s">
        <v>24</v>
      </c>
      <c r="I53" s="14" t="s">
        <v>25</v>
      </c>
      <c r="J53" s="14">
        <v>18.069618225097656</v>
      </c>
      <c r="K53" s="14"/>
      <c r="L53" s="14"/>
      <c r="M53" s="14">
        <v>75.708992004394531</v>
      </c>
      <c r="N53" s="14" t="s">
        <v>24</v>
      </c>
      <c r="O53" s="13" t="s">
        <v>25</v>
      </c>
      <c r="R53" s="14"/>
      <c r="S53" s="14"/>
      <c r="T53" s="14"/>
      <c r="U53" s="14"/>
      <c r="V53" s="14"/>
      <c r="W53" s="14"/>
      <c r="X53" s="14"/>
    </row>
    <row r="54" spans="1:24" x14ac:dyDescent="0.2">
      <c r="A54" s="15" t="s">
        <v>69</v>
      </c>
      <c r="B54" s="14" t="s">
        <v>31</v>
      </c>
      <c r="C54" s="14" t="s">
        <v>0</v>
      </c>
      <c r="D54" s="14">
        <v>19.323446273803711</v>
      </c>
      <c r="E54" s="14" t="s">
        <v>24</v>
      </c>
      <c r="F54" s="14"/>
      <c r="G54" s="14">
        <v>76.17376708984375</v>
      </c>
      <c r="H54" s="14" t="s">
        <v>24</v>
      </c>
      <c r="I54" s="14" t="s">
        <v>25</v>
      </c>
      <c r="J54" s="14">
        <v>18.154016494750977</v>
      </c>
      <c r="K54" s="14"/>
      <c r="L54" s="14"/>
      <c r="M54" s="14">
        <v>75.708992004394531</v>
      </c>
      <c r="N54" s="14" t="s">
        <v>24</v>
      </c>
      <c r="O54" s="13" t="s">
        <v>25</v>
      </c>
      <c r="R54" s="14"/>
      <c r="S54" s="14"/>
      <c r="T54" s="14"/>
      <c r="U54" s="14"/>
      <c r="V54" s="14"/>
      <c r="W54" s="14"/>
      <c r="X54" s="14"/>
    </row>
    <row r="55" spans="1:24" x14ac:dyDescent="0.2">
      <c r="A55" s="15" t="s">
        <v>70</v>
      </c>
      <c r="B55" s="14" t="s">
        <v>31</v>
      </c>
      <c r="C55" s="14" t="s">
        <v>0</v>
      </c>
      <c r="D55" s="14">
        <v>19.333826065063477</v>
      </c>
      <c r="E55" s="14" t="s">
        <v>24</v>
      </c>
      <c r="F55" s="14"/>
      <c r="G55" s="14">
        <v>76.020347595214844</v>
      </c>
      <c r="H55" s="14" t="s">
        <v>24</v>
      </c>
      <c r="I55" s="14" t="s">
        <v>25</v>
      </c>
      <c r="J55" s="14">
        <v>18.09208869934082</v>
      </c>
      <c r="K55" s="14"/>
      <c r="L55" s="14"/>
      <c r="M55" s="14">
        <v>75.704635620117188</v>
      </c>
      <c r="N55" s="14" t="s">
        <v>24</v>
      </c>
      <c r="O55" s="13" t="s">
        <v>25</v>
      </c>
      <c r="R55" s="14"/>
      <c r="S55" s="14"/>
      <c r="T55" s="14"/>
      <c r="U55" s="14"/>
      <c r="V55" s="14"/>
      <c r="W55" s="14"/>
      <c r="X55" s="14"/>
    </row>
    <row r="56" spans="1:24" x14ac:dyDescent="0.2">
      <c r="A56" s="15" t="s">
        <v>71</v>
      </c>
      <c r="B56" s="14" t="s">
        <v>123</v>
      </c>
      <c r="C56" s="14" t="s">
        <v>0</v>
      </c>
      <c r="D56" s="14">
        <v>18.70799446105957</v>
      </c>
      <c r="E56" s="14" t="s">
        <v>24</v>
      </c>
      <c r="F56" s="14"/>
      <c r="G56" s="14">
        <v>76.020347595214844</v>
      </c>
      <c r="H56" s="14" t="s">
        <v>24</v>
      </c>
      <c r="I56" s="14" t="s">
        <v>25</v>
      </c>
      <c r="J56" s="14">
        <v>19.857070922851563</v>
      </c>
      <c r="K56" s="14"/>
      <c r="L56" s="14"/>
      <c r="M56" s="14">
        <v>75.704635620117188</v>
      </c>
      <c r="N56" s="14" t="s">
        <v>24</v>
      </c>
      <c r="O56" s="13" t="s">
        <v>25</v>
      </c>
      <c r="R56" s="14"/>
      <c r="S56" s="14"/>
      <c r="T56" s="14"/>
      <c r="U56" s="14"/>
      <c r="V56" s="14"/>
      <c r="W56" s="14"/>
      <c r="X56" s="14"/>
    </row>
    <row r="57" spans="1:24" x14ac:dyDescent="0.2">
      <c r="A57" s="15" t="s">
        <v>72</v>
      </c>
      <c r="B57" s="14" t="s">
        <v>123</v>
      </c>
      <c r="C57" s="14" t="s">
        <v>0</v>
      </c>
      <c r="D57" s="14">
        <v>18.706205368041992</v>
      </c>
      <c r="E57" s="14" t="s">
        <v>24</v>
      </c>
      <c r="F57" s="14"/>
      <c r="G57" s="14">
        <v>76.02423095703125</v>
      </c>
      <c r="H57" s="14" t="s">
        <v>24</v>
      </c>
      <c r="I57" s="14" t="s">
        <v>25</v>
      </c>
      <c r="J57" s="14">
        <v>19.866384506225586</v>
      </c>
      <c r="K57" s="14"/>
      <c r="L57" s="14"/>
      <c r="M57" s="14">
        <v>75.55810546875</v>
      </c>
      <c r="N57" s="14" t="s">
        <v>24</v>
      </c>
      <c r="O57" s="13" t="s">
        <v>25</v>
      </c>
      <c r="R57" s="14"/>
      <c r="S57" s="14"/>
      <c r="T57" s="14"/>
      <c r="U57" s="14"/>
      <c r="V57" s="14"/>
      <c r="W57" s="14"/>
      <c r="X57" s="14"/>
    </row>
    <row r="58" spans="1:24" x14ac:dyDescent="0.2">
      <c r="A58" s="15" t="s">
        <v>73</v>
      </c>
      <c r="B58" s="14" t="s">
        <v>123</v>
      </c>
      <c r="C58" s="14" t="s">
        <v>0</v>
      </c>
      <c r="D58" s="14">
        <v>18.757465362548828</v>
      </c>
      <c r="E58" s="14" t="s">
        <v>24</v>
      </c>
      <c r="F58" s="14"/>
      <c r="G58" s="14">
        <v>76.02423095703125</v>
      </c>
      <c r="H58" s="14" t="s">
        <v>24</v>
      </c>
      <c r="I58" s="14" t="s">
        <v>25</v>
      </c>
      <c r="J58" s="14">
        <v>19.894842147827148</v>
      </c>
      <c r="K58" s="14"/>
      <c r="L58" s="14"/>
      <c r="M58" s="14">
        <v>75.55810546875</v>
      </c>
      <c r="N58" s="14" t="s">
        <v>24</v>
      </c>
      <c r="O58" s="13" t="s">
        <v>25</v>
      </c>
      <c r="R58" s="14"/>
      <c r="S58" s="14"/>
      <c r="T58" s="14"/>
      <c r="U58" s="14"/>
      <c r="V58" s="14"/>
      <c r="W58" s="14"/>
      <c r="X58" s="14"/>
    </row>
    <row r="59" spans="1:24" x14ac:dyDescent="0.2">
      <c r="A59" s="15" t="s">
        <v>74</v>
      </c>
      <c r="B59" s="14" t="s">
        <v>14</v>
      </c>
      <c r="C59" s="14" t="s">
        <v>1</v>
      </c>
      <c r="D59" s="14">
        <v>13.06141185760498</v>
      </c>
      <c r="E59" s="14" t="s">
        <v>24</v>
      </c>
      <c r="F59" s="14"/>
      <c r="G59" s="14">
        <v>80.944580078125</v>
      </c>
      <c r="H59" s="14" t="s">
        <v>24</v>
      </c>
      <c r="I59" s="14" t="s">
        <v>25</v>
      </c>
      <c r="J59" s="14">
        <v>15.040286064147949</v>
      </c>
      <c r="K59" s="14"/>
      <c r="L59" s="14"/>
      <c r="M59" s="14">
        <v>80.932853698730469</v>
      </c>
      <c r="N59" s="14" t="s">
        <v>24</v>
      </c>
      <c r="O59" s="13" t="s">
        <v>25</v>
      </c>
      <c r="R59" s="14"/>
      <c r="S59" s="14"/>
      <c r="T59" s="14"/>
      <c r="U59" s="14"/>
      <c r="V59" s="14"/>
      <c r="W59" s="14"/>
      <c r="X59" s="14"/>
    </row>
    <row r="60" spans="1:24" x14ac:dyDescent="0.2">
      <c r="A60" s="15" t="s">
        <v>75</v>
      </c>
      <c r="B60" s="14" t="s">
        <v>14</v>
      </c>
      <c r="C60" s="14" t="s">
        <v>1</v>
      </c>
      <c r="D60" s="14">
        <v>13.068116188049316</v>
      </c>
      <c r="E60" s="14" t="s">
        <v>24</v>
      </c>
      <c r="F60" s="14"/>
      <c r="G60" s="14">
        <v>81.093681335449219</v>
      </c>
      <c r="H60" s="14" t="s">
        <v>24</v>
      </c>
      <c r="I60" s="14" t="s">
        <v>25</v>
      </c>
      <c r="J60" s="14">
        <v>15.055192947387695</v>
      </c>
      <c r="K60" s="14"/>
      <c r="L60" s="14"/>
      <c r="M60" s="14">
        <v>80.783538818359375</v>
      </c>
      <c r="N60" s="14" t="s">
        <v>24</v>
      </c>
      <c r="O60" s="13" t="s">
        <v>25</v>
      </c>
      <c r="R60" s="14"/>
      <c r="S60" s="14"/>
      <c r="T60" s="14"/>
      <c r="U60" s="14"/>
      <c r="V60" s="14"/>
      <c r="W60" s="14"/>
      <c r="X60" s="14"/>
    </row>
    <row r="61" spans="1:24" x14ac:dyDescent="0.2">
      <c r="A61" s="15" t="s">
        <v>76</v>
      </c>
      <c r="B61" s="14" t="s">
        <v>14</v>
      </c>
      <c r="C61" s="14" t="s">
        <v>1</v>
      </c>
      <c r="D61" s="14">
        <v>13.04804515838623</v>
      </c>
      <c r="E61" s="14" t="s">
        <v>24</v>
      </c>
      <c r="F61" s="14"/>
      <c r="G61" s="14">
        <v>81.091102600097656</v>
      </c>
      <c r="H61" s="14" t="s">
        <v>24</v>
      </c>
      <c r="I61" s="14" t="s">
        <v>25</v>
      </c>
      <c r="J61" s="14">
        <v>15.067863464355469</v>
      </c>
      <c r="K61" s="14"/>
      <c r="L61" s="14"/>
      <c r="M61" s="14">
        <v>80.93072509765625</v>
      </c>
      <c r="N61" s="14" t="s">
        <v>24</v>
      </c>
      <c r="O61" s="13" t="s">
        <v>25</v>
      </c>
      <c r="R61" s="14"/>
      <c r="S61" s="14"/>
      <c r="T61" s="14"/>
      <c r="U61" s="14"/>
      <c r="V61" s="14"/>
      <c r="W61" s="14"/>
      <c r="X61" s="14"/>
    </row>
    <row r="62" spans="1:24" x14ac:dyDescent="0.2">
      <c r="A62" s="15" t="s">
        <v>77</v>
      </c>
      <c r="B62" s="14" t="s">
        <v>27</v>
      </c>
      <c r="C62" s="14" t="s">
        <v>1</v>
      </c>
      <c r="D62" s="14">
        <v>13.186695098876953</v>
      </c>
      <c r="E62" s="14" t="s">
        <v>24</v>
      </c>
      <c r="F62" s="14"/>
      <c r="G62" s="14">
        <v>81.091102600097656</v>
      </c>
      <c r="H62" s="14" t="s">
        <v>24</v>
      </c>
      <c r="I62" s="14" t="s">
        <v>25</v>
      </c>
      <c r="J62" s="14">
        <v>15.072396278381348</v>
      </c>
      <c r="K62" s="14"/>
      <c r="L62" s="14"/>
      <c r="M62" s="14">
        <v>80.781440734863281</v>
      </c>
      <c r="N62" s="14" t="s">
        <v>24</v>
      </c>
      <c r="O62" s="13" t="s">
        <v>25</v>
      </c>
      <c r="R62" s="14"/>
      <c r="S62" s="14"/>
      <c r="T62" s="14"/>
      <c r="U62" s="14"/>
      <c r="V62" s="14"/>
      <c r="W62" s="14"/>
      <c r="X62" s="14"/>
    </row>
    <row r="63" spans="1:24" x14ac:dyDescent="0.2">
      <c r="A63" s="15" t="s">
        <v>78</v>
      </c>
      <c r="B63" s="14" t="s">
        <v>27</v>
      </c>
      <c r="C63" s="14" t="s">
        <v>1</v>
      </c>
      <c r="D63" s="14">
        <v>13.212808609008789</v>
      </c>
      <c r="E63" s="14" t="s">
        <v>24</v>
      </c>
      <c r="F63" s="14"/>
      <c r="G63" s="14">
        <v>81.091812133789063</v>
      </c>
      <c r="H63" s="14" t="s">
        <v>24</v>
      </c>
      <c r="I63" s="14" t="s">
        <v>25</v>
      </c>
      <c r="J63" s="14">
        <v>15.087373733520508</v>
      </c>
      <c r="K63" s="14"/>
      <c r="L63" s="14"/>
      <c r="M63" s="14">
        <v>80.931106567382813</v>
      </c>
      <c r="N63" s="14" t="s">
        <v>24</v>
      </c>
      <c r="O63" s="13" t="s">
        <v>25</v>
      </c>
      <c r="R63" s="14"/>
      <c r="S63" s="14"/>
      <c r="T63" s="14"/>
      <c r="U63" s="14"/>
      <c r="V63" s="14"/>
      <c r="W63" s="14"/>
      <c r="X63" s="14"/>
    </row>
    <row r="64" spans="1:24" x14ac:dyDescent="0.2">
      <c r="A64" s="15" t="s">
        <v>79</v>
      </c>
      <c r="B64" s="14" t="s">
        <v>27</v>
      </c>
      <c r="C64" s="14" t="s">
        <v>1</v>
      </c>
      <c r="D64" s="14">
        <v>13.195221900939941</v>
      </c>
      <c r="E64" s="14" t="s">
        <v>24</v>
      </c>
      <c r="F64" s="14"/>
      <c r="G64" s="14">
        <v>81.091812133789063</v>
      </c>
      <c r="H64" s="14" t="s">
        <v>24</v>
      </c>
      <c r="I64" s="14" t="s">
        <v>25</v>
      </c>
      <c r="J64" s="14">
        <v>15.061309814453125</v>
      </c>
      <c r="K64" s="14"/>
      <c r="L64" s="14"/>
      <c r="M64" s="14">
        <v>80.931106567382813</v>
      </c>
      <c r="N64" s="14" t="s">
        <v>24</v>
      </c>
      <c r="O64" s="13" t="s">
        <v>25</v>
      </c>
      <c r="R64" s="14"/>
      <c r="S64" s="14"/>
      <c r="T64" s="14"/>
      <c r="U64" s="14"/>
      <c r="V64" s="14"/>
      <c r="W64" s="14"/>
      <c r="X64" s="14"/>
    </row>
    <row r="65" spans="1:24" x14ac:dyDescent="0.2">
      <c r="A65" s="15" t="s">
        <v>80</v>
      </c>
      <c r="B65" s="14" t="s">
        <v>31</v>
      </c>
      <c r="C65" s="14" t="s">
        <v>1</v>
      </c>
      <c r="D65" s="14">
        <v>14.427436828613281</v>
      </c>
      <c r="E65" s="14" t="s">
        <v>24</v>
      </c>
      <c r="F65" s="14"/>
      <c r="G65" s="14">
        <v>80.945404052734375</v>
      </c>
      <c r="H65" s="14" t="s">
        <v>24</v>
      </c>
      <c r="I65" s="14" t="s">
        <v>25</v>
      </c>
      <c r="J65" s="14">
        <v>14.796528816223145</v>
      </c>
      <c r="K65" s="14"/>
      <c r="L65" s="14"/>
      <c r="M65" s="14">
        <v>80.785354614257813</v>
      </c>
      <c r="N65" s="14" t="s">
        <v>24</v>
      </c>
      <c r="O65" s="13" t="s">
        <v>25</v>
      </c>
      <c r="R65" s="14"/>
      <c r="S65" s="14"/>
      <c r="T65" s="14"/>
      <c r="U65" s="14"/>
      <c r="V65" s="14"/>
      <c r="W65" s="14"/>
      <c r="X65" s="14"/>
    </row>
    <row r="66" spans="1:24" x14ac:dyDescent="0.2">
      <c r="A66" s="15" t="s">
        <v>81</v>
      </c>
      <c r="B66" s="14" t="s">
        <v>31</v>
      </c>
      <c r="C66" s="14" t="s">
        <v>1</v>
      </c>
      <c r="D66" s="14">
        <v>14.414594650268555</v>
      </c>
      <c r="E66" s="14" t="s">
        <v>24</v>
      </c>
      <c r="F66" s="14"/>
      <c r="G66" s="14">
        <v>80.945404052734375</v>
      </c>
      <c r="H66" s="14" t="s">
        <v>24</v>
      </c>
      <c r="I66" s="14" t="s">
        <v>25</v>
      </c>
      <c r="J66" s="14">
        <v>14.797272682189941</v>
      </c>
      <c r="K66" s="14"/>
      <c r="L66" s="14"/>
      <c r="M66" s="14">
        <v>80.785354614257813</v>
      </c>
      <c r="N66" s="14" t="s">
        <v>24</v>
      </c>
      <c r="O66" s="13" t="s">
        <v>25</v>
      </c>
      <c r="R66" s="14"/>
      <c r="S66" s="14"/>
      <c r="T66" s="14"/>
      <c r="U66" s="14"/>
      <c r="V66" s="14"/>
      <c r="W66" s="14"/>
      <c r="X66" s="14"/>
    </row>
    <row r="67" spans="1:24" x14ac:dyDescent="0.2">
      <c r="A67" s="15" t="s">
        <v>82</v>
      </c>
      <c r="B67" s="14" t="s">
        <v>31</v>
      </c>
      <c r="C67" s="14" t="s">
        <v>1</v>
      </c>
      <c r="D67" s="14">
        <v>14.425989151000977</v>
      </c>
      <c r="E67" s="14" t="s">
        <v>24</v>
      </c>
      <c r="F67" s="14"/>
      <c r="G67" s="14">
        <v>80.9412841796875</v>
      </c>
      <c r="H67" s="14" t="s">
        <v>24</v>
      </c>
      <c r="I67" s="14" t="s">
        <v>25</v>
      </c>
      <c r="J67" s="14">
        <v>14.800886154174805</v>
      </c>
      <c r="K67" s="14"/>
      <c r="L67" s="14"/>
      <c r="M67" s="14">
        <v>80.631706237792969</v>
      </c>
      <c r="N67" s="14" t="s">
        <v>24</v>
      </c>
      <c r="O67" s="13" t="s">
        <v>25</v>
      </c>
      <c r="R67" s="14"/>
      <c r="S67" s="14"/>
      <c r="T67" s="14"/>
      <c r="U67" s="14"/>
      <c r="V67" s="14"/>
      <c r="W67" s="14"/>
      <c r="X67" s="14"/>
    </row>
    <row r="68" spans="1:24" x14ac:dyDescent="0.2">
      <c r="A68" s="15" t="s">
        <v>83</v>
      </c>
      <c r="B68" s="14" t="s">
        <v>123</v>
      </c>
      <c r="C68" s="14" t="s">
        <v>1</v>
      </c>
      <c r="D68" s="14">
        <v>13.829293251037598</v>
      </c>
      <c r="E68" s="14" t="s">
        <v>24</v>
      </c>
      <c r="F68" s="14"/>
      <c r="G68" s="14">
        <v>80.9412841796875</v>
      </c>
      <c r="H68" s="14" t="s">
        <v>24</v>
      </c>
      <c r="I68" s="14" t="s">
        <v>25</v>
      </c>
      <c r="J68" s="14">
        <v>15.601475715637207</v>
      </c>
      <c r="K68" s="14"/>
      <c r="L68" s="14"/>
      <c r="M68" s="14">
        <v>80.631706237792969</v>
      </c>
      <c r="N68" s="14" t="s">
        <v>24</v>
      </c>
      <c r="O68" s="13" t="s">
        <v>25</v>
      </c>
      <c r="R68" s="14"/>
      <c r="S68" s="14"/>
      <c r="T68" s="14"/>
      <c r="U68" s="14"/>
      <c r="V68" s="14"/>
      <c r="W68" s="14"/>
      <c r="X68" s="14"/>
    </row>
    <row r="69" spans="1:24" x14ac:dyDescent="0.2">
      <c r="A69" s="15" t="s">
        <v>84</v>
      </c>
      <c r="B69" s="14" t="s">
        <v>123</v>
      </c>
      <c r="C69" s="14" t="s">
        <v>1</v>
      </c>
      <c r="D69" s="14">
        <v>13.835618019104004</v>
      </c>
      <c r="E69" s="14" t="s">
        <v>24</v>
      </c>
      <c r="F69" s="14"/>
      <c r="G69" s="14">
        <v>80.945220947265625</v>
      </c>
      <c r="H69" s="14" t="s">
        <v>24</v>
      </c>
      <c r="I69" s="14" t="s">
        <v>25</v>
      </c>
      <c r="J69" s="14">
        <v>15.588057518005371</v>
      </c>
      <c r="K69" s="14"/>
      <c r="L69" s="14"/>
      <c r="M69" s="14">
        <v>80.634674072265625</v>
      </c>
      <c r="N69" s="14" t="s">
        <v>24</v>
      </c>
      <c r="O69" s="13" t="s">
        <v>25</v>
      </c>
      <c r="R69" s="14"/>
      <c r="S69" s="14"/>
      <c r="T69" s="14"/>
      <c r="U69" s="14"/>
      <c r="V69" s="14"/>
      <c r="W69" s="14"/>
      <c r="X69" s="14"/>
    </row>
    <row r="70" spans="1:24" x14ac:dyDescent="0.2">
      <c r="A70" s="15" t="s">
        <v>85</v>
      </c>
      <c r="B70" s="14" t="s">
        <v>123</v>
      </c>
      <c r="C70" s="14" t="s">
        <v>1</v>
      </c>
      <c r="D70" s="14">
        <v>13.85495662689209</v>
      </c>
      <c r="E70" s="14" t="s">
        <v>24</v>
      </c>
      <c r="F70" s="14"/>
      <c r="G70" s="14">
        <v>80.945220947265625</v>
      </c>
      <c r="H70" s="14" t="s">
        <v>24</v>
      </c>
      <c r="I70" s="14" t="s">
        <v>25</v>
      </c>
      <c r="J70" s="14">
        <v>15.578950881958008</v>
      </c>
      <c r="K70" s="14"/>
      <c r="L70" s="14"/>
      <c r="M70" s="14">
        <v>80.634674072265625</v>
      </c>
      <c r="N70" s="14" t="s">
        <v>24</v>
      </c>
      <c r="O70" s="13" t="s">
        <v>25</v>
      </c>
      <c r="R70" s="14"/>
      <c r="S70" s="14"/>
      <c r="T70" s="14"/>
      <c r="U70" s="14"/>
      <c r="V70" s="14"/>
      <c r="W70" s="14"/>
      <c r="X70" s="14"/>
    </row>
    <row r="71" spans="1:24" x14ac:dyDescent="0.2">
      <c r="A71" s="15" t="s">
        <v>86</v>
      </c>
      <c r="B71" s="14" t="s">
        <v>14</v>
      </c>
      <c r="C71" s="14" t="s">
        <v>2</v>
      </c>
      <c r="D71" s="14">
        <v>13.838937759399414</v>
      </c>
      <c r="E71" s="14" t="s">
        <v>24</v>
      </c>
      <c r="F71" s="14"/>
      <c r="G71" s="14">
        <v>77.962646484375</v>
      </c>
      <c r="H71" s="14" t="s">
        <v>24</v>
      </c>
      <c r="I71" s="14" t="s">
        <v>25</v>
      </c>
      <c r="J71" s="14">
        <v>13.94847297668457</v>
      </c>
      <c r="K71" s="14"/>
      <c r="L71" s="14"/>
      <c r="M71" s="14">
        <v>77.946624755859375</v>
      </c>
      <c r="N71" s="14" t="s">
        <v>24</v>
      </c>
      <c r="O71" s="13" t="s">
        <v>25</v>
      </c>
      <c r="R71" s="14"/>
      <c r="S71" s="14"/>
      <c r="T71" s="14"/>
      <c r="U71" s="14"/>
      <c r="V71" s="14"/>
      <c r="W71" s="14"/>
      <c r="X71" s="14"/>
    </row>
    <row r="72" spans="1:24" x14ac:dyDescent="0.2">
      <c r="A72" s="15" t="s">
        <v>87</v>
      </c>
      <c r="B72" s="14" t="s">
        <v>14</v>
      </c>
      <c r="C72" s="14" t="s">
        <v>2</v>
      </c>
      <c r="D72" s="14">
        <v>13.62570858001709</v>
      </c>
      <c r="E72" s="14" t="s">
        <v>24</v>
      </c>
      <c r="F72" s="14"/>
      <c r="G72" s="14">
        <v>78.111740112304688</v>
      </c>
      <c r="H72" s="14" t="s">
        <v>24</v>
      </c>
      <c r="I72" s="14" t="s">
        <v>25</v>
      </c>
      <c r="J72" s="14">
        <v>13.931709289550781</v>
      </c>
      <c r="K72" s="14"/>
      <c r="L72" s="14"/>
      <c r="M72" s="14">
        <v>77.946624755859375</v>
      </c>
      <c r="N72" s="14" t="s">
        <v>24</v>
      </c>
      <c r="O72" s="13" t="s">
        <v>25</v>
      </c>
      <c r="R72" s="14"/>
      <c r="S72" s="14"/>
      <c r="T72" s="14"/>
      <c r="U72" s="14"/>
      <c r="V72" s="14"/>
      <c r="W72" s="14"/>
      <c r="X72" s="14"/>
    </row>
    <row r="73" spans="1:24" x14ac:dyDescent="0.2">
      <c r="A73" s="15" t="s">
        <v>88</v>
      </c>
      <c r="B73" s="14" t="s">
        <v>14</v>
      </c>
      <c r="C73" s="14" t="s">
        <v>2</v>
      </c>
      <c r="D73" s="14">
        <v>13.666974067687988</v>
      </c>
      <c r="E73" s="14" t="s">
        <v>24</v>
      </c>
      <c r="F73" s="14"/>
      <c r="G73" s="14">
        <v>78.108589172363281</v>
      </c>
      <c r="H73" s="14" t="s">
        <v>24</v>
      </c>
      <c r="I73" s="14" t="s">
        <v>25</v>
      </c>
      <c r="J73" s="14">
        <v>13.928430557250977</v>
      </c>
      <c r="K73" s="14"/>
      <c r="L73" s="14"/>
      <c r="M73" s="14">
        <v>77.795639038085938</v>
      </c>
      <c r="N73" s="14" t="s">
        <v>24</v>
      </c>
      <c r="O73" s="13" t="s">
        <v>25</v>
      </c>
      <c r="R73" s="14"/>
      <c r="S73" s="14"/>
      <c r="T73" s="14"/>
      <c r="U73" s="14"/>
      <c r="V73" s="14"/>
      <c r="W73" s="14"/>
      <c r="X73" s="14"/>
    </row>
    <row r="74" spans="1:24" x14ac:dyDescent="0.2">
      <c r="A74" s="15" t="s">
        <v>89</v>
      </c>
      <c r="B74" s="14" t="s">
        <v>27</v>
      </c>
      <c r="C74" s="14" t="s">
        <v>2</v>
      </c>
      <c r="D74" s="14">
        <v>13.946702003479004</v>
      </c>
      <c r="E74" s="14" t="s">
        <v>24</v>
      </c>
      <c r="F74" s="14"/>
      <c r="G74" s="14">
        <v>78.257713317871094</v>
      </c>
      <c r="H74" s="14" t="s">
        <v>24</v>
      </c>
      <c r="I74" s="14" t="s">
        <v>25</v>
      </c>
      <c r="J74" s="14">
        <v>13.86121654510498</v>
      </c>
      <c r="K74" s="14"/>
      <c r="L74" s="14"/>
      <c r="M74" s="14">
        <v>77.944923400878906</v>
      </c>
      <c r="N74" s="14" t="s">
        <v>24</v>
      </c>
      <c r="O74" s="13" t="s">
        <v>25</v>
      </c>
      <c r="R74" s="14"/>
      <c r="S74" s="14"/>
      <c r="T74" s="14"/>
      <c r="U74" s="14"/>
      <c r="V74" s="14"/>
      <c r="W74" s="14"/>
      <c r="X74" s="14"/>
    </row>
    <row r="75" spans="1:24" x14ac:dyDescent="0.2">
      <c r="A75" s="15" t="s">
        <v>90</v>
      </c>
      <c r="B75" s="14" t="s">
        <v>27</v>
      </c>
      <c r="C75" s="14" t="s">
        <v>2</v>
      </c>
      <c r="D75" s="14">
        <v>13.931094169616699</v>
      </c>
      <c r="E75" s="14" t="s">
        <v>24</v>
      </c>
      <c r="F75" s="14"/>
      <c r="G75" s="14">
        <v>78.258857727050781</v>
      </c>
      <c r="H75" s="14" t="s">
        <v>24</v>
      </c>
      <c r="I75" s="14" t="s">
        <v>25</v>
      </c>
      <c r="J75" s="14">
        <v>13.848414421081543</v>
      </c>
      <c r="K75" s="14"/>
      <c r="L75" s="14"/>
      <c r="M75" s="14">
        <v>77.945411682128906</v>
      </c>
      <c r="N75" s="14" t="s">
        <v>24</v>
      </c>
      <c r="O75" s="13" t="s">
        <v>25</v>
      </c>
      <c r="R75" s="14"/>
      <c r="S75" s="14"/>
      <c r="T75" s="14"/>
      <c r="U75" s="14"/>
      <c r="V75" s="14"/>
      <c r="W75" s="14"/>
      <c r="X75" s="14"/>
    </row>
    <row r="76" spans="1:24" x14ac:dyDescent="0.2">
      <c r="A76" s="15" t="s">
        <v>91</v>
      </c>
      <c r="B76" s="14" t="s">
        <v>27</v>
      </c>
      <c r="C76" s="14" t="s">
        <v>2</v>
      </c>
      <c r="D76" s="14">
        <v>13.788610458374023</v>
      </c>
      <c r="E76" s="14" t="s">
        <v>24</v>
      </c>
      <c r="F76" s="14"/>
      <c r="G76" s="14">
        <v>78.258857727050781</v>
      </c>
      <c r="H76" s="14" t="s">
        <v>24</v>
      </c>
      <c r="I76" s="14" t="s">
        <v>25</v>
      </c>
      <c r="J76" s="14">
        <v>13.817331314086914</v>
      </c>
      <c r="K76" s="14"/>
      <c r="L76" s="14"/>
      <c r="M76" s="14">
        <v>78.094696044921875</v>
      </c>
      <c r="N76" s="14" t="s">
        <v>24</v>
      </c>
      <c r="O76" s="13" t="s">
        <v>25</v>
      </c>
      <c r="R76" s="14"/>
      <c r="S76" s="14"/>
      <c r="T76" s="14"/>
      <c r="U76" s="14"/>
      <c r="V76" s="14"/>
      <c r="W76" s="14"/>
      <c r="X76" s="14"/>
    </row>
    <row r="77" spans="1:24" x14ac:dyDescent="0.2">
      <c r="A77" s="15" t="s">
        <v>92</v>
      </c>
      <c r="B77" s="14" t="s">
        <v>31</v>
      </c>
      <c r="C77" s="14" t="s">
        <v>2</v>
      </c>
      <c r="D77" s="14">
        <v>14.679703712463379</v>
      </c>
      <c r="E77" s="14" t="s">
        <v>24</v>
      </c>
      <c r="F77" s="14"/>
      <c r="G77" s="14">
        <v>78.11224365234375</v>
      </c>
      <c r="H77" s="14" t="s">
        <v>24</v>
      </c>
      <c r="I77" s="14" t="s">
        <v>25</v>
      </c>
      <c r="J77" s="14">
        <v>13.75766658782959</v>
      </c>
      <c r="K77" s="14"/>
      <c r="L77" s="14"/>
      <c r="M77" s="14">
        <v>77.79925537109375</v>
      </c>
      <c r="N77" s="14" t="s">
        <v>24</v>
      </c>
      <c r="O77" s="13" t="s">
        <v>25</v>
      </c>
      <c r="R77" s="14"/>
      <c r="S77" s="14"/>
      <c r="T77" s="14"/>
      <c r="U77" s="14"/>
      <c r="V77" s="14"/>
      <c r="W77" s="14"/>
      <c r="X77" s="14"/>
    </row>
    <row r="78" spans="1:24" x14ac:dyDescent="0.2">
      <c r="A78" s="15" t="s">
        <v>93</v>
      </c>
      <c r="B78" s="14" t="s">
        <v>31</v>
      </c>
      <c r="C78" s="14" t="s">
        <v>2</v>
      </c>
      <c r="D78" s="14">
        <v>14.617147445678711</v>
      </c>
      <c r="E78" s="14" t="s">
        <v>24</v>
      </c>
      <c r="F78" s="14"/>
      <c r="G78" s="14">
        <v>78.11224365234375</v>
      </c>
      <c r="H78" s="14" t="s">
        <v>24</v>
      </c>
      <c r="I78" s="14" t="s">
        <v>25</v>
      </c>
      <c r="J78" s="14">
        <v>13.76004695892334</v>
      </c>
      <c r="K78" s="14"/>
      <c r="L78" s="14"/>
      <c r="M78" s="14">
        <v>77.79925537109375</v>
      </c>
      <c r="N78" s="14" t="s">
        <v>24</v>
      </c>
      <c r="O78" s="13" t="s">
        <v>25</v>
      </c>
      <c r="R78" s="14"/>
      <c r="S78" s="14"/>
      <c r="T78" s="14"/>
      <c r="U78" s="14"/>
      <c r="V78" s="14"/>
      <c r="W78" s="14"/>
      <c r="X78" s="14"/>
    </row>
    <row r="79" spans="1:24" x14ac:dyDescent="0.2">
      <c r="A79" s="15" t="s">
        <v>94</v>
      </c>
      <c r="B79" s="14" t="s">
        <v>31</v>
      </c>
      <c r="C79" s="14" t="s">
        <v>2</v>
      </c>
      <c r="D79" s="14">
        <v>14.595695495605469</v>
      </c>
      <c r="E79" s="14" t="s">
        <v>24</v>
      </c>
      <c r="F79" s="14"/>
      <c r="G79" s="14">
        <v>78.108016967773438</v>
      </c>
      <c r="H79" s="14" t="s">
        <v>24</v>
      </c>
      <c r="I79" s="14" t="s">
        <v>25</v>
      </c>
      <c r="J79" s="14">
        <v>13.753838539123535</v>
      </c>
      <c r="K79" s="14"/>
      <c r="L79" s="14"/>
      <c r="M79" s="14">
        <v>77.794906616210938</v>
      </c>
      <c r="N79" s="14" t="s">
        <v>24</v>
      </c>
      <c r="O79" s="13" t="s">
        <v>25</v>
      </c>
      <c r="R79" s="14"/>
      <c r="S79" s="14"/>
      <c r="T79" s="14"/>
      <c r="U79" s="14"/>
      <c r="V79" s="14"/>
      <c r="W79" s="14"/>
      <c r="X79" s="14"/>
    </row>
    <row r="80" spans="1:24" x14ac:dyDescent="0.2">
      <c r="A80" s="15" t="s">
        <v>95</v>
      </c>
      <c r="B80" s="14" t="s">
        <v>123</v>
      </c>
      <c r="C80" s="14" t="s">
        <v>2</v>
      </c>
      <c r="D80" s="14">
        <v>14.208425521850586</v>
      </c>
      <c r="E80" s="14" t="s">
        <v>24</v>
      </c>
      <c r="F80" s="14"/>
      <c r="G80" s="14">
        <v>78.108016967773438</v>
      </c>
      <c r="H80" s="14" t="s">
        <v>24</v>
      </c>
      <c r="I80" s="14" t="s">
        <v>25</v>
      </c>
      <c r="J80" s="14">
        <v>14.592850685119629</v>
      </c>
      <c r="K80" s="14"/>
      <c r="L80" s="14"/>
      <c r="M80" s="14">
        <v>77.645599365234375</v>
      </c>
      <c r="N80" s="14" t="s">
        <v>24</v>
      </c>
      <c r="O80" s="13" t="s">
        <v>25</v>
      </c>
      <c r="R80" s="14"/>
      <c r="S80" s="14"/>
      <c r="T80" s="14"/>
      <c r="U80" s="14"/>
      <c r="V80" s="14"/>
      <c r="W80" s="14"/>
      <c r="X80" s="14"/>
    </row>
    <row r="81" spans="1:24" x14ac:dyDescent="0.2">
      <c r="A81" s="15" t="s">
        <v>96</v>
      </c>
      <c r="B81" s="14" t="s">
        <v>123</v>
      </c>
      <c r="C81" s="14" t="s">
        <v>2</v>
      </c>
      <c r="D81" s="14">
        <v>14.224255561828613</v>
      </c>
      <c r="E81" s="14" t="s">
        <v>24</v>
      </c>
      <c r="F81" s="14"/>
      <c r="G81" s="14">
        <v>77.962799072265625</v>
      </c>
      <c r="H81" s="14" t="s">
        <v>24</v>
      </c>
      <c r="I81" s="14" t="s">
        <v>25</v>
      </c>
      <c r="J81" s="14">
        <v>14.607890129089355</v>
      </c>
      <c r="K81" s="14"/>
      <c r="L81" s="14"/>
      <c r="M81" s="14">
        <v>77.648452758789063</v>
      </c>
      <c r="N81" s="14" t="s">
        <v>24</v>
      </c>
      <c r="O81" s="13" t="s">
        <v>25</v>
      </c>
      <c r="R81" s="14"/>
      <c r="S81" s="14"/>
      <c r="T81" s="14"/>
      <c r="U81" s="14"/>
      <c r="V81" s="14"/>
      <c r="W81" s="14"/>
      <c r="X81" s="14"/>
    </row>
    <row r="82" spans="1:24" x14ac:dyDescent="0.2">
      <c r="A82" s="15" t="s">
        <v>97</v>
      </c>
      <c r="B82" s="14" t="s">
        <v>123</v>
      </c>
      <c r="C82" s="14" t="s">
        <v>2</v>
      </c>
      <c r="D82" s="14">
        <v>14.232650756835938</v>
      </c>
      <c r="E82" s="14" t="s">
        <v>24</v>
      </c>
      <c r="F82" s="14"/>
      <c r="G82" s="14">
        <v>77.962799072265625</v>
      </c>
      <c r="H82" s="14" t="s">
        <v>24</v>
      </c>
      <c r="I82" s="14" t="s">
        <v>25</v>
      </c>
      <c r="J82" s="14">
        <v>14.584591865539551</v>
      </c>
      <c r="K82" s="14"/>
      <c r="L82" s="14"/>
      <c r="M82" s="14">
        <v>77.648452758789063</v>
      </c>
      <c r="N82" s="14" t="s">
        <v>24</v>
      </c>
      <c r="O82" s="13" t="s">
        <v>25</v>
      </c>
      <c r="R82" s="14"/>
      <c r="S82" s="14"/>
      <c r="T82" s="14"/>
      <c r="U82" s="14"/>
      <c r="V82" s="14"/>
      <c r="W82" s="14"/>
      <c r="X82" s="14"/>
    </row>
    <row r="83" spans="1:24" x14ac:dyDescent="0.2">
      <c r="A83" s="15" t="s">
        <v>98</v>
      </c>
      <c r="B83" s="14" t="s">
        <v>148</v>
      </c>
      <c r="C83" s="14" t="s">
        <v>3</v>
      </c>
      <c r="D83" s="14">
        <v>24.925302505493164</v>
      </c>
      <c r="E83" s="14" t="s">
        <v>24</v>
      </c>
      <c r="F83" s="14"/>
      <c r="G83" s="14">
        <v>72.893348693847656</v>
      </c>
      <c r="H83" s="14" t="s">
        <v>24</v>
      </c>
      <c r="I83" s="14" t="s">
        <v>25</v>
      </c>
      <c r="J83" s="14">
        <v>32.922328948974609</v>
      </c>
      <c r="K83" s="14"/>
      <c r="L83" s="14"/>
      <c r="M83" s="14">
        <v>75.706962585449219</v>
      </c>
      <c r="N83" s="14" t="s">
        <v>24</v>
      </c>
      <c r="O83" s="13" t="s">
        <v>25</v>
      </c>
      <c r="R83" s="14"/>
      <c r="S83" s="14"/>
      <c r="T83" s="14"/>
      <c r="U83" s="14"/>
      <c r="V83" s="14"/>
      <c r="W83" s="14"/>
      <c r="X83" s="14"/>
    </row>
    <row r="84" spans="1:24" x14ac:dyDescent="0.2">
      <c r="A84" s="15" t="s">
        <v>99</v>
      </c>
      <c r="B84" s="14" t="s">
        <v>148</v>
      </c>
      <c r="C84" s="14" t="s">
        <v>37</v>
      </c>
      <c r="D84" s="14">
        <v>34.917671203613281</v>
      </c>
      <c r="E84" s="14" t="s">
        <v>24</v>
      </c>
      <c r="F84" s="14"/>
      <c r="G84" s="14">
        <v>74.980705261230469</v>
      </c>
      <c r="H84" s="14" t="s">
        <v>24</v>
      </c>
      <c r="I84" s="14" t="s">
        <v>25</v>
      </c>
      <c r="J84" s="14">
        <v>27.945898056030273</v>
      </c>
      <c r="K84" s="14"/>
      <c r="L84" s="14"/>
      <c r="M84" s="14">
        <v>75.557647705078125</v>
      </c>
      <c r="N84" s="14">
        <v>70.033134460449219</v>
      </c>
      <c r="O84" s="13" t="s">
        <v>25</v>
      </c>
      <c r="R84" s="14"/>
      <c r="S84" s="14"/>
      <c r="T84" s="14"/>
      <c r="U84" s="14"/>
      <c r="V84" s="14"/>
      <c r="W84" s="14"/>
      <c r="X84" s="14"/>
    </row>
    <row r="85" spans="1:24" x14ac:dyDescent="0.2">
      <c r="A85" s="15" t="s">
        <v>124</v>
      </c>
      <c r="B85" s="14" t="s">
        <v>148</v>
      </c>
      <c r="C85" s="14" t="s">
        <v>49</v>
      </c>
      <c r="D85" s="14">
        <v>36.930133819580078</v>
      </c>
      <c r="E85" s="14" t="s">
        <v>24</v>
      </c>
      <c r="F85" s="14"/>
      <c r="G85" s="14">
        <v>73.783943176269531</v>
      </c>
      <c r="H85" s="14">
        <v>81.240234375</v>
      </c>
      <c r="I85" s="14" t="s">
        <v>25</v>
      </c>
      <c r="J85" s="14">
        <v>36.945083618164063</v>
      </c>
      <c r="K85" s="14"/>
      <c r="L85" s="14"/>
      <c r="M85" s="14">
        <v>74.063385009765625</v>
      </c>
      <c r="N85" s="14">
        <v>77.944923400878906</v>
      </c>
      <c r="O85" s="13" t="s">
        <v>25</v>
      </c>
      <c r="R85" s="14"/>
      <c r="S85" s="14"/>
      <c r="T85" s="14"/>
      <c r="U85" s="14"/>
      <c r="V85" s="14"/>
      <c r="W85" s="14"/>
      <c r="X85" s="14"/>
    </row>
    <row r="86" spans="1:24" x14ac:dyDescent="0.2">
      <c r="A86" s="15" t="s">
        <v>100</v>
      </c>
      <c r="B86" s="14" t="s">
        <v>148</v>
      </c>
      <c r="C86" s="14" t="s">
        <v>0</v>
      </c>
      <c r="D86" s="14">
        <v>35.444740295410156</v>
      </c>
      <c r="E86" s="14" t="s">
        <v>24</v>
      </c>
      <c r="F86" s="14"/>
      <c r="G86" s="14">
        <v>74.680389404296875</v>
      </c>
      <c r="H86" s="14" t="s">
        <v>24</v>
      </c>
      <c r="I86" s="14" t="s">
        <v>25</v>
      </c>
      <c r="J86" s="14">
        <v>37.062099456787109</v>
      </c>
      <c r="K86" s="14"/>
      <c r="L86" s="14"/>
      <c r="M86" s="14">
        <v>74.511856079101563</v>
      </c>
      <c r="N86" s="14" t="s">
        <v>24</v>
      </c>
      <c r="O86" s="13" t="s">
        <v>25</v>
      </c>
      <c r="R86" s="14"/>
      <c r="S86" s="14"/>
      <c r="T86" s="14"/>
      <c r="U86" s="14"/>
      <c r="V86" s="14"/>
      <c r="W86" s="14"/>
      <c r="X86" s="14"/>
    </row>
    <row r="87" spans="1:24" x14ac:dyDescent="0.2">
      <c r="A87" s="15" t="s">
        <v>101</v>
      </c>
      <c r="B87" s="14" t="s">
        <v>148</v>
      </c>
      <c r="C87" s="14" t="s">
        <v>1</v>
      </c>
      <c r="D87" s="14">
        <v>36.921607971191406</v>
      </c>
      <c r="E87" s="14" t="s">
        <v>24</v>
      </c>
      <c r="F87" s="14"/>
      <c r="G87" s="14">
        <v>75.873214721679688</v>
      </c>
      <c r="H87" s="14" t="s">
        <v>24</v>
      </c>
      <c r="I87" s="14" t="s">
        <v>25</v>
      </c>
      <c r="J87" s="14">
        <v>32.912483215332031</v>
      </c>
      <c r="K87" s="14"/>
      <c r="L87" s="14"/>
      <c r="M87" s="14">
        <v>74.8104248046875</v>
      </c>
      <c r="N87" s="14" t="s">
        <v>24</v>
      </c>
      <c r="O87" s="13" t="s">
        <v>25</v>
      </c>
      <c r="R87" s="14"/>
      <c r="S87" s="14"/>
      <c r="T87" s="14"/>
      <c r="U87" s="14"/>
      <c r="V87" s="14"/>
      <c r="W87" s="14"/>
      <c r="X87" s="14"/>
    </row>
    <row r="88" spans="1:24" ht="13.5" thickBot="1" x14ac:dyDescent="0.25">
      <c r="A88" s="12" t="s">
        <v>102</v>
      </c>
      <c r="B88" s="11" t="s">
        <v>148</v>
      </c>
      <c r="C88" s="11" t="s">
        <v>2</v>
      </c>
      <c r="D88" s="11">
        <v>36.941211700439453</v>
      </c>
      <c r="E88" s="11" t="s">
        <v>24</v>
      </c>
      <c r="F88" s="11"/>
      <c r="G88" s="11">
        <v>78.708702087402344</v>
      </c>
      <c r="H88" s="11" t="s">
        <v>24</v>
      </c>
      <c r="I88" s="11" t="s">
        <v>25</v>
      </c>
      <c r="J88" s="11">
        <v>37.004127502441406</v>
      </c>
      <c r="K88" s="11"/>
      <c r="L88" s="11"/>
      <c r="M88" s="11">
        <v>78.247169494628906</v>
      </c>
      <c r="N88" s="11" t="s">
        <v>24</v>
      </c>
      <c r="O88" s="10" t="s">
        <v>25</v>
      </c>
      <c r="R88" s="14"/>
      <c r="S88" s="14"/>
      <c r="T88" s="14"/>
      <c r="U88" s="14"/>
      <c r="V88" s="14"/>
      <c r="W88" s="14"/>
      <c r="X88" s="14"/>
    </row>
    <row r="89" spans="1:24" x14ac:dyDescent="0.2">
      <c r="A89" s="9" t="s">
        <v>149</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G4" workbookViewId="0">
      <selection activeCell="T11" sqref="T11:T16"/>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141</v>
      </c>
      <c r="H2" s="21" t="s">
        <v>138</v>
      </c>
      <c r="I2" s="21"/>
      <c r="J2" s="21"/>
      <c r="K2" s="21"/>
      <c r="L2" s="21" t="s">
        <v>137</v>
      </c>
      <c r="M2" s="21"/>
      <c r="N2" s="21"/>
      <c r="O2" s="20"/>
      <c r="P2" s="17"/>
      <c r="Q2" s="17"/>
      <c r="R2" s="17"/>
      <c r="S2" s="17"/>
    </row>
    <row r="3" spans="1:40" ht="63.75" x14ac:dyDescent="0.2">
      <c r="G3" s="18" t="s">
        <v>140</v>
      </c>
      <c r="H3" s="17" t="s">
        <v>0</v>
      </c>
      <c r="I3" s="17" t="s">
        <v>1</v>
      </c>
      <c r="J3" s="17" t="s">
        <v>2</v>
      </c>
      <c r="K3" s="27" t="s">
        <v>139</v>
      </c>
      <c r="L3" s="17" t="s">
        <v>0</v>
      </c>
      <c r="M3" s="17" t="s">
        <v>1</v>
      </c>
      <c r="N3" s="17" t="s">
        <v>2</v>
      </c>
      <c r="O3" s="26" t="s">
        <v>139</v>
      </c>
      <c r="P3" s="17"/>
      <c r="Q3" s="17"/>
      <c r="R3" s="17"/>
      <c r="S3" s="27"/>
    </row>
    <row r="4" spans="1:40" x14ac:dyDescent="0.2">
      <c r="G4" s="15" t="s">
        <v>15</v>
      </c>
      <c r="H4" s="14">
        <v>18.319086074829102</v>
      </c>
      <c r="I4" s="14">
        <v>13.999882698059082</v>
      </c>
      <c r="J4" s="14">
        <v>12.751240730285645</v>
      </c>
      <c r="K4" s="14">
        <f>AVERAGE(H4:J4)</f>
        <v>15.023403167724609</v>
      </c>
      <c r="L4" s="14">
        <v>18.954441070556641</v>
      </c>
      <c r="M4" s="14">
        <v>7.6225428581237793</v>
      </c>
      <c r="N4" s="14">
        <v>13.706271171569824</v>
      </c>
      <c r="O4" s="13">
        <f>AVERAGE(L4:N4)</f>
        <v>13.427751700083414</v>
      </c>
      <c r="P4" s="14"/>
      <c r="Q4" s="14"/>
      <c r="R4" s="14"/>
      <c r="S4" s="14"/>
    </row>
    <row r="5" spans="1:40" x14ac:dyDescent="0.2">
      <c r="G5" s="15" t="s">
        <v>108</v>
      </c>
      <c r="H5" s="14">
        <v>18.382436752319336</v>
      </c>
      <c r="I5" s="14">
        <v>13.44321346282959</v>
      </c>
      <c r="J5" s="14">
        <v>12.138630867004395</v>
      </c>
      <c r="K5" s="14">
        <f>AVERAGE(H5:J5)</f>
        <v>14.654760360717773</v>
      </c>
      <c r="L5" s="14">
        <v>19.894964218139648</v>
      </c>
      <c r="M5" s="14">
        <v>9.3448724746704102</v>
      </c>
      <c r="N5" s="14">
        <v>13.861011505126953</v>
      </c>
      <c r="O5" s="13">
        <f>AVERAGE(L5:N5)</f>
        <v>14.366949399312338</v>
      </c>
      <c r="P5" s="14"/>
      <c r="Q5" s="14"/>
      <c r="R5" s="14"/>
      <c r="S5" s="14"/>
    </row>
    <row r="6" spans="1:40" x14ac:dyDescent="0.2">
      <c r="G6" s="15" t="s">
        <v>109</v>
      </c>
      <c r="H6" s="14">
        <v>18.831453323364258</v>
      </c>
      <c r="I6" s="14">
        <v>14.139052391052246</v>
      </c>
      <c r="J6" s="14">
        <v>12.529799461364746</v>
      </c>
      <c r="K6" s="14">
        <f>AVERAGE(H6:J6)</f>
        <v>15.166768391927084</v>
      </c>
      <c r="L6" s="14">
        <v>21.094730377197266</v>
      </c>
      <c r="M6" s="14">
        <v>9.6617698669433594</v>
      </c>
      <c r="N6" s="14">
        <v>15.49169921875</v>
      </c>
      <c r="O6" s="13">
        <f>AVERAGE(L6:N6)</f>
        <v>15.416066487630209</v>
      </c>
      <c r="P6" s="14"/>
      <c r="Q6" s="14"/>
      <c r="R6" s="14"/>
      <c r="S6" s="14"/>
    </row>
    <row r="7" spans="1:40" ht="13.5" thickBot="1" x14ac:dyDescent="0.25">
      <c r="G7" s="12" t="s">
        <v>125</v>
      </c>
      <c r="H7" s="11">
        <v>18.826736450195313</v>
      </c>
      <c r="I7" s="11">
        <v>15.072770118713379</v>
      </c>
      <c r="J7" s="11">
        <v>12.546066284179688</v>
      </c>
      <c r="K7" s="11">
        <f>AVERAGE(H7:J7)</f>
        <v>15.481857617696127</v>
      </c>
      <c r="L7" s="11">
        <v>26.642599105834961</v>
      </c>
      <c r="M7" s="11">
        <v>13.30640697479248</v>
      </c>
      <c r="N7" s="11">
        <v>17.636228561401367</v>
      </c>
      <c r="O7" s="10">
        <f>AVERAGE(L7:N7)</f>
        <v>19.195078214009602</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138</v>
      </c>
      <c r="E9" s="21"/>
      <c r="F9" s="21"/>
      <c r="G9" s="21"/>
      <c r="H9" s="21"/>
      <c r="I9" s="21"/>
      <c r="J9" s="21" t="s">
        <v>137</v>
      </c>
      <c r="K9" s="21"/>
      <c r="L9" s="21"/>
      <c r="M9" s="21"/>
      <c r="N9" s="21"/>
      <c r="O9" s="20"/>
      <c r="R9" s="17"/>
      <c r="S9" s="22" t="s">
        <v>143</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135</v>
      </c>
      <c r="W10" s="17" t="s">
        <v>134</v>
      </c>
      <c r="X10" s="17" t="s">
        <v>37</v>
      </c>
      <c r="Y10" s="17" t="s">
        <v>135</v>
      </c>
      <c r="Z10" s="17" t="s">
        <v>134</v>
      </c>
      <c r="AA10" s="17" t="s">
        <v>49</v>
      </c>
      <c r="AB10" s="17" t="s">
        <v>135</v>
      </c>
      <c r="AC10" s="19" t="s">
        <v>134</v>
      </c>
      <c r="AN10" s="16"/>
    </row>
    <row r="11" spans="1:40" x14ac:dyDescent="0.2">
      <c r="A11" s="15" t="s">
        <v>5</v>
      </c>
      <c r="B11" s="14" t="s">
        <v>15</v>
      </c>
      <c r="C11" s="14" t="s">
        <v>3</v>
      </c>
      <c r="D11" s="14">
        <v>15.634350776672363</v>
      </c>
      <c r="E11" s="14">
        <f>D11-15.0234</f>
        <v>0.61095077667236275</v>
      </c>
      <c r="F11" s="14">
        <f>POWER(2,-E11)</f>
        <v>0.6547650510965084</v>
      </c>
      <c r="G11" s="14">
        <v>79.319122314453125</v>
      </c>
      <c r="H11" s="14" t="s">
        <v>24</v>
      </c>
      <c r="I11" s="14" t="s">
        <v>25</v>
      </c>
      <c r="J11" s="14">
        <v>14.038432121276855</v>
      </c>
      <c r="K11" s="14">
        <f>J11-13.42775</f>
        <v>0.61068212127685584</v>
      </c>
      <c r="L11" s="14">
        <f>POWER(2,-K11)</f>
        <v>0.65488699131132888</v>
      </c>
      <c r="M11" s="14">
        <v>79.1712646484375</v>
      </c>
      <c r="N11" s="14" t="s">
        <v>24</v>
      </c>
      <c r="O11" s="13" t="s">
        <v>25</v>
      </c>
      <c r="R11" s="14"/>
      <c r="S11" s="15"/>
      <c r="T11" s="14" t="s">
        <v>150</v>
      </c>
      <c r="U11" s="14">
        <v>0.65476648876530452</v>
      </c>
      <c r="V11" s="14">
        <f>U11/U11</f>
        <v>1</v>
      </c>
      <c r="W11" s="14">
        <f>AVERAGE(V11:V16)</f>
        <v>1</v>
      </c>
      <c r="X11" s="14">
        <v>7.0488258080865743E-2</v>
      </c>
      <c r="Y11" s="14">
        <f>X11/X11</f>
        <v>1</v>
      </c>
      <c r="Z11" s="14">
        <f>AVERAGE(Y11:Y16)</f>
        <v>1</v>
      </c>
      <c r="AA11" s="14">
        <v>8.4804734141053825E-3</v>
      </c>
      <c r="AB11" s="14">
        <f>AA11/AA11</f>
        <v>1</v>
      </c>
      <c r="AC11" s="13">
        <f>AVERAGE(AB11:AB16)</f>
        <v>1</v>
      </c>
    </row>
    <row r="12" spans="1:40" x14ac:dyDescent="0.2">
      <c r="A12" s="15" t="s">
        <v>6</v>
      </c>
      <c r="B12" s="14" t="s">
        <v>15</v>
      </c>
      <c r="C12" s="14" t="s">
        <v>3</v>
      </c>
      <c r="D12" s="14">
        <v>15.613443374633789</v>
      </c>
      <c r="E12" s="14">
        <f t="shared" ref="E12:E13" si="0">D12-15.0234</f>
        <v>0.59004337463378853</v>
      </c>
      <c r="F12" s="14">
        <f t="shared" ref="F12:F46" si="1">POWER(2,-E12)</f>
        <v>0.66432293387560337</v>
      </c>
      <c r="G12" s="14">
        <v>79.319122314453125</v>
      </c>
      <c r="H12" s="14" t="s">
        <v>24</v>
      </c>
      <c r="I12" s="14" t="s">
        <v>25</v>
      </c>
      <c r="J12" s="14">
        <v>14.059125900268555</v>
      </c>
      <c r="K12" s="14">
        <f t="shared" ref="K12:K13" si="2">J12-13.42775</f>
        <v>0.63137590026855506</v>
      </c>
      <c r="L12" s="14">
        <f t="shared" ref="L12:L46" si="3">POWER(2,-K12)</f>
        <v>0.64556044974235749</v>
      </c>
      <c r="M12" s="14">
        <v>79.1712646484375</v>
      </c>
      <c r="N12" s="14" t="s">
        <v>24</v>
      </c>
      <c r="O12" s="13" t="s">
        <v>25</v>
      </c>
      <c r="R12" s="14"/>
      <c r="S12" s="15"/>
      <c r="T12" s="14" t="s">
        <v>150</v>
      </c>
      <c r="U12" s="14">
        <v>0.66432439253065967</v>
      </c>
      <c r="V12" s="14">
        <f t="shared" ref="V12:V16" si="4">U12/U12</f>
        <v>1</v>
      </c>
      <c r="W12" s="14">
        <f>STDEV(V11:V16)</f>
        <v>0</v>
      </c>
      <c r="X12" s="14">
        <v>7.075472658720823E-2</v>
      </c>
      <c r="Y12" s="14">
        <f t="shared" ref="Y12:Y16" si="5">X12/X12</f>
        <v>1</v>
      </c>
      <c r="Z12" s="14">
        <f>STDEV(Y11:Y16)</f>
        <v>0</v>
      </c>
      <c r="AA12" s="14">
        <v>8.6444871651348738E-3</v>
      </c>
      <c r="AB12" s="14">
        <f t="shared" ref="AB12:AB16" si="6">AA12/AA12</f>
        <v>1</v>
      </c>
      <c r="AC12" s="13">
        <f>STDEV(AB11:AB16)</f>
        <v>0</v>
      </c>
    </row>
    <row r="13" spans="1:40" x14ac:dyDescent="0.2">
      <c r="A13" s="15" t="s">
        <v>7</v>
      </c>
      <c r="B13" s="14" t="s">
        <v>15</v>
      </c>
      <c r="C13" s="14" t="s">
        <v>3</v>
      </c>
      <c r="D13" s="14">
        <v>15.58354663848877</v>
      </c>
      <c r="E13" s="14">
        <f t="shared" si="0"/>
        <v>0.560146638488769</v>
      </c>
      <c r="F13" s="14">
        <f t="shared" si="1"/>
        <v>0.67823322320165647</v>
      </c>
      <c r="G13" s="14">
        <v>79.165512084960938</v>
      </c>
      <c r="H13" s="14" t="s">
        <v>24</v>
      </c>
      <c r="I13" s="14" t="s">
        <v>25</v>
      </c>
      <c r="J13" s="14">
        <v>14.221157073974609</v>
      </c>
      <c r="K13" s="14">
        <f t="shared" si="2"/>
        <v>0.79340707397460974</v>
      </c>
      <c r="L13" s="14">
        <f t="shared" si="3"/>
        <v>0.5769798838874165</v>
      </c>
      <c r="M13" s="14">
        <v>79.01702880859375</v>
      </c>
      <c r="N13" s="14" t="s">
        <v>24</v>
      </c>
      <c r="O13" s="13" t="s">
        <v>25</v>
      </c>
      <c r="R13" s="14"/>
      <c r="S13" s="15"/>
      <c r="T13" s="14" t="s">
        <v>150</v>
      </c>
      <c r="U13" s="14">
        <v>0.67823471239956012</v>
      </c>
      <c r="V13" s="14">
        <f t="shared" si="4"/>
        <v>1</v>
      </c>
      <c r="W13" s="14"/>
      <c r="X13" s="14">
        <v>6.9081422679794779E-2</v>
      </c>
      <c r="Y13" s="14">
        <f t="shared" si="5"/>
        <v>1</v>
      </c>
      <c r="Z13" s="14"/>
      <c r="AA13" s="14">
        <v>8.8457557734924041E-3</v>
      </c>
      <c r="AB13" s="14">
        <f t="shared" si="6"/>
        <v>1</v>
      </c>
      <c r="AC13" s="13"/>
    </row>
    <row r="14" spans="1:40" x14ac:dyDescent="0.2">
      <c r="A14" s="15" t="s">
        <v>26</v>
      </c>
      <c r="B14" s="14" t="s">
        <v>108</v>
      </c>
      <c r="C14" s="14" t="s">
        <v>3</v>
      </c>
      <c r="D14" s="14">
        <v>15.187549591064453</v>
      </c>
      <c r="E14" s="14">
        <f>D14-14.65476</f>
        <v>0.53278959106445356</v>
      </c>
      <c r="F14" s="14">
        <f t="shared" si="1"/>
        <v>0.69121690600093744</v>
      </c>
      <c r="G14" s="14">
        <v>79.165512084960938</v>
      </c>
      <c r="H14" s="14" t="s">
        <v>24</v>
      </c>
      <c r="I14" s="14" t="s">
        <v>25</v>
      </c>
      <c r="J14" s="14">
        <v>16.036514282226563</v>
      </c>
      <c r="K14" s="14">
        <f>J14-14.36695</f>
        <v>1.6695642822265633</v>
      </c>
      <c r="L14" s="14">
        <f t="shared" si="3"/>
        <v>0.31434826767351942</v>
      </c>
      <c r="M14" s="14">
        <v>79.01702880859375</v>
      </c>
      <c r="N14" s="14" t="s">
        <v>24</v>
      </c>
      <c r="O14" s="13" t="s">
        <v>25</v>
      </c>
      <c r="R14" s="14"/>
      <c r="S14" s="15"/>
      <c r="T14" s="14" t="s">
        <v>150</v>
      </c>
      <c r="U14" s="14">
        <v>0.65488776303586993</v>
      </c>
      <c r="V14" s="14">
        <f t="shared" si="4"/>
        <v>1</v>
      </c>
      <c r="W14" s="14"/>
      <c r="X14" s="14">
        <v>1.3399317284717714E-2</v>
      </c>
      <c r="Y14" s="14">
        <f t="shared" si="5"/>
        <v>1</v>
      </c>
      <c r="Z14" s="14"/>
      <c r="AA14" s="14">
        <v>2.9082859647100419E-3</v>
      </c>
      <c r="AB14" s="14">
        <f t="shared" si="6"/>
        <v>1</v>
      </c>
      <c r="AC14" s="13"/>
    </row>
    <row r="15" spans="1:40" x14ac:dyDescent="0.2">
      <c r="A15" s="15" t="s">
        <v>28</v>
      </c>
      <c r="B15" s="14" t="s">
        <v>108</v>
      </c>
      <c r="C15" s="14" t="s">
        <v>3</v>
      </c>
      <c r="D15" s="14">
        <v>15.175336837768555</v>
      </c>
      <c r="E15" s="14">
        <f t="shared" ref="E15:E16" si="7">D15-14.65476</f>
        <v>0.52057683776855512</v>
      </c>
      <c r="F15" s="14">
        <f t="shared" si="1"/>
        <v>0.69709305630910667</v>
      </c>
      <c r="G15" s="14">
        <v>79.16510009765625</v>
      </c>
      <c r="H15" s="14" t="s">
        <v>24</v>
      </c>
      <c r="I15" s="14" t="s">
        <v>25</v>
      </c>
      <c r="J15" s="14">
        <v>16.008584976196289</v>
      </c>
      <c r="K15" s="14">
        <f t="shared" ref="K15:K16" si="8">J15-14.36695</f>
        <v>1.6416349761962898</v>
      </c>
      <c r="L15" s="14">
        <f t="shared" si="3"/>
        <v>0.32049306040476727</v>
      </c>
      <c r="M15" s="14">
        <v>79.015151977539063</v>
      </c>
      <c r="N15" s="14" t="s">
        <v>24</v>
      </c>
      <c r="O15" s="13" t="s">
        <v>25</v>
      </c>
      <c r="R15" s="14"/>
      <c r="S15" s="15"/>
      <c r="T15" s="14" t="s">
        <v>150</v>
      </c>
      <c r="U15" s="14">
        <v>0.64556121047642057</v>
      </c>
      <c r="V15" s="14">
        <f t="shared" si="4"/>
        <v>1</v>
      </c>
      <c r="W15" s="14"/>
      <c r="X15" s="14">
        <v>1.2986790900873586E-2</v>
      </c>
      <c r="Y15" s="14">
        <f t="shared" si="5"/>
        <v>1</v>
      </c>
      <c r="Z15" s="14"/>
      <c r="AA15" s="14">
        <v>2.8878681435463068E-3</v>
      </c>
      <c r="AB15" s="14">
        <f t="shared" si="6"/>
        <v>1</v>
      </c>
      <c r="AC15" s="13"/>
    </row>
    <row r="16" spans="1:40" x14ac:dyDescent="0.2">
      <c r="A16" s="15" t="s">
        <v>29</v>
      </c>
      <c r="B16" s="14" t="s">
        <v>108</v>
      </c>
      <c r="C16" s="14" t="s">
        <v>3</v>
      </c>
      <c r="D16" s="14">
        <v>15.247455596923828</v>
      </c>
      <c r="E16" s="14">
        <f t="shared" si="7"/>
        <v>0.59269559692382856</v>
      </c>
      <c r="F16" s="14">
        <f t="shared" si="1"/>
        <v>0.66310277751240965</v>
      </c>
      <c r="G16" s="14">
        <v>79.16510009765625</v>
      </c>
      <c r="H16" s="14" t="s">
        <v>24</v>
      </c>
      <c r="I16" s="14" t="s">
        <v>25</v>
      </c>
      <c r="J16" s="14">
        <v>16.015426635742188</v>
      </c>
      <c r="K16" s="14">
        <f t="shared" si="8"/>
        <v>1.6484766357421883</v>
      </c>
      <c r="L16" s="14">
        <f t="shared" si="3"/>
        <v>0.31897679165273907</v>
      </c>
      <c r="M16" s="14">
        <v>79.015151977539063</v>
      </c>
      <c r="N16" s="14" t="s">
        <v>24</v>
      </c>
      <c r="O16" s="13" t="s">
        <v>25</v>
      </c>
      <c r="R16" s="14"/>
      <c r="S16" s="15"/>
      <c r="T16" s="14" t="s">
        <v>150</v>
      </c>
      <c r="U16" s="14">
        <v>0.57698056380554263</v>
      </c>
      <c r="V16" s="14">
        <f t="shared" si="4"/>
        <v>1</v>
      </c>
      <c r="W16" s="14"/>
      <c r="X16" s="14">
        <v>1.2172865490513435E-2</v>
      </c>
      <c r="Y16" s="14">
        <f t="shared" si="5"/>
        <v>1</v>
      </c>
      <c r="Z16" s="14"/>
      <c r="AA16" s="14">
        <v>2.9111672715660649E-3</v>
      </c>
      <c r="AB16" s="14">
        <f t="shared" si="6"/>
        <v>1</v>
      </c>
      <c r="AC16" s="13"/>
    </row>
    <row r="17" spans="1:29" x14ac:dyDescent="0.2">
      <c r="A17" s="15" t="s">
        <v>30</v>
      </c>
      <c r="B17" s="14" t="s">
        <v>109</v>
      </c>
      <c r="C17" s="14" t="s">
        <v>3</v>
      </c>
      <c r="D17" s="14">
        <v>14.002861976623535</v>
      </c>
      <c r="E17" s="14">
        <f>D17-15.16677</f>
        <v>-1.1639080233764645</v>
      </c>
      <c r="F17" s="14">
        <f t="shared" si="1"/>
        <v>2.2406355758391467</v>
      </c>
      <c r="G17" s="14">
        <v>79.162979125976563</v>
      </c>
      <c r="H17" s="14" t="s">
        <v>24</v>
      </c>
      <c r="I17" s="14" t="s">
        <v>25</v>
      </c>
      <c r="J17" s="14">
        <v>12.844545364379883</v>
      </c>
      <c r="K17" s="14">
        <f>J17-15.41607</f>
        <v>-2.5715246356201167</v>
      </c>
      <c r="L17" s="14">
        <f t="shared" si="3"/>
        <v>5.9443729590943732</v>
      </c>
      <c r="M17" s="14">
        <v>78.865394592285156</v>
      </c>
      <c r="N17" s="14" t="s">
        <v>24</v>
      </c>
      <c r="O17" s="13" t="s">
        <v>25</v>
      </c>
      <c r="R17" s="14"/>
      <c r="S17" s="15"/>
      <c r="T17" s="14" t="s">
        <v>4</v>
      </c>
      <c r="U17" s="14">
        <v>0.69121707882627326</v>
      </c>
      <c r="V17" s="14">
        <f>U17/U11</f>
        <v>1.0556696023489287</v>
      </c>
      <c r="W17" s="14">
        <f>AVERAGE(V17:V22)</f>
        <v>0.76866379962636155</v>
      </c>
      <c r="X17" s="14">
        <v>5.9169426099265891E-2</v>
      </c>
      <c r="Y17" s="14">
        <f>X17/X11</f>
        <v>0.83942244723064896</v>
      </c>
      <c r="Z17" s="14">
        <f>AVERAGE(Y17:Y22)</f>
        <v>1.4152000043239146</v>
      </c>
      <c r="AA17" s="14">
        <v>7.9343691576538485E-3</v>
      </c>
      <c r="AB17" s="14">
        <f>AA17/AA11</f>
        <v>0.93560450817012042</v>
      </c>
      <c r="AC17" s="13">
        <f>AVERAGE(AB17:AB22)</f>
        <v>0.78937530627538355</v>
      </c>
    </row>
    <row r="18" spans="1:29" x14ac:dyDescent="0.2">
      <c r="A18" s="15" t="s">
        <v>32</v>
      </c>
      <c r="B18" s="14" t="s">
        <v>109</v>
      </c>
      <c r="C18" s="14" t="s">
        <v>3</v>
      </c>
      <c r="D18" s="14">
        <v>13.883454322814941</v>
      </c>
      <c r="E18" s="14">
        <f t="shared" ref="E18:E19" si="9">D18-15.16677</f>
        <v>-1.2833156771850582</v>
      </c>
      <c r="F18" s="14">
        <f t="shared" si="1"/>
        <v>2.4339772393923855</v>
      </c>
      <c r="G18" s="14">
        <v>79.162979125976563</v>
      </c>
      <c r="H18" s="14" t="s">
        <v>24</v>
      </c>
      <c r="I18" s="14" t="s">
        <v>25</v>
      </c>
      <c r="J18" s="14">
        <v>12.773954391479492</v>
      </c>
      <c r="K18" s="14">
        <f t="shared" ref="K18:K19" si="10">J18-15.41607</f>
        <v>-2.6421156085205073</v>
      </c>
      <c r="L18" s="14">
        <f t="shared" si="3"/>
        <v>6.2424640532142321</v>
      </c>
      <c r="M18" s="14">
        <v>78.865394592285156</v>
      </c>
      <c r="N18" s="14" t="s">
        <v>24</v>
      </c>
      <c r="O18" s="13" t="s">
        <v>25</v>
      </c>
      <c r="R18" s="14"/>
      <c r="S18" s="15"/>
      <c r="T18" s="14" t="s">
        <v>4</v>
      </c>
      <c r="U18" s="14">
        <v>0.69709323060365946</v>
      </c>
      <c r="V18" s="14">
        <f t="shared" ref="V18:V22" si="11">U18/U12</f>
        <v>1.0493265616036935</v>
      </c>
      <c r="W18" s="14">
        <f>STDEV(V17:V22)</f>
        <v>0.2859505066091792</v>
      </c>
      <c r="X18" s="14">
        <v>5.9866190702783734E-2</v>
      </c>
      <c r="Y18" s="14">
        <f t="shared" ref="Y18:Y22" si="12">X18/X12</f>
        <v>0.84610871372665242</v>
      </c>
      <c r="Z18" s="14">
        <f>STDEV(Y17:Y22)</f>
        <v>0.52650052512573986</v>
      </c>
      <c r="AA18" s="14">
        <v>8.2230578059909569E-3</v>
      </c>
      <c r="AB18" s="14">
        <f t="shared" ref="AB18:AB22" si="13">AA18/AA12</f>
        <v>0.95124877264626706</v>
      </c>
      <c r="AC18" s="13">
        <f>STDEV(AB17:AB22)</f>
        <v>0.1694910002286342</v>
      </c>
    </row>
    <row r="19" spans="1:29" x14ac:dyDescent="0.2">
      <c r="A19" s="15" t="s">
        <v>33</v>
      </c>
      <c r="B19" s="14" t="s">
        <v>109</v>
      </c>
      <c r="C19" s="14" t="s">
        <v>3</v>
      </c>
      <c r="D19" s="14">
        <v>13.942399024963379</v>
      </c>
      <c r="E19" s="14">
        <f t="shared" si="9"/>
        <v>-1.2243709750366207</v>
      </c>
      <c r="F19" s="14">
        <f t="shared" si="1"/>
        <v>2.3365355294342822</v>
      </c>
      <c r="G19" s="14">
        <v>79.165519714355469</v>
      </c>
      <c r="H19" s="14" t="s">
        <v>24</v>
      </c>
      <c r="I19" s="14" t="s">
        <v>25</v>
      </c>
      <c r="J19" s="14">
        <v>12.765007019042969</v>
      </c>
      <c r="K19" s="14">
        <f t="shared" si="10"/>
        <v>-2.6510629809570307</v>
      </c>
      <c r="L19" s="14">
        <f t="shared" si="3"/>
        <v>6.2812991539751382</v>
      </c>
      <c r="M19" s="14">
        <v>79.018196105957031</v>
      </c>
      <c r="N19" s="14" t="s">
        <v>24</v>
      </c>
      <c r="O19" s="13" t="s">
        <v>25</v>
      </c>
      <c r="R19" s="14"/>
      <c r="S19" s="15"/>
      <c r="T19" s="14" t="s">
        <v>4</v>
      </c>
      <c r="U19" s="14">
        <v>0.66310294330835473</v>
      </c>
      <c r="V19" s="14">
        <f t="shared" si="11"/>
        <v>0.97768948003609257</v>
      </c>
      <c r="W19" s="14"/>
      <c r="X19" s="14"/>
      <c r="Y19" s="14"/>
      <c r="Z19" s="14"/>
      <c r="AA19" s="14">
        <v>8.3513534405688632E-3</v>
      </c>
      <c r="AB19" s="14">
        <f t="shared" si="13"/>
        <v>0.9441085255366094</v>
      </c>
      <c r="AC19" s="13"/>
    </row>
    <row r="20" spans="1:29" x14ac:dyDescent="0.2">
      <c r="A20" s="15" t="s">
        <v>34</v>
      </c>
      <c r="B20" s="14" t="s">
        <v>13</v>
      </c>
      <c r="C20" s="14" t="s">
        <v>3</v>
      </c>
      <c r="D20" s="14">
        <v>13.381246566772461</v>
      </c>
      <c r="E20" s="14">
        <f>D20-15.48186</f>
        <v>-2.1006134332275384</v>
      </c>
      <c r="F20" s="14">
        <f t="shared" si="1"/>
        <v>4.288917107955406</v>
      </c>
      <c r="G20" s="14">
        <v>79.31451416015625</v>
      </c>
      <c r="H20" s="14" t="s">
        <v>24</v>
      </c>
      <c r="I20" s="14" t="s">
        <v>25</v>
      </c>
      <c r="J20" s="14">
        <v>18.870401382446289</v>
      </c>
      <c r="K20" s="14">
        <f>J20-19.19508</f>
        <v>-0.32467861755371175</v>
      </c>
      <c r="L20" s="14">
        <f t="shared" si="3"/>
        <v>1.2523854194879531</v>
      </c>
      <c r="M20" s="14">
        <v>78.869132995605469</v>
      </c>
      <c r="N20" s="14" t="s">
        <v>24</v>
      </c>
      <c r="O20" s="13" t="s">
        <v>25</v>
      </c>
      <c r="R20" s="14"/>
      <c r="S20" s="15"/>
      <c r="T20" s="14" t="s">
        <v>4</v>
      </c>
      <c r="U20" s="14">
        <v>0.31434813678994306</v>
      </c>
      <c r="V20" s="14">
        <f t="shared" si="11"/>
        <v>0.48000307004167581</v>
      </c>
      <c r="W20" s="14"/>
      <c r="X20" s="14">
        <v>2.2820207201311039E-2</v>
      </c>
      <c r="Y20" s="14">
        <f t="shared" si="12"/>
        <v>1.7030873078390425</v>
      </c>
      <c r="Z20" s="14"/>
      <c r="AA20" s="14">
        <v>1.8965589860085606E-3</v>
      </c>
      <c r="AB20" s="14">
        <f t="shared" si="13"/>
        <v>0.65212259352138668</v>
      </c>
      <c r="AC20" s="13"/>
    </row>
    <row r="21" spans="1:29" x14ac:dyDescent="0.2">
      <c r="A21" s="15" t="s">
        <v>35</v>
      </c>
      <c r="B21" s="14" t="s">
        <v>13</v>
      </c>
      <c r="C21" s="14" t="s">
        <v>3</v>
      </c>
      <c r="D21" s="14">
        <v>13.388019561767578</v>
      </c>
      <c r="E21" s="14">
        <f t="shared" ref="E21:E22" si="14">D21-15.48186</f>
        <v>-2.0938404382324212</v>
      </c>
      <c r="F21" s="14">
        <f t="shared" si="1"/>
        <v>4.2688291944404906</v>
      </c>
      <c r="G21" s="14">
        <v>79.168472290039063</v>
      </c>
      <c r="H21" s="14" t="s">
        <v>24</v>
      </c>
      <c r="I21" s="14" t="s">
        <v>25</v>
      </c>
      <c r="J21" s="14">
        <v>18.92335319519043</v>
      </c>
      <c r="K21" s="14">
        <f t="shared" ref="K21:K22" si="15">J21-19.19508</f>
        <v>-0.27172680480957112</v>
      </c>
      <c r="L21" s="14">
        <f t="shared" si="3"/>
        <v>1.2072519592051227</v>
      </c>
      <c r="M21" s="14">
        <v>78.717704772949219</v>
      </c>
      <c r="N21" s="14" t="s">
        <v>24</v>
      </c>
      <c r="O21" s="13" t="s">
        <v>25</v>
      </c>
      <c r="R21" s="14"/>
      <c r="S21" s="15"/>
      <c r="T21" s="14" t="s">
        <v>4</v>
      </c>
      <c r="U21" s="14">
        <v>0.32049292696271509</v>
      </c>
      <c r="V21" s="14">
        <f t="shared" si="11"/>
        <v>0.49645629533130264</v>
      </c>
      <c r="W21" s="14"/>
      <c r="X21" s="14">
        <v>2.3413013554960751E-2</v>
      </c>
      <c r="Y21" s="14">
        <f t="shared" si="12"/>
        <v>1.8028328733148249</v>
      </c>
      <c r="Z21" s="14"/>
      <c r="AA21" s="14">
        <v>1.7761166596343759E-3</v>
      </c>
      <c r="AB21" s="14">
        <f t="shared" si="13"/>
        <v>0.61502692344301491</v>
      </c>
      <c r="AC21" s="13"/>
    </row>
    <row r="22" spans="1:29" x14ac:dyDescent="0.2">
      <c r="A22" s="15" t="s">
        <v>36</v>
      </c>
      <c r="B22" s="14" t="s">
        <v>13</v>
      </c>
      <c r="C22" s="14" t="s">
        <v>3</v>
      </c>
      <c r="D22" s="14">
        <v>13.463727951049805</v>
      </c>
      <c r="E22" s="14">
        <f t="shared" si="14"/>
        <v>-2.0181320489501946</v>
      </c>
      <c r="F22" s="14">
        <f t="shared" si="1"/>
        <v>4.0505899603319904</v>
      </c>
      <c r="G22" s="14">
        <v>79.168472290039063</v>
      </c>
      <c r="H22" s="14" t="s">
        <v>24</v>
      </c>
      <c r="I22" s="14" t="s">
        <v>25</v>
      </c>
      <c r="J22" s="14">
        <v>18.968837738037109</v>
      </c>
      <c r="K22" s="14">
        <f t="shared" si="15"/>
        <v>-0.22624226196289143</v>
      </c>
      <c r="L22" s="14">
        <f t="shared" si="3"/>
        <v>1.1697840814421794</v>
      </c>
      <c r="M22" s="14">
        <v>78.717704772949219</v>
      </c>
      <c r="N22" s="14" t="s">
        <v>24</v>
      </c>
      <c r="O22" s="13" t="s">
        <v>25</v>
      </c>
      <c r="R22" s="14"/>
      <c r="S22" s="15"/>
      <c r="T22" s="14" t="s">
        <v>4</v>
      </c>
      <c r="U22" s="14">
        <v>0.31897665884200799</v>
      </c>
      <c r="V22" s="14">
        <f t="shared" si="11"/>
        <v>0.55283778839647602</v>
      </c>
      <c r="W22" s="14"/>
      <c r="X22" s="14">
        <v>2.2940357585980519E-2</v>
      </c>
      <c r="Y22" s="14">
        <f t="shared" si="12"/>
        <v>1.8845486795084043</v>
      </c>
      <c r="Z22" s="14"/>
      <c r="AA22" s="14">
        <v>1.8577337799921055E-3</v>
      </c>
      <c r="AB22" s="14">
        <f t="shared" si="13"/>
        <v>0.63814051433490326</v>
      </c>
      <c r="AC22" s="13"/>
    </row>
    <row r="23" spans="1:29" x14ac:dyDescent="0.2">
      <c r="A23" s="15" t="s">
        <v>8</v>
      </c>
      <c r="B23" s="14" t="s">
        <v>15</v>
      </c>
      <c r="C23" s="14" t="s">
        <v>37</v>
      </c>
      <c r="D23" s="14">
        <v>18.849876403808594</v>
      </c>
      <c r="E23" s="14">
        <f>D23-15.0234</f>
        <v>3.8264764038085932</v>
      </c>
      <c r="F23" s="14">
        <f t="shared" si="1"/>
        <v>7.0488103310010986E-2</v>
      </c>
      <c r="G23" s="14">
        <v>78.276199340820313</v>
      </c>
      <c r="H23" s="14" t="s">
        <v>24</v>
      </c>
      <c r="I23" s="14" t="s">
        <v>25</v>
      </c>
      <c r="J23" s="14">
        <v>19.649448394775391</v>
      </c>
      <c r="K23" s="14">
        <f>J23-13.42775</f>
        <v>6.221698394775391</v>
      </c>
      <c r="L23" s="14">
        <f t="shared" si="3"/>
        <v>1.3399301494863991E-2</v>
      </c>
      <c r="M23" s="14">
        <v>78.127754211425781</v>
      </c>
      <c r="N23" s="14" t="s">
        <v>24</v>
      </c>
      <c r="O23" s="13" t="s">
        <v>25</v>
      </c>
      <c r="R23" s="14"/>
      <c r="S23" s="15"/>
      <c r="T23" s="14" t="s">
        <v>118</v>
      </c>
      <c r="U23" s="14">
        <v>2.2406330783582007</v>
      </c>
      <c r="V23" s="14">
        <f>U23/U11</f>
        <v>3.4220338346627517</v>
      </c>
      <c r="W23" s="14">
        <f>AVERAGE(V23:V28)</f>
        <v>6.6940127880766696</v>
      </c>
      <c r="X23" s="14">
        <v>7.218472657905313E-2</v>
      </c>
      <c r="Y23" s="14">
        <f>X23/X11</f>
        <v>1.0240673914262595</v>
      </c>
      <c r="Z23" s="14">
        <f>AVERAGE(Y23:Y28)</f>
        <v>1.3521204371142066</v>
      </c>
      <c r="AA23" s="14">
        <v>1.1867973681509891E-2</v>
      </c>
      <c r="AB23" s="14">
        <f>AA23/AA11</f>
        <v>1.3994470711705969</v>
      </c>
      <c r="AC23" s="13">
        <f>AVERAGE(AB23:AB28)</f>
        <v>2.0485339735543979</v>
      </c>
    </row>
    <row r="24" spans="1:29" x14ac:dyDescent="0.2">
      <c r="A24" s="15" t="s">
        <v>9</v>
      </c>
      <c r="B24" s="14" t="s">
        <v>15</v>
      </c>
      <c r="C24" s="14" t="s">
        <v>37</v>
      </c>
      <c r="D24" s="14">
        <v>18.844432830810547</v>
      </c>
      <c r="E24" s="14">
        <f t="shared" ref="E24:E25" si="16">D24-15.0234</f>
        <v>3.8210328308105463</v>
      </c>
      <c r="F24" s="14">
        <f t="shared" si="1"/>
        <v>7.0754571231269381E-2</v>
      </c>
      <c r="G24" s="14">
        <v>78.127212524414063</v>
      </c>
      <c r="H24" s="14" t="s">
        <v>24</v>
      </c>
      <c r="I24" s="14" t="s">
        <v>25</v>
      </c>
      <c r="J24" s="14">
        <v>19.694562911987305</v>
      </c>
      <c r="K24" s="14">
        <f t="shared" ref="K24:K25" si="17">J24-13.42775</f>
        <v>6.2668129119873051</v>
      </c>
      <c r="L24" s="14">
        <f t="shared" si="3"/>
        <v>1.2986775597143981E-2</v>
      </c>
      <c r="M24" s="14">
        <v>77.978675842285156</v>
      </c>
      <c r="N24" s="14" t="s">
        <v>24</v>
      </c>
      <c r="O24" s="13" t="s">
        <v>25</v>
      </c>
      <c r="R24" s="14"/>
      <c r="S24" s="15"/>
      <c r="T24" s="14" t="s">
        <v>118</v>
      </c>
      <c r="U24" s="14">
        <v>2.4339745264069079</v>
      </c>
      <c r="V24" s="14">
        <f t="shared" ref="V24:V28" si="18">U24/U12</f>
        <v>3.6638343462521226</v>
      </c>
      <c r="W24" s="14">
        <f>STDEV(V23:V28)</f>
        <v>3.5370618291988936</v>
      </c>
      <c r="X24" s="14">
        <v>7.1215861594925822E-2</v>
      </c>
      <c r="Y24" s="14">
        <f t="shared" ref="Y24:Y28" si="19">X24/X12</f>
        <v>1.006517373890905</v>
      </c>
      <c r="Z24" s="14">
        <f>STDEV(Y23:Y28)</f>
        <v>0.3689672782108393</v>
      </c>
      <c r="AA24" s="14">
        <v>1.220036126089713E-2</v>
      </c>
      <c r="AB24" s="14">
        <f t="shared" ref="AB24:AB28" si="20">AA24/AA12</f>
        <v>1.4113458702447823</v>
      </c>
      <c r="AC24" s="13">
        <f>STDEV(AB23:AB28)</f>
        <v>0.70517703229682194</v>
      </c>
    </row>
    <row r="25" spans="1:29" x14ac:dyDescent="0.2">
      <c r="A25" s="15" t="s">
        <v>38</v>
      </c>
      <c r="B25" s="14" t="s">
        <v>15</v>
      </c>
      <c r="C25" s="14" t="s">
        <v>37</v>
      </c>
      <c r="D25" s="14">
        <v>18.878961563110352</v>
      </c>
      <c r="E25" s="14">
        <f t="shared" si="16"/>
        <v>3.855561563110351</v>
      </c>
      <c r="F25" s="14">
        <f t="shared" si="1"/>
        <v>6.9081270997924257E-2</v>
      </c>
      <c r="G25" s="14">
        <v>78.122535705566406</v>
      </c>
      <c r="H25" s="14" t="s">
        <v>24</v>
      </c>
      <c r="I25" s="14" t="s">
        <v>25</v>
      </c>
      <c r="J25" s="14">
        <v>19.787939071655273</v>
      </c>
      <c r="K25" s="14">
        <f t="shared" si="17"/>
        <v>6.3601890716552738</v>
      </c>
      <c r="L25" s="14">
        <f t="shared" si="3"/>
        <v>1.2172851145919501E-2</v>
      </c>
      <c r="M25" s="14">
        <v>77.824249267578125</v>
      </c>
      <c r="N25" s="14" t="s">
        <v>24</v>
      </c>
      <c r="O25" s="13" t="s">
        <v>25</v>
      </c>
      <c r="R25" s="14"/>
      <c r="S25" s="15"/>
      <c r="T25" s="14" t="s">
        <v>118</v>
      </c>
      <c r="U25" s="14">
        <v>2.3365329250603146</v>
      </c>
      <c r="V25" s="14">
        <f t="shared" si="18"/>
        <v>3.4450211443672343</v>
      </c>
      <c r="W25" s="14"/>
      <c r="X25" s="14">
        <v>7.1099772019773758E-2</v>
      </c>
      <c r="Y25" s="14">
        <f t="shared" si="19"/>
        <v>1.0292169625593035</v>
      </c>
      <c r="Z25" s="14"/>
      <c r="AA25" s="14">
        <v>1.2461433653134107E-2</v>
      </c>
      <c r="AB25" s="14">
        <f t="shared" si="20"/>
        <v>1.4087471972125443</v>
      </c>
      <c r="AC25" s="13"/>
    </row>
    <row r="26" spans="1:29" x14ac:dyDescent="0.2">
      <c r="A26" s="15" t="s">
        <v>39</v>
      </c>
      <c r="B26" s="14" t="s">
        <v>108</v>
      </c>
      <c r="C26" s="14" t="s">
        <v>37</v>
      </c>
      <c r="D26" s="14">
        <v>18.7337646484375</v>
      </c>
      <c r="E26" s="14">
        <f>D26-14.65476</f>
        <v>4.0790046484375004</v>
      </c>
      <c r="F26" s="14">
        <f t="shared" si="1"/>
        <v>5.9169411305106064E-2</v>
      </c>
      <c r="G26" s="14">
        <v>78.122535705566406</v>
      </c>
      <c r="H26" s="14" t="s">
        <v>24</v>
      </c>
      <c r="I26" s="14" t="s">
        <v>25</v>
      </c>
      <c r="J26" s="14">
        <v>19.820493698120117</v>
      </c>
      <c r="K26" s="14">
        <f>J26-14.36695</f>
        <v>5.453543698120118</v>
      </c>
      <c r="L26" s="14">
        <f t="shared" si="3"/>
        <v>2.2820216702847652E-2</v>
      </c>
      <c r="M26" s="14">
        <v>77.824249267578125</v>
      </c>
      <c r="N26" s="14" t="s">
        <v>24</v>
      </c>
      <c r="O26" s="13" t="s">
        <v>25</v>
      </c>
      <c r="R26" s="14"/>
      <c r="S26" s="15"/>
      <c r="T26" s="14" t="s">
        <v>118</v>
      </c>
      <c r="U26" s="14">
        <v>5.9443584870056796</v>
      </c>
      <c r="V26" s="14">
        <f t="shared" si="18"/>
        <v>9.0769118351660083</v>
      </c>
      <c r="W26" s="14"/>
      <c r="X26" s="14">
        <v>2.1248764531657943E-2</v>
      </c>
      <c r="Y26" s="14">
        <f t="shared" si="19"/>
        <v>1.58580949164423</v>
      </c>
      <c r="Z26" s="14"/>
      <c r="AA26" s="14">
        <v>7.5527461602029828E-3</v>
      </c>
      <c r="AB26" s="14">
        <f t="shared" si="20"/>
        <v>2.5969750746144378</v>
      </c>
      <c r="AC26" s="13"/>
    </row>
    <row r="27" spans="1:29" x14ac:dyDescent="0.2">
      <c r="A27" s="15" t="s">
        <v>40</v>
      </c>
      <c r="B27" s="14" t="s">
        <v>108</v>
      </c>
      <c r="C27" s="14" t="s">
        <v>37</v>
      </c>
      <c r="D27" s="14">
        <v>18.716875076293945</v>
      </c>
      <c r="E27" s="14">
        <f t="shared" ref="E27" si="21">D27-14.65476</f>
        <v>4.0621150762939457</v>
      </c>
      <c r="F27" s="14">
        <f t="shared" si="1"/>
        <v>5.9866175734411546E-2</v>
      </c>
      <c r="G27" s="14">
        <v>78.122207641601563</v>
      </c>
      <c r="H27" s="14" t="s">
        <v>24</v>
      </c>
      <c r="I27" s="14" t="s">
        <v>25</v>
      </c>
      <c r="J27" s="14">
        <v>19.78349494934082</v>
      </c>
      <c r="K27" s="14">
        <f t="shared" ref="K27:K28" si="22">J27-14.36695</f>
        <v>5.4165449493408211</v>
      </c>
      <c r="L27" s="14">
        <f t="shared" si="3"/>
        <v>2.3413023303321207E-2</v>
      </c>
      <c r="M27" s="14">
        <v>77.9715576171875</v>
      </c>
      <c r="N27" s="14" t="s">
        <v>24</v>
      </c>
      <c r="O27" s="13" t="s">
        <v>25</v>
      </c>
      <c r="R27" s="14"/>
      <c r="S27" s="15"/>
      <c r="T27" s="14" t="s">
        <v>118</v>
      </c>
      <c r="U27" s="14">
        <v>6.2424488553970576</v>
      </c>
      <c r="V27" s="14">
        <f t="shared" si="18"/>
        <v>9.6698016455947915</v>
      </c>
      <c r="W27" s="14"/>
      <c r="X27" s="14">
        <v>2.1950154170343857E-2</v>
      </c>
      <c r="Y27" s="14">
        <f t="shared" si="19"/>
        <v>1.690190774448161</v>
      </c>
      <c r="Z27" s="14"/>
      <c r="AA27" s="14">
        <v>7.8967651380734156E-3</v>
      </c>
      <c r="AB27" s="14">
        <f t="shared" si="20"/>
        <v>2.734461805578206</v>
      </c>
      <c r="AC27" s="13"/>
    </row>
    <row r="28" spans="1:29" x14ac:dyDescent="0.2">
      <c r="A28" s="15" t="s">
        <v>41</v>
      </c>
      <c r="B28" s="14" t="s">
        <v>108</v>
      </c>
      <c r="C28" s="14" t="s">
        <v>37</v>
      </c>
      <c r="D28" s="14" t="s">
        <v>119</v>
      </c>
      <c r="E28" s="14"/>
      <c r="F28" s="14"/>
      <c r="G28" s="14">
        <v>74.546539306640625</v>
      </c>
      <c r="H28" s="14">
        <v>65.607391357421875</v>
      </c>
      <c r="I28" s="14" t="s">
        <v>146</v>
      </c>
      <c r="J28" s="14">
        <v>19.812917709350586</v>
      </c>
      <c r="K28" s="14">
        <f t="shared" si="22"/>
        <v>5.4459677093505867</v>
      </c>
      <c r="L28" s="14">
        <f t="shared" si="3"/>
        <v>2.2940367137543553E-2</v>
      </c>
      <c r="M28" s="14">
        <v>77.9715576171875</v>
      </c>
      <c r="N28" s="14" t="s">
        <v>24</v>
      </c>
      <c r="O28" s="13" t="s">
        <v>25</v>
      </c>
      <c r="R28" s="14"/>
      <c r="S28" s="15"/>
      <c r="T28" s="14" t="s">
        <v>118</v>
      </c>
      <c r="U28" s="14">
        <v>6.2812838616105626</v>
      </c>
      <c r="V28" s="14">
        <f t="shared" si="18"/>
        <v>10.886473922417112</v>
      </c>
      <c r="W28" s="14"/>
      <c r="X28" s="14">
        <v>2.1630215800683091E-2</v>
      </c>
      <c r="Y28" s="14">
        <f t="shared" si="19"/>
        <v>1.7769206287163826</v>
      </c>
      <c r="Z28" s="14"/>
      <c r="AA28" s="14">
        <v>7.9772586423464131E-3</v>
      </c>
      <c r="AB28" s="14">
        <f t="shared" si="20"/>
        <v>2.7402268225058193</v>
      </c>
      <c r="AC28" s="13"/>
    </row>
    <row r="29" spans="1:29" x14ac:dyDescent="0.2">
      <c r="A29" s="15" t="s">
        <v>42</v>
      </c>
      <c r="B29" s="14" t="s">
        <v>109</v>
      </c>
      <c r="C29" s="14" t="s">
        <v>37</v>
      </c>
      <c r="D29" s="14">
        <v>18.958930969238281</v>
      </c>
      <c r="E29" s="14">
        <f>D29-15.16677</f>
        <v>3.7921609692382816</v>
      </c>
      <c r="F29" s="14">
        <f t="shared" si="1"/>
        <v>7.218480703844693E-2</v>
      </c>
      <c r="G29" s="14">
        <v>77.971031188964844</v>
      </c>
      <c r="H29" s="14" t="s">
        <v>24</v>
      </c>
      <c r="I29" s="14" t="s">
        <v>25</v>
      </c>
      <c r="J29" s="14">
        <v>20.972543716430664</v>
      </c>
      <c r="K29" s="14">
        <f>J29-15.41607</f>
        <v>5.5564737164306646</v>
      </c>
      <c r="L29" s="14">
        <f t="shared" si="3"/>
        <v>2.1248816263733927E-2</v>
      </c>
      <c r="M29" s="14">
        <v>77.821739196777344</v>
      </c>
      <c r="N29" s="14" t="s">
        <v>24</v>
      </c>
      <c r="O29" s="13" t="s">
        <v>25</v>
      </c>
      <c r="R29" s="14"/>
      <c r="S29" s="15"/>
      <c r="T29" s="14" t="s">
        <v>16</v>
      </c>
      <c r="U29" s="14">
        <v>4.2889100257272776</v>
      </c>
      <c r="V29" s="14">
        <f>U29/U11</f>
        <v>6.5502894532902722</v>
      </c>
      <c r="W29" s="14">
        <f>AVERAGE(V29:V34)</f>
        <v>4.1263679412604501</v>
      </c>
      <c r="X29" s="14">
        <v>7.9773373512902146E-2</v>
      </c>
      <c r="Y29" s="14">
        <f>X29/X11</f>
        <v>1.1317257041787627</v>
      </c>
      <c r="Z29" s="14">
        <f>AVERAGE(Y29:Y34)</f>
        <v>2.5139649599973302</v>
      </c>
      <c r="AA29" s="14">
        <v>3.2207432287364807E-2</v>
      </c>
      <c r="AB29" s="14">
        <f>AA29/AA11</f>
        <v>3.797834238097475</v>
      </c>
      <c r="AC29" s="13">
        <f>AVERAGE(AB29:AB34)</f>
        <v>2.0925134624850874</v>
      </c>
    </row>
    <row r="30" spans="1:29" x14ac:dyDescent="0.2">
      <c r="A30" s="15" t="s">
        <v>43</v>
      </c>
      <c r="B30" s="14" t="s">
        <v>109</v>
      </c>
      <c r="C30" s="14" t="s">
        <v>37</v>
      </c>
      <c r="D30" s="14">
        <v>18.978425979614258</v>
      </c>
      <c r="E30" s="14">
        <f t="shared" ref="E30:E31" si="23">D30-15.16677</f>
        <v>3.8116559796142582</v>
      </c>
      <c r="F30" s="14">
        <f t="shared" si="1"/>
        <v>7.1215940974391878E-2</v>
      </c>
      <c r="G30" s="14">
        <v>77.971031188964844</v>
      </c>
      <c r="H30" s="14" t="s">
        <v>24</v>
      </c>
      <c r="I30" s="14" t="s">
        <v>25</v>
      </c>
      <c r="J30" s="14">
        <v>20.925691604614258</v>
      </c>
      <c r="K30" s="14">
        <f t="shared" ref="K30:K31" si="24">J30-15.41607</f>
        <v>5.5096216046142583</v>
      </c>
      <c r="L30" s="14">
        <f t="shared" si="3"/>
        <v>2.1950207610017577E-2</v>
      </c>
      <c r="M30" s="14">
        <v>77.821739196777344</v>
      </c>
      <c r="N30" s="14" t="s">
        <v>24</v>
      </c>
      <c r="O30" s="13" t="s">
        <v>25</v>
      </c>
      <c r="R30" s="14"/>
      <c r="S30" s="15"/>
      <c r="T30" s="14" t="s">
        <v>16</v>
      </c>
      <c r="U30" s="14">
        <v>4.2688221453832504</v>
      </c>
      <c r="V30" s="14">
        <f t="shared" ref="V30:V34" si="25">U30/U12</f>
        <v>6.4258097299750094</v>
      </c>
      <c r="W30" s="14">
        <f>STDEV(V29:V34)</f>
        <v>2.4070029875463019</v>
      </c>
      <c r="X30" s="14">
        <v>8.1565353442595218E-2</v>
      </c>
      <c r="Y30" s="14">
        <f t="shared" ref="Y30:Y34" si="26">X30/X12</f>
        <v>1.1527901721457778</v>
      </c>
      <c r="Z30" s="14">
        <f>STDEV(Y29:Y34)</f>
        <v>1.4958571501523548</v>
      </c>
      <c r="AA30" s="14">
        <v>3.1584116580572009E-2</v>
      </c>
      <c r="AB30" s="14">
        <f t="shared" ref="AB30:AB34" si="27">AA30/AA12</f>
        <v>3.6536715223498426</v>
      </c>
      <c r="AC30" s="13">
        <f>STDEV(AB29:AB34)</f>
        <v>1.7358869417014813</v>
      </c>
    </row>
    <row r="31" spans="1:29" x14ac:dyDescent="0.2">
      <c r="A31" s="15" t="s">
        <v>44</v>
      </c>
      <c r="B31" s="14" t="s">
        <v>109</v>
      </c>
      <c r="C31" s="14" t="s">
        <v>37</v>
      </c>
      <c r="D31" s="14">
        <v>18.980779647827148</v>
      </c>
      <c r="E31" s="14">
        <f t="shared" si="23"/>
        <v>3.8140096478271488</v>
      </c>
      <c r="F31" s="14">
        <f t="shared" si="1"/>
        <v>7.109985126984264E-2</v>
      </c>
      <c r="G31" s="14">
        <v>78.122573852539063</v>
      </c>
      <c r="H31" s="14" t="s">
        <v>24</v>
      </c>
      <c r="I31" s="14" t="s">
        <v>25</v>
      </c>
      <c r="J31" s="14">
        <v>20.946874618530273</v>
      </c>
      <c r="K31" s="14">
        <f t="shared" si="24"/>
        <v>5.5308046185302739</v>
      </c>
      <c r="L31" s="14">
        <f t="shared" si="3"/>
        <v>2.1630268461437351E-2</v>
      </c>
      <c r="M31" s="14">
        <v>77.825653076171875</v>
      </c>
      <c r="N31" s="14" t="s">
        <v>24</v>
      </c>
      <c r="O31" s="13" t="s">
        <v>25</v>
      </c>
      <c r="R31" s="14"/>
      <c r="S31" s="15"/>
      <c r="T31" s="14" t="s">
        <v>16</v>
      </c>
      <c r="U31" s="14">
        <v>4.0505832716501082</v>
      </c>
      <c r="V31" s="14">
        <f t="shared" si="25"/>
        <v>5.9722441178502192</v>
      </c>
      <c r="W31" s="14"/>
      <c r="X31" s="14">
        <v>8.0957604209716719E-2</v>
      </c>
      <c r="Y31" s="14">
        <f t="shared" si="26"/>
        <v>1.1719157056879133</v>
      </c>
      <c r="Z31" s="14"/>
      <c r="AA31" s="14">
        <v>3.162974762927008E-2</v>
      </c>
      <c r="AB31" s="14">
        <f t="shared" si="27"/>
        <v>3.5756975931952844</v>
      </c>
      <c r="AC31" s="13"/>
    </row>
    <row r="32" spans="1:29" x14ac:dyDescent="0.2">
      <c r="A32" s="15" t="s">
        <v>45</v>
      </c>
      <c r="B32" s="14" t="s">
        <v>13</v>
      </c>
      <c r="C32" s="14" t="s">
        <v>37</v>
      </c>
      <c r="D32" s="14">
        <v>19.129806518554688</v>
      </c>
      <c r="E32" s="14">
        <f>D32-15.48186</f>
        <v>3.6479465185546882</v>
      </c>
      <c r="F32" s="14">
        <f t="shared" si="1"/>
        <v>7.9773505241762466E-2</v>
      </c>
      <c r="G32" s="14">
        <v>78.122573852539063</v>
      </c>
      <c r="H32" s="14" t="s">
        <v>24</v>
      </c>
      <c r="I32" s="14" t="s">
        <v>25</v>
      </c>
      <c r="J32" s="14">
        <v>23.531879425048828</v>
      </c>
      <c r="K32" s="14">
        <f>J32-19.19508</f>
        <v>4.3367994250488273</v>
      </c>
      <c r="L32" s="14">
        <f t="shared" si="3"/>
        <v>4.9487246249698712E-2</v>
      </c>
      <c r="M32" s="14">
        <v>77.676582336425781</v>
      </c>
      <c r="N32" s="14" t="s">
        <v>24</v>
      </c>
      <c r="O32" s="13" t="s">
        <v>25</v>
      </c>
      <c r="R32" s="14"/>
      <c r="S32" s="15"/>
      <c r="T32" s="14" t="s">
        <v>16</v>
      </c>
      <c r="U32" s="14">
        <v>1.2523838690931106</v>
      </c>
      <c r="V32" s="14">
        <f t="shared" si="25"/>
        <v>1.9123641328819794</v>
      </c>
      <c r="W32" s="14"/>
      <c r="X32" s="14">
        <v>4.9487184986791805E-2</v>
      </c>
      <c r="Y32" s="14">
        <f t="shared" si="26"/>
        <v>3.6932616741028506</v>
      </c>
      <c r="Z32" s="14"/>
      <c r="AA32" s="14">
        <v>1.5752169415767794E-3</v>
      </c>
      <c r="AB32" s="14">
        <f t="shared" si="27"/>
        <v>0.54163069267977904</v>
      </c>
      <c r="AC32" s="13"/>
    </row>
    <row r="33" spans="1:37" x14ac:dyDescent="0.2">
      <c r="A33" s="15" t="s">
        <v>46</v>
      </c>
      <c r="B33" s="14" t="s">
        <v>13</v>
      </c>
      <c r="C33" s="14" t="s">
        <v>37</v>
      </c>
      <c r="D33" s="14">
        <v>19.097757339477539</v>
      </c>
      <c r="E33" s="14">
        <f t="shared" ref="E33:E34" si="28">D33-15.48186</f>
        <v>3.6158973394775398</v>
      </c>
      <c r="F33" s="14">
        <f t="shared" si="1"/>
        <v>8.1565488130531535E-2</v>
      </c>
      <c r="G33" s="14">
        <v>77.976531982421875</v>
      </c>
      <c r="H33" s="14" t="s">
        <v>24</v>
      </c>
      <c r="I33" s="14" t="s">
        <v>25</v>
      </c>
      <c r="J33" s="14">
        <v>23.499536514282227</v>
      </c>
      <c r="K33" s="14">
        <f t="shared" ref="K33:K34" si="29">J33-19.19508</f>
        <v>4.3044565142822258</v>
      </c>
      <c r="L33" s="14">
        <f t="shared" si="3"/>
        <v>5.0609200218439766E-2</v>
      </c>
      <c r="M33" s="14">
        <v>77.525276184082031</v>
      </c>
      <c r="N33" s="14" t="s">
        <v>24</v>
      </c>
      <c r="O33" s="13" t="s">
        <v>25</v>
      </c>
      <c r="R33" s="14"/>
      <c r="S33" s="15"/>
      <c r="T33" s="14" t="s">
        <v>16</v>
      </c>
      <c r="U33" s="14">
        <v>1.2072504646834028</v>
      </c>
      <c r="V33" s="14">
        <f t="shared" si="25"/>
        <v>1.8700790027214595</v>
      </c>
      <c r="W33" s="14"/>
      <c r="X33" s="14">
        <v>5.060913756660608E-2</v>
      </c>
      <c r="Y33" s="14">
        <f t="shared" si="26"/>
        <v>3.8969702332854026</v>
      </c>
      <c r="Z33" s="14"/>
      <c r="AA33" s="14">
        <v>1.4317247207612722E-3</v>
      </c>
      <c r="AB33" s="14">
        <f t="shared" si="27"/>
        <v>0.49577219235609277</v>
      </c>
      <c r="AC33" s="13"/>
    </row>
    <row r="34" spans="1:37" ht="13.5" thickBot="1" x14ac:dyDescent="0.25">
      <c r="A34" s="15" t="s">
        <v>47</v>
      </c>
      <c r="B34" s="14" t="s">
        <v>13</v>
      </c>
      <c r="C34" s="14" t="s">
        <v>37</v>
      </c>
      <c r="D34" s="14">
        <v>19.108547210693359</v>
      </c>
      <c r="E34" s="14">
        <f t="shared" si="28"/>
        <v>3.6266872106933601</v>
      </c>
      <c r="F34" s="14">
        <f t="shared" si="1"/>
        <v>8.095773789408367E-2</v>
      </c>
      <c r="G34" s="14">
        <v>77.976531982421875</v>
      </c>
      <c r="H34" s="14" t="s">
        <v>24</v>
      </c>
      <c r="I34" s="14" t="s">
        <v>25</v>
      </c>
      <c r="J34" s="14">
        <v>23.541936874389648</v>
      </c>
      <c r="K34" s="14">
        <f t="shared" si="29"/>
        <v>4.3468568743896476</v>
      </c>
      <c r="L34" s="14">
        <f t="shared" si="3"/>
        <v>4.9143455897338782E-2</v>
      </c>
      <c r="M34" s="14">
        <v>77.525276184082031</v>
      </c>
      <c r="N34" s="14" t="s">
        <v>24</v>
      </c>
      <c r="O34" s="13" t="s">
        <v>25</v>
      </c>
      <c r="R34" s="14"/>
      <c r="S34" s="12"/>
      <c r="T34" s="11" t="s">
        <v>16</v>
      </c>
      <c r="U34" s="11">
        <v>1.1697826333039478</v>
      </c>
      <c r="V34" s="11">
        <f t="shared" si="25"/>
        <v>2.0274212108437588</v>
      </c>
      <c r="W34" s="11"/>
      <c r="X34" s="11">
        <v>4.9143395060028336E-2</v>
      </c>
      <c r="Y34" s="11">
        <f t="shared" si="26"/>
        <v>4.0371262705832738</v>
      </c>
      <c r="Z34" s="11"/>
      <c r="AA34" s="11">
        <v>1.4278534174152868E-3</v>
      </c>
      <c r="AB34" s="11">
        <f t="shared" si="27"/>
        <v>0.49047453623204956</v>
      </c>
      <c r="AC34" s="10"/>
    </row>
    <row r="35" spans="1:37" x14ac:dyDescent="0.2">
      <c r="A35" s="15" t="s">
        <v>48</v>
      </c>
      <c r="B35" s="14" t="s">
        <v>15</v>
      </c>
      <c r="C35" s="14" t="s">
        <v>49</v>
      </c>
      <c r="D35" s="14">
        <v>21.90504264831543</v>
      </c>
      <c r="E35" s="14">
        <f>D35-15.0234</f>
        <v>6.8816426483154292</v>
      </c>
      <c r="F35" s="14">
        <f t="shared" si="1"/>
        <v>8.4804547935555964E-3</v>
      </c>
      <c r="G35" s="14">
        <v>77.08428955078125</v>
      </c>
      <c r="H35" s="14" t="s">
        <v>24</v>
      </c>
      <c r="I35" s="14" t="s">
        <v>25</v>
      </c>
      <c r="J35" s="14">
        <v>21.853366851806641</v>
      </c>
      <c r="K35" s="14">
        <f>J35-13.42775</f>
        <v>8.425616851806641</v>
      </c>
      <c r="L35" s="14">
        <f t="shared" si="3"/>
        <v>2.9082825375645405E-3</v>
      </c>
      <c r="M35" s="14">
        <v>76.786094665527344</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15</v>
      </c>
      <c r="C36" s="14" t="s">
        <v>49</v>
      </c>
      <c r="D36" s="14">
        <v>21.877407073974609</v>
      </c>
      <c r="E36" s="14">
        <f t="shared" ref="E36:E37" si="30">D36-15.0234</f>
        <v>6.8540070739746088</v>
      </c>
      <c r="F36" s="14">
        <f t="shared" si="1"/>
        <v>8.6444681844605915E-3</v>
      </c>
      <c r="G36" s="14">
        <v>77.08428955078125</v>
      </c>
      <c r="H36" s="14" t="s">
        <v>24</v>
      </c>
      <c r="I36" s="14" t="s">
        <v>25</v>
      </c>
      <c r="J36" s="14">
        <v>21.863531112670898</v>
      </c>
      <c r="K36" s="14">
        <f t="shared" ref="K36:K37" si="31">J36-13.42775</f>
        <v>8.4357811126708988</v>
      </c>
      <c r="L36" s="14">
        <f t="shared" si="3"/>
        <v>2.8878647404613151E-3</v>
      </c>
      <c r="M36" s="14">
        <v>76.786094665527344</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15</v>
      </c>
      <c r="C37" s="14" t="s">
        <v>49</v>
      </c>
      <c r="D37" s="14">
        <v>21.844202041625977</v>
      </c>
      <c r="E37" s="14">
        <f t="shared" si="30"/>
        <v>6.820802041625976</v>
      </c>
      <c r="F37" s="14">
        <f t="shared" si="1"/>
        <v>8.8457363508932466E-3</v>
      </c>
      <c r="G37" s="14">
        <v>76.930564880371094</v>
      </c>
      <c r="H37" s="14" t="s">
        <v>24</v>
      </c>
      <c r="I37" s="14" t="s">
        <v>25</v>
      </c>
      <c r="J37" s="14">
        <v>21.851938247680664</v>
      </c>
      <c r="K37" s="14">
        <f t="shared" si="31"/>
        <v>8.4241882476806644</v>
      </c>
      <c r="L37" s="14">
        <f t="shared" si="3"/>
        <v>2.91116384102521E-3</v>
      </c>
      <c r="M37" s="14">
        <v>76.780563354492188</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108</v>
      </c>
      <c r="C38" s="14" t="s">
        <v>49</v>
      </c>
      <c r="D38" s="14">
        <v>21.632429122924805</v>
      </c>
      <c r="E38" s="14">
        <f>D38-14.65476</f>
        <v>6.9776691229248051</v>
      </c>
      <c r="F38" s="14">
        <f t="shared" si="1"/>
        <v>7.9343671738197428E-3</v>
      </c>
      <c r="G38" s="14">
        <v>76.930564880371094</v>
      </c>
      <c r="H38" s="14" t="s">
        <v>24</v>
      </c>
      <c r="I38" s="14" t="s">
        <v>25</v>
      </c>
      <c r="J38" s="14">
        <v>23.40934944152832</v>
      </c>
      <c r="K38" s="14">
        <f>J38-14.36695</f>
        <v>9.0423994415283211</v>
      </c>
      <c r="L38" s="14">
        <f t="shared" si="3"/>
        <v>1.8965597756694303E-3</v>
      </c>
      <c r="M38" s="14">
        <v>76.780563354492188</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108</v>
      </c>
      <c r="C39" s="14" t="s">
        <v>49</v>
      </c>
      <c r="D39" s="14">
        <v>21.580869674682617</v>
      </c>
      <c r="E39" s="14">
        <f t="shared" ref="E39:E40" si="32">D39-14.65476</f>
        <v>6.9261096746826176</v>
      </c>
      <c r="F39" s="14">
        <f t="shared" si="1"/>
        <v>8.2230557499758904E-3</v>
      </c>
      <c r="G39" s="14">
        <v>77.079299926757813</v>
      </c>
      <c r="H39" s="14" t="s">
        <v>24</v>
      </c>
      <c r="I39" s="14" t="s">
        <v>25</v>
      </c>
      <c r="J39" s="14">
        <v>23.504007339477539</v>
      </c>
      <c r="K39" s="14">
        <f t="shared" ref="K39:K40" si="33">J39-14.36695</f>
        <v>9.1370573394775398</v>
      </c>
      <c r="L39" s="14">
        <f t="shared" si="3"/>
        <v>1.7761173991472691E-3</v>
      </c>
      <c r="M39" s="14">
        <v>76.778884887695313</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108</v>
      </c>
      <c r="C40" s="14" t="s">
        <v>49</v>
      </c>
      <c r="D40" s="14">
        <v>21.558534622192383</v>
      </c>
      <c r="E40" s="14">
        <f t="shared" si="32"/>
        <v>6.9037746221923832</v>
      </c>
      <c r="F40" s="14">
        <f t="shared" si="1"/>
        <v>8.3513513524759789E-3</v>
      </c>
      <c r="G40" s="14">
        <v>76.930313110351563</v>
      </c>
      <c r="H40" s="14" t="s">
        <v>24</v>
      </c>
      <c r="I40" s="14" t="s">
        <v>25</v>
      </c>
      <c r="J40" s="14">
        <v>23.439189910888672</v>
      </c>
      <c r="K40" s="14">
        <f t="shared" si="33"/>
        <v>9.0722399108886727</v>
      </c>
      <c r="L40" s="14">
        <f t="shared" si="3"/>
        <v>1.8577345534875147E-3</v>
      </c>
      <c r="M40" s="14">
        <v>76.778884887695313</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109</v>
      </c>
      <c r="C41" s="14" t="s">
        <v>49</v>
      </c>
      <c r="D41" s="14">
        <v>21.56355094909668</v>
      </c>
      <c r="E41" s="14">
        <f>D41-15.16677</f>
        <v>6.39678094909668</v>
      </c>
      <c r="F41" s="14">
        <f t="shared" si="1"/>
        <v>1.1867986909931091E-2</v>
      </c>
      <c r="G41" s="14">
        <v>76.928085327148438</v>
      </c>
      <c r="H41" s="14" t="s">
        <v>24</v>
      </c>
      <c r="I41" s="14" t="s">
        <v>25</v>
      </c>
      <c r="J41" s="14">
        <v>22.464849472045898</v>
      </c>
      <c r="K41" s="14">
        <f>J41-15.41607</f>
        <v>7.0487794720458989</v>
      </c>
      <c r="L41" s="14">
        <f t="shared" si="3"/>
        <v>7.5527645480597295E-3</v>
      </c>
      <c r="M41" s="14">
        <v>76.778083801269531</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109</v>
      </c>
      <c r="C42" s="14" t="s">
        <v>49</v>
      </c>
      <c r="D42" s="14">
        <v>21.523700714111328</v>
      </c>
      <c r="E42" s="14">
        <f t="shared" ref="E42:E43" si="34">D42-15.16677</f>
        <v>6.3569307141113285</v>
      </c>
      <c r="F42" s="14">
        <f t="shared" si="1"/>
        <v>1.2200374859808115E-2</v>
      </c>
      <c r="G42" s="14">
        <v>76.928085327148438</v>
      </c>
      <c r="H42" s="14" t="s">
        <v>24</v>
      </c>
      <c r="I42" s="14" t="s">
        <v>25</v>
      </c>
      <c r="J42" s="14">
        <v>22.400588989257813</v>
      </c>
      <c r="K42" s="14">
        <f t="shared" ref="K42:K43" si="35">J42-15.41607</f>
        <v>6.984518989257813</v>
      </c>
      <c r="L42" s="14">
        <f t="shared" si="3"/>
        <v>7.8967843634760761E-3</v>
      </c>
      <c r="M42" s="14">
        <v>76.778083801269531</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109</v>
      </c>
      <c r="C43" s="14" t="s">
        <v>49</v>
      </c>
      <c r="D43" s="14">
        <v>21.493154525756836</v>
      </c>
      <c r="E43" s="14">
        <f t="shared" si="34"/>
        <v>6.3263845257568363</v>
      </c>
      <c r="F43" s="14">
        <f t="shared" si="1"/>
        <v>1.2461447543044693E-2</v>
      </c>
      <c r="G43" s="14">
        <v>76.930633544921875</v>
      </c>
      <c r="H43" s="14" t="s">
        <v>24</v>
      </c>
      <c r="I43" s="14" t="s">
        <v>25</v>
      </c>
      <c r="J43" s="14">
        <v>22.385957717895508</v>
      </c>
      <c r="K43" s="14">
        <f t="shared" si="35"/>
        <v>6.9698877178955083</v>
      </c>
      <c r="L43" s="14">
        <f t="shared" si="3"/>
        <v>7.9772780637179276E-3</v>
      </c>
      <c r="M43" s="14">
        <v>76.633102416992188</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13</v>
      </c>
      <c r="C44" s="14" t="s">
        <v>49</v>
      </c>
      <c r="D44" s="14">
        <v>20.438320159912109</v>
      </c>
      <c r="E44" s="14">
        <f>D44-15.48186</f>
        <v>4.9564601599121101</v>
      </c>
      <c r="F44" s="14">
        <f t="shared" si="1"/>
        <v>3.220748547112981E-2</v>
      </c>
      <c r="G44" s="14">
        <v>77.079627990722656</v>
      </c>
      <c r="H44" s="14" t="s">
        <v>24</v>
      </c>
      <c r="I44" s="14" t="s">
        <v>25</v>
      </c>
      <c r="J44" s="14">
        <v>28.505311965942383</v>
      </c>
      <c r="K44" s="14">
        <f>J44-19.19508</f>
        <v>9.310231965942382</v>
      </c>
      <c r="L44" s="14">
        <f t="shared" si="3"/>
        <v>1.5752188916244296E-3</v>
      </c>
      <c r="M44" s="14">
        <v>76.633102416992188</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13</v>
      </c>
      <c r="C45" s="14" t="s">
        <v>49</v>
      </c>
      <c r="D45" s="14">
        <v>20.466514587402344</v>
      </c>
      <c r="E45" s="14">
        <f t="shared" ref="E45:E46" si="36">D45-15.48186</f>
        <v>4.9846545874023445</v>
      </c>
      <c r="F45" s="14">
        <f t="shared" si="1"/>
        <v>3.1584168735062902E-2</v>
      </c>
      <c r="G45" s="14">
        <v>76.933586120605469</v>
      </c>
      <c r="H45" s="14" t="s">
        <v>24</v>
      </c>
      <c r="I45" s="14" t="s">
        <v>25</v>
      </c>
      <c r="J45" s="14">
        <v>28.643108367919922</v>
      </c>
      <c r="K45" s="14">
        <f t="shared" ref="K45:K46" si="37">J45-19.19508</f>
        <v>9.4480283679199211</v>
      </c>
      <c r="L45" s="14">
        <f t="shared" si="3"/>
        <v>1.431726493172014E-3</v>
      </c>
      <c r="M45" s="14">
        <v>76.481895446777344</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13</v>
      </c>
      <c r="C46" s="14" t="s">
        <v>49</v>
      </c>
      <c r="D46" s="14">
        <v>20.464431762695313</v>
      </c>
      <c r="E46" s="14">
        <f t="shared" si="36"/>
        <v>4.9825717626953132</v>
      </c>
      <c r="F46" s="14">
        <f t="shared" si="1"/>
        <v>3.1629799859111005E-2</v>
      </c>
      <c r="G46" s="14">
        <v>76.933586120605469</v>
      </c>
      <c r="H46" s="14" t="s">
        <v>24</v>
      </c>
      <c r="I46" s="14" t="s">
        <v>25</v>
      </c>
      <c r="J46" s="14">
        <v>28.647014617919922</v>
      </c>
      <c r="K46" s="14">
        <f t="shared" si="37"/>
        <v>9.4519346179199211</v>
      </c>
      <c r="L46" s="14">
        <f t="shared" si="3"/>
        <v>1.4278551850335306E-3</v>
      </c>
      <c r="M46" s="14">
        <v>76.481895446777344</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15</v>
      </c>
      <c r="C47" s="14" t="s">
        <v>0</v>
      </c>
      <c r="D47" s="14">
        <v>18.357728958129883</v>
      </c>
      <c r="E47" s="14" t="s">
        <v>24</v>
      </c>
      <c r="F47" s="14"/>
      <c r="G47" s="14">
        <v>76.190353393554688</v>
      </c>
      <c r="H47" s="14" t="s">
        <v>24</v>
      </c>
      <c r="I47" s="14" t="s">
        <v>25</v>
      </c>
      <c r="J47" s="14">
        <v>18.877307891845703</v>
      </c>
      <c r="K47" s="14"/>
      <c r="L47" s="14"/>
      <c r="M47" s="14">
        <v>75.891654968261719</v>
      </c>
      <c r="N47" s="14" t="s">
        <v>24</v>
      </c>
      <c r="O47" s="13" t="s">
        <v>25</v>
      </c>
      <c r="R47" s="14"/>
      <c r="S47" s="14"/>
      <c r="T47" s="14"/>
      <c r="U47" s="14"/>
      <c r="V47" s="14"/>
      <c r="W47" s="14"/>
      <c r="X47" s="14"/>
    </row>
    <row r="48" spans="1:37" x14ac:dyDescent="0.2">
      <c r="A48" s="15" t="s">
        <v>62</v>
      </c>
      <c r="B48" s="14" t="s">
        <v>15</v>
      </c>
      <c r="C48" s="14" t="s">
        <v>0</v>
      </c>
      <c r="D48" s="14">
        <v>18.292375564575195</v>
      </c>
      <c r="E48" s="14" t="s">
        <v>24</v>
      </c>
      <c r="F48" s="14"/>
      <c r="G48" s="14">
        <v>76.041366577148438</v>
      </c>
      <c r="H48" s="14" t="s">
        <v>24</v>
      </c>
      <c r="I48" s="14" t="s">
        <v>25</v>
      </c>
      <c r="J48" s="14">
        <v>19.116703033447266</v>
      </c>
      <c r="K48" s="14"/>
      <c r="L48" s="14"/>
      <c r="M48" s="14">
        <v>75.891654968261719</v>
      </c>
      <c r="N48" s="14" t="s">
        <v>24</v>
      </c>
      <c r="O48" s="13" t="s">
        <v>25</v>
      </c>
      <c r="R48" s="14"/>
      <c r="S48" s="14"/>
      <c r="T48" s="14"/>
      <c r="U48" s="14"/>
      <c r="V48" s="14"/>
      <c r="W48" s="14"/>
      <c r="X48" s="14"/>
    </row>
    <row r="49" spans="1:24" x14ac:dyDescent="0.2">
      <c r="A49" s="15" t="s">
        <v>63</v>
      </c>
      <c r="B49" s="14" t="s">
        <v>15</v>
      </c>
      <c r="C49" s="14" t="s">
        <v>0</v>
      </c>
      <c r="D49" s="14">
        <v>18.307157516479492</v>
      </c>
      <c r="E49" s="14" t="s">
        <v>24</v>
      </c>
      <c r="F49" s="14"/>
      <c r="G49" s="14">
        <v>76.036590576171875</v>
      </c>
      <c r="H49" s="14" t="s">
        <v>24</v>
      </c>
      <c r="I49" s="14" t="s">
        <v>25</v>
      </c>
      <c r="J49" s="14">
        <v>18.869312286376953</v>
      </c>
      <c r="K49" s="14"/>
      <c r="L49" s="14"/>
      <c r="M49" s="14">
        <v>75.885971069335938</v>
      </c>
      <c r="N49" s="14" t="s">
        <v>24</v>
      </c>
      <c r="O49" s="13" t="s">
        <v>25</v>
      </c>
      <c r="R49" s="14"/>
      <c r="S49" s="14"/>
      <c r="T49" s="14"/>
      <c r="U49" s="14"/>
      <c r="V49" s="14"/>
      <c r="W49" s="14"/>
      <c r="X49" s="14"/>
    </row>
    <row r="50" spans="1:24" x14ac:dyDescent="0.2">
      <c r="A50" s="15" t="s">
        <v>64</v>
      </c>
      <c r="B50" s="14" t="s">
        <v>108</v>
      </c>
      <c r="C50" s="14" t="s">
        <v>0</v>
      </c>
      <c r="D50" s="14">
        <v>18.926219940185547</v>
      </c>
      <c r="E50" s="14" t="s">
        <v>24</v>
      </c>
      <c r="F50" s="14"/>
      <c r="G50" s="14">
        <v>76.036590576171875</v>
      </c>
      <c r="H50" s="14" t="s">
        <v>24</v>
      </c>
      <c r="I50" s="14" t="s">
        <v>65</v>
      </c>
      <c r="J50" s="14">
        <v>19.901037216186523</v>
      </c>
      <c r="K50" s="14"/>
      <c r="L50" s="14"/>
      <c r="M50" s="14">
        <v>75.885971069335938</v>
      </c>
      <c r="N50" s="14" t="s">
        <v>24</v>
      </c>
      <c r="O50" s="13" t="s">
        <v>25</v>
      </c>
      <c r="R50" s="14"/>
      <c r="S50" s="14"/>
      <c r="T50" s="14"/>
      <c r="U50" s="14"/>
      <c r="V50" s="14"/>
      <c r="W50" s="14"/>
      <c r="X50" s="14"/>
    </row>
    <row r="51" spans="1:24" x14ac:dyDescent="0.2">
      <c r="A51" s="15" t="s">
        <v>66</v>
      </c>
      <c r="B51" s="14" t="s">
        <v>108</v>
      </c>
      <c r="C51" s="14" t="s">
        <v>0</v>
      </c>
      <c r="D51" s="14">
        <v>18.141323089599609</v>
      </c>
      <c r="E51" s="14" t="s">
        <v>24</v>
      </c>
      <c r="F51" s="14"/>
      <c r="G51" s="14">
        <v>76.185386657714844</v>
      </c>
      <c r="H51" s="14" t="s">
        <v>24</v>
      </c>
      <c r="I51" s="14" t="s">
        <v>25</v>
      </c>
      <c r="J51" s="14">
        <v>19.918937683105469</v>
      </c>
      <c r="K51" s="14"/>
      <c r="L51" s="14"/>
      <c r="M51" s="14">
        <v>75.884376525878906</v>
      </c>
      <c r="N51" s="14" t="s">
        <v>24</v>
      </c>
      <c r="O51" s="13" t="s">
        <v>25</v>
      </c>
      <c r="R51" s="14"/>
      <c r="S51" s="14"/>
      <c r="T51" s="14"/>
      <c r="U51" s="14"/>
      <c r="V51" s="14"/>
      <c r="W51" s="14"/>
      <c r="X51" s="14"/>
    </row>
    <row r="52" spans="1:24" x14ac:dyDescent="0.2">
      <c r="A52" s="15" t="s">
        <v>67</v>
      </c>
      <c r="B52" s="14" t="s">
        <v>108</v>
      </c>
      <c r="C52" s="14" t="s">
        <v>0</v>
      </c>
      <c r="D52" s="14">
        <v>18.079765319824219</v>
      </c>
      <c r="E52" s="14" t="s">
        <v>24</v>
      </c>
      <c r="F52" s="14"/>
      <c r="G52" s="14">
        <v>76.185386657714844</v>
      </c>
      <c r="H52" s="14" t="s">
        <v>24</v>
      </c>
      <c r="I52" s="14" t="s">
        <v>25</v>
      </c>
      <c r="J52" s="14">
        <v>19.86491584777832</v>
      </c>
      <c r="K52" s="14"/>
      <c r="L52" s="14"/>
      <c r="M52" s="14">
        <v>75.884376525878906</v>
      </c>
      <c r="N52" s="14" t="s">
        <v>24</v>
      </c>
      <c r="O52" s="13" t="s">
        <v>25</v>
      </c>
      <c r="R52" s="14"/>
      <c r="S52" s="14"/>
      <c r="T52" s="14"/>
      <c r="U52" s="14"/>
      <c r="V52" s="14"/>
      <c r="W52" s="14"/>
      <c r="X52" s="14"/>
    </row>
    <row r="53" spans="1:24" x14ac:dyDescent="0.2">
      <c r="A53" s="15" t="s">
        <v>68</v>
      </c>
      <c r="B53" s="14" t="s">
        <v>109</v>
      </c>
      <c r="C53" s="14" t="s">
        <v>0</v>
      </c>
      <c r="D53" s="14">
        <v>18.811235427856445</v>
      </c>
      <c r="E53" s="14" t="s">
        <v>24</v>
      </c>
      <c r="F53" s="14"/>
      <c r="G53" s="14">
        <v>76.034126281738281</v>
      </c>
      <c r="H53" s="14" t="s">
        <v>24</v>
      </c>
      <c r="I53" s="14" t="s">
        <v>25</v>
      </c>
      <c r="J53" s="14">
        <v>21.029010772705078</v>
      </c>
      <c r="K53" s="14"/>
      <c r="L53" s="14"/>
      <c r="M53" s="14">
        <v>75.734428405761719</v>
      </c>
      <c r="N53" s="14" t="s">
        <v>24</v>
      </c>
      <c r="O53" s="13" t="s">
        <v>25</v>
      </c>
      <c r="R53" s="14"/>
      <c r="S53" s="14"/>
      <c r="T53" s="14"/>
      <c r="U53" s="14"/>
      <c r="V53" s="14"/>
      <c r="W53" s="14"/>
      <c r="X53" s="14"/>
    </row>
    <row r="54" spans="1:24" x14ac:dyDescent="0.2">
      <c r="A54" s="15" t="s">
        <v>69</v>
      </c>
      <c r="B54" s="14" t="s">
        <v>109</v>
      </c>
      <c r="C54" s="14" t="s">
        <v>0</v>
      </c>
      <c r="D54" s="14">
        <v>18.830268859863281</v>
      </c>
      <c r="E54" s="14" t="s">
        <v>24</v>
      </c>
      <c r="F54" s="14"/>
      <c r="G54" s="14">
        <v>76.034126281738281</v>
      </c>
      <c r="H54" s="14" t="s">
        <v>24</v>
      </c>
      <c r="I54" s="14" t="s">
        <v>25</v>
      </c>
      <c r="J54" s="14">
        <v>21.226402282714844</v>
      </c>
      <c r="K54" s="14"/>
      <c r="L54" s="14"/>
      <c r="M54" s="14">
        <v>75.585334777832031</v>
      </c>
      <c r="N54" s="14" t="s">
        <v>24</v>
      </c>
      <c r="O54" s="13" t="s">
        <v>25</v>
      </c>
      <c r="R54" s="14"/>
      <c r="S54" s="14"/>
      <c r="T54" s="14"/>
      <c r="U54" s="14"/>
      <c r="V54" s="14"/>
      <c r="W54" s="14"/>
      <c r="X54" s="14"/>
    </row>
    <row r="55" spans="1:24" x14ac:dyDescent="0.2">
      <c r="A55" s="15" t="s">
        <v>70</v>
      </c>
      <c r="B55" s="14" t="s">
        <v>109</v>
      </c>
      <c r="C55" s="14" t="s">
        <v>0</v>
      </c>
      <c r="D55" s="14">
        <v>18.852859497070313</v>
      </c>
      <c r="E55" s="14" t="s">
        <v>24</v>
      </c>
      <c r="F55" s="14"/>
      <c r="G55" s="14">
        <v>76.03668212890625</v>
      </c>
      <c r="H55" s="14" t="s">
        <v>24</v>
      </c>
      <c r="I55" s="14" t="s">
        <v>25</v>
      </c>
      <c r="J55" s="14">
        <v>21.028779983520508</v>
      </c>
      <c r="K55" s="14"/>
      <c r="L55" s="14"/>
      <c r="M55" s="14">
        <v>75.738693237304688</v>
      </c>
      <c r="N55" s="14" t="s">
        <v>24</v>
      </c>
      <c r="O55" s="13" t="s">
        <v>25</v>
      </c>
      <c r="R55" s="14"/>
      <c r="S55" s="14"/>
      <c r="T55" s="14"/>
      <c r="U55" s="14"/>
      <c r="V55" s="14"/>
      <c r="W55" s="14"/>
      <c r="X55" s="14"/>
    </row>
    <row r="56" spans="1:24" x14ac:dyDescent="0.2">
      <c r="A56" s="15" t="s">
        <v>71</v>
      </c>
      <c r="B56" s="14" t="s">
        <v>13</v>
      </c>
      <c r="C56" s="14" t="s">
        <v>0</v>
      </c>
      <c r="D56" s="14">
        <v>18.816133499145508</v>
      </c>
      <c r="E56" s="14" t="s">
        <v>24</v>
      </c>
      <c r="F56" s="14"/>
      <c r="G56" s="14">
        <v>76.03668212890625</v>
      </c>
      <c r="H56" s="14" t="s">
        <v>24</v>
      </c>
      <c r="I56" s="14" t="s">
        <v>25</v>
      </c>
      <c r="J56" s="14">
        <v>26.618070602416992</v>
      </c>
      <c r="K56" s="14"/>
      <c r="L56" s="14"/>
      <c r="M56" s="14">
        <v>75.589630126953125</v>
      </c>
      <c r="N56" s="14" t="s">
        <v>24</v>
      </c>
      <c r="O56" s="13" t="s">
        <v>25</v>
      </c>
      <c r="R56" s="14"/>
      <c r="S56" s="14"/>
      <c r="T56" s="14"/>
      <c r="U56" s="14"/>
      <c r="V56" s="14"/>
      <c r="W56" s="14"/>
      <c r="X56" s="14"/>
    </row>
    <row r="57" spans="1:24" x14ac:dyDescent="0.2">
      <c r="A57" s="15" t="s">
        <v>72</v>
      </c>
      <c r="B57" s="14" t="s">
        <v>13</v>
      </c>
      <c r="C57" s="14" t="s">
        <v>0</v>
      </c>
      <c r="D57" s="14">
        <v>18.821477890014648</v>
      </c>
      <c r="E57" s="14" t="s">
        <v>24</v>
      </c>
      <c r="F57" s="14"/>
      <c r="G57" s="14">
        <v>76.039627075195313</v>
      </c>
      <c r="H57" s="14" t="s">
        <v>24</v>
      </c>
      <c r="I57" s="14" t="s">
        <v>25</v>
      </c>
      <c r="J57" s="14">
        <v>26.625406265258789</v>
      </c>
      <c r="K57" s="14"/>
      <c r="L57" s="14"/>
      <c r="M57" s="14">
        <v>75.587570190429688</v>
      </c>
      <c r="N57" s="14" t="s">
        <v>24</v>
      </c>
      <c r="O57" s="13" t="s">
        <v>25</v>
      </c>
      <c r="R57" s="14"/>
      <c r="S57" s="14"/>
      <c r="T57" s="14"/>
      <c r="U57" s="14"/>
      <c r="V57" s="14"/>
      <c r="W57" s="14"/>
      <c r="X57" s="14"/>
    </row>
    <row r="58" spans="1:24" x14ac:dyDescent="0.2">
      <c r="A58" s="15" t="s">
        <v>73</v>
      </c>
      <c r="B58" s="14" t="s">
        <v>13</v>
      </c>
      <c r="C58" s="14" t="s">
        <v>0</v>
      </c>
      <c r="D58" s="14">
        <v>18.842601776123047</v>
      </c>
      <c r="E58" s="14" t="s">
        <v>24</v>
      </c>
      <c r="F58" s="14"/>
      <c r="G58" s="14">
        <v>76.039627075195313</v>
      </c>
      <c r="H58" s="14" t="s">
        <v>24</v>
      </c>
      <c r="I58" s="14" t="s">
        <v>25</v>
      </c>
      <c r="J58" s="14">
        <v>26.684316635131836</v>
      </c>
      <c r="K58" s="14"/>
      <c r="L58" s="14"/>
      <c r="M58" s="14">
        <v>75.587570190429688</v>
      </c>
      <c r="N58" s="14" t="s">
        <v>24</v>
      </c>
      <c r="O58" s="13" t="s">
        <v>25</v>
      </c>
      <c r="R58" s="14"/>
      <c r="S58" s="14"/>
      <c r="T58" s="14"/>
      <c r="U58" s="14"/>
      <c r="V58" s="14"/>
      <c r="W58" s="14"/>
      <c r="X58" s="14"/>
    </row>
    <row r="59" spans="1:24" x14ac:dyDescent="0.2">
      <c r="A59" s="15" t="s">
        <v>74</v>
      </c>
      <c r="B59" s="14" t="s">
        <v>15</v>
      </c>
      <c r="C59" s="14" t="s">
        <v>1</v>
      </c>
      <c r="D59" s="14">
        <v>14.012178421020508</v>
      </c>
      <c r="E59" s="14" t="s">
        <v>24</v>
      </c>
      <c r="F59" s="14"/>
      <c r="G59" s="14">
        <v>81.10699462890625</v>
      </c>
      <c r="H59" s="14" t="s">
        <v>24</v>
      </c>
      <c r="I59" s="14" t="s">
        <v>25</v>
      </c>
      <c r="J59" s="14">
        <v>6.6014556884765625</v>
      </c>
      <c r="K59" s="14"/>
      <c r="L59" s="14"/>
      <c r="M59" s="14">
        <v>80.960136413574219</v>
      </c>
      <c r="N59" s="14" t="s">
        <v>24</v>
      </c>
      <c r="O59" s="13" t="s">
        <v>25</v>
      </c>
      <c r="R59" s="14"/>
      <c r="S59" s="14"/>
      <c r="T59" s="14"/>
      <c r="U59" s="14"/>
      <c r="V59" s="14"/>
      <c r="W59" s="14"/>
      <c r="X59" s="14"/>
    </row>
    <row r="60" spans="1:24" x14ac:dyDescent="0.2">
      <c r="A60" s="15" t="s">
        <v>75</v>
      </c>
      <c r="B60" s="14" t="s">
        <v>15</v>
      </c>
      <c r="C60" s="14" t="s">
        <v>1</v>
      </c>
      <c r="D60" s="14">
        <v>14.001118659973145</v>
      </c>
      <c r="E60" s="14" t="s">
        <v>24</v>
      </c>
      <c r="F60" s="14"/>
      <c r="G60" s="14">
        <v>80.9580078125</v>
      </c>
      <c r="H60" s="14" t="s">
        <v>24</v>
      </c>
      <c r="I60" s="14" t="s">
        <v>25</v>
      </c>
      <c r="J60" s="14">
        <v>6.7408256530761719</v>
      </c>
      <c r="K60" s="14"/>
      <c r="L60" s="14"/>
      <c r="M60" s="14">
        <v>80.960136413574219</v>
      </c>
      <c r="N60" s="14" t="s">
        <v>24</v>
      </c>
      <c r="O60" s="13" t="s">
        <v>25</v>
      </c>
      <c r="R60" s="14"/>
      <c r="S60" s="14"/>
      <c r="T60" s="14"/>
      <c r="U60" s="14"/>
      <c r="V60" s="14"/>
      <c r="W60" s="14"/>
      <c r="X60" s="14"/>
    </row>
    <row r="61" spans="1:24" x14ac:dyDescent="0.2">
      <c r="A61" s="15" t="s">
        <v>76</v>
      </c>
      <c r="B61" s="14" t="s">
        <v>15</v>
      </c>
      <c r="C61" s="14" t="s">
        <v>1</v>
      </c>
      <c r="D61" s="14">
        <v>13.98635196685791</v>
      </c>
      <c r="E61" s="14" t="s">
        <v>24</v>
      </c>
      <c r="F61" s="14"/>
      <c r="G61" s="14">
        <v>81.102462768554688</v>
      </c>
      <c r="H61" s="14" t="s">
        <v>24</v>
      </c>
      <c r="I61" s="14" t="s">
        <v>25</v>
      </c>
      <c r="J61" s="14">
        <v>9.5253467559814453</v>
      </c>
      <c r="K61" s="14"/>
      <c r="L61" s="14"/>
      <c r="M61" s="14">
        <v>80.955299377441406</v>
      </c>
      <c r="N61" s="14" t="s">
        <v>24</v>
      </c>
      <c r="O61" s="13" t="s">
        <v>25</v>
      </c>
      <c r="R61" s="14"/>
      <c r="S61" s="14"/>
      <c r="T61" s="14"/>
      <c r="U61" s="14"/>
      <c r="V61" s="14"/>
      <c r="W61" s="14"/>
      <c r="X61" s="14"/>
    </row>
    <row r="62" spans="1:24" x14ac:dyDescent="0.2">
      <c r="A62" s="15" t="s">
        <v>77</v>
      </c>
      <c r="B62" s="14" t="s">
        <v>108</v>
      </c>
      <c r="C62" s="14" t="s">
        <v>1</v>
      </c>
      <c r="D62" s="14">
        <v>13.441226959228516</v>
      </c>
      <c r="E62" s="14" t="s">
        <v>24</v>
      </c>
      <c r="F62" s="14"/>
      <c r="G62" s="14">
        <v>81.102462768554688</v>
      </c>
      <c r="H62" s="14" t="s">
        <v>24</v>
      </c>
      <c r="I62" s="14" t="s">
        <v>25</v>
      </c>
      <c r="J62" s="14">
        <v>9.443760871887207</v>
      </c>
      <c r="K62" s="14"/>
      <c r="L62" s="14"/>
      <c r="M62" s="14">
        <v>80.955299377441406</v>
      </c>
      <c r="N62" s="14" t="s">
        <v>24</v>
      </c>
      <c r="O62" s="13" t="s">
        <v>25</v>
      </c>
      <c r="R62" s="14"/>
      <c r="S62" s="14"/>
      <c r="T62" s="14"/>
      <c r="U62" s="14"/>
      <c r="V62" s="14"/>
      <c r="W62" s="14"/>
      <c r="X62" s="14"/>
    </row>
    <row r="63" spans="1:24" x14ac:dyDescent="0.2">
      <c r="A63" s="15" t="s">
        <v>78</v>
      </c>
      <c r="B63" s="14" t="s">
        <v>108</v>
      </c>
      <c r="C63" s="14" t="s">
        <v>1</v>
      </c>
      <c r="D63" s="14">
        <v>13.461580276489258</v>
      </c>
      <c r="E63" s="14" t="s">
        <v>24</v>
      </c>
      <c r="F63" s="14"/>
      <c r="G63" s="14">
        <v>81.101921081542969</v>
      </c>
      <c r="H63" s="14" t="s">
        <v>24</v>
      </c>
      <c r="I63" s="14" t="s">
        <v>25</v>
      </c>
      <c r="J63" s="14">
        <v>9.2505073547363281</v>
      </c>
      <c r="K63" s="14"/>
      <c r="L63" s="14"/>
      <c r="M63" s="14">
        <v>80.9532470703125</v>
      </c>
      <c r="N63" s="14" t="s">
        <v>24</v>
      </c>
      <c r="O63" s="13" t="s">
        <v>25</v>
      </c>
      <c r="R63" s="14"/>
      <c r="S63" s="14"/>
      <c r="T63" s="14"/>
      <c r="U63" s="14"/>
      <c r="V63" s="14"/>
      <c r="W63" s="14"/>
      <c r="X63" s="14"/>
    </row>
    <row r="64" spans="1:24" x14ac:dyDescent="0.2">
      <c r="A64" s="15" t="s">
        <v>79</v>
      </c>
      <c r="B64" s="14" t="s">
        <v>108</v>
      </c>
      <c r="C64" s="14" t="s">
        <v>1</v>
      </c>
      <c r="D64" s="14">
        <v>13.42683219909668</v>
      </c>
      <c r="E64" s="14" t="s">
        <v>24</v>
      </c>
      <c r="F64" s="14"/>
      <c r="G64" s="14">
        <v>81.101921081542969</v>
      </c>
      <c r="H64" s="14" t="s">
        <v>24</v>
      </c>
      <c r="I64" s="14" t="s">
        <v>25</v>
      </c>
      <c r="J64" s="14">
        <v>9.3403511047363281</v>
      </c>
      <c r="K64" s="14"/>
      <c r="L64" s="14"/>
      <c r="M64" s="14">
        <v>80.9532470703125</v>
      </c>
      <c r="N64" s="14" t="s">
        <v>24</v>
      </c>
      <c r="O64" s="13" t="s">
        <v>25</v>
      </c>
      <c r="R64" s="14"/>
      <c r="S64" s="14"/>
      <c r="T64" s="14"/>
      <c r="U64" s="14"/>
      <c r="V64" s="14"/>
      <c r="W64" s="14"/>
      <c r="X64" s="14"/>
    </row>
    <row r="65" spans="1:24" x14ac:dyDescent="0.2">
      <c r="A65" s="15" t="s">
        <v>80</v>
      </c>
      <c r="B65" s="14" t="s">
        <v>109</v>
      </c>
      <c r="C65" s="14" t="s">
        <v>1</v>
      </c>
      <c r="D65" s="14">
        <v>14.148872375488281</v>
      </c>
      <c r="E65" s="14" t="s">
        <v>24</v>
      </c>
      <c r="F65" s="14"/>
      <c r="G65" s="14">
        <v>80.950889587402344</v>
      </c>
      <c r="H65" s="14" t="s">
        <v>24</v>
      </c>
      <c r="I65" s="14" t="s">
        <v>25</v>
      </c>
      <c r="J65" s="14">
        <v>9.814946174621582</v>
      </c>
      <c r="K65" s="14"/>
      <c r="L65" s="14"/>
      <c r="M65" s="14">
        <v>80.803611755371094</v>
      </c>
      <c r="N65" s="14" t="s">
        <v>24</v>
      </c>
      <c r="O65" s="13" t="s">
        <v>25</v>
      </c>
      <c r="R65" s="14"/>
      <c r="S65" s="14"/>
      <c r="T65" s="14"/>
      <c r="U65" s="14"/>
      <c r="V65" s="14"/>
      <c r="W65" s="14"/>
      <c r="X65" s="14"/>
    </row>
    <row r="66" spans="1:24" x14ac:dyDescent="0.2">
      <c r="A66" s="15" t="s">
        <v>81</v>
      </c>
      <c r="B66" s="14" t="s">
        <v>109</v>
      </c>
      <c r="C66" s="14" t="s">
        <v>1</v>
      </c>
      <c r="D66" s="14">
        <v>14.132797241210938</v>
      </c>
      <c r="E66" s="14" t="s">
        <v>24</v>
      </c>
      <c r="F66" s="14"/>
      <c r="G66" s="14">
        <v>80.950889587402344</v>
      </c>
      <c r="H66" s="14" t="s">
        <v>24</v>
      </c>
      <c r="I66" s="14" t="s">
        <v>25</v>
      </c>
      <c r="J66" s="14">
        <v>9.6116352081298828</v>
      </c>
      <c r="K66" s="14"/>
      <c r="L66" s="14"/>
      <c r="M66" s="14">
        <v>80.803611755371094</v>
      </c>
      <c r="N66" s="14" t="s">
        <v>24</v>
      </c>
      <c r="O66" s="13" t="s">
        <v>65</v>
      </c>
      <c r="R66" s="14"/>
      <c r="S66" s="14"/>
      <c r="T66" s="14"/>
      <c r="U66" s="14"/>
      <c r="V66" s="14"/>
      <c r="W66" s="14"/>
      <c r="X66" s="14"/>
    </row>
    <row r="67" spans="1:24" x14ac:dyDescent="0.2">
      <c r="A67" s="15" t="s">
        <v>82</v>
      </c>
      <c r="B67" s="14" t="s">
        <v>109</v>
      </c>
      <c r="C67" s="14" t="s">
        <v>1</v>
      </c>
      <c r="D67" s="14">
        <v>14.13548755645752</v>
      </c>
      <c r="E67" s="14" t="s">
        <v>24</v>
      </c>
      <c r="F67" s="14"/>
      <c r="G67" s="14">
        <v>80.804435729980469</v>
      </c>
      <c r="H67" s="14" t="s">
        <v>24</v>
      </c>
      <c r="I67" s="14" t="s">
        <v>25</v>
      </c>
      <c r="J67" s="14">
        <v>9.5587282180786133</v>
      </c>
      <c r="K67" s="14"/>
      <c r="L67" s="14"/>
      <c r="M67" s="14">
        <v>80.657951354980469</v>
      </c>
      <c r="N67" s="14" t="s">
        <v>24</v>
      </c>
      <c r="O67" s="13" t="s">
        <v>25</v>
      </c>
      <c r="R67" s="14"/>
      <c r="S67" s="14"/>
      <c r="T67" s="14"/>
      <c r="U67" s="14"/>
      <c r="V67" s="14"/>
      <c r="W67" s="14"/>
      <c r="X67" s="14"/>
    </row>
    <row r="68" spans="1:24" x14ac:dyDescent="0.2">
      <c r="A68" s="15" t="s">
        <v>83</v>
      </c>
      <c r="B68" s="14" t="s">
        <v>13</v>
      </c>
      <c r="C68" s="14" t="s">
        <v>1</v>
      </c>
      <c r="D68" s="14">
        <v>15.102280616760254</v>
      </c>
      <c r="E68" s="14" t="s">
        <v>24</v>
      </c>
      <c r="F68" s="14"/>
      <c r="G68" s="14">
        <v>80.95343017578125</v>
      </c>
      <c r="H68" s="14" t="s">
        <v>24</v>
      </c>
      <c r="I68" s="14" t="s">
        <v>25</v>
      </c>
      <c r="J68" s="14">
        <v>13.321662902832031</v>
      </c>
      <c r="K68" s="14"/>
      <c r="L68" s="14"/>
      <c r="M68" s="14">
        <v>80.508880615234375</v>
      </c>
      <c r="N68" s="14" t="s">
        <v>24</v>
      </c>
      <c r="O68" s="13" t="s">
        <v>25</v>
      </c>
      <c r="R68" s="14"/>
      <c r="S68" s="14"/>
      <c r="T68" s="14"/>
      <c r="U68" s="14"/>
      <c r="V68" s="14"/>
      <c r="W68" s="14"/>
      <c r="X68" s="14"/>
    </row>
    <row r="69" spans="1:24" x14ac:dyDescent="0.2">
      <c r="A69" s="15" t="s">
        <v>84</v>
      </c>
      <c r="B69" s="14" t="s">
        <v>13</v>
      </c>
      <c r="C69" s="14" t="s">
        <v>1</v>
      </c>
      <c r="D69" s="14">
        <v>14.981801986694336</v>
      </c>
      <c r="E69" s="14" t="s">
        <v>24</v>
      </c>
      <c r="F69" s="14"/>
      <c r="G69" s="14">
        <v>80.956390380859375</v>
      </c>
      <c r="H69" s="14" t="s">
        <v>24</v>
      </c>
      <c r="I69" s="14" t="s">
        <v>25</v>
      </c>
      <c r="J69" s="14">
        <v>13.325486183166504</v>
      </c>
      <c r="K69" s="14"/>
      <c r="L69" s="14"/>
      <c r="M69" s="14">
        <v>80.506355285644531</v>
      </c>
      <c r="N69" s="14" t="s">
        <v>24</v>
      </c>
      <c r="O69" s="13" t="s">
        <v>25</v>
      </c>
      <c r="R69" s="14"/>
      <c r="S69" s="14"/>
      <c r="T69" s="14"/>
      <c r="U69" s="14"/>
      <c r="V69" s="14"/>
      <c r="W69" s="14"/>
      <c r="X69" s="14"/>
    </row>
    <row r="70" spans="1:24" x14ac:dyDescent="0.2">
      <c r="A70" s="15" t="s">
        <v>85</v>
      </c>
      <c r="B70" s="14" t="s">
        <v>13</v>
      </c>
      <c r="C70" s="14" t="s">
        <v>1</v>
      </c>
      <c r="D70" s="14">
        <v>15.13422966003418</v>
      </c>
      <c r="E70" s="14" t="s">
        <v>24</v>
      </c>
      <c r="F70" s="14"/>
      <c r="G70" s="14">
        <v>80.956390380859375</v>
      </c>
      <c r="H70" s="14" t="s">
        <v>24</v>
      </c>
      <c r="I70" s="14" t="s">
        <v>25</v>
      </c>
      <c r="J70" s="14">
        <v>13.272071838378906</v>
      </c>
      <c r="K70" s="14"/>
      <c r="L70" s="14"/>
      <c r="M70" s="14">
        <v>80.506355285644531</v>
      </c>
      <c r="N70" s="14" t="s">
        <v>24</v>
      </c>
      <c r="O70" s="13" t="s">
        <v>25</v>
      </c>
      <c r="R70" s="14"/>
      <c r="S70" s="14"/>
      <c r="T70" s="14"/>
      <c r="U70" s="14"/>
      <c r="V70" s="14"/>
      <c r="W70" s="14"/>
      <c r="X70" s="14"/>
    </row>
    <row r="71" spans="1:24" x14ac:dyDescent="0.2">
      <c r="A71" s="15" t="s">
        <v>86</v>
      </c>
      <c r="B71" s="14" t="s">
        <v>15</v>
      </c>
      <c r="C71" s="14" t="s">
        <v>2</v>
      </c>
      <c r="D71" s="14">
        <v>12.775343894958496</v>
      </c>
      <c r="E71" s="14" t="s">
        <v>24</v>
      </c>
      <c r="F71" s="14"/>
      <c r="G71" s="14">
        <v>78.127212524414063</v>
      </c>
      <c r="H71" s="14" t="s">
        <v>24</v>
      </c>
      <c r="I71" s="14" t="s">
        <v>25</v>
      </c>
      <c r="J71" s="14">
        <v>13.678102493286133</v>
      </c>
      <c r="K71" s="14"/>
      <c r="L71" s="14"/>
      <c r="M71" s="14">
        <v>77.978675842285156</v>
      </c>
      <c r="N71" s="14" t="s">
        <v>24</v>
      </c>
      <c r="O71" s="13" t="s">
        <v>25</v>
      </c>
      <c r="R71" s="14"/>
      <c r="S71" s="14"/>
      <c r="T71" s="14"/>
      <c r="U71" s="14"/>
      <c r="V71" s="14"/>
      <c r="W71" s="14"/>
      <c r="X71" s="14"/>
    </row>
    <row r="72" spans="1:24" x14ac:dyDescent="0.2">
      <c r="A72" s="15" t="s">
        <v>87</v>
      </c>
      <c r="B72" s="14" t="s">
        <v>15</v>
      </c>
      <c r="C72" s="14" t="s">
        <v>2</v>
      </c>
      <c r="D72" s="14">
        <v>12.734664916992188</v>
      </c>
      <c r="E72" s="14" t="s">
        <v>24</v>
      </c>
      <c r="F72" s="14"/>
      <c r="G72" s="14">
        <v>78.127212524414063</v>
      </c>
      <c r="H72" s="14" t="s">
        <v>24</v>
      </c>
      <c r="I72" s="14" t="s">
        <v>25</v>
      </c>
      <c r="J72" s="14">
        <v>13.821446418762207</v>
      </c>
      <c r="K72" s="14"/>
      <c r="L72" s="14"/>
      <c r="M72" s="14">
        <v>77.978675842285156</v>
      </c>
      <c r="N72" s="14" t="s">
        <v>24</v>
      </c>
      <c r="O72" s="13" t="s">
        <v>25</v>
      </c>
      <c r="R72" s="14"/>
      <c r="S72" s="14"/>
      <c r="T72" s="14"/>
      <c r="U72" s="14"/>
      <c r="V72" s="14"/>
      <c r="W72" s="14"/>
      <c r="X72" s="14"/>
    </row>
    <row r="73" spans="1:24" x14ac:dyDescent="0.2">
      <c r="A73" s="15" t="s">
        <v>88</v>
      </c>
      <c r="B73" s="14" t="s">
        <v>15</v>
      </c>
      <c r="C73" s="14" t="s">
        <v>2</v>
      </c>
      <c r="D73" s="14">
        <v>12.74371337890625</v>
      </c>
      <c r="E73" s="14" t="s">
        <v>24</v>
      </c>
      <c r="F73" s="14"/>
      <c r="G73" s="14">
        <v>78.122535705566406</v>
      </c>
      <c r="H73" s="14" t="s">
        <v>24</v>
      </c>
      <c r="I73" s="14" t="s">
        <v>25</v>
      </c>
      <c r="J73" s="14">
        <v>13.619266510009766</v>
      </c>
      <c r="K73" s="14"/>
      <c r="L73" s="14"/>
      <c r="M73" s="14">
        <v>77.973342895507813</v>
      </c>
      <c r="N73" s="14" t="s">
        <v>24</v>
      </c>
      <c r="O73" s="13" t="s">
        <v>25</v>
      </c>
      <c r="R73" s="14"/>
      <c r="S73" s="14"/>
      <c r="T73" s="14"/>
      <c r="U73" s="14"/>
      <c r="V73" s="14"/>
      <c r="W73" s="14"/>
      <c r="X73" s="14"/>
    </row>
    <row r="74" spans="1:24" x14ac:dyDescent="0.2">
      <c r="A74" s="15" t="s">
        <v>89</v>
      </c>
      <c r="B74" s="14" t="s">
        <v>108</v>
      </c>
      <c r="C74" s="14" t="s">
        <v>2</v>
      </c>
      <c r="D74" s="14">
        <v>12.149248123168945</v>
      </c>
      <c r="E74" s="14" t="s">
        <v>24</v>
      </c>
      <c r="F74" s="14"/>
      <c r="G74" s="14">
        <v>78.122535705566406</v>
      </c>
      <c r="H74" s="14" t="s">
        <v>24</v>
      </c>
      <c r="I74" s="14" t="s">
        <v>25</v>
      </c>
      <c r="J74" s="14">
        <v>13.856471061706543</v>
      </c>
      <c r="K74" s="14"/>
      <c r="L74" s="14"/>
      <c r="M74" s="14">
        <v>77.973342895507813</v>
      </c>
      <c r="N74" s="14" t="s">
        <v>24</v>
      </c>
      <c r="O74" s="13" t="s">
        <v>25</v>
      </c>
      <c r="R74" s="14"/>
      <c r="S74" s="14"/>
      <c r="T74" s="14"/>
      <c r="U74" s="14"/>
      <c r="V74" s="14"/>
      <c r="W74" s="14"/>
      <c r="X74" s="14"/>
    </row>
    <row r="75" spans="1:24" x14ac:dyDescent="0.2">
      <c r="A75" s="15" t="s">
        <v>90</v>
      </c>
      <c r="B75" s="14" t="s">
        <v>108</v>
      </c>
      <c r="C75" s="14" t="s">
        <v>2</v>
      </c>
      <c r="D75" s="14">
        <v>12.139081954956055</v>
      </c>
      <c r="E75" s="14" t="s">
        <v>24</v>
      </c>
      <c r="F75" s="14"/>
      <c r="G75" s="14">
        <v>78.271186828613281</v>
      </c>
      <c r="H75" s="14" t="s">
        <v>24</v>
      </c>
      <c r="I75" s="14" t="s">
        <v>25</v>
      </c>
      <c r="J75" s="14">
        <v>13.862485885620117</v>
      </c>
      <c r="K75" s="14"/>
      <c r="L75" s="14"/>
      <c r="M75" s="14">
        <v>77.9715576171875</v>
      </c>
      <c r="N75" s="14" t="s">
        <v>24</v>
      </c>
      <c r="O75" s="13" t="s">
        <v>25</v>
      </c>
      <c r="R75" s="14"/>
      <c r="S75" s="14"/>
      <c r="T75" s="14"/>
      <c r="U75" s="14"/>
      <c r="V75" s="14"/>
      <c r="W75" s="14"/>
      <c r="X75" s="14"/>
    </row>
    <row r="76" spans="1:24" x14ac:dyDescent="0.2">
      <c r="A76" s="15" t="s">
        <v>91</v>
      </c>
      <c r="B76" s="14" t="s">
        <v>108</v>
      </c>
      <c r="C76" s="14" t="s">
        <v>2</v>
      </c>
      <c r="D76" s="14">
        <v>12.127565383911133</v>
      </c>
      <c r="E76" s="14" t="s">
        <v>24</v>
      </c>
      <c r="F76" s="14"/>
      <c r="G76" s="14">
        <v>78.122207641601563</v>
      </c>
      <c r="H76" s="14" t="s">
        <v>24</v>
      </c>
      <c r="I76" s="14" t="s">
        <v>25</v>
      </c>
      <c r="J76" s="14">
        <v>13.864077568054199</v>
      </c>
      <c r="K76" s="14"/>
      <c r="L76" s="14"/>
      <c r="M76" s="14">
        <v>77.9715576171875</v>
      </c>
      <c r="N76" s="14" t="s">
        <v>24</v>
      </c>
      <c r="O76" s="13" t="s">
        <v>25</v>
      </c>
      <c r="R76" s="14"/>
      <c r="S76" s="14"/>
      <c r="T76" s="14"/>
      <c r="U76" s="14"/>
      <c r="V76" s="14"/>
      <c r="W76" s="14"/>
      <c r="X76" s="14"/>
    </row>
    <row r="77" spans="1:24" x14ac:dyDescent="0.2">
      <c r="A77" s="15" t="s">
        <v>92</v>
      </c>
      <c r="B77" s="14" t="s">
        <v>109</v>
      </c>
      <c r="C77" s="14" t="s">
        <v>2</v>
      </c>
      <c r="D77" s="14">
        <v>12.558180809020996</v>
      </c>
      <c r="E77" s="14" t="s">
        <v>24</v>
      </c>
      <c r="F77" s="14"/>
      <c r="G77" s="14">
        <v>77.971031188964844</v>
      </c>
      <c r="H77" s="14" t="s">
        <v>24</v>
      </c>
      <c r="I77" s="14" t="s">
        <v>25</v>
      </c>
      <c r="J77" s="14">
        <v>15.52604866027832</v>
      </c>
      <c r="K77" s="14"/>
      <c r="L77" s="14"/>
      <c r="M77" s="14">
        <v>77.821739196777344</v>
      </c>
      <c r="N77" s="14" t="s">
        <v>24</v>
      </c>
      <c r="O77" s="13" t="s">
        <v>25</v>
      </c>
      <c r="R77" s="14"/>
      <c r="S77" s="14"/>
      <c r="T77" s="14"/>
      <c r="U77" s="14"/>
      <c r="V77" s="14"/>
      <c r="W77" s="14"/>
      <c r="X77" s="14"/>
    </row>
    <row r="78" spans="1:24" x14ac:dyDescent="0.2">
      <c r="A78" s="15" t="s">
        <v>93</v>
      </c>
      <c r="B78" s="14" t="s">
        <v>109</v>
      </c>
      <c r="C78" s="14" t="s">
        <v>2</v>
      </c>
      <c r="D78" s="14">
        <v>12.535848617553711</v>
      </c>
      <c r="E78" s="14" t="s">
        <v>24</v>
      </c>
      <c r="F78" s="14"/>
      <c r="G78" s="14">
        <v>77.971031188964844</v>
      </c>
      <c r="H78" s="14" t="s">
        <v>24</v>
      </c>
      <c r="I78" s="14" t="s">
        <v>25</v>
      </c>
      <c r="J78" s="14">
        <v>15.487716674804688</v>
      </c>
      <c r="K78" s="14"/>
      <c r="L78" s="14"/>
      <c r="M78" s="14">
        <v>77.821739196777344</v>
      </c>
      <c r="N78" s="14" t="s">
        <v>24</v>
      </c>
      <c r="O78" s="13" t="s">
        <v>25</v>
      </c>
      <c r="R78" s="14"/>
      <c r="S78" s="14"/>
      <c r="T78" s="14"/>
      <c r="U78" s="14"/>
      <c r="V78" s="14"/>
      <c r="W78" s="14"/>
      <c r="X78" s="14"/>
    </row>
    <row r="79" spans="1:24" x14ac:dyDescent="0.2">
      <c r="A79" s="15" t="s">
        <v>94</v>
      </c>
      <c r="B79" s="14" t="s">
        <v>109</v>
      </c>
      <c r="C79" s="14" t="s">
        <v>2</v>
      </c>
      <c r="D79" s="14">
        <v>12.495368957519531</v>
      </c>
      <c r="E79" s="14" t="s">
        <v>24</v>
      </c>
      <c r="F79" s="14"/>
      <c r="G79" s="14">
        <v>77.973579406738281</v>
      </c>
      <c r="H79" s="14" t="s">
        <v>24</v>
      </c>
      <c r="I79" s="14" t="s">
        <v>25</v>
      </c>
      <c r="J79" s="14">
        <v>15.461329460144043</v>
      </c>
      <c r="K79" s="14"/>
      <c r="L79" s="14"/>
      <c r="M79" s="14">
        <v>77.825653076171875</v>
      </c>
      <c r="N79" s="14" t="s">
        <v>24</v>
      </c>
      <c r="O79" s="13" t="s">
        <v>25</v>
      </c>
      <c r="R79" s="14"/>
      <c r="S79" s="14"/>
      <c r="T79" s="14"/>
      <c r="U79" s="14"/>
      <c r="V79" s="14"/>
      <c r="W79" s="14"/>
      <c r="X79" s="14"/>
    </row>
    <row r="80" spans="1:24" x14ac:dyDescent="0.2">
      <c r="A80" s="15" t="s">
        <v>95</v>
      </c>
      <c r="B80" s="14" t="s">
        <v>13</v>
      </c>
      <c r="C80" s="14" t="s">
        <v>2</v>
      </c>
      <c r="D80" s="14">
        <v>12.542486190795898</v>
      </c>
      <c r="E80" s="14" t="s">
        <v>24</v>
      </c>
      <c r="F80" s="14"/>
      <c r="G80" s="14">
        <v>78.122573852539063</v>
      </c>
      <c r="H80" s="14" t="s">
        <v>24</v>
      </c>
      <c r="I80" s="14" t="s">
        <v>25</v>
      </c>
      <c r="J80" s="14">
        <v>17.626632690429688</v>
      </c>
      <c r="K80" s="14"/>
      <c r="L80" s="14"/>
      <c r="M80" s="14">
        <v>77.527511596679688</v>
      </c>
      <c r="N80" s="14" t="s">
        <v>24</v>
      </c>
      <c r="O80" s="13" t="s">
        <v>25</v>
      </c>
      <c r="R80" s="14"/>
      <c r="S80" s="14"/>
      <c r="T80" s="14"/>
      <c r="U80" s="14"/>
      <c r="V80" s="14"/>
      <c r="W80" s="14"/>
      <c r="X80" s="14"/>
    </row>
    <row r="81" spans="1:24" x14ac:dyDescent="0.2">
      <c r="A81" s="15" t="s">
        <v>96</v>
      </c>
      <c r="B81" s="14" t="s">
        <v>13</v>
      </c>
      <c r="C81" s="14" t="s">
        <v>2</v>
      </c>
      <c r="D81" s="14">
        <v>12.56331729888916</v>
      </c>
      <c r="E81" s="14" t="s">
        <v>24</v>
      </c>
      <c r="F81" s="14"/>
      <c r="G81" s="14">
        <v>77.976531982421875</v>
      </c>
      <c r="H81" s="14" t="s">
        <v>24</v>
      </c>
      <c r="I81" s="14" t="s">
        <v>25</v>
      </c>
      <c r="J81" s="14">
        <v>17.631732940673828</v>
      </c>
      <c r="K81" s="14"/>
      <c r="L81" s="14"/>
      <c r="M81" s="14">
        <v>77.674331665039063</v>
      </c>
      <c r="N81" s="14" t="s">
        <v>24</v>
      </c>
      <c r="O81" s="13" t="s">
        <v>25</v>
      </c>
      <c r="R81" s="14"/>
      <c r="S81" s="14"/>
      <c r="T81" s="14"/>
      <c r="U81" s="14"/>
      <c r="V81" s="14"/>
      <c r="W81" s="14"/>
      <c r="X81" s="14"/>
    </row>
    <row r="82" spans="1:24" x14ac:dyDescent="0.2">
      <c r="A82" s="15" t="s">
        <v>97</v>
      </c>
      <c r="B82" s="14" t="s">
        <v>13</v>
      </c>
      <c r="C82" s="14" t="s">
        <v>2</v>
      </c>
      <c r="D82" s="14">
        <v>12.532397270202637</v>
      </c>
      <c r="E82" s="14" t="s">
        <v>24</v>
      </c>
      <c r="F82" s="14"/>
      <c r="G82" s="14">
        <v>78.125526428222656</v>
      </c>
      <c r="H82" s="14" t="s">
        <v>24</v>
      </c>
      <c r="I82" s="14" t="s">
        <v>25</v>
      </c>
      <c r="J82" s="14">
        <v>17.650318145751953</v>
      </c>
      <c r="K82" s="14"/>
      <c r="L82" s="14"/>
      <c r="M82" s="14">
        <v>77.525276184082031</v>
      </c>
      <c r="N82" s="14" t="s">
        <v>24</v>
      </c>
      <c r="O82" s="13" t="s">
        <v>25</v>
      </c>
      <c r="R82" s="14"/>
      <c r="S82" s="14"/>
      <c r="T82" s="14"/>
      <c r="U82" s="14"/>
      <c r="V82" s="14"/>
      <c r="W82" s="14"/>
      <c r="X82" s="14"/>
    </row>
    <row r="83" spans="1:24" x14ac:dyDescent="0.2">
      <c r="A83" s="15" t="s">
        <v>98</v>
      </c>
      <c r="B83" s="14" t="s">
        <v>148</v>
      </c>
      <c r="C83" s="14" t="s">
        <v>3</v>
      </c>
      <c r="D83" s="14">
        <v>33.910781860351563</v>
      </c>
      <c r="E83" s="14" t="s">
        <v>24</v>
      </c>
      <c r="F83" s="14"/>
      <c r="G83" s="14">
        <v>72.465621948242188</v>
      </c>
      <c r="H83" s="14" t="s">
        <v>24</v>
      </c>
      <c r="I83" s="14" t="s">
        <v>25</v>
      </c>
      <c r="J83" s="14">
        <v>30.920316696166992</v>
      </c>
      <c r="K83" s="14"/>
      <c r="L83" s="14"/>
      <c r="M83" s="14">
        <v>72.462982177734375</v>
      </c>
      <c r="N83" s="14" t="s">
        <v>24</v>
      </c>
      <c r="O83" s="13" t="s">
        <v>25</v>
      </c>
      <c r="R83" s="14"/>
      <c r="S83" s="14"/>
      <c r="T83" s="14"/>
      <c r="U83" s="14"/>
      <c r="V83" s="14"/>
      <c r="W83" s="14"/>
      <c r="X83" s="14"/>
    </row>
    <row r="84" spans="1:24" x14ac:dyDescent="0.2">
      <c r="A84" s="15" t="s">
        <v>99</v>
      </c>
      <c r="B84" s="14" t="s">
        <v>148</v>
      </c>
      <c r="C84" s="14" t="s">
        <v>37</v>
      </c>
      <c r="D84" s="14">
        <v>35.931442260742188</v>
      </c>
      <c r="E84" s="14" t="s">
        <v>24</v>
      </c>
      <c r="F84" s="14"/>
      <c r="G84" s="14">
        <v>73.508544921875</v>
      </c>
      <c r="H84" s="14" t="s">
        <v>24</v>
      </c>
      <c r="I84" s="14" t="s">
        <v>25</v>
      </c>
      <c r="J84" s="14">
        <v>33.569644927978516</v>
      </c>
      <c r="K84" s="14"/>
      <c r="L84" s="14"/>
      <c r="M84" s="14">
        <v>77.531463623046875</v>
      </c>
      <c r="N84" s="14" t="s">
        <v>24</v>
      </c>
      <c r="O84" s="13" t="s">
        <v>25</v>
      </c>
      <c r="R84" s="14"/>
      <c r="S84" s="14"/>
      <c r="T84" s="14"/>
      <c r="U84" s="14"/>
      <c r="V84" s="14"/>
      <c r="W84" s="14"/>
      <c r="X84" s="14"/>
    </row>
    <row r="85" spans="1:24" x14ac:dyDescent="0.2">
      <c r="A85" s="15" t="s">
        <v>124</v>
      </c>
      <c r="B85" s="14" t="s">
        <v>148</v>
      </c>
      <c r="C85" s="14" t="s">
        <v>49</v>
      </c>
      <c r="D85" s="14">
        <v>36.916294097900391</v>
      </c>
      <c r="E85" s="14" t="s">
        <v>24</v>
      </c>
      <c r="F85" s="14"/>
      <c r="G85" s="14">
        <v>77.228561401367188</v>
      </c>
      <c r="H85" s="14" t="s">
        <v>24</v>
      </c>
      <c r="I85" s="14" t="s">
        <v>25</v>
      </c>
      <c r="J85" s="14">
        <v>34.91070556640625</v>
      </c>
      <c r="K85" s="14"/>
      <c r="L85" s="14"/>
      <c r="M85" s="14">
        <v>73.947700500488281</v>
      </c>
      <c r="N85" s="14">
        <v>79.762519836425781</v>
      </c>
      <c r="O85" s="13" t="s">
        <v>25</v>
      </c>
      <c r="R85" s="14"/>
      <c r="S85" s="14"/>
      <c r="T85" s="14"/>
      <c r="U85" s="14"/>
      <c r="V85" s="14"/>
      <c r="W85" s="14"/>
      <c r="X85" s="14"/>
    </row>
    <row r="86" spans="1:24" x14ac:dyDescent="0.2">
      <c r="A86" s="15" t="s">
        <v>100</v>
      </c>
      <c r="B86" s="14" t="s">
        <v>148</v>
      </c>
      <c r="C86" s="14" t="s">
        <v>0</v>
      </c>
      <c r="D86" s="14">
        <v>31.575138092041016</v>
      </c>
      <c r="E86" s="14" t="s">
        <v>24</v>
      </c>
      <c r="F86" s="14"/>
      <c r="G86" s="14">
        <v>74.844512939453125</v>
      </c>
      <c r="H86" s="14" t="s">
        <v>24</v>
      </c>
      <c r="I86" s="14" t="s">
        <v>25</v>
      </c>
      <c r="J86" s="14">
        <v>36.918811798095703</v>
      </c>
      <c r="K86" s="14"/>
      <c r="L86" s="14"/>
      <c r="M86" s="14">
        <v>74.691696166992188</v>
      </c>
      <c r="N86" s="14" t="s">
        <v>24</v>
      </c>
      <c r="O86" s="13" t="s">
        <v>25</v>
      </c>
      <c r="R86" s="14"/>
      <c r="S86" s="14"/>
      <c r="T86" s="14"/>
      <c r="U86" s="14"/>
      <c r="V86" s="14"/>
      <c r="W86" s="14"/>
      <c r="X86" s="14"/>
    </row>
    <row r="87" spans="1:24" x14ac:dyDescent="0.2">
      <c r="A87" s="15" t="s">
        <v>101</v>
      </c>
      <c r="B87" s="14" t="s">
        <v>148</v>
      </c>
      <c r="C87" s="14" t="s">
        <v>1</v>
      </c>
      <c r="D87" s="14">
        <v>36.941249847412109</v>
      </c>
      <c r="E87" s="14" t="s">
        <v>24</v>
      </c>
      <c r="F87" s="14"/>
      <c r="G87" s="14">
        <v>80.952934265136719</v>
      </c>
      <c r="H87" s="14">
        <v>77.377273559570313</v>
      </c>
      <c r="I87" s="14" t="s">
        <v>25</v>
      </c>
      <c r="J87" s="14">
        <v>37.141796112060547</v>
      </c>
      <c r="K87" s="14"/>
      <c r="L87" s="14"/>
      <c r="M87" s="14">
        <v>74.393531799316406</v>
      </c>
      <c r="N87" s="14" t="s">
        <v>24</v>
      </c>
      <c r="O87" s="13" t="s">
        <v>25</v>
      </c>
      <c r="R87" s="14"/>
      <c r="S87" s="14"/>
      <c r="T87" s="14"/>
      <c r="U87" s="14"/>
      <c r="V87" s="14"/>
      <c r="W87" s="14"/>
      <c r="X87" s="14"/>
    </row>
    <row r="88" spans="1:24" ht="13.5" thickBot="1" x14ac:dyDescent="0.25">
      <c r="A88" s="12" t="s">
        <v>102</v>
      </c>
      <c r="B88" s="11" t="s">
        <v>148</v>
      </c>
      <c r="C88" s="11" t="s">
        <v>2</v>
      </c>
      <c r="D88" s="11">
        <v>37.034503936767578</v>
      </c>
      <c r="E88" s="11" t="s">
        <v>24</v>
      </c>
      <c r="F88" s="11"/>
      <c r="G88" s="11">
        <v>77.971031188964844</v>
      </c>
      <c r="H88" s="11">
        <v>74.842185974121094</v>
      </c>
      <c r="I88" s="11" t="s">
        <v>25</v>
      </c>
      <c r="J88" s="11">
        <v>36.935531616210938</v>
      </c>
      <c r="K88" s="11"/>
      <c r="L88" s="11"/>
      <c r="M88" s="11">
        <v>75.734428405761719</v>
      </c>
      <c r="N88" s="11">
        <v>80.803611755371094</v>
      </c>
      <c r="O88" s="10" t="s">
        <v>25</v>
      </c>
      <c r="R88" s="14"/>
      <c r="S88" s="14"/>
      <c r="T88" s="14"/>
      <c r="U88" s="14"/>
      <c r="V88" s="14"/>
      <c r="W88" s="14"/>
      <c r="X88" s="14"/>
    </row>
    <row r="89" spans="1:24" x14ac:dyDescent="0.2">
      <c r="A89" s="9" t="s">
        <v>149</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J10" workbookViewId="0">
      <selection activeCell="T11" sqref="T11:T16"/>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141</v>
      </c>
      <c r="H2" s="21" t="s">
        <v>138</v>
      </c>
      <c r="I2" s="21"/>
      <c r="J2" s="21"/>
      <c r="K2" s="21"/>
      <c r="L2" s="21" t="s">
        <v>137</v>
      </c>
      <c r="M2" s="21"/>
      <c r="N2" s="21"/>
      <c r="O2" s="20"/>
      <c r="P2" s="17"/>
      <c r="Q2" s="17"/>
      <c r="R2" s="17"/>
      <c r="S2" s="17"/>
    </row>
    <row r="3" spans="1:40" ht="63.75" x14ac:dyDescent="0.2">
      <c r="G3" s="18" t="s">
        <v>140</v>
      </c>
      <c r="H3" s="17" t="s">
        <v>0</v>
      </c>
      <c r="I3" s="17" t="s">
        <v>1</v>
      </c>
      <c r="J3" s="17" t="s">
        <v>2</v>
      </c>
      <c r="K3" s="27" t="s">
        <v>139</v>
      </c>
      <c r="L3" s="17" t="s">
        <v>0</v>
      </c>
      <c r="M3" s="17" t="s">
        <v>1</v>
      </c>
      <c r="N3" s="17" t="s">
        <v>2</v>
      </c>
      <c r="O3" s="26" t="s">
        <v>139</v>
      </c>
      <c r="P3" s="17"/>
      <c r="Q3" s="17"/>
      <c r="R3" s="17"/>
      <c r="S3" s="27"/>
    </row>
    <row r="4" spans="1:40" x14ac:dyDescent="0.2">
      <c r="G4" s="15" t="s">
        <v>14</v>
      </c>
      <c r="H4" s="14">
        <v>18.335783004760742</v>
      </c>
      <c r="I4" s="14">
        <v>13.953563690185547</v>
      </c>
      <c r="J4" s="14">
        <v>14.539641380310059</v>
      </c>
      <c r="K4" s="14">
        <f>AVERAGE(H4:J4)</f>
        <v>15.609662691752115</v>
      </c>
      <c r="L4" s="14">
        <v>17.795942306518555</v>
      </c>
      <c r="M4" s="14">
        <v>13.17866039276123</v>
      </c>
      <c r="N4" s="14">
        <v>12.339291572570801</v>
      </c>
      <c r="O4" s="13">
        <f>AVERAGE(L4:N4)</f>
        <v>14.437964757283529</v>
      </c>
      <c r="P4" s="14"/>
      <c r="Q4" s="14"/>
      <c r="R4" s="14"/>
      <c r="S4" s="14"/>
    </row>
    <row r="5" spans="1:40" x14ac:dyDescent="0.2">
      <c r="G5" s="15" t="s">
        <v>27</v>
      </c>
      <c r="H5" s="14">
        <v>18.317432403564453</v>
      </c>
      <c r="I5" s="14">
        <v>13.756037712097168</v>
      </c>
      <c r="J5" s="14">
        <v>14.276686668395996</v>
      </c>
      <c r="K5" s="14">
        <f>AVERAGE(H5:J5)</f>
        <v>15.450052261352539</v>
      </c>
      <c r="L5" s="14">
        <v>17.489877700805664</v>
      </c>
      <c r="M5" s="14">
        <v>12.798417091369629</v>
      </c>
      <c r="N5" s="14">
        <v>10.875473022460938</v>
      </c>
      <c r="O5" s="13">
        <f>AVERAGE(L5:N5)</f>
        <v>13.721255938212076</v>
      </c>
      <c r="P5" s="14"/>
      <c r="Q5" s="14"/>
      <c r="R5" s="14"/>
      <c r="S5" s="14"/>
    </row>
    <row r="6" spans="1:40" x14ac:dyDescent="0.2">
      <c r="G6" s="15" t="s">
        <v>31</v>
      </c>
      <c r="H6" s="14">
        <v>18.982545852661133</v>
      </c>
      <c r="I6" s="14">
        <v>14.975201606750488</v>
      </c>
      <c r="J6" s="14">
        <v>15.33719539642334</v>
      </c>
      <c r="K6" s="14">
        <f>AVERAGE(H6:J6)</f>
        <v>16.431647618611652</v>
      </c>
      <c r="L6" s="14">
        <v>17.975534439086914</v>
      </c>
      <c r="M6" s="14">
        <v>13.409896850585938</v>
      </c>
      <c r="N6" s="14">
        <v>12.36262035369873</v>
      </c>
      <c r="O6" s="13">
        <f>AVERAGE(L6:N6)</f>
        <v>14.582683881123861</v>
      </c>
      <c r="P6" s="14"/>
      <c r="Q6" s="14"/>
      <c r="R6" s="14"/>
      <c r="S6" s="14"/>
    </row>
    <row r="7" spans="1:40" ht="13.5" thickBot="1" x14ac:dyDescent="0.25">
      <c r="G7" s="12" t="s">
        <v>123</v>
      </c>
      <c r="H7" s="11">
        <v>18.991243362426758</v>
      </c>
      <c r="I7" s="11">
        <v>14.935610771179199</v>
      </c>
      <c r="J7" s="11">
        <v>15.263920783996582</v>
      </c>
      <c r="K7" s="11">
        <f>AVERAGE(H7:J7)</f>
        <v>16.39692497253418</v>
      </c>
      <c r="L7" s="11">
        <v>18.073568344116211</v>
      </c>
      <c r="M7" s="11">
        <v>13.575019836425781</v>
      </c>
      <c r="N7" s="11">
        <v>11.96631908416748</v>
      </c>
      <c r="O7" s="10">
        <f>AVERAGE(L7:N7)</f>
        <v>14.538302421569824</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138</v>
      </c>
      <c r="E9" s="21"/>
      <c r="F9" s="21"/>
      <c r="G9" s="21"/>
      <c r="H9" s="21"/>
      <c r="I9" s="21"/>
      <c r="J9" s="21" t="s">
        <v>137</v>
      </c>
      <c r="K9" s="21"/>
      <c r="L9" s="21"/>
      <c r="M9" s="21"/>
      <c r="N9" s="21"/>
      <c r="O9" s="20"/>
      <c r="R9" s="17"/>
      <c r="S9" s="22" t="s">
        <v>143</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135</v>
      </c>
      <c r="W10" s="17" t="s">
        <v>134</v>
      </c>
      <c r="X10" s="17" t="s">
        <v>37</v>
      </c>
      <c r="Y10" s="17" t="s">
        <v>135</v>
      </c>
      <c r="Z10" s="17" t="s">
        <v>134</v>
      </c>
      <c r="AA10" s="17" t="s">
        <v>49</v>
      </c>
      <c r="AB10" s="17" t="s">
        <v>135</v>
      </c>
      <c r="AC10" s="19" t="s">
        <v>134</v>
      </c>
      <c r="AN10" s="16"/>
    </row>
    <row r="11" spans="1:40" x14ac:dyDescent="0.2">
      <c r="A11" s="15" t="s">
        <v>5</v>
      </c>
      <c r="B11" s="14" t="s">
        <v>14</v>
      </c>
      <c r="C11" s="14" t="s">
        <v>3</v>
      </c>
      <c r="D11" s="14">
        <v>13.758255004882813</v>
      </c>
      <c r="E11" s="14">
        <f>D11-15.60966</f>
        <v>-1.8514049951171874</v>
      </c>
      <c r="F11" s="14">
        <f>POWER(2,-E11)</f>
        <v>3.6085143579248911</v>
      </c>
      <c r="G11" s="14">
        <v>79.143104553222656</v>
      </c>
      <c r="H11" s="14" t="s">
        <v>24</v>
      </c>
      <c r="I11" s="14" t="s">
        <v>25</v>
      </c>
      <c r="J11" s="14">
        <v>14.458526611328125</v>
      </c>
      <c r="K11" s="14">
        <f>J11-14.43796</f>
        <v>2.0566611328124651E-2</v>
      </c>
      <c r="L11" s="14">
        <f>POWER(2,-K11)</f>
        <v>0.98584544253846818</v>
      </c>
      <c r="M11" s="14">
        <v>78.718620300292969</v>
      </c>
      <c r="N11" s="14" t="s">
        <v>24</v>
      </c>
      <c r="O11" s="13" t="s">
        <v>25</v>
      </c>
      <c r="R11" s="14"/>
      <c r="S11" s="15"/>
      <c r="T11" s="14" t="s">
        <v>150</v>
      </c>
      <c r="U11" s="14">
        <v>3.6085210906264962</v>
      </c>
      <c r="V11" s="14">
        <f>U11/U11</f>
        <v>1</v>
      </c>
      <c r="W11" s="14">
        <f>AVERAGE(V11:V16)</f>
        <v>1</v>
      </c>
      <c r="X11" s="14">
        <v>6.961951219975572E-2</v>
      </c>
      <c r="Y11" s="14">
        <f>X11/X11</f>
        <v>1</v>
      </c>
      <c r="Z11" s="14">
        <f>AVERAGE(Y11:Y16)</f>
        <v>1</v>
      </c>
      <c r="AA11" s="14">
        <v>3.6601584474660984E-2</v>
      </c>
      <c r="AB11" s="14">
        <f>AA11/AA11</f>
        <v>1</v>
      </c>
      <c r="AC11" s="13">
        <f>AVERAGE(AB11:AB16)</f>
        <v>1</v>
      </c>
    </row>
    <row r="12" spans="1:40" x14ac:dyDescent="0.2">
      <c r="A12" s="15" t="s">
        <v>6</v>
      </c>
      <c r="B12" s="14" t="s">
        <v>14</v>
      </c>
      <c r="C12" s="14" t="s">
        <v>3</v>
      </c>
      <c r="D12" s="14">
        <v>13.77957820892334</v>
      </c>
      <c r="E12" s="14">
        <f t="shared" ref="E12:E13" si="0">D12-15.60966</f>
        <v>-1.83008179107666</v>
      </c>
      <c r="F12" s="14">
        <f t="shared" ref="F12:F46" si="1">POWER(2,-E12)</f>
        <v>3.5555722959162956</v>
      </c>
      <c r="G12" s="14">
        <v>79.143104553222656</v>
      </c>
      <c r="H12" s="14" t="s">
        <v>24</v>
      </c>
      <c r="I12" s="14" t="s">
        <v>25</v>
      </c>
      <c r="J12" s="14">
        <v>13.930793762207031</v>
      </c>
      <c r="K12" s="14">
        <f t="shared" ref="K12:K13" si="2">J12-14.43796</f>
        <v>-0.5071662377929691</v>
      </c>
      <c r="L12" s="14">
        <f t="shared" ref="L12:L46" si="3">POWER(2,-K12)</f>
        <v>1.421255801154659</v>
      </c>
      <c r="M12" s="14">
        <v>78.718620300292969</v>
      </c>
      <c r="N12" s="14" t="s">
        <v>24</v>
      </c>
      <c r="O12" s="13" t="s">
        <v>25</v>
      </c>
      <c r="R12" s="14"/>
      <c r="S12" s="15"/>
      <c r="T12" s="14" t="s">
        <v>150</v>
      </c>
      <c r="U12" s="14">
        <v>3.5555789298395486</v>
      </c>
      <c r="V12" s="14">
        <f t="shared" ref="V12:V16" si="4">U12/U12</f>
        <v>1</v>
      </c>
      <c r="W12" s="14">
        <f>STDEV(V11:V16)</f>
        <v>0</v>
      </c>
      <c r="X12" s="14">
        <v>6.9509149247496502E-2</v>
      </c>
      <c r="Y12" s="14">
        <f t="shared" ref="Y12:Y16" si="5">X12/X12</f>
        <v>1</v>
      </c>
      <c r="Z12" s="14">
        <f>STDEV(Y11:Y16)</f>
        <v>0</v>
      </c>
      <c r="AA12" s="14">
        <v>3.6626465376541482E-2</v>
      </c>
      <c r="AB12" s="14">
        <f t="shared" ref="AB12:AB16" si="6">AA12/AA12</f>
        <v>1</v>
      </c>
      <c r="AC12" s="13">
        <f>STDEV(AB11:AB16)</f>
        <v>0</v>
      </c>
    </row>
    <row r="13" spans="1:40" x14ac:dyDescent="0.2">
      <c r="A13" s="15" t="s">
        <v>7</v>
      </c>
      <c r="B13" s="14" t="s">
        <v>14</v>
      </c>
      <c r="C13" s="14" t="s">
        <v>3</v>
      </c>
      <c r="D13" s="14">
        <v>13.754306793212891</v>
      </c>
      <c r="E13" s="14">
        <f t="shared" si="0"/>
        <v>-1.8553532067871092</v>
      </c>
      <c r="F13" s="14">
        <f t="shared" si="1"/>
        <v>3.6184032748193551</v>
      </c>
      <c r="G13" s="14">
        <v>78.988677978515625</v>
      </c>
      <c r="H13" s="14" t="s">
        <v>24</v>
      </c>
      <c r="I13" s="14" t="s">
        <v>25</v>
      </c>
      <c r="J13" s="14">
        <v>13.36693000793457</v>
      </c>
      <c r="K13" s="14">
        <f t="shared" si="2"/>
        <v>-1.07102999206543</v>
      </c>
      <c r="L13" s="14">
        <f t="shared" si="3"/>
        <v>2.1009327636814086</v>
      </c>
      <c r="M13" s="14">
        <v>78.711967468261719</v>
      </c>
      <c r="N13" s="14" t="s">
        <v>24</v>
      </c>
      <c r="O13" s="13" t="s">
        <v>25</v>
      </c>
      <c r="R13" s="14"/>
      <c r="S13" s="15"/>
      <c r="T13" s="14" t="s">
        <v>150</v>
      </c>
      <c r="U13" s="14">
        <v>3.6184100259715244</v>
      </c>
      <c r="V13" s="14">
        <f t="shared" si="4"/>
        <v>1</v>
      </c>
      <c r="W13" s="14"/>
      <c r="X13" s="14">
        <v>6.801854247152847E-2</v>
      </c>
      <c r="Y13" s="14">
        <f t="shared" si="5"/>
        <v>1</v>
      </c>
      <c r="Z13" s="14"/>
      <c r="AA13" s="14">
        <v>3.7298960213460006E-2</v>
      </c>
      <c r="AB13" s="14">
        <f t="shared" si="6"/>
        <v>1</v>
      </c>
      <c r="AC13" s="13"/>
    </row>
    <row r="14" spans="1:40" x14ac:dyDescent="0.2">
      <c r="A14" s="15" t="s">
        <v>26</v>
      </c>
      <c r="B14" s="14" t="s">
        <v>27</v>
      </c>
      <c r="C14" s="14" t="s">
        <v>3</v>
      </c>
      <c r="D14" s="14">
        <v>13.644862174987793</v>
      </c>
      <c r="E14" s="14">
        <f>D14-15.45005</f>
        <v>-1.8051878250122062</v>
      </c>
      <c r="F14" s="14">
        <f t="shared" si="1"/>
        <v>3.4947465364222641</v>
      </c>
      <c r="G14" s="14">
        <v>78.988677978515625</v>
      </c>
      <c r="H14" s="14" t="s">
        <v>24</v>
      </c>
      <c r="I14" s="14" t="s">
        <v>25</v>
      </c>
      <c r="J14" s="14">
        <v>12.787971496582031</v>
      </c>
      <c r="K14" s="14">
        <f>J14-13.72126</f>
        <v>-0.93328850341796787</v>
      </c>
      <c r="L14" s="14">
        <f t="shared" si="3"/>
        <v>1.9096238677634798</v>
      </c>
      <c r="M14" s="14">
        <v>78.711967468261719</v>
      </c>
      <c r="N14" s="14" t="s">
        <v>24</v>
      </c>
      <c r="O14" s="13" t="s">
        <v>25</v>
      </c>
      <c r="R14" s="14"/>
      <c r="S14" s="15"/>
      <c r="T14" s="14" t="s">
        <v>150</v>
      </c>
      <c r="U14" s="14">
        <v>0.98584869336689007</v>
      </c>
      <c r="V14" s="14">
        <f t="shared" si="4"/>
        <v>1</v>
      </c>
      <c r="W14" s="14"/>
      <c r="X14" s="14">
        <v>8.5755818525740518E-3</v>
      </c>
      <c r="Y14" s="14">
        <f t="shared" si="5"/>
        <v>1</v>
      </c>
      <c r="Z14" s="14"/>
      <c r="AA14" s="14">
        <v>2.7680054435722492E-2</v>
      </c>
      <c r="AB14" s="14">
        <f t="shared" si="6"/>
        <v>1</v>
      </c>
      <c r="AC14" s="13"/>
    </row>
    <row r="15" spans="1:40" x14ac:dyDescent="0.2">
      <c r="A15" s="15" t="s">
        <v>28</v>
      </c>
      <c r="B15" s="14" t="s">
        <v>27</v>
      </c>
      <c r="C15" s="14" t="s">
        <v>3</v>
      </c>
      <c r="D15" s="14">
        <v>13.64455509185791</v>
      </c>
      <c r="E15" s="14">
        <f t="shared" ref="E15:E16" si="7">D15-15.45005</f>
        <v>-1.805494908142089</v>
      </c>
      <c r="F15" s="14">
        <f t="shared" si="1"/>
        <v>3.495490485695822</v>
      </c>
      <c r="G15" s="14">
        <v>78.989189147949219</v>
      </c>
      <c r="H15" s="14" t="s">
        <v>24</v>
      </c>
      <c r="I15" s="14" t="s">
        <v>25</v>
      </c>
      <c r="J15" s="14">
        <v>13.229371070861816</v>
      </c>
      <c r="K15" s="14">
        <f t="shared" ref="K15:K16" si="8">J15-13.72126</f>
        <v>-0.49188892913818272</v>
      </c>
      <c r="L15" s="14">
        <f t="shared" si="3"/>
        <v>1.4062849280418372</v>
      </c>
      <c r="M15" s="14">
        <v>78.707565307617188</v>
      </c>
      <c r="N15" s="14" t="s">
        <v>24</v>
      </c>
      <c r="O15" s="13" t="s">
        <v>25</v>
      </c>
      <c r="R15" s="14"/>
      <c r="S15" s="15"/>
      <c r="T15" s="14" t="s">
        <v>150</v>
      </c>
      <c r="U15" s="14">
        <v>1.4212604877500721</v>
      </c>
      <c r="V15" s="14">
        <f t="shared" si="4"/>
        <v>1</v>
      </c>
      <c r="W15" s="14"/>
      <c r="X15" s="14">
        <v>1.2398035198077695E-2</v>
      </c>
      <c r="Y15" s="14">
        <f t="shared" si="5"/>
        <v>1</v>
      </c>
      <c r="Z15" s="14"/>
      <c r="AA15" s="14">
        <v>3.1649763320347399E-2</v>
      </c>
      <c r="AB15" s="14">
        <f t="shared" si="6"/>
        <v>1</v>
      </c>
      <c r="AC15" s="13"/>
    </row>
    <row r="16" spans="1:40" x14ac:dyDescent="0.2">
      <c r="A16" s="15" t="s">
        <v>29</v>
      </c>
      <c r="B16" s="14" t="s">
        <v>27</v>
      </c>
      <c r="C16" s="14" t="s">
        <v>3</v>
      </c>
      <c r="D16" s="14">
        <v>13.638913154602051</v>
      </c>
      <c r="E16" s="14">
        <f t="shared" si="7"/>
        <v>-1.8111368453979484</v>
      </c>
      <c r="F16" s="14">
        <f t="shared" si="1"/>
        <v>3.5091870395788454</v>
      </c>
      <c r="G16" s="14">
        <v>78.989189147949219</v>
      </c>
      <c r="H16" s="14" t="s">
        <v>24</v>
      </c>
      <c r="I16" s="14" t="s">
        <v>25</v>
      </c>
      <c r="J16" s="14">
        <v>13.124495506286621</v>
      </c>
      <c r="K16" s="14">
        <f t="shared" si="8"/>
        <v>-0.59676449371337803</v>
      </c>
      <c r="L16" s="14">
        <f t="shared" si="3"/>
        <v>1.5123211050516596</v>
      </c>
      <c r="M16" s="14">
        <v>78.707565307617188</v>
      </c>
      <c r="N16" s="14" t="s">
        <v>24</v>
      </c>
      <c r="O16" s="13" t="s">
        <v>25</v>
      </c>
      <c r="R16" s="14"/>
      <c r="S16" s="15"/>
      <c r="T16" s="14" t="s">
        <v>150</v>
      </c>
      <c r="U16" s="14">
        <v>2.1009396915137137</v>
      </c>
      <c r="V16" s="14">
        <f t="shared" si="4"/>
        <v>1</v>
      </c>
      <c r="W16" s="14"/>
      <c r="X16" s="14">
        <v>1.5012397993883556E-2</v>
      </c>
      <c r="Y16" s="14">
        <f t="shared" si="5"/>
        <v>1</v>
      </c>
      <c r="Z16" s="14"/>
      <c r="AA16" s="14">
        <v>3.6833418075992136E-2</v>
      </c>
      <c r="AB16" s="14">
        <f t="shared" si="6"/>
        <v>1</v>
      </c>
      <c r="AC16" s="13"/>
    </row>
    <row r="17" spans="1:29" x14ac:dyDescent="0.2">
      <c r="A17" s="15" t="s">
        <v>30</v>
      </c>
      <c r="B17" s="14" t="s">
        <v>31</v>
      </c>
      <c r="C17" s="14" t="s">
        <v>3</v>
      </c>
      <c r="D17" s="14">
        <v>13.324663162231445</v>
      </c>
      <c r="E17" s="14">
        <f>D17-16.43165</f>
        <v>-3.1069868377685559</v>
      </c>
      <c r="F17" s="14">
        <f t="shared" si="1"/>
        <v>8.6158124039964097</v>
      </c>
      <c r="G17" s="14">
        <v>78.990341186523438</v>
      </c>
      <c r="H17" s="14" t="s">
        <v>24</v>
      </c>
      <c r="I17" s="14" t="s">
        <v>25</v>
      </c>
      <c r="J17" s="14">
        <v>11.174211502075195</v>
      </c>
      <c r="K17" s="14">
        <f>J17-14.58268</f>
        <v>-3.4084684979248046</v>
      </c>
      <c r="L17" s="14">
        <f t="shared" si="3"/>
        <v>10.618208700991067</v>
      </c>
      <c r="M17" s="14">
        <v>78.855278015136719</v>
      </c>
      <c r="N17" s="14" t="s">
        <v>24</v>
      </c>
      <c r="O17" s="13" t="s">
        <v>25</v>
      </c>
      <c r="R17" s="14"/>
      <c r="S17" s="15"/>
      <c r="T17" s="14" t="s">
        <v>4</v>
      </c>
      <c r="U17" s="14">
        <v>3.4947520142674962</v>
      </c>
      <c r="V17" s="14">
        <f>U17/U11</f>
        <v>0.96847210436028019</v>
      </c>
      <c r="W17" s="14">
        <f>AVERAGE(V17:V22)</f>
        <v>1.0946182032886485</v>
      </c>
      <c r="X17" s="14">
        <v>7.1301717701059572E-2</v>
      </c>
      <c r="Y17" s="14">
        <f>X17/X11</f>
        <v>1.0241628452735663</v>
      </c>
      <c r="Z17" s="14">
        <f>AVERAGE(Y17:Y22)</f>
        <v>1.1450059166010991</v>
      </c>
      <c r="AA17" s="14">
        <v>3.8083321353420914E-2</v>
      </c>
      <c r="AB17" s="14">
        <f>AA17/AA11</f>
        <v>1.0404828616035933</v>
      </c>
      <c r="AC17" s="13">
        <f>AVERAGE(AB17:AB22)</f>
        <v>0.97829801527637483</v>
      </c>
    </row>
    <row r="18" spans="1:29" x14ac:dyDescent="0.2">
      <c r="A18" s="15" t="s">
        <v>32</v>
      </c>
      <c r="B18" s="14" t="s">
        <v>31</v>
      </c>
      <c r="C18" s="14" t="s">
        <v>3</v>
      </c>
      <c r="D18" s="14">
        <v>13.211162567138672</v>
      </c>
      <c r="E18" s="14">
        <f t="shared" ref="E18:E19" si="9">D18-16.43165</f>
        <v>-3.2204874328613293</v>
      </c>
      <c r="F18" s="14">
        <f t="shared" si="1"/>
        <v>9.3210173840311832</v>
      </c>
      <c r="G18" s="14">
        <v>78.990341186523438</v>
      </c>
      <c r="H18" s="14" t="s">
        <v>24</v>
      </c>
      <c r="I18" s="14" t="s">
        <v>25</v>
      </c>
      <c r="J18" s="14">
        <v>11.003436088562012</v>
      </c>
      <c r="K18" s="14">
        <f t="shared" ref="K18:K19" si="10">J18-14.58268</f>
        <v>-3.5792439114379881</v>
      </c>
      <c r="L18" s="14">
        <f t="shared" si="3"/>
        <v>11.952528258510057</v>
      </c>
      <c r="M18" s="14">
        <v>78.855278015136719</v>
      </c>
      <c r="N18" s="14" t="s">
        <v>24</v>
      </c>
      <c r="O18" s="13" t="s">
        <v>25</v>
      </c>
      <c r="R18" s="14"/>
      <c r="S18" s="15"/>
      <c r="T18" s="14" t="s">
        <v>4</v>
      </c>
      <c r="U18" s="14">
        <v>3.4954959647071577</v>
      </c>
      <c r="V18" s="14">
        <f t="shared" ref="V18:V22" si="11">U18/U12</f>
        <v>0.98310177714572566</v>
      </c>
      <c r="W18" s="14">
        <f>STDEV(V17:V22)</f>
        <v>0.4254661463192031</v>
      </c>
      <c r="X18" s="14">
        <v>7.3650897895416276E-2</v>
      </c>
      <c r="Y18" s="14">
        <f t="shared" ref="Y18:Y22" si="12">X18/X12</f>
        <v>1.0595856616396286</v>
      </c>
      <c r="Z18" s="14">
        <f>STDEV(Y17:Y22)</f>
        <v>0.21480114830617575</v>
      </c>
      <c r="AA18" s="14">
        <v>3.8656688818943519E-2</v>
      </c>
      <c r="AB18" s="14">
        <f t="shared" ref="AB18:AB22" si="13">AA18/AA12</f>
        <v>1.0554305041867991</v>
      </c>
      <c r="AC18" s="13">
        <f>STDEV(AB17:AB22)</f>
        <v>9.8440338251024828E-2</v>
      </c>
    </row>
    <row r="19" spans="1:29" x14ac:dyDescent="0.2">
      <c r="A19" s="15" t="s">
        <v>33</v>
      </c>
      <c r="B19" s="14" t="s">
        <v>31</v>
      </c>
      <c r="C19" s="14" t="s">
        <v>3</v>
      </c>
      <c r="D19" s="14">
        <v>13.246417045593262</v>
      </c>
      <c r="E19" s="14">
        <f t="shared" si="9"/>
        <v>-3.1852329544067395</v>
      </c>
      <c r="F19" s="14">
        <f t="shared" si="1"/>
        <v>9.0960044145211061</v>
      </c>
      <c r="G19" s="14">
        <v>79.136001586914063</v>
      </c>
      <c r="H19" s="14" t="s">
        <v>24</v>
      </c>
      <c r="I19" s="14" t="s">
        <v>25</v>
      </c>
      <c r="J19" s="14">
        <v>11.081807136535645</v>
      </c>
      <c r="K19" s="14">
        <f t="shared" si="10"/>
        <v>-3.5008728634643553</v>
      </c>
      <c r="L19" s="14">
        <f t="shared" si="3"/>
        <v>11.320555622261475</v>
      </c>
      <c r="M19" s="14">
        <v>78.857124328613281</v>
      </c>
      <c r="N19" s="14" t="s">
        <v>24</v>
      </c>
      <c r="O19" s="13" t="s">
        <v>25</v>
      </c>
      <c r="R19" s="14"/>
      <c r="S19" s="15"/>
      <c r="T19" s="14" t="s">
        <v>4</v>
      </c>
      <c r="U19" s="14">
        <v>3.5091925400588631</v>
      </c>
      <c r="V19" s="14">
        <f t="shared" si="11"/>
        <v>0.96981616645743818</v>
      </c>
      <c r="W19" s="14"/>
      <c r="X19" s="14">
        <v>7.2982569497261243E-2</v>
      </c>
      <c r="Y19" s="14">
        <f t="shared" si="12"/>
        <v>1.0729804968668748</v>
      </c>
      <c r="Z19" s="14"/>
      <c r="AA19" s="14">
        <v>3.8570822390431456E-2</v>
      </c>
      <c r="AB19" s="14">
        <f t="shared" si="13"/>
        <v>1.0340991322463857</v>
      </c>
      <c r="AC19" s="13"/>
    </row>
    <row r="20" spans="1:29" x14ac:dyDescent="0.2">
      <c r="A20" s="15" t="s">
        <v>34</v>
      </c>
      <c r="B20" s="14" t="s">
        <v>123</v>
      </c>
      <c r="C20" s="14" t="s">
        <v>3</v>
      </c>
      <c r="D20" s="14">
        <v>13.080784797668457</v>
      </c>
      <c r="E20" s="14">
        <f>D20-16.39692</f>
        <v>-3.3161352023315445</v>
      </c>
      <c r="F20" s="14">
        <f t="shared" si="1"/>
        <v>9.9599272350474628</v>
      </c>
      <c r="G20" s="14">
        <v>79.136001586914063</v>
      </c>
      <c r="H20" s="14" t="s">
        <v>24</v>
      </c>
      <c r="I20" s="14" t="s">
        <v>25</v>
      </c>
      <c r="J20" s="14">
        <v>10.930600166320801</v>
      </c>
      <c r="K20" s="14">
        <f>J20-14.5383</f>
        <v>-3.6076998336791988</v>
      </c>
      <c r="L20" s="14">
        <f t="shared" si="3"/>
        <v>12.190622004866645</v>
      </c>
      <c r="M20" s="14">
        <v>79.006141662597656</v>
      </c>
      <c r="N20" s="14" t="s">
        <v>24</v>
      </c>
      <c r="O20" s="13" t="s">
        <v>25</v>
      </c>
      <c r="R20" s="14"/>
      <c r="S20" s="15"/>
      <c r="T20" s="14" t="s">
        <v>4</v>
      </c>
      <c r="U20" s="14">
        <v>1.9096184913838399</v>
      </c>
      <c r="V20" s="14">
        <f t="shared" si="11"/>
        <v>1.937029996826463</v>
      </c>
      <c r="W20" s="14"/>
      <c r="X20" s="14">
        <v>1.3468561477038052E-2</v>
      </c>
      <c r="Y20" s="14">
        <f t="shared" si="12"/>
        <v>1.5705711529061226</v>
      </c>
      <c r="Z20" s="14"/>
      <c r="AA20" s="14">
        <v>2.8315808393560325E-2</v>
      </c>
      <c r="AB20" s="14">
        <f t="shared" si="13"/>
        <v>1.0229679446373257</v>
      </c>
      <c r="AC20" s="13"/>
    </row>
    <row r="21" spans="1:29" x14ac:dyDescent="0.2">
      <c r="A21" s="15" t="s">
        <v>35</v>
      </c>
      <c r="B21" s="14" t="s">
        <v>123</v>
      </c>
      <c r="C21" s="14" t="s">
        <v>3</v>
      </c>
      <c r="D21" s="14">
        <v>13.053288459777832</v>
      </c>
      <c r="E21" s="14">
        <f t="shared" ref="E21:E22" si="14">D21-16.39692</f>
        <v>-3.3436315402221695</v>
      </c>
      <c r="F21" s="14">
        <f t="shared" si="1"/>
        <v>10.15157407694482</v>
      </c>
      <c r="G21" s="14">
        <v>78.990989685058594</v>
      </c>
      <c r="H21" s="14" t="s">
        <v>24</v>
      </c>
      <c r="I21" s="14" t="s">
        <v>25</v>
      </c>
      <c r="J21" s="14">
        <v>11.116028785705566</v>
      </c>
      <c r="K21" s="14">
        <f t="shared" ref="K21:K22" si="15">J21-14.5383</f>
        <v>-3.4222712142944332</v>
      </c>
      <c r="L21" s="14">
        <f t="shared" si="3"/>
        <v>10.72028395144353</v>
      </c>
      <c r="M21" s="14">
        <v>78.710769653320313</v>
      </c>
      <c r="N21" s="14" t="s">
        <v>24</v>
      </c>
      <c r="O21" s="13" t="s">
        <v>25</v>
      </c>
      <c r="R21" s="14"/>
      <c r="S21" s="15"/>
      <c r="T21" s="14" t="s">
        <v>4</v>
      </c>
      <c r="U21" s="14">
        <v>1.4062809687691331</v>
      </c>
      <c r="V21" s="14">
        <f t="shared" si="11"/>
        <v>0.9894603986320254</v>
      </c>
      <c r="W21" s="14"/>
      <c r="X21" s="14">
        <v>1.422947412836059E-2</v>
      </c>
      <c r="Y21" s="14">
        <f t="shared" si="12"/>
        <v>1.1477200944361619</v>
      </c>
      <c r="Z21" s="14"/>
      <c r="AA21" s="14">
        <v>2.8715191233378328E-2</v>
      </c>
      <c r="AB21" s="14">
        <f t="shared" si="13"/>
        <v>0.90727980941701214</v>
      </c>
      <c r="AC21" s="13"/>
    </row>
    <row r="22" spans="1:29" x14ac:dyDescent="0.2">
      <c r="A22" s="15" t="s">
        <v>36</v>
      </c>
      <c r="B22" s="14" t="s">
        <v>123</v>
      </c>
      <c r="C22" s="14" t="s">
        <v>3</v>
      </c>
      <c r="D22" s="14">
        <v>13.089742660522461</v>
      </c>
      <c r="E22" s="14">
        <f t="shared" si="14"/>
        <v>-3.3071773394775406</v>
      </c>
      <c r="F22" s="14">
        <f t="shared" si="1"/>
        <v>9.8982764742122775</v>
      </c>
      <c r="G22" s="14">
        <v>78.990989685058594</v>
      </c>
      <c r="H22" s="14" t="s">
        <v>24</v>
      </c>
      <c r="I22" s="14" t="s">
        <v>25</v>
      </c>
      <c r="J22" s="14">
        <v>11.191059112548828</v>
      </c>
      <c r="K22" s="14">
        <f t="shared" si="15"/>
        <v>-3.3472408874511714</v>
      </c>
      <c r="L22" s="14">
        <f t="shared" si="3"/>
        <v>10.177003170970041</v>
      </c>
      <c r="M22" s="14">
        <v>78.859779357910156</v>
      </c>
      <c r="N22" s="14" t="s">
        <v>24</v>
      </c>
      <c r="O22" s="13" t="s">
        <v>25</v>
      </c>
      <c r="R22" s="14"/>
      <c r="S22" s="15"/>
      <c r="T22" s="14" t="s">
        <v>4</v>
      </c>
      <c r="U22" s="14">
        <v>1.5123168472433366</v>
      </c>
      <c r="V22" s="14">
        <f t="shared" si="11"/>
        <v>0.71982877630995767</v>
      </c>
      <c r="W22" s="14"/>
      <c r="X22" s="14">
        <v>1.4937564920228364E-2</v>
      </c>
      <c r="Y22" s="14">
        <f t="shared" si="12"/>
        <v>0.99501524848424083</v>
      </c>
      <c r="Z22" s="14"/>
      <c r="AA22" s="14">
        <v>2.9817677358930893E-2</v>
      </c>
      <c r="AB22" s="14">
        <f t="shared" si="13"/>
        <v>0.80952783956713281</v>
      </c>
      <c r="AC22" s="13"/>
    </row>
    <row r="23" spans="1:29" x14ac:dyDescent="0.2">
      <c r="A23" s="15" t="s">
        <v>8</v>
      </c>
      <c r="B23" s="14" t="s">
        <v>14</v>
      </c>
      <c r="C23" s="14" t="s">
        <v>37</v>
      </c>
      <c r="D23" s="14">
        <v>19.45402717590332</v>
      </c>
      <c r="E23" s="14">
        <f>D23-15.60966</f>
        <v>3.8443671759033204</v>
      </c>
      <c r="F23" s="14">
        <f t="shared" si="1"/>
        <v>6.9619382305156297E-2</v>
      </c>
      <c r="G23" s="14">
        <v>78.098365783691406</v>
      </c>
      <c r="H23" s="14" t="s">
        <v>24</v>
      </c>
      <c r="I23" s="14" t="s">
        <v>25</v>
      </c>
      <c r="J23" s="14">
        <v>21.30351448059082</v>
      </c>
      <c r="K23" s="14">
        <f>J23-14.43796</f>
        <v>6.86555448059082</v>
      </c>
      <c r="L23" s="14">
        <f t="shared" si="3"/>
        <v>8.5755535746595384E-3</v>
      </c>
      <c r="M23" s="14">
        <v>77.526123046875</v>
      </c>
      <c r="N23" s="14" t="s">
        <v>24</v>
      </c>
      <c r="O23" s="13" t="s">
        <v>25</v>
      </c>
      <c r="R23" s="14"/>
      <c r="S23" s="15"/>
      <c r="T23" s="14" t="s">
        <v>118</v>
      </c>
      <c r="U23" s="14">
        <v>8.6157981822948333</v>
      </c>
      <c r="V23" s="14">
        <f>U23/U11</f>
        <v>2.387625835047841</v>
      </c>
      <c r="W23" s="14">
        <f>AVERAGE(V23:V28)</f>
        <v>5.3486299962328223</v>
      </c>
      <c r="X23" s="14">
        <v>0.10605716699075129</v>
      </c>
      <c r="Y23" s="14">
        <f>X23/X11</f>
        <v>1.5233827936979343</v>
      </c>
      <c r="Z23" s="14">
        <f>AVERAGE(Y23:Y28)</f>
        <v>2.0198419807691192</v>
      </c>
      <c r="AA23" s="14">
        <v>5.0759739158581105E-2</v>
      </c>
      <c r="AB23" s="14">
        <f>AA23/AA11</f>
        <v>1.3868180814336524</v>
      </c>
      <c r="AC23" s="13">
        <f>AVERAGE(AB23:AB28)</f>
        <v>1.6077113763749529</v>
      </c>
    </row>
    <row r="24" spans="1:29" x14ac:dyDescent="0.2">
      <c r="A24" s="15" t="s">
        <v>9</v>
      </c>
      <c r="B24" s="14" t="s">
        <v>14</v>
      </c>
      <c r="C24" s="14" t="s">
        <v>37</v>
      </c>
      <c r="D24" s="14">
        <v>19.456315994262695</v>
      </c>
      <c r="E24" s="14">
        <f t="shared" ref="E24:E25" si="16">D24-15.60966</f>
        <v>3.8466559942626954</v>
      </c>
      <c r="F24" s="14">
        <f t="shared" si="1"/>
        <v>6.9509019558809962E-2</v>
      </c>
      <c r="G24" s="14">
        <v>78.098365783691406</v>
      </c>
      <c r="H24" s="14" t="s">
        <v>24</v>
      </c>
      <c r="I24" s="14" t="s">
        <v>25</v>
      </c>
      <c r="J24" s="14">
        <v>20.771709442138672</v>
      </c>
      <c r="K24" s="14">
        <f t="shared" ref="K24:K25" si="17">J24-14.43796</f>
        <v>6.3337494421386715</v>
      </c>
      <c r="L24" s="14">
        <f t="shared" si="3"/>
        <v>1.239799431565298E-2</v>
      </c>
      <c r="M24" s="14">
        <v>77.526123046875</v>
      </c>
      <c r="N24" s="14" t="s">
        <v>24</v>
      </c>
      <c r="O24" s="13" t="s">
        <v>25</v>
      </c>
      <c r="R24" s="14"/>
      <c r="S24" s="15"/>
      <c r="T24" s="14" t="s">
        <v>118</v>
      </c>
      <c r="U24" s="14">
        <v>9.3210019982821155</v>
      </c>
      <c r="V24" s="14">
        <f t="shared" ref="V24:V28" si="18">U24/U12</f>
        <v>2.6215145781344646</v>
      </c>
      <c r="W24" s="14">
        <f>STDEV(V23:V28)</f>
        <v>3.5499806625820858</v>
      </c>
      <c r="X24" s="14">
        <v>0.10643923930903153</v>
      </c>
      <c r="Y24" s="14">
        <f t="shared" ref="Y24:Y28" si="19">X24/X12</f>
        <v>1.5312982601763772</v>
      </c>
      <c r="Z24" s="14">
        <f>STDEV(Y23:Y28)</f>
        <v>0.69240994731533412</v>
      </c>
      <c r="AA24" s="14">
        <v>5.2545511923275189E-2</v>
      </c>
      <c r="AB24" s="14">
        <f t="shared" ref="AB24:AB28" si="20">AA24/AA12</f>
        <v>1.4346323453021359</v>
      </c>
      <c r="AC24" s="13">
        <f>STDEV(AB23:AB28)</f>
        <v>0.2514463936587692</v>
      </c>
    </row>
    <row r="25" spans="1:29" x14ac:dyDescent="0.2">
      <c r="A25" s="15" t="s">
        <v>38</v>
      </c>
      <c r="B25" s="14" t="s">
        <v>14</v>
      </c>
      <c r="C25" s="14" t="s">
        <v>37</v>
      </c>
      <c r="D25" s="14">
        <v>19.487590789794922</v>
      </c>
      <c r="E25" s="14">
        <f t="shared" si="16"/>
        <v>3.877930789794922</v>
      </c>
      <c r="F25" s="14">
        <f t="shared" si="1"/>
        <v>6.8018415563984178E-2</v>
      </c>
      <c r="G25" s="14">
        <v>77.944068908691406</v>
      </c>
      <c r="H25" s="14" t="s">
        <v>24</v>
      </c>
      <c r="I25" s="14" t="s">
        <v>25</v>
      </c>
      <c r="J25" s="14">
        <v>20.49566650390625</v>
      </c>
      <c r="K25" s="14">
        <f t="shared" si="17"/>
        <v>6.0577065039062497</v>
      </c>
      <c r="L25" s="14">
        <f t="shared" si="3"/>
        <v>1.5012348490617838E-2</v>
      </c>
      <c r="M25" s="14">
        <v>77.519737243652344</v>
      </c>
      <c r="N25" s="14" t="s">
        <v>24</v>
      </c>
      <c r="O25" s="13" t="s">
        <v>25</v>
      </c>
      <c r="R25" s="14"/>
      <c r="S25" s="15"/>
      <c r="T25" s="14" t="s">
        <v>118</v>
      </c>
      <c r="U25" s="14">
        <v>9.0959894001899801</v>
      </c>
      <c r="V25" s="14">
        <f t="shared" si="18"/>
        <v>2.5138083674604439</v>
      </c>
      <c r="W25" s="14"/>
      <c r="X25" s="14">
        <v>0.10849764826662492</v>
      </c>
      <c r="Y25" s="14">
        <f t="shared" si="19"/>
        <v>1.5951186885846662</v>
      </c>
      <c r="Z25" s="14"/>
      <c r="AA25" s="14">
        <v>5.2652324753600932E-2</v>
      </c>
      <c r="AB25" s="14">
        <f t="shared" si="20"/>
        <v>1.4116298270052146</v>
      </c>
      <c r="AC25" s="13"/>
    </row>
    <row r="26" spans="1:29" x14ac:dyDescent="0.2">
      <c r="A26" s="15" t="s">
        <v>39</v>
      </c>
      <c r="B26" s="14" t="s">
        <v>27</v>
      </c>
      <c r="C26" s="14" t="s">
        <v>37</v>
      </c>
      <c r="D26" s="14">
        <v>19.259971618652344</v>
      </c>
      <c r="E26" s="14">
        <f>D26-15.45005</f>
        <v>3.8099216186523446</v>
      </c>
      <c r="F26" s="14">
        <f t="shared" si="1"/>
        <v>7.1301605939259965E-2</v>
      </c>
      <c r="G26" s="14">
        <v>77.944068908691406</v>
      </c>
      <c r="H26" s="14" t="s">
        <v>24</v>
      </c>
      <c r="I26" s="14" t="s">
        <v>25</v>
      </c>
      <c r="J26" s="14">
        <v>19.935516357421875</v>
      </c>
      <c r="K26" s="14">
        <f>J26-13.72126</f>
        <v>6.2142563574218759</v>
      </c>
      <c r="L26" s="14">
        <f t="shared" si="3"/>
        <v>1.3468599396706324E-2</v>
      </c>
      <c r="M26" s="14">
        <v>77.519737243652344</v>
      </c>
      <c r="N26" s="14" t="s">
        <v>24</v>
      </c>
      <c r="O26" s="13" t="s">
        <v>25</v>
      </c>
      <c r="R26" s="14"/>
      <c r="S26" s="15"/>
      <c r="T26" s="14" t="s">
        <v>118</v>
      </c>
      <c r="U26" s="14">
        <v>10.618237266029011</v>
      </c>
      <c r="V26" s="14">
        <f t="shared" si="18"/>
        <v>10.770656123472047</v>
      </c>
      <c r="W26" s="14"/>
      <c r="X26" s="14">
        <v>2.8160218436355629E-2</v>
      </c>
      <c r="Y26" s="14">
        <f t="shared" si="19"/>
        <v>3.2837676697008078</v>
      </c>
      <c r="Z26" s="14"/>
      <c r="AA26" s="14">
        <v>5.5587794543565341E-2</v>
      </c>
      <c r="AB26" s="14">
        <f t="shared" si="20"/>
        <v>2.008225622267076</v>
      </c>
      <c r="AC26" s="13"/>
    </row>
    <row r="27" spans="1:29" x14ac:dyDescent="0.2">
      <c r="A27" s="15" t="s">
        <v>40</v>
      </c>
      <c r="B27" s="14" t="s">
        <v>27</v>
      </c>
      <c r="C27" s="14" t="s">
        <v>37</v>
      </c>
      <c r="D27" s="14">
        <v>19.213205337524414</v>
      </c>
      <c r="E27" s="14">
        <f t="shared" ref="E27:E28" si="21">D27-15.45005</f>
        <v>3.7631553375244149</v>
      </c>
      <c r="F27" s="14">
        <f t="shared" si="1"/>
        <v>7.3650782451396737E-2</v>
      </c>
      <c r="G27" s="14">
        <v>77.944717407226563</v>
      </c>
      <c r="H27" s="14" t="s">
        <v>24</v>
      </c>
      <c r="I27" s="14" t="s">
        <v>25</v>
      </c>
      <c r="J27" s="14">
        <v>19.856229782104492</v>
      </c>
      <c r="K27" s="14">
        <f t="shared" ref="K27:K28" si="22">J27-13.72126</f>
        <v>6.1349697821044931</v>
      </c>
      <c r="L27" s="14">
        <f t="shared" si="3"/>
        <v>1.4229514190318159E-2</v>
      </c>
      <c r="M27" s="14">
        <v>77.664459228515625</v>
      </c>
      <c r="N27" s="14" t="s">
        <v>24</v>
      </c>
      <c r="O27" s="13" t="s">
        <v>25</v>
      </c>
      <c r="R27" s="14"/>
      <c r="S27" s="15"/>
      <c r="T27" s="14" t="s">
        <v>118</v>
      </c>
      <c r="U27" s="14">
        <v>11.952560413126044</v>
      </c>
      <c r="V27" s="14">
        <f t="shared" si="18"/>
        <v>8.4098309325741951</v>
      </c>
      <c r="W27" s="14"/>
      <c r="X27" s="14">
        <v>2.9026548793095512E-2</v>
      </c>
      <c r="Y27" s="14">
        <f t="shared" si="19"/>
        <v>2.3412216798348866</v>
      </c>
      <c r="Z27" s="14"/>
      <c r="AA27" s="14">
        <v>5.7091636630086116E-2</v>
      </c>
      <c r="AB27" s="14">
        <f t="shared" si="20"/>
        <v>1.8038566687600575</v>
      </c>
      <c r="AC27" s="13"/>
    </row>
    <row r="28" spans="1:29" x14ac:dyDescent="0.2">
      <c r="A28" s="15" t="s">
        <v>41</v>
      </c>
      <c r="B28" s="14" t="s">
        <v>27</v>
      </c>
      <c r="C28" s="14" t="s">
        <v>37</v>
      </c>
      <c r="D28" s="14">
        <v>19.226356506347656</v>
      </c>
      <c r="E28" s="14">
        <f t="shared" si="21"/>
        <v>3.7763065063476571</v>
      </c>
      <c r="F28" s="14">
        <f t="shared" si="1"/>
        <v>7.2982455100812318E-2</v>
      </c>
      <c r="G28" s="14">
        <v>77.944717407226563</v>
      </c>
      <c r="H28" s="14" t="s">
        <v>24</v>
      </c>
      <c r="I28" s="14" t="s">
        <v>25</v>
      </c>
      <c r="J28" s="14">
        <v>19.786167144775391</v>
      </c>
      <c r="K28" s="14">
        <f t="shared" si="22"/>
        <v>6.0649071447753915</v>
      </c>
      <c r="L28" s="14">
        <f t="shared" si="3"/>
        <v>1.49376069757595E-2</v>
      </c>
      <c r="M28" s="14">
        <v>77.664459228515625</v>
      </c>
      <c r="N28" s="14" t="s">
        <v>24</v>
      </c>
      <c r="O28" s="13" t="s">
        <v>25</v>
      </c>
      <c r="R28" s="14"/>
      <c r="S28" s="15"/>
      <c r="T28" s="14" t="s">
        <v>118</v>
      </c>
      <c r="U28" s="14">
        <v>11.320586076748668</v>
      </c>
      <c r="V28" s="14">
        <f t="shared" si="18"/>
        <v>5.3883441407079413</v>
      </c>
      <c r="W28" s="14"/>
      <c r="X28" s="14">
        <v>2.7686807048123228E-2</v>
      </c>
      <c r="Y28" s="14">
        <f t="shared" si="19"/>
        <v>1.8442627926200437</v>
      </c>
      <c r="Z28" s="14"/>
      <c r="AA28" s="14">
        <v>5.8974196128526779E-2</v>
      </c>
      <c r="AB28" s="14">
        <f t="shared" si="20"/>
        <v>1.6011057134815818</v>
      </c>
      <c r="AC28" s="13"/>
    </row>
    <row r="29" spans="1:29" x14ac:dyDescent="0.2">
      <c r="A29" s="15" t="s">
        <v>42</v>
      </c>
      <c r="B29" s="14" t="s">
        <v>31</v>
      </c>
      <c r="C29" s="14" t="s">
        <v>37</v>
      </c>
      <c r="D29" s="14">
        <v>19.668733596801758</v>
      </c>
      <c r="E29" s="14">
        <f>D29-16.43165</f>
        <v>3.2370835968017566</v>
      </c>
      <c r="F29" s="14">
        <f t="shared" si="1"/>
        <v>0.10605734205443634</v>
      </c>
      <c r="G29" s="14">
        <v>77.945945739746094</v>
      </c>
      <c r="H29" s="14" t="s">
        <v>24</v>
      </c>
      <c r="I29" s="14" t="s">
        <v>25</v>
      </c>
      <c r="J29" s="14">
        <v>19.732881546020508</v>
      </c>
      <c r="K29" s="14">
        <f>J29-14.58268</f>
        <v>5.1502015460205079</v>
      </c>
      <c r="L29" s="14">
        <f t="shared" si="3"/>
        <v>2.8160142680117753E-2</v>
      </c>
      <c r="M29" s="14">
        <v>77.663345336914063</v>
      </c>
      <c r="N29" s="14" t="s">
        <v>24</v>
      </c>
      <c r="O29" s="13" t="s">
        <v>25</v>
      </c>
      <c r="R29" s="14"/>
      <c r="S29" s="15"/>
      <c r="T29" s="14" t="s">
        <v>16</v>
      </c>
      <c r="U29" s="14">
        <v>9.9599615639683634</v>
      </c>
      <c r="V29" s="14">
        <f>U29/U11</f>
        <v>2.7601228630311696</v>
      </c>
      <c r="W29" s="14">
        <f>AVERAGE(V29:V34)</f>
        <v>5.5172105606140676</v>
      </c>
      <c r="X29" s="14">
        <v>0.11579482750625449</v>
      </c>
      <c r="Y29" s="14">
        <f>X29/X11</f>
        <v>1.6632524970012759</v>
      </c>
      <c r="Z29" s="14">
        <f>AVERAGE(Y29:Y34)</f>
        <v>2.106356904607448</v>
      </c>
      <c r="AA29" s="14">
        <v>5.0650626986702918E-2</v>
      </c>
      <c r="AB29" s="14">
        <f>AA29/AA11</f>
        <v>1.3838370036075347</v>
      </c>
      <c r="AC29" s="13">
        <f>AVERAGE(AB29:AB34)</f>
        <v>1.5084867679314924</v>
      </c>
    </row>
    <row r="30" spans="1:29" x14ac:dyDescent="0.2">
      <c r="A30" s="15" t="s">
        <v>43</v>
      </c>
      <c r="B30" s="14" t="s">
        <v>31</v>
      </c>
      <c r="C30" s="14" t="s">
        <v>37</v>
      </c>
      <c r="D30" s="14">
        <v>19.663545608520508</v>
      </c>
      <c r="E30" s="14">
        <f t="shared" ref="E30:E31" si="23">D30-16.43165</f>
        <v>3.2318956085205066</v>
      </c>
      <c r="F30" s="14">
        <f t="shared" si="1"/>
        <v>0.10643941500338575</v>
      </c>
      <c r="G30" s="14">
        <v>77.945945739746094</v>
      </c>
      <c r="H30" s="14" t="s">
        <v>24</v>
      </c>
      <c r="I30" s="14" t="s">
        <v>25</v>
      </c>
      <c r="J30" s="14">
        <v>19.689167022705078</v>
      </c>
      <c r="K30" s="14">
        <f t="shared" ref="K30:K31" si="24">J30-14.58268</f>
        <v>5.1064870227050783</v>
      </c>
      <c r="L30" s="14">
        <f t="shared" si="3"/>
        <v>2.902647070626746E-2</v>
      </c>
      <c r="M30" s="14">
        <v>77.663345336914063</v>
      </c>
      <c r="N30" s="14" t="s">
        <v>24</v>
      </c>
      <c r="O30" s="13" t="s">
        <v>25</v>
      </c>
      <c r="R30" s="14"/>
      <c r="S30" s="15"/>
      <c r="T30" s="14" t="s">
        <v>16</v>
      </c>
      <c r="U30" s="14">
        <v>10.151609066415656</v>
      </c>
      <c r="V30" s="14">
        <f t="shared" ref="V30:V34" si="25">U30/U12</f>
        <v>2.8551212803125043</v>
      </c>
      <c r="W30" s="14">
        <f>STDEV(V29:V34)</f>
        <v>3.8440356157627131</v>
      </c>
      <c r="X30" s="14">
        <v>0.11765899201357691</v>
      </c>
      <c r="Y30" s="14">
        <f t="shared" ref="Y30:Y34" si="26">X30/X12</f>
        <v>1.6927123017235692</v>
      </c>
      <c r="Z30" s="14">
        <f>STDEV(Y29:Y34)</f>
        <v>0.67239609936325428</v>
      </c>
      <c r="AA30" s="14">
        <v>4.9699739333125499E-2</v>
      </c>
      <c r="AB30" s="14">
        <f t="shared" ref="AB30:AB34" si="27">AA30/AA12</f>
        <v>1.3569351784886452</v>
      </c>
      <c r="AC30" s="13">
        <f>STDEV(AB29:AB34)</f>
        <v>0.26819456958492149</v>
      </c>
    </row>
    <row r="31" spans="1:29" x14ac:dyDescent="0.2">
      <c r="A31" s="15" t="s">
        <v>44</v>
      </c>
      <c r="B31" s="14" t="s">
        <v>31</v>
      </c>
      <c r="C31" s="14" t="s">
        <v>37</v>
      </c>
      <c r="D31" s="14">
        <v>19.63591194152832</v>
      </c>
      <c r="E31" s="14">
        <f t="shared" si="23"/>
        <v>3.2042619415283191</v>
      </c>
      <c r="F31" s="14">
        <f t="shared" si="1"/>
        <v>0.1084978273587001</v>
      </c>
      <c r="G31" s="14">
        <v>77.942245483398438</v>
      </c>
      <c r="H31" s="14" t="s">
        <v>24</v>
      </c>
      <c r="I31" s="14" t="s">
        <v>25</v>
      </c>
      <c r="J31" s="14">
        <v>19.757341384887695</v>
      </c>
      <c r="K31" s="14">
        <f t="shared" si="24"/>
        <v>5.1746613848876954</v>
      </c>
      <c r="L31" s="14">
        <f t="shared" si="3"/>
        <v>2.7686732565450248E-2</v>
      </c>
      <c r="M31" s="14">
        <v>77.813980102539063</v>
      </c>
      <c r="N31" s="14" t="s">
        <v>24</v>
      </c>
      <c r="O31" s="13" t="s">
        <v>25</v>
      </c>
      <c r="R31" s="14"/>
      <c r="S31" s="15"/>
      <c r="T31" s="14" t="s">
        <v>16</v>
      </c>
      <c r="U31" s="14">
        <v>9.8983105906412554</v>
      </c>
      <c r="V31" s="14">
        <f t="shared" si="25"/>
        <v>2.7355414448874158</v>
      </c>
      <c r="W31" s="14"/>
      <c r="X31" s="14">
        <v>0.11736179355003805</v>
      </c>
      <c r="Y31" s="14">
        <f t="shared" si="26"/>
        <v>1.7254382303055658</v>
      </c>
      <c r="Z31" s="14"/>
      <c r="AA31" s="14">
        <v>4.8482050004801824E-2</v>
      </c>
      <c r="AB31" s="14">
        <f t="shared" si="27"/>
        <v>1.2998230976772966</v>
      </c>
      <c r="AC31" s="13"/>
    </row>
    <row r="32" spans="1:29" x14ac:dyDescent="0.2">
      <c r="A32" s="15" t="s">
        <v>45</v>
      </c>
      <c r="B32" s="14" t="s">
        <v>123</v>
      </c>
      <c r="C32" s="14" t="s">
        <v>37</v>
      </c>
      <c r="D32" s="14">
        <v>19.507282257080078</v>
      </c>
      <c r="E32" s="14">
        <f>D32-16.39692</f>
        <v>3.1103622570800766</v>
      </c>
      <c r="F32" s="14">
        <f t="shared" si="1"/>
        <v>0.11579442839713663</v>
      </c>
      <c r="G32" s="14">
        <v>77.942245483398438</v>
      </c>
      <c r="H32" s="14" t="s">
        <v>24</v>
      </c>
      <c r="I32" s="14" t="s">
        <v>25</v>
      </c>
      <c r="J32" s="14">
        <v>19.665630340576172</v>
      </c>
      <c r="K32" s="14">
        <f>J32-14.5383</f>
        <v>5.1273303405761723</v>
      </c>
      <c r="L32" s="14">
        <f t="shared" si="3"/>
        <v>2.8610125957240787E-2</v>
      </c>
      <c r="M32" s="14">
        <v>77.813980102539063</v>
      </c>
      <c r="N32" s="14" t="s">
        <v>24</v>
      </c>
      <c r="O32" s="13" t="s">
        <v>25</v>
      </c>
      <c r="R32" s="14"/>
      <c r="S32" s="15"/>
      <c r="T32" s="14" t="s">
        <v>16</v>
      </c>
      <c r="U32" s="14">
        <v>12.19064246689523</v>
      </c>
      <c r="V32" s="14">
        <f t="shared" si="25"/>
        <v>12.365632321590351</v>
      </c>
      <c r="W32" s="14"/>
      <c r="X32" s="14">
        <v>2.8610173979500431E-2</v>
      </c>
      <c r="Y32" s="14">
        <f t="shared" si="26"/>
        <v>3.3362370590530581</v>
      </c>
      <c r="Z32" s="14"/>
      <c r="AA32" s="14">
        <v>5.4123803450176831E-2</v>
      </c>
      <c r="AB32" s="14">
        <f t="shared" si="27"/>
        <v>1.9553358746407434</v>
      </c>
      <c r="AC32" s="13"/>
    </row>
    <row r="33" spans="1:37" x14ac:dyDescent="0.2">
      <c r="A33" s="15" t="s">
        <v>46</v>
      </c>
      <c r="B33" s="14" t="s">
        <v>123</v>
      </c>
      <c r="C33" s="14" t="s">
        <v>37</v>
      </c>
      <c r="D33" s="14">
        <v>19.484241485595703</v>
      </c>
      <c r="E33" s="14">
        <f t="shared" ref="E33:E34" si="28">D33-16.39692</f>
        <v>3.0873214855957016</v>
      </c>
      <c r="F33" s="14">
        <f t="shared" si="1"/>
        <v>0.11765858647925791</v>
      </c>
      <c r="G33" s="14">
        <v>77.797393798828125</v>
      </c>
      <c r="H33" s="14" t="s">
        <v>24</v>
      </c>
      <c r="I33" s="14" t="s">
        <v>25</v>
      </c>
      <c r="J33" s="14">
        <v>19.577306747436523</v>
      </c>
      <c r="K33" s="14">
        <f t="shared" ref="K33:K34" si="29">J33-14.5383</f>
        <v>5.0390067474365239</v>
      </c>
      <c r="L33" s="14">
        <f t="shared" si="3"/>
        <v>3.0416400685622111E-2</v>
      </c>
      <c r="M33" s="14">
        <v>77.667701721191406</v>
      </c>
      <c r="N33" s="14" t="s">
        <v>24</v>
      </c>
      <c r="O33" s="13" t="s">
        <v>25</v>
      </c>
      <c r="R33" s="14"/>
      <c r="S33" s="15"/>
      <c r="T33" s="14" t="s">
        <v>16</v>
      </c>
      <c r="U33" s="14">
        <v>10.720301945501303</v>
      </c>
      <c r="V33" s="14">
        <f t="shared" si="25"/>
        <v>7.5428129029831039</v>
      </c>
      <c r="W33" s="14"/>
      <c r="X33" s="14">
        <v>3.0416451739724189E-2</v>
      </c>
      <c r="Y33" s="14">
        <f t="shared" si="26"/>
        <v>2.4533283906501762</v>
      </c>
      <c r="Z33" s="14"/>
      <c r="AA33" s="14">
        <v>5.4562995406364861E-2</v>
      </c>
      <c r="AB33" s="14">
        <f t="shared" si="27"/>
        <v>1.7239621937800311</v>
      </c>
      <c r="AC33" s="13"/>
    </row>
    <row r="34" spans="1:37" ht="13.5" thickBot="1" x14ac:dyDescent="0.25">
      <c r="A34" s="15" t="s">
        <v>47</v>
      </c>
      <c r="B34" s="14" t="s">
        <v>123</v>
      </c>
      <c r="C34" s="14" t="s">
        <v>37</v>
      </c>
      <c r="D34" s="14">
        <v>19.487890243530273</v>
      </c>
      <c r="E34" s="14">
        <f t="shared" si="28"/>
        <v>3.0909702435302719</v>
      </c>
      <c r="F34" s="14">
        <f t="shared" si="1"/>
        <v>0.11736138904007065</v>
      </c>
      <c r="G34" s="14">
        <v>77.797393798828125</v>
      </c>
      <c r="H34" s="14" t="s">
        <v>24</v>
      </c>
      <c r="I34" s="14" t="s">
        <v>25</v>
      </c>
      <c r="J34" s="14">
        <v>19.774560928344727</v>
      </c>
      <c r="K34" s="14">
        <f t="shared" si="29"/>
        <v>5.236260928344727</v>
      </c>
      <c r="L34" s="14">
        <f t="shared" si="3"/>
        <v>2.6529459103228927E-2</v>
      </c>
      <c r="M34" s="14">
        <v>77.667701721191406</v>
      </c>
      <c r="N34" s="14" t="s">
        <v>24</v>
      </c>
      <c r="O34" s="13" t="s">
        <v>25</v>
      </c>
      <c r="R34" s="14"/>
      <c r="S34" s="12"/>
      <c r="T34" s="11" t="s">
        <v>16</v>
      </c>
      <c r="U34" s="11">
        <v>10.177020253127925</v>
      </c>
      <c r="V34" s="11">
        <f t="shared" si="25"/>
        <v>4.8440325508798621</v>
      </c>
      <c r="W34" s="11"/>
      <c r="X34" s="11">
        <v>2.6529503633077385E-2</v>
      </c>
      <c r="Y34" s="11">
        <f t="shared" si="26"/>
        <v>1.7671729489110402</v>
      </c>
      <c r="Z34" s="11"/>
      <c r="AA34" s="11">
        <v>4.9026283515827149E-2</v>
      </c>
      <c r="AB34" s="11">
        <f t="shared" si="27"/>
        <v>1.3310272593947037</v>
      </c>
      <c r="AC34" s="10"/>
    </row>
    <row r="35" spans="1:37" x14ac:dyDescent="0.2">
      <c r="A35" s="15" t="s">
        <v>48</v>
      </c>
      <c r="B35" s="14" t="s">
        <v>14</v>
      </c>
      <c r="C35" s="14" t="s">
        <v>49</v>
      </c>
      <c r="D35" s="14">
        <v>20.381612777709961</v>
      </c>
      <c r="E35" s="14">
        <f>D35-15.60966</f>
        <v>4.7719527777099611</v>
      </c>
      <c r="F35" s="14">
        <f t="shared" si="1"/>
        <v>3.6601516184206144E-2</v>
      </c>
      <c r="G35" s="14">
        <v>76.904380798339844</v>
      </c>
      <c r="H35" s="14" t="s">
        <v>24</v>
      </c>
      <c r="I35" s="14" t="s">
        <v>25</v>
      </c>
      <c r="J35" s="14">
        <v>19.612974166870117</v>
      </c>
      <c r="K35" s="14">
        <f>J35-14.43796</f>
        <v>5.1750141668701168</v>
      </c>
      <c r="L35" s="14">
        <f t="shared" si="3"/>
        <v>2.7679963160958103E-2</v>
      </c>
      <c r="M35" s="14">
        <v>76.3336181640625</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14</v>
      </c>
      <c r="C36" s="14" t="s">
        <v>49</v>
      </c>
      <c r="D36" s="14">
        <v>20.380632400512695</v>
      </c>
      <c r="E36" s="14">
        <f t="shared" ref="E36:E37" si="30">D36-15.60966</f>
        <v>4.7709724005126954</v>
      </c>
      <c r="F36" s="14">
        <f t="shared" si="1"/>
        <v>3.6626397039664409E-2</v>
      </c>
      <c r="G36" s="14">
        <v>76.904380798339844</v>
      </c>
      <c r="H36" s="14" t="s">
        <v>24</v>
      </c>
      <c r="I36" s="14" t="s">
        <v>25</v>
      </c>
      <c r="J36" s="14">
        <v>19.419626235961914</v>
      </c>
      <c r="K36" s="14">
        <f t="shared" ref="K36:K37" si="31">J36-14.43796</f>
        <v>4.9816662359619137</v>
      </c>
      <c r="L36" s="14">
        <f t="shared" si="3"/>
        <v>3.1649658955498816E-2</v>
      </c>
      <c r="M36" s="14">
        <v>76.482681274414063</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14</v>
      </c>
      <c r="C37" s="14" t="s">
        <v>49</v>
      </c>
      <c r="D37" s="14">
        <v>20.35438346862793</v>
      </c>
      <c r="E37" s="14">
        <f t="shared" si="30"/>
        <v>4.7447234686279298</v>
      </c>
      <c r="F37" s="14">
        <f t="shared" si="1"/>
        <v>3.7298890621856415E-2</v>
      </c>
      <c r="G37" s="14">
        <v>76.750236511230469</v>
      </c>
      <c r="H37" s="14" t="s">
        <v>24</v>
      </c>
      <c r="I37" s="14" t="s">
        <v>25</v>
      </c>
      <c r="J37" s="14">
        <v>19.2008056640625</v>
      </c>
      <c r="K37" s="14">
        <f t="shared" si="31"/>
        <v>4.7628456640624997</v>
      </c>
      <c r="L37" s="14">
        <f t="shared" si="3"/>
        <v>3.6833296618082288E-2</v>
      </c>
      <c r="M37" s="14">
        <v>76.476531982421875</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27</v>
      </c>
      <c r="C38" s="14" t="s">
        <v>49</v>
      </c>
      <c r="D38" s="14">
        <v>20.164749145507813</v>
      </c>
      <c r="E38" s="14">
        <f>D38-15.45005</f>
        <v>4.7146991455078133</v>
      </c>
      <c r="F38" s="14">
        <f t="shared" si="1"/>
        <v>3.8083261659760413E-2</v>
      </c>
      <c r="G38" s="14">
        <v>76.899467468261719</v>
      </c>
      <c r="H38" s="14" t="s">
        <v>24</v>
      </c>
      <c r="I38" s="14" t="s">
        <v>25</v>
      </c>
      <c r="J38" s="14">
        <v>18.863504409790039</v>
      </c>
      <c r="K38" s="14">
        <f>J38-13.72126</f>
        <v>5.1422444097900399</v>
      </c>
      <c r="L38" s="14">
        <f t="shared" si="3"/>
        <v>2.8315888114476533E-2</v>
      </c>
      <c r="M38" s="14">
        <v>76.476531982421875</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27</v>
      </c>
      <c r="C39" s="14" t="s">
        <v>49</v>
      </c>
      <c r="D39" s="14">
        <v>20.143190383911133</v>
      </c>
      <c r="E39" s="14">
        <f t="shared" ref="E39:E40" si="32">D39-15.45005</f>
        <v>4.6931403839111336</v>
      </c>
      <c r="F39" s="14">
        <f t="shared" si="1"/>
        <v>3.8656628226558805E-2</v>
      </c>
      <c r="G39" s="14">
        <v>76.900253295898438</v>
      </c>
      <c r="H39" s="14" t="s">
        <v>24</v>
      </c>
      <c r="I39" s="14" t="s">
        <v>25</v>
      </c>
      <c r="J39" s="14">
        <v>18.843297958374023</v>
      </c>
      <c r="K39" s="14">
        <f t="shared" ref="K39:K40" si="33">J39-13.72126</f>
        <v>5.1220379583740243</v>
      </c>
      <c r="L39" s="14">
        <f t="shared" si="3"/>
        <v>2.8715272078725287E-2</v>
      </c>
      <c r="M39" s="14">
        <v>76.472335815429688</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27</v>
      </c>
      <c r="C40" s="14" t="s">
        <v>49</v>
      </c>
      <c r="D40" s="14">
        <v>20.146398544311523</v>
      </c>
      <c r="E40" s="14">
        <f t="shared" si="32"/>
        <v>4.6963485443115243</v>
      </c>
      <c r="F40" s="14">
        <f t="shared" si="1"/>
        <v>3.8570761932637997E-2</v>
      </c>
      <c r="G40" s="14">
        <v>76.900253295898438</v>
      </c>
      <c r="H40" s="14" t="s">
        <v>24</v>
      </c>
      <c r="I40" s="14" t="s">
        <v>25</v>
      </c>
      <c r="J40" s="14">
        <v>18.788944244384766</v>
      </c>
      <c r="K40" s="14">
        <f t="shared" si="33"/>
        <v>5.0676842443847665</v>
      </c>
      <c r="L40" s="14">
        <f t="shared" si="3"/>
        <v>2.9817761308240241E-2</v>
      </c>
      <c r="M40" s="14">
        <v>76.472335815429688</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31</v>
      </c>
      <c r="C41" s="14" t="s">
        <v>49</v>
      </c>
      <c r="D41" s="14">
        <v>20.731819152832031</v>
      </c>
      <c r="E41" s="14">
        <f>D41-16.43165</f>
        <v>4.3001691528320301</v>
      </c>
      <c r="F41" s="14">
        <f t="shared" si="1"/>
        <v>5.0759822945346679E-2</v>
      </c>
      <c r="G41" s="14">
        <v>76.752349853515625</v>
      </c>
      <c r="H41" s="14" t="s">
        <v>24</v>
      </c>
      <c r="I41" s="14" t="s">
        <v>25</v>
      </c>
      <c r="J41" s="14">
        <v>18.751771926879883</v>
      </c>
      <c r="K41" s="14">
        <f>J41-14.58268</f>
        <v>4.1690919268798829</v>
      </c>
      <c r="L41" s="14">
        <f t="shared" si="3"/>
        <v>5.5587645002034024E-2</v>
      </c>
      <c r="M41" s="14">
        <v>76.620407104492188</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31</v>
      </c>
      <c r="C42" s="14" t="s">
        <v>49</v>
      </c>
      <c r="D42" s="14">
        <v>20.681936264038086</v>
      </c>
      <c r="E42" s="14">
        <f t="shared" ref="E42:E43" si="34">D42-16.43165</f>
        <v>4.2502862640380847</v>
      </c>
      <c r="F42" s="14">
        <f t="shared" si="1"/>
        <v>5.25455986577337E-2</v>
      </c>
      <c r="G42" s="14">
        <v>76.752349853515625</v>
      </c>
      <c r="H42" s="14" t="s">
        <v>24</v>
      </c>
      <c r="I42" s="14" t="s">
        <v>25</v>
      </c>
      <c r="J42" s="14">
        <v>18.713260650634766</v>
      </c>
      <c r="K42" s="14">
        <f t="shared" ref="K42:K43" si="35">J42-14.58268</f>
        <v>4.1305806506347658</v>
      </c>
      <c r="L42" s="14">
        <f t="shared" si="3"/>
        <v>5.7091483042939206E-2</v>
      </c>
      <c r="M42" s="14">
        <v>76.620407104492188</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31</v>
      </c>
      <c r="C43" s="14" t="s">
        <v>49</v>
      </c>
      <c r="D43" s="14">
        <v>20.679006576538086</v>
      </c>
      <c r="E43" s="14">
        <f t="shared" si="34"/>
        <v>4.2473565765380847</v>
      </c>
      <c r="F43" s="14">
        <f t="shared" si="1"/>
        <v>5.2652411664370458E-2</v>
      </c>
      <c r="G43" s="14">
        <v>76.748489379882813</v>
      </c>
      <c r="H43" s="14" t="s">
        <v>24</v>
      </c>
      <c r="I43" s="14" t="s">
        <v>25</v>
      </c>
      <c r="J43" s="14">
        <v>18.66645622253418</v>
      </c>
      <c r="K43" s="14">
        <f t="shared" si="35"/>
        <v>4.0837762225341798</v>
      </c>
      <c r="L43" s="14">
        <f t="shared" si="3"/>
        <v>5.8974037476943852E-2</v>
      </c>
      <c r="M43" s="14">
        <v>76.621818542480469</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123</v>
      </c>
      <c r="C44" s="14" t="s">
        <v>49</v>
      </c>
      <c r="D44" s="14">
        <v>20.700201034545898</v>
      </c>
      <c r="E44" s="14">
        <f>D44-16.39692</f>
        <v>4.3032810345458969</v>
      </c>
      <c r="F44" s="14">
        <f t="shared" si="1"/>
        <v>5.065045240958671E-2</v>
      </c>
      <c r="G44" s="14">
        <v>76.748489379882813</v>
      </c>
      <c r="H44" s="14" t="s">
        <v>24</v>
      </c>
      <c r="I44" s="14" t="s">
        <v>25</v>
      </c>
      <c r="J44" s="14">
        <v>18.745895385742188</v>
      </c>
      <c r="K44" s="14">
        <f>J44-14.5383</f>
        <v>4.2075953857421879</v>
      </c>
      <c r="L44" s="14">
        <f t="shared" si="3"/>
        <v>5.4123712603216412E-2</v>
      </c>
      <c r="M44" s="14">
        <v>76.621818542480469</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123</v>
      </c>
      <c r="C45" s="14" t="s">
        <v>49</v>
      </c>
      <c r="D45" s="14">
        <v>20.727542877197266</v>
      </c>
      <c r="E45" s="14">
        <f t="shared" ref="E45:E46" si="36">D45-16.39692</f>
        <v>4.3306228771972641</v>
      </c>
      <c r="F45" s="14">
        <f t="shared" si="1"/>
        <v>4.9699568033426282E-2</v>
      </c>
      <c r="G45" s="14">
        <v>76.753005981445313</v>
      </c>
      <c r="H45" s="14" t="s">
        <v>24</v>
      </c>
      <c r="I45" s="14" t="s">
        <v>25</v>
      </c>
      <c r="J45" s="14">
        <v>18.734235763549805</v>
      </c>
      <c r="K45" s="14">
        <f t="shared" ref="K45:K46" si="37">J45-14.5383</f>
        <v>4.1959357635498051</v>
      </c>
      <c r="L45" s="14">
        <f t="shared" si="3"/>
        <v>5.4562903822219483E-2</v>
      </c>
      <c r="M45" s="14">
        <v>76.475624084472656</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123</v>
      </c>
      <c r="C46" s="14" t="s">
        <v>49</v>
      </c>
      <c r="D46" s="14">
        <v>20.763330459594727</v>
      </c>
      <c r="E46" s="14">
        <f t="shared" si="36"/>
        <v>4.3664104595947251</v>
      </c>
      <c r="F46" s="14">
        <f t="shared" si="1"/>
        <v>4.8481882902102778E-2</v>
      </c>
      <c r="G46" s="14">
        <v>76.753005981445313</v>
      </c>
      <c r="H46" s="14" t="s">
        <v>24</v>
      </c>
      <c r="I46" s="14" t="s">
        <v>25</v>
      </c>
      <c r="J46" s="14">
        <v>18.888603210449219</v>
      </c>
      <c r="K46" s="14">
        <f t="shared" si="37"/>
        <v>4.3503032104492192</v>
      </c>
      <c r="L46" s="14">
        <f t="shared" si="3"/>
        <v>4.9026201225068698E-2</v>
      </c>
      <c r="M46" s="14">
        <v>76.475624084472656</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14</v>
      </c>
      <c r="C47" s="14" t="s">
        <v>0</v>
      </c>
      <c r="D47" s="14">
        <v>18.361322402954102</v>
      </c>
      <c r="E47" s="14" t="s">
        <v>24</v>
      </c>
      <c r="F47" s="14"/>
      <c r="G47" s="14">
        <v>75.859649658203125</v>
      </c>
      <c r="H47" s="14" t="s">
        <v>24</v>
      </c>
      <c r="I47" s="14" t="s">
        <v>25</v>
      </c>
      <c r="J47" s="14">
        <v>17.885768890380859</v>
      </c>
      <c r="K47" s="14"/>
      <c r="L47" s="14"/>
      <c r="M47" s="14">
        <v>75.439247131347656</v>
      </c>
      <c r="N47" s="14" t="s">
        <v>24</v>
      </c>
      <c r="O47" s="13" t="s">
        <v>25</v>
      </c>
      <c r="R47" s="14"/>
      <c r="S47" s="14"/>
      <c r="T47" s="14"/>
      <c r="U47" s="14"/>
      <c r="V47" s="14"/>
      <c r="W47" s="14"/>
      <c r="X47" s="14"/>
    </row>
    <row r="48" spans="1:37" x14ac:dyDescent="0.2">
      <c r="A48" s="15" t="s">
        <v>62</v>
      </c>
      <c r="B48" s="14" t="s">
        <v>14</v>
      </c>
      <c r="C48" s="14" t="s">
        <v>0</v>
      </c>
      <c r="D48" s="14">
        <v>18.313217163085938</v>
      </c>
      <c r="E48" s="14" t="s">
        <v>24</v>
      </c>
      <c r="F48" s="14"/>
      <c r="G48" s="14">
        <v>75.859649658203125</v>
      </c>
      <c r="H48" s="14" t="s">
        <v>24</v>
      </c>
      <c r="I48" s="14" t="s">
        <v>25</v>
      </c>
      <c r="J48" s="14">
        <v>17.763046264648438</v>
      </c>
      <c r="K48" s="14"/>
      <c r="L48" s="14"/>
      <c r="M48" s="14">
        <v>75.439247131347656</v>
      </c>
      <c r="N48" s="14" t="s">
        <v>24</v>
      </c>
      <c r="O48" s="13" t="s">
        <v>25</v>
      </c>
      <c r="R48" s="14"/>
      <c r="S48" s="14"/>
      <c r="T48" s="14"/>
      <c r="U48" s="14"/>
      <c r="V48" s="14"/>
      <c r="W48" s="14"/>
      <c r="X48" s="14"/>
    </row>
    <row r="49" spans="1:24" x14ac:dyDescent="0.2">
      <c r="A49" s="15" t="s">
        <v>63</v>
      </c>
      <c r="B49" s="14" t="s">
        <v>14</v>
      </c>
      <c r="C49" s="14" t="s">
        <v>0</v>
      </c>
      <c r="D49" s="14">
        <v>18.332809448242188</v>
      </c>
      <c r="E49" s="14" t="s">
        <v>24</v>
      </c>
      <c r="F49" s="14"/>
      <c r="G49" s="14">
        <v>75.8548583984375</v>
      </c>
      <c r="H49" s="14" t="s">
        <v>24</v>
      </c>
      <c r="I49" s="14" t="s">
        <v>25</v>
      </c>
      <c r="J49" s="14">
        <v>17.739015579223633</v>
      </c>
      <c r="K49" s="14"/>
      <c r="L49" s="14"/>
      <c r="M49" s="14">
        <v>75.582359313964844</v>
      </c>
      <c r="N49" s="14" t="s">
        <v>24</v>
      </c>
      <c r="O49" s="13" t="s">
        <v>25</v>
      </c>
      <c r="R49" s="14"/>
      <c r="S49" s="14"/>
      <c r="T49" s="14"/>
      <c r="U49" s="14"/>
      <c r="V49" s="14"/>
      <c r="W49" s="14"/>
      <c r="X49" s="14"/>
    </row>
    <row r="50" spans="1:24" x14ac:dyDescent="0.2">
      <c r="A50" s="15" t="s">
        <v>64</v>
      </c>
      <c r="B50" s="14" t="s">
        <v>27</v>
      </c>
      <c r="C50" s="14" t="s">
        <v>0</v>
      </c>
      <c r="D50" s="14">
        <v>18.938716888427734</v>
      </c>
      <c r="E50" s="14" t="s">
        <v>24</v>
      </c>
      <c r="F50" s="14"/>
      <c r="G50" s="14">
        <v>75.8548583984375</v>
      </c>
      <c r="H50" s="14" t="s">
        <v>24</v>
      </c>
      <c r="I50" s="14" t="s">
        <v>65</v>
      </c>
      <c r="J50" s="14">
        <v>17.492898941040039</v>
      </c>
      <c r="K50" s="14"/>
      <c r="L50" s="14"/>
      <c r="M50" s="14">
        <v>75.582359313964844</v>
      </c>
      <c r="N50" s="14" t="s">
        <v>24</v>
      </c>
      <c r="O50" s="13" t="s">
        <v>25</v>
      </c>
      <c r="R50" s="14"/>
      <c r="S50" s="14"/>
      <c r="T50" s="14"/>
      <c r="U50" s="14"/>
      <c r="V50" s="14"/>
      <c r="W50" s="14"/>
      <c r="X50" s="14"/>
    </row>
    <row r="51" spans="1:24" x14ac:dyDescent="0.2">
      <c r="A51" s="15" t="s">
        <v>66</v>
      </c>
      <c r="B51" s="14" t="s">
        <v>27</v>
      </c>
      <c r="C51" s="14" t="s">
        <v>0</v>
      </c>
      <c r="D51" s="14">
        <v>18.027700424194336</v>
      </c>
      <c r="E51" s="14" t="s">
        <v>24</v>
      </c>
      <c r="F51" s="14"/>
      <c r="G51" s="14">
        <v>76.004997253417969</v>
      </c>
      <c r="H51" s="14" t="s">
        <v>24</v>
      </c>
      <c r="I51" s="14" t="s">
        <v>25</v>
      </c>
      <c r="J51" s="14">
        <v>17.512662887573242</v>
      </c>
      <c r="K51" s="14"/>
      <c r="L51" s="14"/>
      <c r="M51" s="14">
        <v>75.5782470703125</v>
      </c>
      <c r="N51" s="14" t="s">
        <v>24</v>
      </c>
      <c r="O51" s="13" t="s">
        <v>25</v>
      </c>
      <c r="R51" s="14"/>
      <c r="S51" s="14"/>
      <c r="T51" s="14"/>
      <c r="U51" s="14"/>
      <c r="V51" s="14"/>
      <c r="W51" s="14"/>
      <c r="X51" s="14"/>
    </row>
    <row r="52" spans="1:24" x14ac:dyDescent="0.2">
      <c r="A52" s="15" t="s">
        <v>67</v>
      </c>
      <c r="B52" s="14" t="s">
        <v>27</v>
      </c>
      <c r="C52" s="14" t="s">
        <v>0</v>
      </c>
      <c r="D52" s="14">
        <v>17.985881805419922</v>
      </c>
      <c r="E52" s="14" t="s">
        <v>24</v>
      </c>
      <c r="F52" s="14"/>
      <c r="G52" s="14">
        <v>76.004997253417969</v>
      </c>
      <c r="H52" s="14" t="s">
        <v>24</v>
      </c>
      <c r="I52" s="14" t="s">
        <v>25</v>
      </c>
      <c r="J52" s="14">
        <v>17.464073181152344</v>
      </c>
      <c r="K52" s="14"/>
      <c r="L52" s="14"/>
      <c r="M52" s="14">
        <v>75.5782470703125</v>
      </c>
      <c r="N52" s="14" t="s">
        <v>24</v>
      </c>
      <c r="O52" s="13" t="s">
        <v>25</v>
      </c>
      <c r="R52" s="14"/>
      <c r="S52" s="14"/>
      <c r="T52" s="14"/>
      <c r="U52" s="14"/>
      <c r="V52" s="14"/>
      <c r="W52" s="14"/>
      <c r="X52" s="14"/>
    </row>
    <row r="53" spans="1:24" x14ac:dyDescent="0.2">
      <c r="A53" s="15" t="s">
        <v>68</v>
      </c>
      <c r="B53" s="14" t="s">
        <v>31</v>
      </c>
      <c r="C53" s="14" t="s">
        <v>0</v>
      </c>
      <c r="D53" s="14">
        <v>18.97728157043457</v>
      </c>
      <c r="E53" s="14" t="s">
        <v>24</v>
      </c>
      <c r="F53" s="14"/>
      <c r="G53" s="14">
        <v>75.857154846191406</v>
      </c>
      <c r="H53" s="14" t="s">
        <v>24</v>
      </c>
      <c r="I53" s="14" t="s">
        <v>25</v>
      </c>
      <c r="J53" s="14">
        <v>17.989665985107422</v>
      </c>
      <c r="K53" s="14"/>
      <c r="L53" s="14"/>
      <c r="M53" s="14">
        <v>75.726455688476563</v>
      </c>
      <c r="N53" s="14" t="s">
        <v>24</v>
      </c>
      <c r="O53" s="13" t="s">
        <v>25</v>
      </c>
      <c r="R53" s="14"/>
      <c r="S53" s="14"/>
      <c r="T53" s="14"/>
      <c r="U53" s="14"/>
      <c r="V53" s="14"/>
      <c r="W53" s="14"/>
      <c r="X53" s="14"/>
    </row>
    <row r="54" spans="1:24" x14ac:dyDescent="0.2">
      <c r="A54" s="15" t="s">
        <v>69</v>
      </c>
      <c r="B54" s="14" t="s">
        <v>31</v>
      </c>
      <c r="C54" s="14" t="s">
        <v>0</v>
      </c>
      <c r="D54" s="14">
        <v>18.979257583618164</v>
      </c>
      <c r="E54" s="14" t="s">
        <v>24</v>
      </c>
      <c r="F54" s="14"/>
      <c r="G54" s="14">
        <v>75.857154846191406</v>
      </c>
      <c r="H54" s="14" t="s">
        <v>24</v>
      </c>
      <c r="I54" s="14" t="s">
        <v>25</v>
      </c>
      <c r="J54" s="14">
        <v>17.979368209838867</v>
      </c>
      <c r="K54" s="14"/>
      <c r="L54" s="14"/>
      <c r="M54" s="14">
        <v>75.726455688476563</v>
      </c>
      <c r="N54" s="14" t="s">
        <v>24</v>
      </c>
      <c r="O54" s="13" t="s">
        <v>25</v>
      </c>
      <c r="R54" s="14"/>
      <c r="S54" s="14"/>
      <c r="T54" s="14"/>
      <c r="U54" s="14"/>
      <c r="V54" s="14"/>
      <c r="W54" s="14"/>
      <c r="X54" s="14"/>
    </row>
    <row r="55" spans="1:24" x14ac:dyDescent="0.2">
      <c r="A55" s="15" t="s">
        <v>70</v>
      </c>
      <c r="B55" s="14" t="s">
        <v>31</v>
      </c>
      <c r="C55" s="14" t="s">
        <v>0</v>
      </c>
      <c r="D55" s="14">
        <v>18.991100311279297</v>
      </c>
      <c r="E55" s="14" t="s">
        <v>24</v>
      </c>
      <c r="F55" s="14"/>
      <c r="G55" s="14">
        <v>75.853172302246094</v>
      </c>
      <c r="H55" s="14" t="s">
        <v>24</v>
      </c>
      <c r="I55" s="14" t="s">
        <v>25</v>
      </c>
      <c r="J55" s="14">
        <v>17.95756721496582</v>
      </c>
      <c r="K55" s="14"/>
      <c r="L55" s="14"/>
      <c r="M55" s="14">
        <v>75.57867431640625</v>
      </c>
      <c r="N55" s="14" t="s">
        <v>24</v>
      </c>
      <c r="O55" s="13" t="s">
        <v>25</v>
      </c>
      <c r="R55" s="14"/>
      <c r="S55" s="14"/>
      <c r="T55" s="14"/>
      <c r="U55" s="14"/>
      <c r="V55" s="14"/>
      <c r="W55" s="14"/>
      <c r="X55" s="14"/>
    </row>
    <row r="56" spans="1:24" x14ac:dyDescent="0.2">
      <c r="A56" s="15" t="s">
        <v>71</v>
      </c>
      <c r="B56" s="14" t="s">
        <v>123</v>
      </c>
      <c r="C56" s="14" t="s">
        <v>0</v>
      </c>
      <c r="D56" s="14">
        <v>18.974519729614258</v>
      </c>
      <c r="E56" s="14" t="s">
        <v>24</v>
      </c>
      <c r="F56" s="14"/>
      <c r="G56" s="14">
        <v>75.853172302246094</v>
      </c>
      <c r="H56" s="14" t="s">
        <v>24</v>
      </c>
      <c r="I56" s="14" t="s">
        <v>25</v>
      </c>
      <c r="J56" s="14">
        <v>18.027933120727539</v>
      </c>
      <c r="K56" s="14"/>
      <c r="L56" s="14"/>
      <c r="M56" s="14">
        <v>75.57867431640625</v>
      </c>
      <c r="N56" s="14" t="s">
        <v>24</v>
      </c>
      <c r="O56" s="13" t="s">
        <v>25</v>
      </c>
      <c r="R56" s="14"/>
      <c r="S56" s="14"/>
      <c r="T56" s="14"/>
      <c r="U56" s="14"/>
      <c r="V56" s="14"/>
      <c r="W56" s="14"/>
      <c r="X56" s="14"/>
    </row>
    <row r="57" spans="1:24" x14ac:dyDescent="0.2">
      <c r="A57" s="15" t="s">
        <v>72</v>
      </c>
      <c r="B57" s="14" t="s">
        <v>123</v>
      </c>
      <c r="C57" s="14" t="s">
        <v>0</v>
      </c>
      <c r="D57" s="14">
        <v>18.99809455871582</v>
      </c>
      <c r="E57" s="14" t="s">
        <v>24</v>
      </c>
      <c r="F57" s="14"/>
      <c r="G57" s="14">
        <v>75.857803344726563</v>
      </c>
      <c r="H57" s="14" t="s">
        <v>24</v>
      </c>
      <c r="I57" s="14" t="s">
        <v>25</v>
      </c>
      <c r="J57" s="14">
        <v>18.13667106628418</v>
      </c>
      <c r="K57" s="14"/>
      <c r="L57" s="14"/>
      <c r="M57" s="14">
        <v>75.581573486328125</v>
      </c>
      <c r="N57" s="14" t="s">
        <v>24</v>
      </c>
      <c r="O57" s="13" t="s">
        <v>25</v>
      </c>
      <c r="R57" s="14"/>
      <c r="S57" s="14"/>
      <c r="T57" s="14"/>
      <c r="U57" s="14"/>
      <c r="V57" s="14"/>
      <c r="W57" s="14"/>
      <c r="X57" s="14"/>
    </row>
    <row r="58" spans="1:24" x14ac:dyDescent="0.2">
      <c r="A58" s="15" t="s">
        <v>73</v>
      </c>
      <c r="B58" s="14" t="s">
        <v>123</v>
      </c>
      <c r="C58" s="14" t="s">
        <v>0</v>
      </c>
      <c r="D58" s="14">
        <v>19.001117706298828</v>
      </c>
      <c r="E58" s="14" t="s">
        <v>24</v>
      </c>
      <c r="F58" s="14"/>
      <c r="G58" s="14">
        <v>75.857803344726563</v>
      </c>
      <c r="H58" s="14" t="s">
        <v>24</v>
      </c>
      <c r="I58" s="14" t="s">
        <v>25</v>
      </c>
      <c r="J58" s="14">
        <v>18.056100845336914</v>
      </c>
      <c r="K58" s="14"/>
      <c r="L58" s="14"/>
      <c r="M58" s="14">
        <v>75.581573486328125</v>
      </c>
      <c r="N58" s="14" t="s">
        <v>24</v>
      </c>
      <c r="O58" s="13" t="s">
        <v>25</v>
      </c>
      <c r="R58" s="14"/>
      <c r="S58" s="14"/>
      <c r="T58" s="14"/>
      <c r="U58" s="14"/>
      <c r="V58" s="14"/>
      <c r="W58" s="14"/>
      <c r="X58" s="14"/>
    </row>
    <row r="59" spans="1:24" x14ac:dyDescent="0.2">
      <c r="A59" s="15" t="s">
        <v>74</v>
      </c>
      <c r="B59" s="14" t="s">
        <v>14</v>
      </c>
      <c r="C59" s="14" t="s">
        <v>1</v>
      </c>
      <c r="D59" s="14">
        <v>13.929218292236328</v>
      </c>
      <c r="E59" s="14" t="s">
        <v>24</v>
      </c>
      <c r="F59" s="14"/>
      <c r="G59" s="14">
        <v>80.93408203125</v>
      </c>
      <c r="H59" s="14" t="s">
        <v>24</v>
      </c>
      <c r="I59" s="14" t="s">
        <v>25</v>
      </c>
      <c r="J59" s="14">
        <v>13.27768611907959</v>
      </c>
      <c r="K59" s="14"/>
      <c r="L59" s="14"/>
      <c r="M59" s="14">
        <v>80.656425476074219</v>
      </c>
      <c r="N59" s="14" t="s">
        <v>24</v>
      </c>
      <c r="O59" s="13" t="s">
        <v>25</v>
      </c>
      <c r="R59" s="14"/>
      <c r="S59" s="14"/>
      <c r="T59" s="14"/>
      <c r="U59" s="14"/>
      <c r="V59" s="14"/>
      <c r="W59" s="14"/>
      <c r="X59" s="14"/>
    </row>
    <row r="60" spans="1:24" x14ac:dyDescent="0.2">
      <c r="A60" s="15" t="s">
        <v>75</v>
      </c>
      <c r="B60" s="14" t="s">
        <v>14</v>
      </c>
      <c r="C60" s="14" t="s">
        <v>1</v>
      </c>
      <c r="D60" s="14">
        <v>13.962239265441895</v>
      </c>
      <c r="E60" s="14" t="s">
        <v>24</v>
      </c>
      <c r="F60" s="14"/>
      <c r="G60" s="14">
        <v>80.93408203125</v>
      </c>
      <c r="H60" s="14" t="s">
        <v>24</v>
      </c>
      <c r="I60" s="14" t="s">
        <v>25</v>
      </c>
      <c r="J60" s="14">
        <v>13.158543586730957</v>
      </c>
      <c r="K60" s="14"/>
      <c r="L60" s="14"/>
      <c r="M60" s="14">
        <v>80.656425476074219</v>
      </c>
      <c r="N60" s="14" t="s">
        <v>24</v>
      </c>
      <c r="O60" s="13" t="s">
        <v>25</v>
      </c>
      <c r="R60" s="14"/>
      <c r="S60" s="14"/>
      <c r="T60" s="14"/>
      <c r="U60" s="14"/>
      <c r="V60" s="14"/>
      <c r="W60" s="14"/>
      <c r="X60" s="14"/>
    </row>
    <row r="61" spans="1:24" x14ac:dyDescent="0.2">
      <c r="A61" s="15" t="s">
        <v>76</v>
      </c>
      <c r="B61" s="14" t="s">
        <v>14</v>
      </c>
      <c r="C61" s="14" t="s">
        <v>1</v>
      </c>
      <c r="D61" s="14">
        <v>13.969234466552734</v>
      </c>
      <c r="E61" s="14" t="s">
        <v>24</v>
      </c>
      <c r="F61" s="14"/>
      <c r="G61" s="14">
        <v>80.928657531738281</v>
      </c>
      <c r="H61" s="14" t="s">
        <v>24</v>
      </c>
      <c r="I61" s="14" t="s">
        <v>25</v>
      </c>
      <c r="J61" s="14">
        <v>13.099750518798828</v>
      </c>
      <c r="K61" s="14"/>
      <c r="L61" s="14"/>
      <c r="M61" s="14">
        <v>80.649337768554688</v>
      </c>
      <c r="N61" s="14" t="s">
        <v>24</v>
      </c>
      <c r="O61" s="13" t="s">
        <v>25</v>
      </c>
      <c r="R61" s="14"/>
      <c r="S61" s="14"/>
      <c r="T61" s="14"/>
      <c r="U61" s="14"/>
      <c r="V61" s="14"/>
      <c r="W61" s="14"/>
      <c r="X61" s="14"/>
    </row>
    <row r="62" spans="1:24" x14ac:dyDescent="0.2">
      <c r="A62" s="15" t="s">
        <v>77</v>
      </c>
      <c r="B62" s="14" t="s">
        <v>27</v>
      </c>
      <c r="C62" s="14" t="s">
        <v>1</v>
      </c>
      <c r="D62" s="14">
        <v>13.744918823242188</v>
      </c>
      <c r="E62" s="14" t="s">
        <v>24</v>
      </c>
      <c r="F62" s="14"/>
      <c r="G62" s="14">
        <v>80.928657531738281</v>
      </c>
      <c r="H62" s="14" t="s">
        <v>24</v>
      </c>
      <c r="I62" s="14" t="s">
        <v>25</v>
      </c>
      <c r="J62" s="14">
        <v>12.878115653991699</v>
      </c>
      <c r="K62" s="14"/>
      <c r="L62" s="14"/>
      <c r="M62" s="14">
        <v>80.649337768554688</v>
      </c>
      <c r="N62" s="14" t="s">
        <v>24</v>
      </c>
      <c r="O62" s="13" t="s">
        <v>25</v>
      </c>
      <c r="R62" s="14"/>
      <c r="S62" s="14"/>
      <c r="T62" s="14"/>
      <c r="U62" s="14"/>
      <c r="V62" s="14"/>
      <c r="W62" s="14"/>
      <c r="X62" s="14"/>
    </row>
    <row r="63" spans="1:24" x14ac:dyDescent="0.2">
      <c r="A63" s="15" t="s">
        <v>78</v>
      </c>
      <c r="B63" s="14" t="s">
        <v>27</v>
      </c>
      <c r="C63" s="14" t="s">
        <v>1</v>
      </c>
      <c r="D63" s="14">
        <v>13.763900756835938</v>
      </c>
      <c r="E63" s="14" t="s">
        <v>24</v>
      </c>
      <c r="F63" s="14"/>
      <c r="G63" s="14">
        <v>81.078117370605469</v>
      </c>
      <c r="H63" s="14" t="s">
        <v>24</v>
      </c>
      <c r="I63" s="14" t="s">
        <v>25</v>
      </c>
      <c r="J63" s="14">
        <v>12.701790809631348</v>
      </c>
      <c r="K63" s="14"/>
      <c r="L63" s="14"/>
      <c r="M63" s="14">
        <v>80.793777465820313</v>
      </c>
      <c r="N63" s="14" t="s">
        <v>24</v>
      </c>
      <c r="O63" s="13" t="s">
        <v>25</v>
      </c>
      <c r="R63" s="14"/>
      <c r="S63" s="14"/>
      <c r="T63" s="14"/>
      <c r="U63" s="14"/>
      <c r="V63" s="14"/>
      <c r="W63" s="14"/>
      <c r="X63" s="14"/>
    </row>
    <row r="64" spans="1:24" x14ac:dyDescent="0.2">
      <c r="A64" s="15" t="s">
        <v>79</v>
      </c>
      <c r="B64" s="14" t="s">
        <v>27</v>
      </c>
      <c r="C64" s="14" t="s">
        <v>1</v>
      </c>
      <c r="D64" s="14">
        <v>13.75929069519043</v>
      </c>
      <c r="E64" s="14" t="s">
        <v>24</v>
      </c>
      <c r="F64" s="14"/>
      <c r="G64" s="14">
        <v>80.928909301757813</v>
      </c>
      <c r="H64" s="14" t="s">
        <v>24</v>
      </c>
      <c r="I64" s="14" t="s">
        <v>25</v>
      </c>
      <c r="J64" s="14">
        <v>12.815343856811523</v>
      </c>
      <c r="K64" s="14"/>
      <c r="L64" s="14"/>
      <c r="M64" s="14">
        <v>80.793777465820313</v>
      </c>
      <c r="N64" s="14" t="s">
        <v>24</v>
      </c>
      <c r="O64" s="13" t="s">
        <v>25</v>
      </c>
      <c r="R64" s="14"/>
      <c r="S64" s="14"/>
      <c r="T64" s="14"/>
      <c r="U64" s="14"/>
      <c r="V64" s="14"/>
      <c r="W64" s="14"/>
      <c r="X64" s="14"/>
    </row>
    <row r="65" spans="1:24" x14ac:dyDescent="0.2">
      <c r="A65" s="15" t="s">
        <v>80</v>
      </c>
      <c r="B65" s="14" t="s">
        <v>31</v>
      </c>
      <c r="C65" s="14" t="s">
        <v>1</v>
      </c>
      <c r="D65" s="14">
        <v>14.96225643157959</v>
      </c>
      <c r="E65" s="14" t="s">
        <v>24</v>
      </c>
      <c r="F65" s="14"/>
      <c r="G65" s="14">
        <v>80.780738830566406</v>
      </c>
      <c r="H65" s="14" t="s">
        <v>24</v>
      </c>
      <c r="I65" s="14" t="s">
        <v>25</v>
      </c>
      <c r="J65" s="14">
        <v>13.47569751739502</v>
      </c>
      <c r="K65" s="14"/>
      <c r="L65" s="14"/>
      <c r="M65" s="14">
        <v>80.79217529296875</v>
      </c>
      <c r="N65" s="14" t="s">
        <v>24</v>
      </c>
      <c r="O65" s="13" t="s">
        <v>25</v>
      </c>
      <c r="R65" s="14"/>
      <c r="S65" s="14"/>
      <c r="T65" s="14"/>
      <c r="U65" s="14"/>
      <c r="V65" s="14"/>
      <c r="W65" s="14"/>
      <c r="X65" s="14"/>
    </row>
    <row r="66" spans="1:24" x14ac:dyDescent="0.2">
      <c r="A66" s="15" t="s">
        <v>81</v>
      </c>
      <c r="B66" s="14" t="s">
        <v>31</v>
      </c>
      <c r="C66" s="14" t="s">
        <v>1</v>
      </c>
      <c r="D66" s="14">
        <v>14.956549644470215</v>
      </c>
      <c r="E66" s="14" t="s">
        <v>24</v>
      </c>
      <c r="F66" s="14"/>
      <c r="G66" s="14">
        <v>80.780738830566406</v>
      </c>
      <c r="H66" s="14" t="s">
        <v>24</v>
      </c>
      <c r="I66" s="14" t="s">
        <v>25</v>
      </c>
      <c r="J66" s="14">
        <v>13.25206184387207</v>
      </c>
      <c r="K66" s="14"/>
      <c r="L66" s="14"/>
      <c r="M66" s="14">
        <v>80.643180847167969</v>
      </c>
      <c r="N66" s="14" t="s">
        <v>24</v>
      </c>
      <c r="O66" s="13" t="s">
        <v>25</v>
      </c>
      <c r="R66" s="14"/>
      <c r="S66" s="14"/>
      <c r="T66" s="14"/>
      <c r="U66" s="14"/>
      <c r="V66" s="14"/>
      <c r="W66" s="14"/>
      <c r="X66" s="14"/>
    </row>
    <row r="67" spans="1:24" x14ac:dyDescent="0.2">
      <c r="A67" s="15" t="s">
        <v>82</v>
      </c>
      <c r="B67" s="14" t="s">
        <v>31</v>
      </c>
      <c r="C67" s="14" t="s">
        <v>1</v>
      </c>
      <c r="D67" s="14">
        <v>15.006799697875977</v>
      </c>
      <c r="E67" s="14" t="s">
        <v>24</v>
      </c>
      <c r="F67" s="14"/>
      <c r="G67" s="14">
        <v>80.628204345703125</v>
      </c>
      <c r="H67" s="14" t="s">
        <v>24</v>
      </c>
      <c r="I67" s="14" t="s">
        <v>25</v>
      </c>
      <c r="J67" s="14">
        <v>13.501930236816406</v>
      </c>
      <c r="K67" s="14"/>
      <c r="L67" s="14"/>
      <c r="M67" s="14">
        <v>80.645362854003906</v>
      </c>
      <c r="N67" s="14" t="s">
        <v>24</v>
      </c>
      <c r="O67" s="13" t="s">
        <v>25</v>
      </c>
      <c r="R67" s="14"/>
      <c r="S67" s="14"/>
      <c r="T67" s="14"/>
      <c r="U67" s="14"/>
      <c r="V67" s="14"/>
      <c r="W67" s="14"/>
      <c r="X67" s="14"/>
    </row>
    <row r="68" spans="1:24" x14ac:dyDescent="0.2">
      <c r="A68" s="15" t="s">
        <v>83</v>
      </c>
      <c r="B68" s="14" t="s">
        <v>123</v>
      </c>
      <c r="C68" s="14" t="s">
        <v>1</v>
      </c>
      <c r="D68" s="14">
        <v>14.91797924041748</v>
      </c>
      <c r="E68" s="14" t="s">
        <v>24</v>
      </c>
      <c r="F68" s="14"/>
      <c r="G68" s="14">
        <v>80.777420043945313</v>
      </c>
      <c r="H68" s="14" t="s">
        <v>24</v>
      </c>
      <c r="I68" s="14" t="s">
        <v>25</v>
      </c>
      <c r="J68" s="14">
        <v>13.530197143554688</v>
      </c>
      <c r="K68" s="14"/>
      <c r="L68" s="14"/>
      <c r="M68" s="14">
        <v>80.645362854003906</v>
      </c>
      <c r="N68" s="14" t="s">
        <v>24</v>
      </c>
      <c r="O68" s="13" t="s">
        <v>25</v>
      </c>
      <c r="R68" s="14"/>
      <c r="S68" s="14"/>
      <c r="T68" s="14"/>
      <c r="U68" s="14"/>
      <c r="V68" s="14"/>
      <c r="W68" s="14"/>
      <c r="X68" s="14"/>
    </row>
    <row r="69" spans="1:24" x14ac:dyDescent="0.2">
      <c r="A69" s="15" t="s">
        <v>84</v>
      </c>
      <c r="B69" s="14" t="s">
        <v>123</v>
      </c>
      <c r="C69" s="14" t="s">
        <v>1</v>
      </c>
      <c r="D69" s="14">
        <v>14.951106071472168</v>
      </c>
      <c r="E69" s="14" t="s">
        <v>24</v>
      </c>
      <c r="F69" s="14"/>
      <c r="G69" s="14">
        <v>80.781379699707031</v>
      </c>
      <c r="H69" s="14" t="s">
        <v>24</v>
      </c>
      <c r="I69" s="14" t="s">
        <v>25</v>
      </c>
      <c r="J69" s="14">
        <v>13.561088562011719</v>
      </c>
      <c r="K69" s="14"/>
      <c r="L69" s="14"/>
      <c r="M69" s="14">
        <v>80.64788818359375</v>
      </c>
      <c r="N69" s="14" t="s">
        <v>24</v>
      </c>
      <c r="O69" s="13" t="s">
        <v>25</v>
      </c>
      <c r="R69" s="14"/>
      <c r="S69" s="14"/>
      <c r="T69" s="14"/>
      <c r="U69" s="14"/>
      <c r="V69" s="14"/>
      <c r="W69" s="14"/>
      <c r="X69" s="14"/>
    </row>
    <row r="70" spans="1:24" x14ac:dyDescent="0.2">
      <c r="A70" s="15" t="s">
        <v>85</v>
      </c>
      <c r="B70" s="14" t="s">
        <v>123</v>
      </c>
      <c r="C70" s="14" t="s">
        <v>1</v>
      </c>
      <c r="D70" s="14">
        <v>14.937746047973633</v>
      </c>
      <c r="E70" s="14" t="s">
        <v>24</v>
      </c>
      <c r="F70" s="14"/>
      <c r="G70" s="14">
        <v>80.781379699707031</v>
      </c>
      <c r="H70" s="14" t="s">
        <v>24</v>
      </c>
      <c r="I70" s="14" t="s">
        <v>25</v>
      </c>
      <c r="J70" s="14">
        <v>13.633772850036621</v>
      </c>
      <c r="K70" s="14"/>
      <c r="L70" s="14"/>
      <c r="M70" s="14">
        <v>80.64788818359375</v>
      </c>
      <c r="N70" s="14" t="s">
        <v>24</v>
      </c>
      <c r="O70" s="13" t="s">
        <v>25</v>
      </c>
      <c r="R70" s="14"/>
      <c r="S70" s="14"/>
      <c r="T70" s="14"/>
      <c r="U70" s="14"/>
      <c r="V70" s="14"/>
      <c r="W70" s="14"/>
      <c r="X70" s="14"/>
    </row>
    <row r="71" spans="1:24" x14ac:dyDescent="0.2">
      <c r="A71" s="15" t="s">
        <v>86</v>
      </c>
      <c r="B71" s="14" t="s">
        <v>14</v>
      </c>
      <c r="C71" s="14" t="s">
        <v>2</v>
      </c>
      <c r="D71" s="14">
        <v>14.512063026428223</v>
      </c>
      <c r="E71" s="14" t="s">
        <v>24</v>
      </c>
      <c r="F71" s="14"/>
      <c r="G71" s="14">
        <v>77.949119567871094</v>
      </c>
      <c r="H71" s="14" t="s">
        <v>24</v>
      </c>
      <c r="I71" s="14" t="s">
        <v>25</v>
      </c>
      <c r="J71" s="14">
        <v>12.389945983886719</v>
      </c>
      <c r="K71" s="14"/>
      <c r="L71" s="14"/>
      <c r="M71" s="14">
        <v>77.675186157226563</v>
      </c>
      <c r="N71" s="14" t="s">
        <v>24</v>
      </c>
      <c r="O71" s="13" t="s">
        <v>25</v>
      </c>
      <c r="R71" s="14"/>
      <c r="S71" s="14"/>
      <c r="T71" s="14"/>
      <c r="U71" s="14"/>
      <c r="V71" s="14"/>
      <c r="W71" s="14"/>
      <c r="X71" s="14"/>
    </row>
    <row r="72" spans="1:24" x14ac:dyDescent="0.2">
      <c r="A72" s="15" t="s">
        <v>87</v>
      </c>
      <c r="B72" s="14" t="s">
        <v>14</v>
      </c>
      <c r="C72" s="14" t="s">
        <v>2</v>
      </c>
      <c r="D72" s="14">
        <v>14.564837455749512</v>
      </c>
      <c r="E72" s="14" t="s">
        <v>24</v>
      </c>
      <c r="F72" s="14"/>
      <c r="G72" s="14">
        <v>77.949119567871094</v>
      </c>
      <c r="H72" s="14" t="s">
        <v>24</v>
      </c>
      <c r="I72" s="14" t="s">
        <v>25</v>
      </c>
      <c r="J72" s="14">
        <v>12.371640205383301</v>
      </c>
      <c r="K72" s="14"/>
      <c r="L72" s="14"/>
      <c r="M72" s="14">
        <v>77.675186157226563</v>
      </c>
      <c r="N72" s="14" t="s">
        <v>24</v>
      </c>
      <c r="O72" s="13" t="s">
        <v>25</v>
      </c>
      <c r="R72" s="14"/>
      <c r="S72" s="14"/>
      <c r="T72" s="14"/>
      <c r="U72" s="14"/>
      <c r="V72" s="14"/>
      <c r="W72" s="14"/>
      <c r="X72" s="14"/>
    </row>
    <row r="73" spans="1:24" x14ac:dyDescent="0.2">
      <c r="A73" s="15" t="s">
        <v>88</v>
      </c>
      <c r="B73" s="14" t="s">
        <v>14</v>
      </c>
      <c r="C73" s="14" t="s">
        <v>2</v>
      </c>
      <c r="D73" s="14">
        <v>14.542023658752441</v>
      </c>
      <c r="E73" s="14" t="s">
        <v>24</v>
      </c>
      <c r="F73" s="14"/>
      <c r="G73" s="14">
        <v>77.944068908691406</v>
      </c>
      <c r="H73" s="14" t="s">
        <v>24</v>
      </c>
      <c r="I73" s="14" t="s">
        <v>25</v>
      </c>
      <c r="J73" s="14">
        <v>12.256291389465332</v>
      </c>
      <c r="K73" s="14"/>
      <c r="L73" s="14"/>
      <c r="M73" s="14">
        <v>77.66876220703125</v>
      </c>
      <c r="N73" s="14" t="s">
        <v>24</v>
      </c>
      <c r="O73" s="13" t="s">
        <v>25</v>
      </c>
      <c r="R73" s="14"/>
      <c r="S73" s="14"/>
      <c r="T73" s="14"/>
      <c r="U73" s="14"/>
      <c r="V73" s="14"/>
      <c r="W73" s="14"/>
      <c r="X73" s="14"/>
    </row>
    <row r="74" spans="1:24" x14ac:dyDescent="0.2">
      <c r="A74" s="15" t="s">
        <v>89</v>
      </c>
      <c r="B74" s="14" t="s">
        <v>27</v>
      </c>
      <c r="C74" s="14" t="s">
        <v>2</v>
      </c>
      <c r="D74" s="14">
        <v>14.308751106262207</v>
      </c>
      <c r="E74" s="14" t="s">
        <v>24</v>
      </c>
      <c r="F74" s="14"/>
      <c r="G74" s="14">
        <v>77.944068908691406</v>
      </c>
      <c r="H74" s="14" t="s">
        <v>24</v>
      </c>
      <c r="I74" s="14" t="s">
        <v>25</v>
      </c>
      <c r="J74" s="14">
        <v>8.0942897796630859</v>
      </c>
      <c r="K74" s="14"/>
      <c r="L74" s="14"/>
      <c r="M74" s="14">
        <v>77.66876220703125</v>
      </c>
      <c r="N74" s="14" t="s">
        <v>24</v>
      </c>
      <c r="O74" s="13" t="s">
        <v>65</v>
      </c>
      <c r="R74" s="14"/>
      <c r="S74" s="14"/>
      <c r="T74" s="14"/>
      <c r="U74" s="14"/>
      <c r="V74" s="14"/>
      <c r="W74" s="14"/>
      <c r="X74" s="14"/>
    </row>
    <row r="75" spans="1:24" x14ac:dyDescent="0.2">
      <c r="A75" s="15" t="s">
        <v>90</v>
      </c>
      <c r="B75" s="14" t="s">
        <v>27</v>
      </c>
      <c r="C75" s="14" t="s">
        <v>2</v>
      </c>
      <c r="D75" s="14">
        <v>14.282022476196289</v>
      </c>
      <c r="E75" s="14" t="s">
        <v>24</v>
      </c>
      <c r="F75" s="14"/>
      <c r="G75" s="14">
        <v>78.09393310546875</v>
      </c>
      <c r="H75" s="14" t="s">
        <v>24</v>
      </c>
      <c r="I75" s="14" t="s">
        <v>25</v>
      </c>
      <c r="J75" s="14">
        <v>12.241100311279297</v>
      </c>
      <c r="K75" s="14"/>
      <c r="L75" s="14"/>
      <c r="M75" s="14">
        <v>77.8134765625</v>
      </c>
      <c r="N75" s="14" t="s">
        <v>24</v>
      </c>
      <c r="O75" s="13" t="s">
        <v>25</v>
      </c>
      <c r="R75" s="14"/>
      <c r="S75" s="14"/>
      <c r="T75" s="14"/>
      <c r="U75" s="14"/>
      <c r="V75" s="14"/>
      <c r="W75" s="14"/>
      <c r="X75" s="14"/>
    </row>
    <row r="76" spans="1:24" x14ac:dyDescent="0.2">
      <c r="A76" s="15" t="s">
        <v>91</v>
      </c>
      <c r="B76" s="14" t="s">
        <v>27</v>
      </c>
      <c r="C76" s="14" t="s">
        <v>2</v>
      </c>
      <c r="D76" s="14">
        <v>14.239285469055176</v>
      </c>
      <c r="E76" s="14" t="s">
        <v>24</v>
      </c>
      <c r="F76" s="14"/>
      <c r="G76" s="14">
        <v>78.09393310546875</v>
      </c>
      <c r="H76" s="14" t="s">
        <v>24</v>
      </c>
      <c r="I76" s="14" t="s">
        <v>25</v>
      </c>
      <c r="J76" s="14">
        <v>12.291029930114746</v>
      </c>
      <c r="K76" s="14"/>
      <c r="L76" s="14"/>
      <c r="M76" s="14">
        <v>77.664459228515625</v>
      </c>
      <c r="N76" s="14" t="s">
        <v>24</v>
      </c>
      <c r="O76" s="13" t="s">
        <v>25</v>
      </c>
      <c r="R76" s="14"/>
      <c r="S76" s="14"/>
      <c r="T76" s="14"/>
      <c r="U76" s="14"/>
      <c r="V76" s="14"/>
      <c r="W76" s="14"/>
      <c r="X76" s="14"/>
    </row>
    <row r="77" spans="1:24" x14ac:dyDescent="0.2">
      <c r="A77" s="15" t="s">
        <v>92</v>
      </c>
      <c r="B77" s="14" t="s">
        <v>31</v>
      </c>
      <c r="C77" s="14" t="s">
        <v>2</v>
      </c>
      <c r="D77" s="14">
        <v>15.361613273620605</v>
      </c>
      <c r="E77" s="14" t="s">
        <v>24</v>
      </c>
      <c r="F77" s="14"/>
      <c r="G77" s="14">
        <v>77.945945739746094</v>
      </c>
      <c r="H77" s="14" t="s">
        <v>24</v>
      </c>
      <c r="I77" s="14" t="s">
        <v>25</v>
      </c>
      <c r="J77" s="14">
        <v>12.423755645751953</v>
      </c>
      <c r="K77" s="14"/>
      <c r="L77" s="14"/>
      <c r="M77" s="14">
        <v>77.812339782714844</v>
      </c>
      <c r="N77" s="14" t="s">
        <v>24</v>
      </c>
      <c r="O77" s="13" t="s">
        <v>25</v>
      </c>
      <c r="R77" s="14"/>
      <c r="S77" s="14"/>
      <c r="T77" s="14"/>
      <c r="U77" s="14"/>
      <c r="V77" s="14"/>
      <c r="W77" s="14"/>
      <c r="X77" s="14"/>
    </row>
    <row r="78" spans="1:24" x14ac:dyDescent="0.2">
      <c r="A78" s="15" t="s">
        <v>93</v>
      </c>
      <c r="B78" s="14" t="s">
        <v>31</v>
      </c>
      <c r="C78" s="14" t="s">
        <v>2</v>
      </c>
      <c r="D78" s="14">
        <v>15.327498435974121</v>
      </c>
      <c r="E78" s="14" t="s">
        <v>24</v>
      </c>
      <c r="F78" s="14"/>
      <c r="G78" s="14">
        <v>77.945945739746094</v>
      </c>
      <c r="H78" s="14" t="s">
        <v>24</v>
      </c>
      <c r="I78" s="14" t="s">
        <v>25</v>
      </c>
      <c r="J78" s="14">
        <v>12.373435020446777</v>
      </c>
      <c r="K78" s="14"/>
      <c r="L78" s="14"/>
      <c r="M78" s="14">
        <v>77.812339782714844</v>
      </c>
      <c r="N78" s="14" t="s">
        <v>24</v>
      </c>
      <c r="O78" s="13" t="s">
        <v>25</v>
      </c>
      <c r="R78" s="14"/>
      <c r="S78" s="14"/>
      <c r="T78" s="14"/>
      <c r="U78" s="14"/>
      <c r="V78" s="14"/>
      <c r="W78" s="14"/>
      <c r="X78" s="14"/>
    </row>
    <row r="79" spans="1:24" x14ac:dyDescent="0.2">
      <c r="A79" s="15" t="s">
        <v>94</v>
      </c>
      <c r="B79" s="14" t="s">
        <v>31</v>
      </c>
      <c r="C79" s="14" t="s">
        <v>2</v>
      </c>
      <c r="D79" s="14">
        <v>15.322474479675293</v>
      </c>
      <c r="E79" s="14" t="s">
        <v>24</v>
      </c>
      <c r="F79" s="14"/>
      <c r="G79" s="14">
        <v>77.79302978515625</v>
      </c>
      <c r="H79" s="14" t="s">
        <v>24</v>
      </c>
      <c r="I79" s="14" t="s">
        <v>25</v>
      </c>
      <c r="J79" s="14">
        <v>12.290668487548828</v>
      </c>
      <c r="K79" s="14"/>
      <c r="L79" s="14"/>
      <c r="M79" s="14">
        <v>77.664962768554688</v>
      </c>
      <c r="N79" s="14" t="s">
        <v>24</v>
      </c>
      <c r="O79" s="13" t="s">
        <v>25</v>
      </c>
      <c r="R79" s="14"/>
      <c r="S79" s="14"/>
      <c r="T79" s="14"/>
      <c r="U79" s="14"/>
      <c r="V79" s="14"/>
      <c r="W79" s="14"/>
      <c r="X79" s="14"/>
    </row>
    <row r="80" spans="1:24" x14ac:dyDescent="0.2">
      <c r="A80" s="15" t="s">
        <v>95</v>
      </c>
      <c r="B80" s="14" t="s">
        <v>123</v>
      </c>
      <c r="C80" s="14" t="s">
        <v>2</v>
      </c>
      <c r="D80" s="14">
        <v>15.256178855895996</v>
      </c>
      <c r="E80" s="14" t="s">
        <v>24</v>
      </c>
      <c r="F80" s="14"/>
      <c r="G80" s="14">
        <v>77.79302978515625</v>
      </c>
      <c r="H80" s="14" t="s">
        <v>24</v>
      </c>
      <c r="I80" s="14" t="s">
        <v>25</v>
      </c>
      <c r="J80" s="14">
        <v>11.154534339904785</v>
      </c>
      <c r="K80" s="14"/>
      <c r="L80" s="14"/>
      <c r="M80" s="14">
        <v>77.962997436523438</v>
      </c>
      <c r="N80" s="14" t="s">
        <v>24</v>
      </c>
      <c r="O80" s="13" t="s">
        <v>25</v>
      </c>
      <c r="R80" s="14"/>
      <c r="S80" s="14"/>
      <c r="T80" s="14"/>
      <c r="U80" s="14"/>
      <c r="V80" s="14"/>
      <c r="W80" s="14"/>
      <c r="X80" s="14"/>
    </row>
    <row r="81" spans="1:24" x14ac:dyDescent="0.2">
      <c r="A81" s="15" t="s">
        <v>96</v>
      </c>
      <c r="B81" s="14" t="s">
        <v>123</v>
      </c>
      <c r="C81" s="14" t="s">
        <v>2</v>
      </c>
      <c r="D81" s="14">
        <v>15.219812393188477</v>
      </c>
      <c r="E81" s="14" t="s">
        <v>24</v>
      </c>
      <c r="F81" s="14"/>
      <c r="G81" s="14">
        <v>77.94659423828125</v>
      </c>
      <c r="H81" s="14" t="s">
        <v>24</v>
      </c>
      <c r="I81" s="14" t="s">
        <v>25</v>
      </c>
      <c r="J81" s="14">
        <v>12.343540191650391</v>
      </c>
      <c r="K81" s="14"/>
      <c r="L81" s="14"/>
      <c r="M81" s="14">
        <v>77.667701721191406</v>
      </c>
      <c r="N81" s="14" t="s">
        <v>24</v>
      </c>
      <c r="O81" s="13" t="s">
        <v>25</v>
      </c>
      <c r="R81" s="14"/>
      <c r="S81" s="14"/>
      <c r="T81" s="14"/>
      <c r="U81" s="14"/>
      <c r="V81" s="14"/>
      <c r="W81" s="14"/>
      <c r="X81" s="14"/>
    </row>
    <row r="82" spans="1:24" x14ac:dyDescent="0.2">
      <c r="A82" s="15" t="s">
        <v>97</v>
      </c>
      <c r="B82" s="14" t="s">
        <v>123</v>
      </c>
      <c r="C82" s="14" t="s">
        <v>2</v>
      </c>
      <c r="D82" s="14">
        <v>15.31577205657959</v>
      </c>
      <c r="E82" s="14" t="s">
        <v>24</v>
      </c>
      <c r="F82" s="14"/>
      <c r="G82" s="14">
        <v>77.499000549316406</v>
      </c>
      <c r="H82" s="14" t="s">
        <v>24</v>
      </c>
      <c r="I82" s="14" t="s">
        <v>25</v>
      </c>
      <c r="J82" s="14">
        <v>12.400880813598633</v>
      </c>
      <c r="K82" s="14"/>
      <c r="L82" s="14"/>
      <c r="M82" s="14">
        <v>77.667701721191406</v>
      </c>
      <c r="N82" s="14" t="s">
        <v>24</v>
      </c>
      <c r="O82" s="13" t="s">
        <v>25</v>
      </c>
      <c r="R82" s="14"/>
      <c r="S82" s="14"/>
      <c r="T82" s="14"/>
      <c r="U82" s="14"/>
      <c r="V82" s="14"/>
      <c r="W82" s="14"/>
      <c r="X82" s="14"/>
    </row>
    <row r="83" spans="1:24" x14ac:dyDescent="0.2">
      <c r="A83" s="15" t="s">
        <v>98</v>
      </c>
      <c r="B83" s="14" t="s">
        <v>148</v>
      </c>
      <c r="C83" s="14" t="s">
        <v>3</v>
      </c>
      <c r="D83" s="14">
        <v>28.923454284667969</v>
      </c>
      <c r="E83" s="14" t="s">
        <v>24</v>
      </c>
      <c r="F83" s="14"/>
      <c r="G83" s="14">
        <v>72.725433349609375</v>
      </c>
      <c r="H83" s="14" t="s">
        <v>24</v>
      </c>
      <c r="I83" s="14" t="s">
        <v>25</v>
      </c>
      <c r="J83" s="14">
        <v>34.710006713867188</v>
      </c>
      <c r="K83" s="14"/>
      <c r="L83" s="14"/>
      <c r="M83" s="14">
        <v>72.159881591796875</v>
      </c>
      <c r="N83" s="14">
        <v>77.078933715820313</v>
      </c>
      <c r="O83" s="13" t="s">
        <v>25</v>
      </c>
      <c r="R83" s="14"/>
      <c r="S83" s="14"/>
      <c r="T83" s="14"/>
      <c r="U83" s="14"/>
      <c r="V83" s="14"/>
      <c r="W83" s="14"/>
      <c r="X83" s="14"/>
    </row>
    <row r="84" spans="1:24" x14ac:dyDescent="0.2">
      <c r="A84" s="15" t="s">
        <v>99</v>
      </c>
      <c r="B84" s="14" t="s">
        <v>148</v>
      </c>
      <c r="C84" s="14" t="s">
        <v>37</v>
      </c>
      <c r="D84" s="14">
        <v>35.915512084960938</v>
      </c>
      <c r="E84" s="14" t="s">
        <v>24</v>
      </c>
      <c r="F84" s="14"/>
      <c r="G84" s="14">
        <v>74.964157104492188</v>
      </c>
      <c r="H84" s="14" t="s">
        <v>24</v>
      </c>
      <c r="I84" s="14" t="s">
        <v>25</v>
      </c>
      <c r="J84" s="14">
        <v>35.938735961914063</v>
      </c>
      <c r="K84" s="14"/>
      <c r="L84" s="14"/>
      <c r="M84" s="14">
        <v>74.39581298828125</v>
      </c>
      <c r="N84" s="14" t="s">
        <v>24</v>
      </c>
      <c r="O84" s="13" t="s">
        <v>25</v>
      </c>
      <c r="R84" s="14"/>
      <c r="S84" s="14"/>
      <c r="T84" s="14"/>
      <c r="U84" s="14"/>
      <c r="V84" s="14"/>
      <c r="W84" s="14"/>
      <c r="X84" s="14"/>
    </row>
    <row r="85" spans="1:24" x14ac:dyDescent="0.2">
      <c r="A85" s="15" t="s">
        <v>124</v>
      </c>
      <c r="B85" s="14" t="s">
        <v>148</v>
      </c>
      <c r="C85" s="14" t="s">
        <v>49</v>
      </c>
      <c r="D85" s="14">
        <v>36.917079925537109</v>
      </c>
      <c r="E85" s="14" t="s">
        <v>24</v>
      </c>
      <c r="F85" s="14"/>
      <c r="G85" s="14">
        <v>74.810256958007813</v>
      </c>
      <c r="H85" s="14">
        <v>80.480972290039063</v>
      </c>
      <c r="I85" s="14" t="s">
        <v>25</v>
      </c>
      <c r="J85" s="14">
        <v>35.921314239501953</v>
      </c>
      <c r="K85" s="14"/>
      <c r="L85" s="14"/>
      <c r="M85" s="14">
        <v>75.135276794433594</v>
      </c>
      <c r="N85" s="14" t="s">
        <v>24</v>
      </c>
      <c r="O85" s="13" t="s">
        <v>25</v>
      </c>
      <c r="R85" s="14"/>
      <c r="S85" s="14"/>
      <c r="T85" s="14"/>
      <c r="U85" s="14"/>
      <c r="V85" s="14"/>
      <c r="W85" s="14"/>
      <c r="X85" s="14"/>
    </row>
    <row r="86" spans="1:24" x14ac:dyDescent="0.2">
      <c r="A86" s="15" t="s">
        <v>100</v>
      </c>
      <c r="B86" s="14" t="s">
        <v>148</v>
      </c>
      <c r="C86" s="14" t="s">
        <v>0</v>
      </c>
      <c r="D86" s="14">
        <v>32.045318603515625</v>
      </c>
      <c r="E86" s="14" t="s">
        <v>24</v>
      </c>
      <c r="F86" s="14"/>
      <c r="G86" s="14">
        <v>79.7352294921875</v>
      </c>
      <c r="H86" s="14">
        <v>73.916069030761719</v>
      </c>
      <c r="I86" s="14" t="s">
        <v>25</v>
      </c>
      <c r="J86" s="14">
        <v>36.924934387207031</v>
      </c>
      <c r="K86" s="14"/>
      <c r="L86" s="14"/>
      <c r="M86" s="14">
        <v>75.5782470703125</v>
      </c>
      <c r="N86" s="14">
        <v>82.283920288085938</v>
      </c>
      <c r="O86" s="13" t="s">
        <v>25</v>
      </c>
      <c r="R86" s="14"/>
      <c r="S86" s="14"/>
      <c r="T86" s="14"/>
      <c r="U86" s="14"/>
      <c r="V86" s="14"/>
      <c r="W86" s="14"/>
      <c r="X86" s="14"/>
    </row>
    <row r="87" spans="1:24" x14ac:dyDescent="0.2">
      <c r="A87" s="15" t="s">
        <v>101</v>
      </c>
      <c r="B87" s="14" t="s">
        <v>148</v>
      </c>
      <c r="C87" s="14" t="s">
        <v>1</v>
      </c>
      <c r="D87" s="14">
        <v>35.91290283203125</v>
      </c>
      <c r="E87" s="14" t="s">
        <v>24</v>
      </c>
      <c r="F87" s="14"/>
      <c r="G87" s="14">
        <v>79.884445190429688</v>
      </c>
      <c r="H87" s="14" t="s">
        <v>24</v>
      </c>
      <c r="I87" s="14" t="s">
        <v>25</v>
      </c>
      <c r="J87" s="14">
        <v>36.975723266601563</v>
      </c>
      <c r="K87" s="14"/>
      <c r="L87" s="14"/>
      <c r="M87" s="14">
        <v>75.28021240234375</v>
      </c>
      <c r="N87" s="14">
        <v>79.601654052734375</v>
      </c>
      <c r="O87" s="13" t="s">
        <v>25</v>
      </c>
      <c r="R87" s="14"/>
      <c r="S87" s="14"/>
      <c r="T87" s="14"/>
      <c r="U87" s="14"/>
      <c r="V87" s="14"/>
      <c r="W87" s="14"/>
      <c r="X87" s="14"/>
    </row>
    <row r="88" spans="1:24" ht="13.5" thickBot="1" x14ac:dyDescent="0.25">
      <c r="A88" s="12" t="s">
        <v>102</v>
      </c>
      <c r="B88" s="11" t="s">
        <v>148</v>
      </c>
      <c r="C88" s="11" t="s">
        <v>2</v>
      </c>
      <c r="D88" s="11">
        <v>32.917659759521484</v>
      </c>
      <c r="E88" s="11" t="s">
        <v>24</v>
      </c>
      <c r="F88" s="11"/>
      <c r="G88" s="11">
        <v>77.050750732421875</v>
      </c>
      <c r="H88" s="11" t="s">
        <v>24</v>
      </c>
      <c r="I88" s="11" t="s">
        <v>25</v>
      </c>
      <c r="J88" s="11">
        <v>37.083965301513672</v>
      </c>
      <c r="K88" s="11"/>
      <c r="L88" s="11"/>
      <c r="M88" s="11">
        <v>74.385528564453125</v>
      </c>
      <c r="N88" s="11" t="s">
        <v>24</v>
      </c>
      <c r="O88" s="10" t="s">
        <v>25</v>
      </c>
      <c r="R88" s="14"/>
      <c r="S88" s="14"/>
      <c r="T88" s="14"/>
      <c r="U88" s="14"/>
      <c r="V88" s="14"/>
      <c r="W88" s="14"/>
      <c r="X88" s="14"/>
    </row>
    <row r="89" spans="1:24" x14ac:dyDescent="0.2">
      <c r="A89" s="9" t="s">
        <v>149</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I8" workbookViewId="0">
      <selection activeCell="T16" sqref="T11:T16"/>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141</v>
      </c>
      <c r="H2" s="21" t="s">
        <v>138</v>
      </c>
      <c r="I2" s="21"/>
      <c r="J2" s="21"/>
      <c r="K2" s="21"/>
      <c r="L2" s="21" t="s">
        <v>137</v>
      </c>
      <c r="M2" s="21"/>
      <c r="N2" s="21"/>
      <c r="O2" s="20"/>
      <c r="P2" s="17"/>
      <c r="Q2" s="17"/>
      <c r="R2" s="17"/>
      <c r="S2" s="17"/>
    </row>
    <row r="3" spans="1:40" ht="63.75" x14ac:dyDescent="0.2">
      <c r="G3" s="18" t="s">
        <v>140</v>
      </c>
      <c r="H3" s="17" t="s">
        <v>0</v>
      </c>
      <c r="I3" s="17" t="s">
        <v>1</v>
      </c>
      <c r="J3" s="17" t="s">
        <v>2</v>
      </c>
      <c r="K3" s="27" t="s">
        <v>139</v>
      </c>
      <c r="L3" s="17" t="s">
        <v>0</v>
      </c>
      <c r="M3" s="17" t="s">
        <v>1</v>
      </c>
      <c r="N3" s="17" t="s">
        <v>2</v>
      </c>
      <c r="O3" s="26" t="s">
        <v>139</v>
      </c>
      <c r="P3" s="17"/>
      <c r="Q3" s="17"/>
      <c r="R3" s="17"/>
      <c r="S3" s="27"/>
    </row>
    <row r="4" spans="1:40" x14ac:dyDescent="0.2">
      <c r="G4" s="15" t="s">
        <v>15</v>
      </c>
      <c r="H4" s="14">
        <v>19.15422248840332</v>
      </c>
      <c r="I4" s="14">
        <v>15.599246978759766</v>
      </c>
      <c r="J4" s="14">
        <v>14.052584648132324</v>
      </c>
      <c r="K4" s="14">
        <f>AVERAGE(H4:J4)</f>
        <v>16.268684705098469</v>
      </c>
      <c r="L4" s="14">
        <v>16.468427658081055</v>
      </c>
      <c r="M4" s="14">
        <v>14.361274719238281</v>
      </c>
      <c r="N4" s="14">
        <v>5.4105072021484375</v>
      </c>
      <c r="O4" s="13">
        <f>AVERAGE(L4:N4)</f>
        <v>12.080069859822592</v>
      </c>
      <c r="P4" s="14"/>
      <c r="Q4" s="14"/>
      <c r="R4" s="14"/>
      <c r="S4" s="14"/>
    </row>
    <row r="5" spans="1:40" x14ac:dyDescent="0.2">
      <c r="G5" s="15" t="s">
        <v>108</v>
      </c>
      <c r="H5" s="14">
        <v>19.162319183349609</v>
      </c>
      <c r="I5" s="14">
        <v>15.230033874511719</v>
      </c>
      <c r="J5" s="14">
        <v>13.642956733703613</v>
      </c>
      <c r="K5" s="14">
        <f>AVERAGE(H5:J5)</f>
        <v>16.011769930521648</v>
      </c>
      <c r="L5" s="14">
        <v>16.463142395019531</v>
      </c>
      <c r="M5" s="14">
        <v>13.940681457519531</v>
      </c>
      <c r="N5" s="14">
        <v>6.084261417388916</v>
      </c>
      <c r="O5" s="13">
        <f>AVERAGE(L5:N5)</f>
        <v>12.162695089975992</v>
      </c>
      <c r="P5" s="14"/>
      <c r="Q5" s="14"/>
      <c r="R5" s="14"/>
      <c r="S5" s="14"/>
    </row>
    <row r="6" spans="1:40" x14ac:dyDescent="0.2">
      <c r="G6" s="15" t="s">
        <v>109</v>
      </c>
      <c r="H6" s="14">
        <v>19.485414505004883</v>
      </c>
      <c r="I6" s="14">
        <v>15.355701446533203</v>
      </c>
      <c r="J6" s="14">
        <v>13.719077110290527</v>
      </c>
      <c r="K6" s="14">
        <f>AVERAGE(H6:J6)</f>
        <v>16.186731020609539</v>
      </c>
      <c r="L6" s="14">
        <v>16.874109268188477</v>
      </c>
      <c r="M6" s="14">
        <v>14.324584007263184</v>
      </c>
      <c r="N6" s="14">
        <v>7.6860671043395996</v>
      </c>
      <c r="O6" s="13">
        <f>AVERAGE(L6:N6)</f>
        <v>12.961586793263754</v>
      </c>
      <c r="P6" s="14"/>
      <c r="Q6" s="14"/>
      <c r="R6" s="14"/>
      <c r="S6" s="14"/>
    </row>
    <row r="7" spans="1:40" ht="13.5" thickBot="1" x14ac:dyDescent="0.25">
      <c r="G7" s="12" t="s">
        <v>125</v>
      </c>
      <c r="H7" s="11">
        <v>19.46238899230957</v>
      </c>
      <c r="I7" s="11">
        <v>15.146434783935547</v>
      </c>
      <c r="J7" s="11">
        <v>13.642250061035156</v>
      </c>
      <c r="K7" s="11">
        <f>AVERAGE(H7:J7)</f>
        <v>16.083691279093426</v>
      </c>
      <c r="L7" s="11">
        <v>17.055429458618164</v>
      </c>
      <c r="M7" s="11">
        <v>14.342282295227051</v>
      </c>
      <c r="N7" s="11">
        <v>8.0594882965087891</v>
      </c>
      <c r="O7" s="10">
        <f>AVERAGE(L7:N7)</f>
        <v>13.152400016784668</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138</v>
      </c>
      <c r="E9" s="21"/>
      <c r="F9" s="21"/>
      <c r="G9" s="21"/>
      <c r="H9" s="21"/>
      <c r="I9" s="21"/>
      <c r="J9" s="21" t="s">
        <v>137</v>
      </c>
      <c r="K9" s="21"/>
      <c r="L9" s="21"/>
      <c r="M9" s="21"/>
      <c r="N9" s="21"/>
      <c r="O9" s="20"/>
      <c r="R9" s="17"/>
      <c r="S9" s="22" t="s">
        <v>143</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135</v>
      </c>
      <c r="W10" s="17" t="s">
        <v>134</v>
      </c>
      <c r="X10" s="17" t="s">
        <v>37</v>
      </c>
      <c r="Y10" s="17" t="s">
        <v>135</v>
      </c>
      <c r="Z10" s="17" t="s">
        <v>134</v>
      </c>
      <c r="AA10" s="17" t="s">
        <v>49</v>
      </c>
      <c r="AB10" s="17" t="s">
        <v>135</v>
      </c>
      <c r="AC10" s="19" t="s">
        <v>134</v>
      </c>
      <c r="AN10" s="16"/>
    </row>
    <row r="11" spans="1:40" x14ac:dyDescent="0.2">
      <c r="A11" s="15" t="s">
        <v>5</v>
      </c>
      <c r="B11" s="14" t="s">
        <v>15</v>
      </c>
      <c r="C11" s="14" t="s">
        <v>3</v>
      </c>
      <c r="D11" s="14">
        <v>16.186893463134766</v>
      </c>
      <c r="E11" s="14">
        <f>D11-16.26868</f>
        <v>-8.1786536865234183E-2</v>
      </c>
      <c r="F11" s="14">
        <f>POWER(2,-E11)</f>
        <v>1.0583277916598248</v>
      </c>
      <c r="G11" s="14">
        <v>79.306961059570313</v>
      </c>
      <c r="H11" s="14" t="s">
        <v>24</v>
      </c>
      <c r="I11" s="14" t="s">
        <v>25</v>
      </c>
      <c r="J11" s="14">
        <v>12.035807609558105</v>
      </c>
      <c r="K11" s="14">
        <f>J11-12.08007</f>
        <v>-4.4262390441893729E-2</v>
      </c>
      <c r="L11" s="14">
        <f>POWER(2,-K11)</f>
        <v>1.0311558434113341</v>
      </c>
      <c r="M11" s="14">
        <v>79.163055419921875</v>
      </c>
      <c r="N11" s="14" t="s">
        <v>24</v>
      </c>
      <c r="O11" s="13" t="s">
        <v>25</v>
      </c>
      <c r="R11" s="14"/>
      <c r="S11" s="15"/>
      <c r="T11" s="14" t="s">
        <v>150</v>
      </c>
      <c r="U11" s="14">
        <v>1.0583312432171195</v>
      </c>
      <c r="V11" s="14">
        <f>U11/U11</f>
        <v>1</v>
      </c>
      <c r="W11" s="14">
        <f>AVERAGE(V11:V16)</f>
        <v>1</v>
      </c>
      <c r="X11" s="14">
        <v>0.15144814797488221</v>
      </c>
      <c r="Y11" s="14">
        <f>X11/X11</f>
        <v>1</v>
      </c>
      <c r="Z11" s="14">
        <f>AVERAGE(Y11:Y16)</f>
        <v>1</v>
      </c>
      <c r="AA11" s="14">
        <v>1.5085963753414398E-2</v>
      </c>
      <c r="AB11" s="14">
        <f>AA11/AA11</f>
        <v>1</v>
      </c>
      <c r="AC11" s="13">
        <f>AVERAGE(AB11:AB16)</f>
        <v>1</v>
      </c>
    </row>
    <row r="12" spans="1:40" x14ac:dyDescent="0.2">
      <c r="A12" s="15" t="s">
        <v>6</v>
      </c>
      <c r="B12" s="14" t="s">
        <v>15</v>
      </c>
      <c r="C12" s="14" t="s">
        <v>3</v>
      </c>
      <c r="D12" s="14">
        <v>16.174905776977539</v>
      </c>
      <c r="E12" s="14">
        <f t="shared" ref="E12:E13" si="0">D12-16.26868</f>
        <v>-9.3774223022460745E-2</v>
      </c>
      <c r="F12" s="14">
        <f t="shared" ref="F12:F46" si="1">POWER(2,-E12)</f>
        <v>1.0671583182423312</v>
      </c>
      <c r="G12" s="14">
        <v>79.306961059570313</v>
      </c>
      <c r="H12" s="14" t="s">
        <v>24</v>
      </c>
      <c r="I12" s="14" t="s">
        <v>25</v>
      </c>
      <c r="J12" s="14">
        <v>12.042935371398926</v>
      </c>
      <c r="K12" s="14">
        <f t="shared" ref="K12:K13" si="2">J12-12.08007</f>
        <v>-3.7134628601073416E-2</v>
      </c>
      <c r="L12" s="14">
        <f t="shared" ref="L12:L46" si="3">POWER(2,-K12)</f>
        <v>1.0260738914536143</v>
      </c>
      <c r="M12" s="14">
        <v>79.163055419921875</v>
      </c>
      <c r="N12" s="14" t="s">
        <v>24</v>
      </c>
      <c r="O12" s="13" t="s">
        <v>25</v>
      </c>
      <c r="R12" s="14"/>
      <c r="S12" s="15"/>
      <c r="T12" s="14" t="s">
        <v>150</v>
      </c>
      <c r="U12" s="14">
        <v>1.0671617985988964</v>
      </c>
      <c r="V12" s="14">
        <f t="shared" ref="V12:V16" si="4">U12/U12</f>
        <v>1</v>
      </c>
      <c r="W12" s="14">
        <f>STDEV(V11:V16)</f>
        <v>0</v>
      </c>
      <c r="X12" s="14">
        <v>0.15067923810973874</v>
      </c>
      <c r="Y12" s="14">
        <f t="shared" ref="Y12:Y16" si="5">X12/X12</f>
        <v>1</v>
      </c>
      <c r="Z12" s="14">
        <f>STDEV(Y11:Y16)</f>
        <v>0</v>
      </c>
      <c r="AA12" s="14">
        <v>1.5162084820820421E-2</v>
      </c>
      <c r="AB12" s="14">
        <f t="shared" ref="AB12:AB16" si="6">AA12/AA12</f>
        <v>1</v>
      </c>
      <c r="AC12" s="13">
        <f>STDEV(AB11:AB16)</f>
        <v>0</v>
      </c>
    </row>
    <row r="13" spans="1:40" x14ac:dyDescent="0.2">
      <c r="A13" s="15" t="s">
        <v>7</v>
      </c>
      <c r="B13" s="14" t="s">
        <v>15</v>
      </c>
      <c r="C13" s="14" t="s">
        <v>3</v>
      </c>
      <c r="D13" s="14">
        <v>16.163167953491211</v>
      </c>
      <c r="E13" s="14">
        <f t="shared" si="0"/>
        <v>-0.10551204650878887</v>
      </c>
      <c r="F13" s="14">
        <f t="shared" si="1"/>
        <v>1.0758761765400764</v>
      </c>
      <c r="G13" s="14">
        <v>79.151931762695313</v>
      </c>
      <c r="H13" s="14" t="s">
        <v>24</v>
      </c>
      <c r="I13" s="14" t="s">
        <v>25</v>
      </c>
      <c r="J13" s="14">
        <v>12.026559829711914</v>
      </c>
      <c r="K13" s="14">
        <f t="shared" si="2"/>
        <v>-5.3510170288085135E-2</v>
      </c>
      <c r="L13" s="14">
        <f t="shared" si="3"/>
        <v>1.0377868570882152</v>
      </c>
      <c r="M13" s="14">
        <v>79.009048461914063</v>
      </c>
      <c r="N13" s="14" t="s">
        <v>24</v>
      </c>
      <c r="O13" s="13" t="s">
        <v>25</v>
      </c>
      <c r="R13" s="14"/>
      <c r="S13" s="15"/>
      <c r="T13" s="14" t="s">
        <v>150</v>
      </c>
      <c r="U13" s="14">
        <v>1.0758796853284636</v>
      </c>
      <c r="V13" s="14">
        <f t="shared" si="4"/>
        <v>1</v>
      </c>
      <c r="W13" s="14"/>
      <c r="X13" s="14">
        <v>0.14855681529691447</v>
      </c>
      <c r="Y13" s="14">
        <f t="shared" si="5"/>
        <v>1</v>
      </c>
      <c r="Z13" s="14"/>
      <c r="AA13" s="14">
        <v>1.5127105938362936E-2</v>
      </c>
      <c r="AB13" s="14">
        <f t="shared" si="6"/>
        <v>1</v>
      </c>
      <c r="AC13" s="13"/>
    </row>
    <row r="14" spans="1:40" x14ac:dyDescent="0.2">
      <c r="A14" s="15" t="s">
        <v>26</v>
      </c>
      <c r="B14" s="14" t="s">
        <v>108</v>
      </c>
      <c r="C14" s="14" t="s">
        <v>3</v>
      </c>
      <c r="D14" s="14">
        <v>15.924717903137207</v>
      </c>
      <c r="E14" s="14">
        <f>D14-16.01177</f>
        <v>-8.7052096862791473E-2</v>
      </c>
      <c r="F14" s="14">
        <f t="shared" si="1"/>
        <v>1.0621975425990142</v>
      </c>
      <c r="G14" s="14">
        <v>79.151931762695313</v>
      </c>
      <c r="H14" s="14" t="s">
        <v>24</v>
      </c>
      <c r="I14" s="14" t="s">
        <v>25</v>
      </c>
      <c r="J14" s="14">
        <v>12.013513565063477</v>
      </c>
      <c r="K14" s="14">
        <f>J14-12.1627</f>
        <v>-0.14918643493652262</v>
      </c>
      <c r="L14" s="14">
        <f t="shared" si="3"/>
        <v>1.1089439396768457</v>
      </c>
      <c r="M14" s="14">
        <v>79.009048461914063</v>
      </c>
      <c r="N14" s="14" t="s">
        <v>24</v>
      </c>
      <c r="O14" s="13" t="s">
        <v>25</v>
      </c>
      <c r="R14" s="14"/>
      <c r="S14" s="15"/>
      <c r="T14" s="14" t="s">
        <v>150</v>
      </c>
      <c r="U14" s="14">
        <v>1.0311558434113341</v>
      </c>
      <c r="V14" s="14">
        <f t="shared" si="4"/>
        <v>1</v>
      </c>
      <c r="W14" s="14"/>
      <c r="X14" s="14">
        <v>8.5759795092089173E-3</v>
      </c>
      <c r="Y14" s="14">
        <f t="shared" si="5"/>
        <v>1</v>
      </c>
      <c r="Z14" s="14"/>
      <c r="AA14" s="14">
        <v>9.5564651175754616E-3</v>
      </c>
      <c r="AB14" s="14">
        <f t="shared" si="6"/>
        <v>1</v>
      </c>
      <c r="AC14" s="13"/>
    </row>
    <row r="15" spans="1:40" x14ac:dyDescent="0.2">
      <c r="A15" s="15" t="s">
        <v>28</v>
      </c>
      <c r="B15" s="14" t="s">
        <v>108</v>
      </c>
      <c r="C15" s="14" t="s">
        <v>3</v>
      </c>
      <c r="D15" s="14">
        <v>15.951669692993164</v>
      </c>
      <c r="E15" s="14">
        <f t="shared" ref="E15:E16" si="7">D15-16.01177</f>
        <v>-6.0100307006834441E-2</v>
      </c>
      <c r="F15" s="14">
        <f t="shared" si="1"/>
        <v>1.0425382434188295</v>
      </c>
      <c r="G15" s="14">
        <v>79.152435302734375</v>
      </c>
      <c r="H15" s="14" t="s">
        <v>24</v>
      </c>
      <c r="I15" s="14" t="s">
        <v>25</v>
      </c>
      <c r="J15" s="14">
        <v>12.003351211547852</v>
      </c>
      <c r="K15" s="14">
        <f t="shared" ref="K15:K16" si="8">J15-12.1627</f>
        <v>-0.15934878845214762</v>
      </c>
      <c r="L15" s="14">
        <f t="shared" si="3"/>
        <v>1.1167829247223202</v>
      </c>
      <c r="M15" s="14">
        <v>79.007774353027344</v>
      </c>
      <c r="N15" s="14" t="s">
        <v>24</v>
      </c>
      <c r="O15" s="13" t="s">
        <v>25</v>
      </c>
      <c r="R15" s="14"/>
      <c r="S15" s="15"/>
      <c r="T15" s="14" t="s">
        <v>150</v>
      </c>
      <c r="U15" s="14">
        <v>1.0260738914536143</v>
      </c>
      <c r="V15" s="14">
        <f t="shared" si="4"/>
        <v>1</v>
      </c>
      <c r="W15" s="14"/>
      <c r="X15" s="14">
        <v>8.6521790943510316E-3</v>
      </c>
      <c r="Y15" s="14">
        <f t="shared" si="5"/>
        <v>1</v>
      </c>
      <c r="Z15" s="14"/>
      <c r="AA15" s="14">
        <v>9.7308368335783033E-3</v>
      </c>
      <c r="AB15" s="14">
        <f t="shared" si="6"/>
        <v>1</v>
      </c>
      <c r="AC15" s="13"/>
    </row>
    <row r="16" spans="1:40" x14ac:dyDescent="0.2">
      <c r="A16" s="15" t="s">
        <v>29</v>
      </c>
      <c r="B16" s="14" t="s">
        <v>108</v>
      </c>
      <c r="C16" s="14" t="s">
        <v>3</v>
      </c>
      <c r="D16" s="14">
        <v>15.946144104003906</v>
      </c>
      <c r="E16" s="14">
        <f t="shared" si="7"/>
        <v>-6.5625895996092254E-2</v>
      </c>
      <c r="F16" s="14">
        <f t="shared" si="1"/>
        <v>1.04653886969664</v>
      </c>
      <c r="G16" s="14">
        <v>79.152435302734375</v>
      </c>
      <c r="H16" s="14" t="s">
        <v>24</v>
      </c>
      <c r="I16" s="14" t="s">
        <v>25</v>
      </c>
      <c r="J16" s="14">
        <v>12.172406196594238</v>
      </c>
      <c r="K16" s="14">
        <f t="shared" si="8"/>
        <v>9.7061965942391026E-3</v>
      </c>
      <c r="L16" s="14">
        <f t="shared" si="3"/>
        <v>0.99329475832758385</v>
      </c>
      <c r="M16" s="14">
        <v>78.85870361328125</v>
      </c>
      <c r="N16" s="14" t="s">
        <v>24</v>
      </c>
      <c r="O16" s="13" t="s">
        <v>25</v>
      </c>
      <c r="R16" s="14"/>
      <c r="S16" s="15"/>
      <c r="T16" s="14" t="s">
        <v>150</v>
      </c>
      <c r="U16" s="14">
        <v>1.0377868570882152</v>
      </c>
      <c r="V16" s="14">
        <f t="shared" si="4"/>
        <v>1</v>
      </c>
      <c r="W16" s="14"/>
      <c r="X16" s="14">
        <v>8.4462651847464001E-3</v>
      </c>
      <c r="Y16" s="14">
        <f t="shared" si="5"/>
        <v>1</v>
      </c>
      <c r="Z16" s="14"/>
      <c r="AA16" s="14">
        <v>9.8088777165380118E-3</v>
      </c>
      <c r="AB16" s="14">
        <f t="shared" si="6"/>
        <v>1</v>
      </c>
      <c r="AC16" s="13"/>
    </row>
    <row r="17" spans="1:29" x14ac:dyDescent="0.2">
      <c r="A17" s="15" t="s">
        <v>30</v>
      </c>
      <c r="B17" s="14" t="s">
        <v>109</v>
      </c>
      <c r="C17" s="14" t="s">
        <v>3</v>
      </c>
      <c r="D17" s="14">
        <v>14.42514705657959</v>
      </c>
      <c r="E17" s="14">
        <f>D17-16.18673</f>
        <v>-1.7615829434204109</v>
      </c>
      <c r="F17" s="14">
        <f t="shared" si="1"/>
        <v>3.3906995280231751</v>
      </c>
      <c r="G17" s="14">
        <v>79.156280517578125</v>
      </c>
      <c r="H17" s="14" t="s">
        <v>24</v>
      </c>
      <c r="I17" s="14" t="s">
        <v>25</v>
      </c>
      <c r="J17" s="14">
        <v>11.156535148620605</v>
      </c>
      <c r="K17" s="14">
        <f>J17-12.96159</f>
        <v>-1.8050548513793938</v>
      </c>
      <c r="L17" s="14">
        <f t="shared" si="3"/>
        <v>3.4944244394343325</v>
      </c>
      <c r="M17" s="14">
        <v>79.009017944335938</v>
      </c>
      <c r="N17" s="14" t="s">
        <v>24</v>
      </c>
      <c r="O17" s="13" t="s">
        <v>25</v>
      </c>
      <c r="R17" s="14"/>
      <c r="S17" s="15"/>
      <c r="T17" s="14" t="s">
        <v>4</v>
      </c>
      <c r="U17" s="14">
        <v>1.0621974914449388</v>
      </c>
      <c r="V17" s="14">
        <f>U17/U11</f>
        <v>1.0036531551464611</v>
      </c>
      <c r="W17" s="14">
        <f>AVERAGE(V17:V22)</f>
        <v>1.0123795654103978</v>
      </c>
      <c r="X17" s="14">
        <v>0.15919733380557888</v>
      </c>
      <c r="Y17" s="14">
        <f>X17/X11</f>
        <v>1.0511672538378078</v>
      </c>
      <c r="Z17" s="14">
        <f>AVERAGE(Y17:Y22)</f>
        <v>1.0667022685312422</v>
      </c>
      <c r="AA17" s="14">
        <v>1.6466606621409679E-2</v>
      </c>
      <c r="AB17" s="14">
        <f>AA17/AA11</f>
        <v>1.091518373672534</v>
      </c>
      <c r="AC17" s="13">
        <f>AVERAGE(AB17:AB22)</f>
        <v>1.1095466293734793</v>
      </c>
    </row>
    <row r="18" spans="1:29" x14ac:dyDescent="0.2">
      <c r="A18" s="15" t="s">
        <v>32</v>
      </c>
      <c r="B18" s="14" t="s">
        <v>109</v>
      </c>
      <c r="C18" s="14" t="s">
        <v>3</v>
      </c>
      <c r="D18" s="14">
        <v>14.355688095092773</v>
      </c>
      <c r="E18" s="14">
        <f t="shared" ref="E18:E19" si="9">D18-16.18673</f>
        <v>-1.8310419049072273</v>
      </c>
      <c r="F18" s="14">
        <f t="shared" si="1"/>
        <v>3.5579393175107121</v>
      </c>
      <c r="G18" s="14">
        <v>79.156280517578125</v>
      </c>
      <c r="H18" s="14" t="s">
        <v>24</v>
      </c>
      <c r="I18" s="14" t="s">
        <v>25</v>
      </c>
      <c r="J18" s="14">
        <v>11.318976402282715</v>
      </c>
      <c r="K18" s="14">
        <f t="shared" ref="K18:K19" si="10">J18-12.96159</f>
        <v>-1.6426135977172844</v>
      </c>
      <c r="L18" s="14">
        <f t="shared" si="3"/>
        <v>3.1223095988452227</v>
      </c>
      <c r="M18" s="14">
        <v>78.859939575195313</v>
      </c>
      <c r="N18" s="14" t="s">
        <v>24</v>
      </c>
      <c r="O18" s="13" t="s">
        <v>25</v>
      </c>
      <c r="R18" s="14"/>
      <c r="S18" s="15"/>
      <c r="T18" s="14" t="s">
        <v>4</v>
      </c>
      <c r="U18" s="14">
        <v>1.0425381932115207</v>
      </c>
      <c r="V18" s="14">
        <f t="shared" ref="V18:V22" si="11">U18/U12</f>
        <v>0.97692608054401442</v>
      </c>
      <c r="W18" s="14">
        <f>STDEV(V17:V22)</f>
        <v>5.6060869096977356E-2</v>
      </c>
      <c r="X18" s="14">
        <v>0.16306055708640799</v>
      </c>
      <c r="Y18" s="14">
        <f t="shared" ref="Y18:Y22" si="12">X18/X12</f>
        <v>1.082170039694865</v>
      </c>
      <c r="Z18" s="14">
        <f>STDEV(Y17:Y22)</f>
        <v>1.7258927746175334E-2</v>
      </c>
      <c r="AA18" s="14">
        <v>1.6184537525976834E-2</v>
      </c>
      <c r="AB18" s="14">
        <f t="shared" ref="AB18:AB22" si="13">AA18/AA12</f>
        <v>1.0674348361217707</v>
      </c>
      <c r="AC18" s="13">
        <f>STDEV(AB17:AB22)</f>
        <v>2.6345771712736898E-2</v>
      </c>
    </row>
    <row r="19" spans="1:29" x14ac:dyDescent="0.2">
      <c r="A19" s="15" t="s">
        <v>33</v>
      </c>
      <c r="B19" s="14" t="s">
        <v>109</v>
      </c>
      <c r="C19" s="14" t="s">
        <v>3</v>
      </c>
      <c r="D19" s="14">
        <v>14.30314826965332</v>
      </c>
      <c r="E19" s="14">
        <f t="shared" si="9"/>
        <v>-1.8835817303466804</v>
      </c>
      <c r="F19" s="14">
        <f t="shared" si="1"/>
        <v>3.6899000307361676</v>
      </c>
      <c r="G19" s="14">
        <v>79.30157470703125</v>
      </c>
      <c r="H19" s="14" t="s">
        <v>24</v>
      </c>
      <c r="I19" s="14" t="s">
        <v>25</v>
      </c>
      <c r="J19" s="14">
        <v>11.075681686401367</v>
      </c>
      <c r="K19" s="14">
        <f t="shared" si="10"/>
        <v>-1.8859083135986321</v>
      </c>
      <c r="L19" s="14">
        <f t="shared" si="3"/>
        <v>3.6958554026905004</v>
      </c>
      <c r="M19" s="14">
        <v>79.007049560546875</v>
      </c>
      <c r="N19" s="14" t="s">
        <v>24</v>
      </c>
      <c r="O19" s="13" t="s">
        <v>25</v>
      </c>
      <c r="R19" s="14"/>
      <c r="S19" s="15"/>
      <c r="T19" s="14" t="s">
        <v>4</v>
      </c>
      <c r="U19" s="14">
        <v>1.046538819296666</v>
      </c>
      <c r="V19" s="14">
        <f t="shared" si="11"/>
        <v>0.9727284877371396</v>
      </c>
      <c r="W19" s="14"/>
      <c r="X19" s="14">
        <v>0.15998390480120961</v>
      </c>
      <c r="Y19" s="14">
        <f t="shared" si="12"/>
        <v>1.0769206682403381</v>
      </c>
      <c r="Z19" s="14"/>
      <c r="AA19" s="14">
        <v>1.6735505350865879E-2</v>
      </c>
      <c r="AB19" s="14">
        <f t="shared" si="13"/>
        <v>1.1063256527095495</v>
      </c>
      <c r="AC19" s="13"/>
    </row>
    <row r="20" spans="1:29" x14ac:dyDescent="0.2">
      <c r="A20" s="15" t="s">
        <v>34</v>
      </c>
      <c r="B20" s="14" t="s">
        <v>13</v>
      </c>
      <c r="C20" s="14" t="s">
        <v>3</v>
      </c>
      <c r="D20" s="14">
        <v>14.28443717956543</v>
      </c>
      <c r="E20" s="14">
        <f>D20-16.08369</f>
        <v>-1.799252820434571</v>
      </c>
      <c r="F20" s="14">
        <f t="shared" si="1"/>
        <v>3.4803992687298222</v>
      </c>
      <c r="G20" s="14">
        <v>79.30157470703125</v>
      </c>
      <c r="H20" s="14" t="s">
        <v>24</v>
      </c>
      <c r="I20" s="14" t="s">
        <v>25</v>
      </c>
      <c r="J20" s="14">
        <v>10.767041206359863</v>
      </c>
      <c r="K20" s="14">
        <f>J20-13.1524</f>
        <v>-2.3853587936401368</v>
      </c>
      <c r="L20" s="14">
        <f t="shared" si="3"/>
        <v>5.2247383625056987</v>
      </c>
      <c r="M20" s="14">
        <v>79.007049560546875</v>
      </c>
      <c r="N20" s="14" t="s">
        <v>24</v>
      </c>
      <c r="O20" s="13" t="s">
        <v>25</v>
      </c>
      <c r="R20" s="14"/>
      <c r="S20" s="15"/>
      <c r="T20" s="14" t="s">
        <v>4</v>
      </c>
      <c r="U20" s="14">
        <v>1.1089439396768457</v>
      </c>
      <c r="V20" s="14">
        <f t="shared" si="11"/>
        <v>1.075437768948841</v>
      </c>
      <c r="W20" s="14"/>
      <c r="X20" s="14">
        <v>9.0069768582307658E-3</v>
      </c>
      <c r="Y20" s="14">
        <f t="shared" si="12"/>
        <v>1.0502563408132031</v>
      </c>
      <c r="Z20" s="14"/>
      <c r="AA20" s="14">
        <v>1.0794865952976391E-2</v>
      </c>
      <c r="AB20" s="14">
        <f t="shared" si="13"/>
        <v>1.1295877523921858</v>
      </c>
      <c r="AC20" s="13"/>
    </row>
    <row r="21" spans="1:29" x14ac:dyDescent="0.2">
      <c r="A21" s="15" t="s">
        <v>35</v>
      </c>
      <c r="B21" s="14" t="s">
        <v>13</v>
      </c>
      <c r="C21" s="14" t="s">
        <v>3</v>
      </c>
      <c r="D21" s="14">
        <v>14.275263786315918</v>
      </c>
      <c r="E21" s="14">
        <f t="shared" ref="E21:E22" si="14">D21-16.08369</f>
        <v>-1.8084262136840827</v>
      </c>
      <c r="F21" s="14">
        <f t="shared" si="1"/>
        <v>3.5025999348845378</v>
      </c>
      <c r="G21" s="14">
        <v>79.156455993652344</v>
      </c>
      <c r="H21" s="14" t="s">
        <v>24</v>
      </c>
      <c r="I21" s="14" t="s">
        <v>25</v>
      </c>
      <c r="J21" s="14">
        <v>10.730682373046875</v>
      </c>
      <c r="K21" s="14">
        <f t="shared" ref="K21:K22" si="15">J21-13.1524</f>
        <v>-2.4217176269531251</v>
      </c>
      <c r="L21" s="14">
        <f t="shared" si="3"/>
        <v>5.3580855899781872</v>
      </c>
      <c r="M21" s="14">
        <v>79.0096435546875</v>
      </c>
      <c r="N21" s="14" t="s">
        <v>24</v>
      </c>
      <c r="O21" s="13" t="s">
        <v>25</v>
      </c>
      <c r="R21" s="14"/>
      <c r="S21" s="15"/>
      <c r="T21" s="14" t="s">
        <v>4</v>
      </c>
      <c r="U21" s="14">
        <v>1.1167829247223202</v>
      </c>
      <c r="V21" s="14">
        <f t="shared" si="11"/>
        <v>1.0884039970456714</v>
      </c>
      <c r="W21" s="14"/>
      <c r="X21" s="14">
        <v>9.1049239935895292E-3</v>
      </c>
      <c r="Y21" s="14">
        <f t="shared" si="12"/>
        <v>1.0523272685760854</v>
      </c>
      <c r="Z21" s="14"/>
      <c r="AA21" s="14">
        <v>1.1039675575665561E-2</v>
      </c>
      <c r="AB21" s="14">
        <f t="shared" si="13"/>
        <v>1.1345042327265045</v>
      </c>
      <c r="AC21" s="13"/>
    </row>
    <row r="22" spans="1:29" x14ac:dyDescent="0.2">
      <c r="A22" s="15" t="s">
        <v>36</v>
      </c>
      <c r="B22" s="14" t="s">
        <v>13</v>
      </c>
      <c r="C22" s="14" t="s">
        <v>3</v>
      </c>
      <c r="D22" s="14">
        <v>14.318568229675293</v>
      </c>
      <c r="E22" s="14">
        <f t="shared" si="14"/>
        <v>-1.7651217703247077</v>
      </c>
      <c r="F22" s="14">
        <f t="shared" si="1"/>
        <v>3.399026878485885</v>
      </c>
      <c r="G22" s="14">
        <v>79.156455993652344</v>
      </c>
      <c r="H22" s="14" t="s">
        <v>24</v>
      </c>
      <c r="I22" s="14" t="s">
        <v>25</v>
      </c>
      <c r="J22" s="14">
        <v>10.777305603027344</v>
      </c>
      <c r="K22" s="14">
        <f t="shared" si="15"/>
        <v>-2.3750943969726563</v>
      </c>
      <c r="L22" s="14">
        <f t="shared" si="3"/>
        <v>5.1876976437203792</v>
      </c>
      <c r="M22" s="14">
        <v>79.0096435546875</v>
      </c>
      <c r="N22" s="14" t="s">
        <v>24</v>
      </c>
      <c r="O22" s="13" t="s">
        <v>25</v>
      </c>
      <c r="R22" s="14"/>
      <c r="S22" s="15"/>
      <c r="T22" s="14" t="s">
        <v>4</v>
      </c>
      <c r="U22" s="14">
        <v>0.99329475832758385</v>
      </c>
      <c r="V22" s="14">
        <f t="shared" si="11"/>
        <v>0.95712790304025852</v>
      </c>
      <c r="W22" s="14"/>
      <c r="X22" s="14">
        <v>9.1842326045311218E-3</v>
      </c>
      <c r="Y22" s="14">
        <f t="shared" si="12"/>
        <v>1.0873720400251534</v>
      </c>
      <c r="Z22" s="14"/>
      <c r="AA22" s="14">
        <v>1.106352075620861E-2</v>
      </c>
      <c r="AB22" s="14">
        <f t="shared" si="13"/>
        <v>1.127908928618331</v>
      </c>
      <c r="AC22" s="13"/>
    </row>
    <row r="23" spans="1:29" x14ac:dyDescent="0.2">
      <c r="A23" s="15" t="s">
        <v>8</v>
      </c>
      <c r="B23" s="14" t="s">
        <v>15</v>
      </c>
      <c r="C23" s="14" t="s">
        <v>37</v>
      </c>
      <c r="D23" s="14">
        <v>18.991788864135742</v>
      </c>
      <c r="E23" s="14">
        <f>D23-16.26868</f>
        <v>2.7231088641357424</v>
      </c>
      <c r="F23" s="14">
        <f t="shared" si="1"/>
        <v>0.15144765405394464</v>
      </c>
      <c r="G23" s="14">
        <v>78.263015747070313</v>
      </c>
      <c r="H23" s="14" t="s">
        <v>24</v>
      </c>
      <c r="I23" s="14" t="s">
        <v>25</v>
      </c>
      <c r="J23" s="14">
        <v>18.945552825927734</v>
      </c>
      <c r="K23" s="14">
        <f>J23-12.08007</f>
        <v>6.8654828259277352</v>
      </c>
      <c r="L23" s="14">
        <f t="shared" si="3"/>
        <v>8.5759795092089173E-3</v>
      </c>
      <c r="M23" s="14">
        <v>77.97052001953125</v>
      </c>
      <c r="N23" s="14" t="s">
        <v>24</v>
      </c>
      <c r="O23" s="13" t="s">
        <v>25</v>
      </c>
      <c r="R23" s="14"/>
      <c r="S23" s="15"/>
      <c r="T23" s="14" t="s">
        <v>118</v>
      </c>
      <c r="U23" s="14">
        <v>3.3907019267154874</v>
      </c>
      <c r="V23" s="14">
        <f>U23/U11</f>
        <v>3.2038191714046147</v>
      </c>
      <c r="W23" s="14">
        <f>AVERAGE(V23:V28)</f>
        <v>3.326766413541256</v>
      </c>
      <c r="X23" s="14">
        <v>0.13896868340701984</v>
      </c>
      <c r="Y23" s="14">
        <f>X23/X11</f>
        <v>0.91759909424622288</v>
      </c>
      <c r="Z23" s="14">
        <f>AVERAGE(Y23:Y28)</f>
        <v>1.2539571562845995</v>
      </c>
      <c r="AA23" s="14">
        <v>1.8626071628772136E-2</v>
      </c>
      <c r="AB23" s="14">
        <f>AA23/AA11</f>
        <v>1.2346623612002585</v>
      </c>
      <c r="AC23" s="13">
        <f>AVERAGE(AB23:AB28)</f>
        <v>1.7790443731322225</v>
      </c>
    </row>
    <row r="24" spans="1:29" x14ac:dyDescent="0.2">
      <c r="A24" s="15" t="s">
        <v>9</v>
      </c>
      <c r="B24" s="14" t="s">
        <v>15</v>
      </c>
      <c r="C24" s="14" t="s">
        <v>37</v>
      </c>
      <c r="D24" s="14">
        <v>18.99913215637207</v>
      </c>
      <c r="E24" s="14">
        <f t="shared" ref="E24:E25" si="16">D24-16.26868</f>
        <v>2.7304521563720705</v>
      </c>
      <c r="F24" s="14">
        <f t="shared" si="1"/>
        <v>0.15067874669646261</v>
      </c>
      <c r="G24" s="14">
        <v>78.263015747070313</v>
      </c>
      <c r="H24" s="14" t="s">
        <v>24</v>
      </c>
      <c r="I24" s="14" t="s">
        <v>25</v>
      </c>
      <c r="J24" s="14">
        <v>18.932790756225586</v>
      </c>
      <c r="K24" s="14">
        <f t="shared" ref="K24:K25" si="17">J24-12.08007</f>
        <v>6.8527207562255867</v>
      </c>
      <c r="L24" s="14">
        <f t="shared" si="3"/>
        <v>8.6521790943510316E-3</v>
      </c>
      <c r="M24" s="14">
        <v>77.97052001953125</v>
      </c>
      <c r="N24" s="14" t="s">
        <v>24</v>
      </c>
      <c r="O24" s="13" t="s">
        <v>25</v>
      </c>
      <c r="R24" s="14"/>
      <c r="S24" s="15"/>
      <c r="T24" s="14" t="s">
        <v>118</v>
      </c>
      <c r="U24" s="14">
        <v>3.5579418345139491</v>
      </c>
      <c r="V24" s="14">
        <f t="shared" ref="V24:V28" si="18">U24/U12</f>
        <v>3.3340228624986956</v>
      </c>
      <c r="W24" s="14">
        <f>STDEV(V23:V28)</f>
        <v>0.18174180245723437</v>
      </c>
      <c r="X24" s="14">
        <v>0.14064939328574771</v>
      </c>
      <c r="Y24" s="14">
        <f t="shared" ref="Y24:Y28" si="19">X24/X12</f>
        <v>0.93343578750586498</v>
      </c>
      <c r="Z24" s="14">
        <f>STDEV(Y23:Y28)</f>
        <v>0.34837973530701832</v>
      </c>
      <c r="AA24" s="14">
        <v>1.7702597732207656E-2</v>
      </c>
      <c r="AB24" s="14">
        <f t="shared" ref="AB24:AB28" si="20">AA24/AA12</f>
        <v>1.1675569647189039</v>
      </c>
      <c r="AC24" s="13">
        <f>STDEV(AB23:AB28)</f>
        <v>0.59505724127262205</v>
      </c>
    </row>
    <row r="25" spans="1:29" x14ac:dyDescent="0.2">
      <c r="A25" s="15" t="s">
        <v>38</v>
      </c>
      <c r="B25" s="14" t="s">
        <v>15</v>
      </c>
      <c r="C25" s="14" t="s">
        <v>37</v>
      </c>
      <c r="D25" s="14">
        <v>19.019598007202148</v>
      </c>
      <c r="E25" s="14">
        <f t="shared" si="16"/>
        <v>2.7509180072021486</v>
      </c>
      <c r="F25" s="14">
        <f t="shared" si="1"/>
        <v>0.14855633080553921</v>
      </c>
      <c r="G25" s="14">
        <v>78.10791015625</v>
      </c>
      <c r="H25" s="14" t="s">
        <v>24</v>
      </c>
      <c r="I25" s="14" t="s">
        <v>25</v>
      </c>
      <c r="J25" s="14">
        <v>18.967540740966797</v>
      </c>
      <c r="K25" s="14">
        <f t="shared" si="17"/>
        <v>6.8874707409667977</v>
      </c>
      <c r="L25" s="14">
        <f t="shared" si="3"/>
        <v>8.4462651847464001E-3</v>
      </c>
      <c r="M25" s="14">
        <v>77.816421508789063</v>
      </c>
      <c r="N25" s="14" t="s">
        <v>24</v>
      </c>
      <c r="O25" s="13" t="s">
        <v>25</v>
      </c>
      <c r="R25" s="14"/>
      <c r="S25" s="15"/>
      <c r="T25" s="14" t="s">
        <v>118</v>
      </c>
      <c r="U25" s="14">
        <v>3.6899026410927522</v>
      </c>
      <c r="V25" s="14">
        <f t="shared" si="18"/>
        <v>3.4296610405523489</v>
      </c>
      <c r="W25" s="14"/>
      <c r="X25" s="14">
        <v>0.14246037984415066</v>
      </c>
      <c r="Y25" s="14">
        <f t="shared" si="19"/>
        <v>0.95896226342373381</v>
      </c>
      <c r="Z25" s="14"/>
      <c r="AA25" s="14">
        <v>1.9823071690690211E-2</v>
      </c>
      <c r="AB25" s="14">
        <f t="shared" si="20"/>
        <v>1.3104338510923046</v>
      </c>
      <c r="AC25" s="13"/>
    </row>
    <row r="26" spans="1:29" x14ac:dyDescent="0.2">
      <c r="A26" s="15" t="s">
        <v>39</v>
      </c>
      <c r="B26" s="14" t="s">
        <v>108</v>
      </c>
      <c r="C26" s="14" t="s">
        <v>37</v>
      </c>
      <c r="D26" s="14">
        <v>18.662881851196289</v>
      </c>
      <c r="E26" s="14">
        <f>D26-16.01177</f>
        <v>2.6511118511962906</v>
      </c>
      <c r="F26" s="14">
        <f t="shared" si="1"/>
        <v>0.15919734147231931</v>
      </c>
      <c r="G26" s="14">
        <v>78.10791015625</v>
      </c>
      <c r="H26" s="14" t="s">
        <v>24</v>
      </c>
      <c r="I26" s="14" t="s">
        <v>25</v>
      </c>
      <c r="J26" s="14">
        <v>18.957441329956055</v>
      </c>
      <c r="K26" s="14">
        <f>J26-12.1627</f>
        <v>6.7947413299560555</v>
      </c>
      <c r="L26" s="14">
        <f t="shared" si="3"/>
        <v>9.0069768582307658E-3</v>
      </c>
      <c r="M26" s="14">
        <v>77.816421508789063</v>
      </c>
      <c r="N26" s="14" t="s">
        <v>24</v>
      </c>
      <c r="O26" s="13" t="s">
        <v>25</v>
      </c>
      <c r="R26" s="14"/>
      <c r="S26" s="15"/>
      <c r="T26" s="14" t="s">
        <v>118</v>
      </c>
      <c r="U26" s="14">
        <v>3.4944244394343325</v>
      </c>
      <c r="V26" s="14">
        <f t="shared" si="18"/>
        <v>3.3888422024297116</v>
      </c>
      <c r="W26" s="14"/>
      <c r="X26" s="14">
        <v>1.3249846717315081E-2</v>
      </c>
      <c r="Y26" s="14">
        <f t="shared" si="19"/>
        <v>1.5449951463955049</v>
      </c>
      <c r="Z26" s="14"/>
      <c r="AA26" s="14">
        <v>2.2010057907062466E-2</v>
      </c>
      <c r="AB26" s="14">
        <f t="shared" si="20"/>
        <v>2.3031589229142253</v>
      </c>
      <c r="AC26" s="13"/>
    </row>
    <row r="27" spans="1:29" x14ac:dyDescent="0.2">
      <c r="A27" s="15" t="s">
        <v>40</v>
      </c>
      <c r="B27" s="14" t="s">
        <v>108</v>
      </c>
      <c r="C27" s="14" t="s">
        <v>37</v>
      </c>
      <c r="D27" s="14">
        <v>18.628290176391602</v>
      </c>
      <c r="E27" s="14">
        <f t="shared" ref="E27:E28" si="21">D27-16.01177</f>
        <v>2.6165201763916031</v>
      </c>
      <c r="F27" s="14">
        <f t="shared" si="1"/>
        <v>0.1630605649391963</v>
      </c>
      <c r="G27" s="14">
        <v>78.108512878417969</v>
      </c>
      <c r="H27" s="14" t="s">
        <v>24</v>
      </c>
      <c r="I27" s="14" t="s">
        <v>25</v>
      </c>
      <c r="J27" s="14">
        <v>18.941837310791016</v>
      </c>
      <c r="K27" s="14">
        <f t="shared" ref="K27:K28" si="22">J27-12.1627</f>
        <v>6.7791373107910164</v>
      </c>
      <c r="L27" s="14">
        <f t="shared" si="3"/>
        <v>9.1049239935895292E-3</v>
      </c>
      <c r="M27" s="14">
        <v>77.815200805664063</v>
      </c>
      <c r="N27" s="14" t="s">
        <v>24</v>
      </c>
      <c r="O27" s="13" t="s">
        <v>25</v>
      </c>
      <c r="R27" s="14"/>
      <c r="S27" s="15"/>
      <c r="T27" s="14" t="s">
        <v>118</v>
      </c>
      <c r="U27" s="14">
        <v>3.1223095988452227</v>
      </c>
      <c r="V27" s="14">
        <f t="shared" si="18"/>
        <v>3.0429675921506214</v>
      </c>
      <c r="W27" s="14"/>
      <c r="X27" s="14">
        <v>1.3525363484017483E-2</v>
      </c>
      <c r="Y27" s="14">
        <f t="shared" si="19"/>
        <v>1.5632320293564117</v>
      </c>
      <c r="Z27" s="14"/>
      <c r="AA27" s="14">
        <v>2.2510995048063198E-2</v>
      </c>
      <c r="AB27" s="14">
        <f t="shared" si="20"/>
        <v>2.3133668186053913</v>
      </c>
      <c r="AC27" s="13"/>
    </row>
    <row r="28" spans="1:29" x14ac:dyDescent="0.2">
      <c r="A28" s="15" t="s">
        <v>41</v>
      </c>
      <c r="B28" s="14" t="s">
        <v>108</v>
      </c>
      <c r="C28" s="14" t="s">
        <v>37</v>
      </c>
      <c r="D28" s="14">
        <v>18.655771255493164</v>
      </c>
      <c r="E28" s="14">
        <f t="shared" si="21"/>
        <v>2.6440012554931656</v>
      </c>
      <c r="F28" s="14">
        <f t="shared" si="1"/>
        <v>0.15998391250583024</v>
      </c>
      <c r="G28" s="14">
        <v>78.108512878417969</v>
      </c>
      <c r="H28" s="14" t="s">
        <v>24</v>
      </c>
      <c r="I28" s="14" t="s">
        <v>25</v>
      </c>
      <c r="J28" s="14">
        <v>18.929325103759766</v>
      </c>
      <c r="K28" s="14">
        <f t="shared" si="22"/>
        <v>6.7666251037597664</v>
      </c>
      <c r="L28" s="14">
        <f t="shared" si="3"/>
        <v>9.1842326045311218E-3</v>
      </c>
      <c r="M28" s="14">
        <v>77.815200805664063</v>
      </c>
      <c r="N28" s="14" t="s">
        <v>24</v>
      </c>
      <c r="O28" s="13" t="s">
        <v>25</v>
      </c>
      <c r="R28" s="14"/>
      <c r="S28" s="15"/>
      <c r="T28" s="14" t="s">
        <v>118</v>
      </c>
      <c r="U28" s="14">
        <v>3.6958554026905004</v>
      </c>
      <c r="V28" s="14">
        <f t="shared" si="18"/>
        <v>3.5612856122115457</v>
      </c>
      <c r="W28" s="14"/>
      <c r="X28" s="14">
        <v>1.3560635996369915E-2</v>
      </c>
      <c r="Y28" s="14">
        <f t="shared" si="19"/>
        <v>1.6055186167798583</v>
      </c>
      <c r="Z28" s="14"/>
      <c r="AA28" s="14">
        <v>2.3002674759056225E-2</v>
      </c>
      <c r="AB28" s="14">
        <f t="shared" si="20"/>
        <v>2.34508732026225</v>
      </c>
      <c r="AC28" s="13"/>
    </row>
    <row r="29" spans="1:29" x14ac:dyDescent="0.2">
      <c r="A29" s="15" t="s">
        <v>42</v>
      </c>
      <c r="B29" s="14" t="s">
        <v>109</v>
      </c>
      <c r="C29" s="14" t="s">
        <v>37</v>
      </c>
      <c r="D29" s="14">
        <v>19.033899307250977</v>
      </c>
      <c r="E29" s="14">
        <f>D29-16.18673</f>
        <v>2.8471693072509758</v>
      </c>
      <c r="F29" s="14">
        <f t="shared" si="1"/>
        <v>0.13896858509607427</v>
      </c>
      <c r="G29" s="14">
        <v>78.112319946289063</v>
      </c>
      <c r="H29" s="14" t="s">
        <v>24</v>
      </c>
      <c r="I29" s="14" t="s">
        <v>25</v>
      </c>
      <c r="J29" s="14">
        <v>19.199470520019531</v>
      </c>
      <c r="K29" s="14">
        <f>J29-12.96159</f>
        <v>6.237880520019532</v>
      </c>
      <c r="L29" s="14">
        <f t="shared" si="3"/>
        <v>1.3249846717315081E-2</v>
      </c>
      <c r="M29" s="14">
        <v>77.81640625</v>
      </c>
      <c r="N29" s="14" t="s">
        <v>24</v>
      </c>
      <c r="O29" s="13" t="s">
        <v>25</v>
      </c>
      <c r="R29" s="14"/>
      <c r="S29" s="15"/>
      <c r="T29" s="14" t="s">
        <v>16</v>
      </c>
      <c r="U29" s="14">
        <v>3.4804023544531861</v>
      </c>
      <c r="V29" s="14">
        <f>U29/U11</f>
        <v>3.2885756484646955</v>
      </c>
      <c r="W29" s="14">
        <f>AVERAGE(V29:V34)</f>
        <v>4.1696098283160499</v>
      </c>
      <c r="X29" s="14">
        <v>0.12746155115725299</v>
      </c>
      <c r="Y29" s="14">
        <f>X29/X11</f>
        <v>0.84161842096869077</v>
      </c>
      <c r="Z29" s="14">
        <f>AVERAGE(Y29:Y34)</f>
        <v>1.2299247728451317</v>
      </c>
      <c r="AA29" s="14">
        <v>1.8286824963686131E-2</v>
      </c>
      <c r="AB29" s="14">
        <f>AA29/AA11</f>
        <v>1.2121747912556984</v>
      </c>
      <c r="AC29" s="13">
        <f>AVERAGE(AB29:AB34)</f>
        <v>1.7314641825904697</v>
      </c>
    </row>
    <row r="30" spans="1:29" x14ac:dyDescent="0.2">
      <c r="A30" s="15" t="s">
        <v>43</v>
      </c>
      <c r="B30" s="14" t="s">
        <v>109</v>
      </c>
      <c r="C30" s="14" t="s">
        <v>37</v>
      </c>
      <c r="D30" s="14">
        <v>19.016555786132813</v>
      </c>
      <c r="E30" s="14">
        <f t="shared" ref="E30:E31" si="23">D30-16.18673</f>
        <v>2.8298257861328118</v>
      </c>
      <c r="F30" s="14">
        <f t="shared" si="1"/>
        <v>0.14064929378581359</v>
      </c>
      <c r="G30" s="14">
        <v>78.112319946289063</v>
      </c>
      <c r="H30" s="14" t="s">
        <v>24</v>
      </c>
      <c r="I30" s="14" t="s">
        <v>25</v>
      </c>
      <c r="J30" s="14">
        <v>19.169778823852539</v>
      </c>
      <c r="K30" s="14">
        <f t="shared" ref="K30:K31" si="24">J30-12.96159</f>
        <v>6.2081888238525398</v>
      </c>
      <c r="L30" s="14">
        <f t="shared" si="3"/>
        <v>1.3525363484017483E-2</v>
      </c>
      <c r="M30" s="14">
        <v>77.81640625</v>
      </c>
      <c r="N30" s="14" t="s">
        <v>24</v>
      </c>
      <c r="O30" s="13" t="s">
        <v>25</v>
      </c>
      <c r="R30" s="14"/>
      <c r="S30" s="15"/>
      <c r="T30" s="14" t="s">
        <v>16</v>
      </c>
      <c r="U30" s="14">
        <v>3.50260304029102</v>
      </c>
      <c r="V30" s="14">
        <f t="shared" ref="V30:V34" si="25">U30/U12</f>
        <v>3.2821668137762012</v>
      </c>
      <c r="W30" s="14">
        <f>STDEV(V29:V34)</f>
        <v>1.0182857331150994</v>
      </c>
      <c r="X30" s="14">
        <v>0.12967184645626131</v>
      </c>
      <c r="Y30" s="14">
        <f t="shared" ref="Y30:Y34" si="26">X30/X12</f>
        <v>0.8605820422440823</v>
      </c>
      <c r="Z30" s="14">
        <f>STDEV(Y29:Y34)</f>
        <v>0.40908235794157943</v>
      </c>
      <c r="AA30" s="14">
        <v>1.7754361291173529E-2</v>
      </c>
      <c r="AB30" s="14">
        <f t="shared" ref="AB30:AB34" si="27">AA30/AA12</f>
        <v>1.1709709780012192</v>
      </c>
      <c r="AC30" s="13">
        <f>STDEV(AB29:AB34)</f>
        <v>0.58882636537323474</v>
      </c>
    </row>
    <row r="31" spans="1:29" x14ac:dyDescent="0.2">
      <c r="A31" s="15" t="s">
        <v>44</v>
      </c>
      <c r="B31" s="14" t="s">
        <v>109</v>
      </c>
      <c r="C31" s="14" t="s">
        <v>37</v>
      </c>
      <c r="D31" s="14">
        <v>18.998098373413086</v>
      </c>
      <c r="E31" s="14">
        <f t="shared" si="23"/>
        <v>2.8113683734130852</v>
      </c>
      <c r="F31" s="14">
        <f t="shared" si="1"/>
        <v>0.14246027906306602</v>
      </c>
      <c r="G31" s="14">
        <v>78.10833740234375</v>
      </c>
      <c r="H31" s="14" t="s">
        <v>24</v>
      </c>
      <c r="I31" s="14" t="s">
        <v>25</v>
      </c>
      <c r="J31" s="14">
        <v>19.166021347045898</v>
      </c>
      <c r="K31" s="14">
        <f t="shared" si="24"/>
        <v>6.2044313470458992</v>
      </c>
      <c r="L31" s="14">
        <f t="shared" si="3"/>
        <v>1.3560635996369915E-2</v>
      </c>
      <c r="M31" s="14">
        <v>77.814460754394531</v>
      </c>
      <c r="N31" s="14" t="s">
        <v>24</v>
      </c>
      <c r="O31" s="13" t="s">
        <v>25</v>
      </c>
      <c r="R31" s="14"/>
      <c r="S31" s="15"/>
      <c r="T31" s="14" t="s">
        <v>16</v>
      </c>
      <c r="U31" s="14">
        <v>3.3990298920644557</v>
      </c>
      <c r="V31" s="14">
        <f t="shared" si="25"/>
        <v>3.1593029763609115</v>
      </c>
      <c r="W31" s="14"/>
      <c r="X31" s="14">
        <v>0.12890472118796614</v>
      </c>
      <c r="Y31" s="14">
        <f t="shared" si="26"/>
        <v>0.86771327811739574</v>
      </c>
      <c r="Z31" s="14"/>
      <c r="AA31" s="14">
        <v>1.822817028011078E-2</v>
      </c>
      <c r="AB31" s="14">
        <f t="shared" si="27"/>
        <v>1.2050005040212897</v>
      </c>
      <c r="AC31" s="13"/>
    </row>
    <row r="32" spans="1:29" x14ac:dyDescent="0.2">
      <c r="A32" s="15" t="s">
        <v>45</v>
      </c>
      <c r="B32" s="14" t="s">
        <v>13</v>
      </c>
      <c r="C32" s="14" t="s">
        <v>37</v>
      </c>
      <c r="D32" s="14">
        <v>19.055557250976563</v>
      </c>
      <c r="E32" s="14">
        <f>D32-16.08369</f>
        <v>2.9718672509765618</v>
      </c>
      <c r="F32" s="14">
        <f t="shared" si="1"/>
        <v>0.12746143814989164</v>
      </c>
      <c r="G32" s="14">
        <v>78.10833740234375</v>
      </c>
      <c r="H32" s="14" t="s">
        <v>24</v>
      </c>
      <c r="I32" s="14" t="s">
        <v>25</v>
      </c>
      <c r="J32" s="14">
        <v>19.34480094909668</v>
      </c>
      <c r="K32" s="14">
        <f>J32-13.1524</f>
        <v>6.1924009490966796</v>
      </c>
      <c r="L32" s="14">
        <f t="shared" si="3"/>
        <v>1.367418871244922E-2</v>
      </c>
      <c r="M32" s="14">
        <v>77.963531494140625</v>
      </c>
      <c r="N32" s="14" t="s">
        <v>24</v>
      </c>
      <c r="O32" s="13" t="s">
        <v>25</v>
      </c>
      <c r="R32" s="14"/>
      <c r="S32" s="15"/>
      <c r="T32" s="14" t="s">
        <v>16</v>
      </c>
      <c r="U32" s="14">
        <v>5.2247383625056987</v>
      </c>
      <c r="V32" s="14">
        <f t="shared" si="25"/>
        <v>5.0668755803399153</v>
      </c>
      <c r="W32" s="14"/>
      <c r="X32" s="14">
        <v>1.367418871244922E-2</v>
      </c>
      <c r="Y32" s="14">
        <f t="shared" si="26"/>
        <v>1.5944754412910884</v>
      </c>
      <c r="Z32" s="14"/>
      <c r="AA32" s="14">
        <v>2.2221610180285196E-2</v>
      </c>
      <c r="AB32" s="14">
        <f t="shared" si="27"/>
        <v>2.3252960071414948</v>
      </c>
      <c r="AC32" s="13"/>
    </row>
    <row r="33" spans="1:37" x14ac:dyDescent="0.2">
      <c r="A33" s="15" t="s">
        <v>46</v>
      </c>
      <c r="B33" s="14" t="s">
        <v>13</v>
      </c>
      <c r="C33" s="14" t="s">
        <v>37</v>
      </c>
      <c r="D33" s="14">
        <v>19.030754089355469</v>
      </c>
      <c r="E33" s="14">
        <f t="shared" ref="E33:E34" si="28">D33-16.08369</f>
        <v>2.947064089355468</v>
      </c>
      <c r="F33" s="14">
        <f t="shared" si="1"/>
        <v>0.12967173148925309</v>
      </c>
      <c r="G33" s="14">
        <v>77.963272094726563</v>
      </c>
      <c r="H33" s="14" t="s">
        <v>24</v>
      </c>
      <c r="I33" s="14" t="s">
        <v>25</v>
      </c>
      <c r="J33" s="14">
        <v>19.329347610473633</v>
      </c>
      <c r="K33" s="14">
        <f t="shared" ref="K33:K34" si="29">J33-13.1524</f>
        <v>6.1769476104736327</v>
      </c>
      <c r="L33" s="14">
        <f t="shared" si="3"/>
        <v>1.3821446200136641E-2</v>
      </c>
      <c r="M33" s="14">
        <v>77.816848754882813</v>
      </c>
      <c r="N33" s="14" t="s">
        <v>24</v>
      </c>
      <c r="O33" s="13" t="s">
        <v>25</v>
      </c>
      <c r="R33" s="14"/>
      <c r="S33" s="15"/>
      <c r="T33" s="14" t="s">
        <v>16</v>
      </c>
      <c r="U33" s="14">
        <v>5.3580855899781872</v>
      </c>
      <c r="V33" s="14">
        <f t="shared" si="25"/>
        <v>5.2219295653137765</v>
      </c>
      <c r="W33" s="14"/>
      <c r="X33" s="14">
        <v>1.3821446200136641E-2</v>
      </c>
      <c r="Y33" s="14">
        <f t="shared" si="26"/>
        <v>1.5974526242944509</v>
      </c>
      <c r="Z33" s="14"/>
      <c r="AA33" s="14">
        <v>2.2369374208729774E-2</v>
      </c>
      <c r="AB33" s="14">
        <f t="shared" si="27"/>
        <v>2.2988129994677884</v>
      </c>
      <c r="AC33" s="13"/>
    </row>
    <row r="34" spans="1:37" ht="13.5" thickBot="1" x14ac:dyDescent="0.25">
      <c r="A34" s="15" t="s">
        <v>47</v>
      </c>
      <c r="B34" s="14" t="s">
        <v>13</v>
      </c>
      <c r="C34" s="14" t="s">
        <v>37</v>
      </c>
      <c r="D34" s="14">
        <v>19.039314270019531</v>
      </c>
      <c r="E34" s="14">
        <f t="shared" si="28"/>
        <v>2.9556242700195305</v>
      </c>
      <c r="F34" s="14">
        <f t="shared" si="1"/>
        <v>0.12890460690109087</v>
      </c>
      <c r="G34" s="14">
        <v>77.963272094726563</v>
      </c>
      <c r="H34" s="14" t="s">
        <v>24</v>
      </c>
      <c r="I34" s="14" t="s">
        <v>25</v>
      </c>
      <c r="J34" s="14">
        <v>19.345920562744141</v>
      </c>
      <c r="K34" s="14">
        <f t="shared" si="29"/>
        <v>6.1935205627441405</v>
      </c>
      <c r="L34" s="14">
        <f t="shared" si="3"/>
        <v>1.3663580878665328E-2</v>
      </c>
      <c r="M34" s="14">
        <v>77.816848754882813</v>
      </c>
      <c r="N34" s="14" t="s">
        <v>24</v>
      </c>
      <c r="O34" s="13" t="s">
        <v>25</v>
      </c>
      <c r="R34" s="14"/>
      <c r="S34" s="12"/>
      <c r="T34" s="11" t="s">
        <v>16</v>
      </c>
      <c r="U34" s="11">
        <v>5.1876976437203792</v>
      </c>
      <c r="V34" s="11">
        <f t="shared" si="25"/>
        <v>4.9988083856407988</v>
      </c>
      <c r="W34" s="11"/>
      <c r="X34" s="11">
        <v>1.3663580878665328E-2</v>
      </c>
      <c r="Y34" s="11">
        <f t="shared" si="26"/>
        <v>1.6177068301550821</v>
      </c>
      <c r="Z34" s="11"/>
      <c r="AA34" s="11">
        <v>2.1349314808162129E-2</v>
      </c>
      <c r="AB34" s="11">
        <f t="shared" si="27"/>
        <v>2.1765298156553277</v>
      </c>
      <c r="AC34" s="10"/>
    </row>
    <row r="35" spans="1:37" x14ac:dyDescent="0.2">
      <c r="A35" s="15" t="s">
        <v>48</v>
      </c>
      <c r="B35" s="14" t="s">
        <v>15</v>
      </c>
      <c r="C35" s="14" t="s">
        <v>49</v>
      </c>
      <c r="D35" s="14">
        <v>22.319334030151367</v>
      </c>
      <c r="E35" s="14">
        <f>D35-16.26868</f>
        <v>6.0506540301513674</v>
      </c>
      <c r="F35" s="14">
        <f t="shared" si="1"/>
        <v>1.508591455325275E-2</v>
      </c>
      <c r="G35" s="14">
        <v>77.069931030273438</v>
      </c>
      <c r="H35" s="14" t="s">
        <v>24</v>
      </c>
      <c r="I35" s="14" t="s">
        <v>25</v>
      </c>
      <c r="J35" s="14">
        <v>18.789377212524414</v>
      </c>
      <c r="K35" s="14">
        <f>J35-12.08007</f>
        <v>6.7093072125244149</v>
      </c>
      <c r="L35" s="14">
        <f t="shared" si="3"/>
        <v>9.5564651175754616E-3</v>
      </c>
      <c r="M35" s="14">
        <v>76.777984619140625</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15</v>
      </c>
      <c r="C36" s="14" t="s">
        <v>49</v>
      </c>
      <c r="D36" s="14">
        <v>22.31207275390625</v>
      </c>
      <c r="E36" s="14">
        <f t="shared" ref="E36:E37" si="30">D36-16.26868</f>
        <v>6.0433927539062502</v>
      </c>
      <c r="F36" s="14">
        <f t="shared" si="1"/>
        <v>1.5162035372403593E-2</v>
      </c>
      <c r="G36" s="14">
        <v>77.069931030273438</v>
      </c>
      <c r="H36" s="14" t="s">
        <v>24</v>
      </c>
      <c r="I36" s="14" t="s">
        <v>25</v>
      </c>
      <c r="J36" s="14">
        <v>18.763290405273438</v>
      </c>
      <c r="K36" s="14">
        <f t="shared" ref="K36:K37" si="31">J36-12.08007</f>
        <v>6.6832204052734383</v>
      </c>
      <c r="L36" s="14">
        <f t="shared" si="3"/>
        <v>9.7308368335783033E-3</v>
      </c>
      <c r="M36" s="14">
        <v>76.777984619140625</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15</v>
      </c>
      <c r="C37" s="14" t="s">
        <v>49</v>
      </c>
      <c r="D37" s="14">
        <v>22.315404891967773</v>
      </c>
      <c r="E37" s="14">
        <f t="shared" si="30"/>
        <v>6.0467248919677736</v>
      </c>
      <c r="F37" s="14">
        <f t="shared" si="1"/>
        <v>1.512705660402344E-2</v>
      </c>
      <c r="G37" s="14">
        <v>76.914749145507813</v>
      </c>
      <c r="H37" s="14" t="s">
        <v>24</v>
      </c>
      <c r="I37" s="14" t="s">
        <v>25</v>
      </c>
      <c r="J37" s="14">
        <v>18.751766204833984</v>
      </c>
      <c r="K37" s="14">
        <f t="shared" si="31"/>
        <v>6.6716962048339852</v>
      </c>
      <c r="L37" s="14">
        <f t="shared" si="3"/>
        <v>9.8088777165380118E-3</v>
      </c>
      <c r="M37" s="14">
        <v>76.772872924804688</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108</v>
      </c>
      <c r="C38" s="14" t="s">
        <v>49</v>
      </c>
      <c r="D38" s="14">
        <v>21.93608283996582</v>
      </c>
      <c r="E38" s="14">
        <f>D38-16.01177</f>
        <v>5.9243128399658218</v>
      </c>
      <c r="F38" s="14">
        <f t="shared" si="1"/>
        <v>1.6466607414420451E-2</v>
      </c>
      <c r="G38" s="14">
        <v>76.914749145507813</v>
      </c>
      <c r="H38" s="14" t="s">
        <v>24</v>
      </c>
      <c r="I38" s="14" t="s">
        <v>25</v>
      </c>
      <c r="J38" s="14">
        <v>18.696210861206055</v>
      </c>
      <c r="K38" s="14">
        <f>J38-12.1627</f>
        <v>6.5335108612060555</v>
      </c>
      <c r="L38" s="14">
        <f t="shared" si="3"/>
        <v>1.0794865952976391E-2</v>
      </c>
      <c r="M38" s="14">
        <v>76.623794555664063</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108</v>
      </c>
      <c r="C39" s="14" t="s">
        <v>49</v>
      </c>
      <c r="D39" s="14">
        <v>21.961009979248047</v>
      </c>
      <c r="E39" s="14">
        <f t="shared" ref="E39:E40" si="32">D39-16.01177</f>
        <v>5.9492399792480484</v>
      </c>
      <c r="F39" s="14">
        <f t="shared" si="1"/>
        <v>1.6184538305403517E-2</v>
      </c>
      <c r="G39" s="14">
        <v>77.064590454101563</v>
      </c>
      <c r="H39" s="14" t="s">
        <v>24</v>
      </c>
      <c r="I39" s="14" t="s">
        <v>25</v>
      </c>
      <c r="J39" s="14">
        <v>18.663858413696289</v>
      </c>
      <c r="K39" s="14">
        <f t="shared" ref="K39:K40" si="33">J39-12.1627</f>
        <v>6.5011584136962899</v>
      </c>
      <c r="L39" s="14">
        <f t="shared" si="3"/>
        <v>1.1039675575665561E-2</v>
      </c>
      <c r="M39" s="14">
        <v>76.771705627441406</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108</v>
      </c>
      <c r="C40" s="14" t="s">
        <v>49</v>
      </c>
      <c r="D40" s="14">
        <v>21.912714004516602</v>
      </c>
      <c r="E40" s="14">
        <f t="shared" si="32"/>
        <v>5.9009440045166031</v>
      </c>
      <c r="F40" s="14">
        <f t="shared" si="1"/>
        <v>1.6735506156826455E-2</v>
      </c>
      <c r="G40" s="14">
        <v>77.064590454101563</v>
      </c>
      <c r="H40" s="14" t="s">
        <v>24</v>
      </c>
      <c r="I40" s="14" t="s">
        <v>25</v>
      </c>
      <c r="J40" s="14">
        <v>18.660745620727539</v>
      </c>
      <c r="K40" s="14">
        <f t="shared" si="33"/>
        <v>6.4980456207275399</v>
      </c>
      <c r="L40" s="14">
        <f t="shared" si="3"/>
        <v>1.106352075620861E-2</v>
      </c>
      <c r="M40" s="14">
        <v>76.771705627441406</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109</v>
      </c>
      <c r="C41" s="14" t="s">
        <v>49</v>
      </c>
      <c r="D41" s="14">
        <v>21.933263778686523</v>
      </c>
      <c r="E41" s="14">
        <f>D41-16.18673</f>
        <v>5.7465337786865227</v>
      </c>
      <c r="F41" s="14">
        <f t="shared" si="1"/>
        <v>1.8626058452086067E-2</v>
      </c>
      <c r="G41" s="14">
        <v>77.068374633789063</v>
      </c>
      <c r="H41" s="14" t="s">
        <v>24</v>
      </c>
      <c r="I41" s="14" t="s">
        <v>25</v>
      </c>
      <c r="J41" s="14">
        <v>18.467283248901367</v>
      </c>
      <c r="K41" s="14">
        <f>J41-12.96159</f>
        <v>5.5056932489013679</v>
      </c>
      <c r="L41" s="14">
        <f t="shared" si="3"/>
        <v>2.2010057907062466E-2</v>
      </c>
      <c r="M41" s="14">
        <v>76.623809814453125</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109</v>
      </c>
      <c r="C42" s="14" t="s">
        <v>49</v>
      </c>
      <c r="D42" s="14">
        <v>22.006626129150391</v>
      </c>
      <c r="E42" s="14">
        <f t="shared" ref="E42:E43" si="34">D42-16.18673</f>
        <v>5.8198961291503899</v>
      </c>
      <c r="F42" s="14">
        <f t="shared" si="1"/>
        <v>1.7702585208816912E-2</v>
      </c>
      <c r="G42" s="14">
        <v>76.919235229492188</v>
      </c>
      <c r="H42" s="14" t="s">
        <v>24</v>
      </c>
      <c r="I42" s="14" t="s">
        <v>25</v>
      </c>
      <c r="J42" s="14">
        <v>18.434816360473633</v>
      </c>
      <c r="K42" s="14">
        <f t="shared" ref="K42:K43" si="35">J42-12.96159</f>
        <v>5.4732263604736335</v>
      </c>
      <c r="L42" s="14">
        <f t="shared" si="3"/>
        <v>2.2510995048063198E-2</v>
      </c>
      <c r="M42" s="14">
        <v>76.623809814453125</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109</v>
      </c>
      <c r="C43" s="14" t="s">
        <v>49</v>
      </c>
      <c r="D43" s="14">
        <v>21.843406677246094</v>
      </c>
      <c r="E43" s="14">
        <f t="shared" si="34"/>
        <v>5.656676677246093</v>
      </c>
      <c r="F43" s="14">
        <f t="shared" si="1"/>
        <v>1.9823057667207558E-2</v>
      </c>
      <c r="G43" s="14">
        <v>77.064254760742188</v>
      </c>
      <c r="H43" s="14" t="s">
        <v>24</v>
      </c>
      <c r="I43" s="14" t="s">
        <v>25</v>
      </c>
      <c r="J43" s="14">
        <v>18.403644561767578</v>
      </c>
      <c r="K43" s="14">
        <f t="shared" si="35"/>
        <v>5.4420545617675788</v>
      </c>
      <c r="L43" s="14">
        <f t="shared" si="3"/>
        <v>2.3002674759056225E-2</v>
      </c>
      <c r="M43" s="14">
        <v>76.621871948242188</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13</v>
      </c>
      <c r="C44" s="14" t="s">
        <v>49</v>
      </c>
      <c r="D44" s="14">
        <v>21.856742858886719</v>
      </c>
      <c r="E44" s="14">
        <f>D44-16.08369</f>
        <v>5.773052858886718</v>
      </c>
      <c r="F44" s="14">
        <f t="shared" si="1"/>
        <v>1.8286808750594279E-2</v>
      </c>
      <c r="G44" s="14">
        <v>77.064254760742188</v>
      </c>
      <c r="H44" s="14" t="s">
        <v>24</v>
      </c>
      <c r="I44" s="14" t="s">
        <v>25</v>
      </c>
      <c r="J44" s="14">
        <v>18.644292831420898</v>
      </c>
      <c r="K44" s="14">
        <f>J44-13.1524</f>
        <v>5.4918928314208983</v>
      </c>
      <c r="L44" s="14">
        <f t="shared" si="3"/>
        <v>2.2221610180285196E-2</v>
      </c>
      <c r="M44" s="14">
        <v>76.770950317382813</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13</v>
      </c>
      <c r="C45" s="14" t="s">
        <v>49</v>
      </c>
      <c r="D45" s="14">
        <v>21.899374008178711</v>
      </c>
      <c r="E45" s="14">
        <f t="shared" ref="E45:E46" si="36">D45-16.08369</f>
        <v>5.8156840081787102</v>
      </c>
      <c r="F45" s="14">
        <f t="shared" si="1"/>
        <v>1.775434555016378E-2</v>
      </c>
      <c r="G45" s="14">
        <v>76.919235229492188</v>
      </c>
      <c r="H45" s="14" t="s">
        <v>24</v>
      </c>
      <c r="I45" s="14" t="s">
        <v>25</v>
      </c>
      <c r="J45" s="14">
        <v>18.634731292724609</v>
      </c>
      <c r="K45" s="14">
        <f t="shared" ref="K45:K46" si="37">J45-13.1524</f>
        <v>5.4823312927246093</v>
      </c>
      <c r="L45" s="14">
        <f t="shared" si="3"/>
        <v>2.2369374208729774E-2</v>
      </c>
      <c r="M45" s="14">
        <v>76.773162841796875</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13</v>
      </c>
      <c r="C46" s="14" t="s">
        <v>49</v>
      </c>
      <c r="D46" s="14">
        <v>21.861377716064453</v>
      </c>
      <c r="E46" s="14">
        <f t="shared" si="36"/>
        <v>5.7776877160644524</v>
      </c>
      <c r="F46" s="14">
        <f t="shared" si="1"/>
        <v>1.8228154119022164E-2</v>
      </c>
      <c r="G46" s="14">
        <v>76.919235229492188</v>
      </c>
      <c r="H46" s="14" t="s">
        <v>24</v>
      </c>
      <c r="I46" s="14" t="s">
        <v>25</v>
      </c>
      <c r="J46" s="14">
        <v>18.702066421508789</v>
      </c>
      <c r="K46" s="14">
        <f t="shared" si="37"/>
        <v>5.549666421508789</v>
      </c>
      <c r="L46" s="14">
        <f t="shared" si="3"/>
        <v>2.1349314808162129E-2</v>
      </c>
      <c r="M46" s="14">
        <v>76.773162841796875</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15</v>
      </c>
      <c r="C47" s="14" t="s">
        <v>0</v>
      </c>
      <c r="D47" s="14">
        <v>19.150749206542969</v>
      </c>
      <c r="E47" s="14" t="s">
        <v>24</v>
      </c>
      <c r="F47" s="14"/>
      <c r="G47" s="14">
        <v>76.17510986328125</v>
      </c>
      <c r="H47" s="14" t="s">
        <v>24</v>
      </c>
      <c r="I47" s="14" t="s">
        <v>25</v>
      </c>
      <c r="J47" s="14">
        <v>16.492925643920898</v>
      </c>
      <c r="K47" s="14"/>
      <c r="L47" s="14"/>
      <c r="M47" s="14">
        <v>75.883590698242188</v>
      </c>
      <c r="N47" s="14" t="s">
        <v>24</v>
      </c>
      <c r="O47" s="13" t="s">
        <v>25</v>
      </c>
      <c r="R47" s="14"/>
      <c r="S47" s="14"/>
      <c r="T47" s="14"/>
      <c r="U47" s="14"/>
      <c r="V47" s="14"/>
      <c r="W47" s="14"/>
      <c r="X47" s="14"/>
    </row>
    <row r="48" spans="1:37" x14ac:dyDescent="0.2">
      <c r="A48" s="15" t="s">
        <v>62</v>
      </c>
      <c r="B48" s="14" t="s">
        <v>15</v>
      </c>
      <c r="C48" s="14" t="s">
        <v>0</v>
      </c>
      <c r="D48" s="14">
        <v>19.150659561157227</v>
      </c>
      <c r="E48" s="14" t="s">
        <v>24</v>
      </c>
      <c r="F48" s="14"/>
      <c r="G48" s="14">
        <v>76.17510986328125</v>
      </c>
      <c r="H48" s="14" t="s">
        <v>24</v>
      </c>
      <c r="I48" s="14" t="s">
        <v>25</v>
      </c>
      <c r="J48" s="14">
        <v>16.415439605712891</v>
      </c>
      <c r="K48" s="14"/>
      <c r="L48" s="14"/>
      <c r="M48" s="14">
        <v>75.734519958496094</v>
      </c>
      <c r="N48" s="14" t="s">
        <v>24</v>
      </c>
      <c r="O48" s="13" t="s">
        <v>25</v>
      </c>
      <c r="R48" s="14"/>
      <c r="S48" s="14"/>
      <c r="T48" s="14"/>
      <c r="U48" s="14"/>
      <c r="V48" s="14"/>
      <c r="W48" s="14"/>
      <c r="X48" s="14"/>
    </row>
    <row r="49" spans="1:24" x14ac:dyDescent="0.2">
      <c r="A49" s="15" t="s">
        <v>63</v>
      </c>
      <c r="B49" s="14" t="s">
        <v>15</v>
      </c>
      <c r="C49" s="14" t="s">
        <v>0</v>
      </c>
      <c r="D49" s="14">
        <v>19.161256790161133</v>
      </c>
      <c r="E49" s="14" t="s">
        <v>24</v>
      </c>
      <c r="F49" s="14"/>
      <c r="G49" s="14">
        <v>76.169013977050781</v>
      </c>
      <c r="H49" s="14" t="s">
        <v>24</v>
      </c>
      <c r="I49" s="14" t="s">
        <v>25</v>
      </c>
      <c r="J49" s="14">
        <v>16.496917724609375</v>
      </c>
      <c r="K49" s="14"/>
      <c r="L49" s="14"/>
      <c r="M49" s="14">
        <v>75.878402709960938</v>
      </c>
      <c r="N49" s="14" t="s">
        <v>24</v>
      </c>
      <c r="O49" s="13" t="s">
        <v>25</v>
      </c>
      <c r="R49" s="14"/>
      <c r="S49" s="14"/>
      <c r="T49" s="14"/>
      <c r="U49" s="14"/>
      <c r="V49" s="14"/>
      <c r="W49" s="14"/>
      <c r="X49" s="14"/>
    </row>
    <row r="50" spans="1:24" x14ac:dyDescent="0.2">
      <c r="A50" s="15" t="s">
        <v>64</v>
      </c>
      <c r="B50" s="14" t="s">
        <v>108</v>
      </c>
      <c r="C50" s="14" t="s">
        <v>0</v>
      </c>
      <c r="D50" s="14">
        <v>19.734169006347656</v>
      </c>
      <c r="E50" s="14" t="s">
        <v>24</v>
      </c>
      <c r="F50" s="14"/>
      <c r="G50" s="14">
        <v>76.169013977050781</v>
      </c>
      <c r="H50" s="14" t="s">
        <v>24</v>
      </c>
      <c r="I50" s="14" t="s">
        <v>25</v>
      </c>
      <c r="J50" s="14">
        <v>16.451480865478516</v>
      </c>
      <c r="K50" s="14"/>
      <c r="L50" s="14"/>
      <c r="M50" s="14">
        <v>75.729324340820313</v>
      </c>
      <c r="N50" s="14" t="s">
        <v>24</v>
      </c>
      <c r="O50" s="13" t="s">
        <v>25</v>
      </c>
      <c r="R50" s="14"/>
      <c r="S50" s="14"/>
      <c r="T50" s="14"/>
      <c r="U50" s="14"/>
      <c r="V50" s="14"/>
      <c r="W50" s="14"/>
      <c r="X50" s="14"/>
    </row>
    <row r="51" spans="1:24" x14ac:dyDescent="0.2">
      <c r="A51" s="15" t="s">
        <v>66</v>
      </c>
      <c r="B51" s="14" t="s">
        <v>108</v>
      </c>
      <c r="C51" s="14" t="s">
        <v>0</v>
      </c>
      <c r="D51" s="14">
        <v>18.909873962402344</v>
      </c>
      <c r="E51" s="14" t="s">
        <v>24</v>
      </c>
      <c r="F51" s="14"/>
      <c r="G51" s="14">
        <v>76.1697998046875</v>
      </c>
      <c r="H51" s="14" t="s">
        <v>24</v>
      </c>
      <c r="I51" s="14" t="s">
        <v>25</v>
      </c>
      <c r="J51" s="14">
        <v>16.507064819335938</v>
      </c>
      <c r="K51" s="14"/>
      <c r="L51" s="14"/>
      <c r="M51" s="14">
        <v>75.877281188964844</v>
      </c>
      <c r="N51" s="14" t="s">
        <v>24</v>
      </c>
      <c r="O51" s="13" t="s">
        <v>25</v>
      </c>
      <c r="R51" s="14"/>
      <c r="S51" s="14"/>
      <c r="T51" s="14"/>
      <c r="U51" s="14"/>
      <c r="V51" s="14"/>
      <c r="W51" s="14"/>
      <c r="X51" s="14"/>
    </row>
    <row r="52" spans="1:24" x14ac:dyDescent="0.2">
      <c r="A52" s="15" t="s">
        <v>67</v>
      </c>
      <c r="B52" s="14" t="s">
        <v>108</v>
      </c>
      <c r="C52" s="14" t="s">
        <v>0</v>
      </c>
      <c r="D52" s="14">
        <v>18.842914581298828</v>
      </c>
      <c r="E52" s="14" t="s">
        <v>24</v>
      </c>
      <c r="F52" s="14"/>
      <c r="G52" s="14">
        <v>76.1697998046875</v>
      </c>
      <c r="H52" s="14" t="s">
        <v>24</v>
      </c>
      <c r="I52" s="14" t="s">
        <v>25</v>
      </c>
      <c r="J52" s="14">
        <v>16.430881500244141</v>
      </c>
      <c r="K52" s="14"/>
      <c r="L52" s="14"/>
      <c r="M52" s="14">
        <v>75.877281188964844</v>
      </c>
      <c r="N52" s="14" t="s">
        <v>24</v>
      </c>
      <c r="O52" s="13" t="s">
        <v>25</v>
      </c>
      <c r="R52" s="14"/>
      <c r="S52" s="14"/>
      <c r="T52" s="14"/>
      <c r="U52" s="14"/>
      <c r="V52" s="14"/>
      <c r="W52" s="14"/>
      <c r="X52" s="14"/>
    </row>
    <row r="53" spans="1:24" x14ac:dyDescent="0.2">
      <c r="A53" s="15" t="s">
        <v>68</v>
      </c>
      <c r="B53" s="14" t="s">
        <v>109</v>
      </c>
      <c r="C53" s="14" t="s">
        <v>0</v>
      </c>
      <c r="D53" s="14">
        <v>19.475475311279297</v>
      </c>
      <c r="E53" s="14" t="s">
        <v>24</v>
      </c>
      <c r="F53" s="14"/>
      <c r="G53" s="14">
        <v>76.173553466796875</v>
      </c>
      <c r="H53" s="14" t="s">
        <v>24</v>
      </c>
      <c r="I53" s="14" t="s">
        <v>25</v>
      </c>
      <c r="J53" s="14">
        <v>16.870901107788086</v>
      </c>
      <c r="K53" s="14"/>
      <c r="L53" s="14"/>
      <c r="M53" s="14">
        <v>75.729354858398438</v>
      </c>
      <c r="N53" s="14" t="s">
        <v>24</v>
      </c>
      <c r="O53" s="13" t="s">
        <v>25</v>
      </c>
      <c r="R53" s="14"/>
      <c r="S53" s="14"/>
      <c r="T53" s="14"/>
      <c r="U53" s="14"/>
      <c r="V53" s="14"/>
      <c r="W53" s="14"/>
      <c r="X53" s="14"/>
    </row>
    <row r="54" spans="1:24" x14ac:dyDescent="0.2">
      <c r="A54" s="15" t="s">
        <v>69</v>
      </c>
      <c r="B54" s="14" t="s">
        <v>109</v>
      </c>
      <c r="C54" s="14" t="s">
        <v>0</v>
      </c>
      <c r="D54" s="14">
        <v>19.489362716674805</v>
      </c>
      <c r="E54" s="14" t="s">
        <v>24</v>
      </c>
      <c r="F54" s="14"/>
      <c r="G54" s="14">
        <v>76.173553466796875</v>
      </c>
      <c r="H54" s="14" t="s">
        <v>24</v>
      </c>
      <c r="I54" s="14" t="s">
        <v>25</v>
      </c>
      <c r="J54" s="14">
        <v>16.866495132446289</v>
      </c>
      <c r="K54" s="14"/>
      <c r="L54" s="14"/>
      <c r="M54" s="14">
        <v>75.729354858398438</v>
      </c>
      <c r="N54" s="14" t="s">
        <v>24</v>
      </c>
      <c r="O54" s="13" t="s">
        <v>25</v>
      </c>
      <c r="R54" s="14"/>
      <c r="S54" s="14"/>
      <c r="T54" s="14"/>
      <c r="U54" s="14"/>
      <c r="V54" s="14"/>
      <c r="W54" s="14"/>
      <c r="X54" s="14"/>
    </row>
    <row r="55" spans="1:24" x14ac:dyDescent="0.2">
      <c r="A55" s="15" t="s">
        <v>70</v>
      </c>
      <c r="B55" s="14" t="s">
        <v>109</v>
      </c>
      <c r="C55" s="14" t="s">
        <v>0</v>
      </c>
      <c r="D55" s="14">
        <v>19.491401672363281</v>
      </c>
      <c r="E55" s="14" t="s">
        <v>24</v>
      </c>
      <c r="F55" s="14"/>
      <c r="G55" s="14">
        <v>76.169326782226563</v>
      </c>
      <c r="H55" s="14" t="s">
        <v>24</v>
      </c>
      <c r="I55" s="14" t="s">
        <v>25</v>
      </c>
      <c r="J55" s="14">
        <v>16.884931564331055</v>
      </c>
      <c r="K55" s="14"/>
      <c r="L55" s="14"/>
      <c r="M55" s="14">
        <v>75.727432250976563</v>
      </c>
      <c r="N55" s="14" t="s">
        <v>24</v>
      </c>
      <c r="O55" s="13" t="s">
        <v>25</v>
      </c>
      <c r="R55" s="14"/>
      <c r="S55" s="14"/>
      <c r="T55" s="14"/>
      <c r="U55" s="14"/>
      <c r="V55" s="14"/>
      <c r="W55" s="14"/>
      <c r="X55" s="14"/>
    </row>
    <row r="56" spans="1:24" x14ac:dyDescent="0.2">
      <c r="A56" s="15" t="s">
        <v>71</v>
      </c>
      <c r="B56" s="14" t="s">
        <v>13</v>
      </c>
      <c r="C56" s="14" t="s">
        <v>0</v>
      </c>
      <c r="D56" s="14">
        <v>19.453811645507813</v>
      </c>
      <c r="E56" s="14" t="s">
        <v>24</v>
      </c>
      <c r="F56" s="14"/>
      <c r="G56" s="14">
        <v>76.020172119140625</v>
      </c>
      <c r="H56" s="14" t="s">
        <v>24</v>
      </c>
      <c r="I56" s="14" t="s">
        <v>25</v>
      </c>
      <c r="J56" s="14">
        <v>17.049728393554688</v>
      </c>
      <c r="K56" s="14"/>
      <c r="L56" s="14"/>
      <c r="M56" s="14">
        <v>75.727432250976563</v>
      </c>
      <c r="N56" s="14" t="s">
        <v>24</v>
      </c>
      <c r="O56" s="13" t="s">
        <v>25</v>
      </c>
      <c r="R56" s="14"/>
      <c r="S56" s="14"/>
      <c r="T56" s="14"/>
      <c r="U56" s="14"/>
      <c r="V56" s="14"/>
      <c r="W56" s="14"/>
      <c r="X56" s="14"/>
    </row>
    <row r="57" spans="1:24" x14ac:dyDescent="0.2">
      <c r="A57" s="15" t="s">
        <v>72</v>
      </c>
      <c r="B57" s="14" t="s">
        <v>13</v>
      </c>
      <c r="C57" s="14" t="s">
        <v>0</v>
      </c>
      <c r="D57" s="14">
        <v>19.464651107788086</v>
      </c>
      <c r="E57" s="14" t="s">
        <v>24</v>
      </c>
      <c r="F57" s="14"/>
      <c r="G57" s="14">
        <v>76.024337768554688</v>
      </c>
      <c r="H57" s="14" t="s">
        <v>24</v>
      </c>
      <c r="I57" s="14" t="s">
        <v>25</v>
      </c>
      <c r="J57" s="14">
        <v>17.043024063110352</v>
      </c>
      <c r="K57" s="14"/>
      <c r="L57" s="14"/>
      <c r="M57" s="14">
        <v>75.729469299316406</v>
      </c>
      <c r="N57" s="14" t="s">
        <v>24</v>
      </c>
      <c r="O57" s="13" t="s">
        <v>25</v>
      </c>
      <c r="R57" s="14"/>
      <c r="S57" s="14"/>
      <c r="T57" s="14"/>
      <c r="U57" s="14"/>
      <c r="V57" s="14"/>
      <c r="W57" s="14"/>
      <c r="X57" s="14"/>
    </row>
    <row r="58" spans="1:24" x14ac:dyDescent="0.2">
      <c r="A58" s="15" t="s">
        <v>73</v>
      </c>
      <c r="B58" s="14" t="s">
        <v>13</v>
      </c>
      <c r="C58" s="14" t="s">
        <v>0</v>
      </c>
      <c r="D58" s="14">
        <v>19.468704223632813</v>
      </c>
      <c r="E58" s="14" t="s">
        <v>24</v>
      </c>
      <c r="F58" s="14"/>
      <c r="G58" s="14">
        <v>76.024337768554688</v>
      </c>
      <c r="H58" s="14" t="s">
        <v>24</v>
      </c>
      <c r="I58" s="14" t="s">
        <v>25</v>
      </c>
      <c r="J58" s="14">
        <v>17.073539733886719</v>
      </c>
      <c r="K58" s="14"/>
      <c r="L58" s="14"/>
      <c r="M58" s="14">
        <v>75.729469299316406</v>
      </c>
      <c r="N58" s="14" t="s">
        <v>24</v>
      </c>
      <c r="O58" s="13" t="s">
        <v>25</v>
      </c>
      <c r="R58" s="14"/>
      <c r="S58" s="14"/>
      <c r="T58" s="14"/>
      <c r="U58" s="14"/>
      <c r="V58" s="14"/>
      <c r="W58" s="14"/>
      <c r="X58" s="14"/>
    </row>
    <row r="59" spans="1:24" x14ac:dyDescent="0.2">
      <c r="A59" s="15" t="s">
        <v>74</v>
      </c>
      <c r="B59" s="14" t="s">
        <v>15</v>
      </c>
      <c r="C59" s="14" t="s">
        <v>1</v>
      </c>
      <c r="D59" s="14">
        <v>15.593162536621094</v>
      </c>
      <c r="E59" s="14" t="s">
        <v>24</v>
      </c>
      <c r="F59" s="14"/>
      <c r="G59" s="14">
        <v>81.096588134765625</v>
      </c>
      <c r="H59" s="14" t="s">
        <v>24</v>
      </c>
      <c r="I59" s="14" t="s">
        <v>25</v>
      </c>
      <c r="J59" s="14">
        <v>14.310243606567383</v>
      </c>
      <c r="K59" s="14"/>
      <c r="L59" s="14"/>
      <c r="M59" s="14">
        <v>80.951850891113281</v>
      </c>
      <c r="N59" s="14" t="s">
        <v>24</v>
      </c>
      <c r="O59" s="13" t="s">
        <v>25</v>
      </c>
      <c r="R59" s="14"/>
      <c r="S59" s="14"/>
      <c r="T59" s="14"/>
      <c r="U59" s="14"/>
      <c r="V59" s="14"/>
      <c r="W59" s="14"/>
      <c r="X59" s="14"/>
    </row>
    <row r="60" spans="1:24" x14ac:dyDescent="0.2">
      <c r="A60" s="15" t="s">
        <v>75</v>
      </c>
      <c r="B60" s="14" t="s">
        <v>15</v>
      </c>
      <c r="C60" s="14" t="s">
        <v>1</v>
      </c>
      <c r="D60" s="14">
        <v>15.597367286682129</v>
      </c>
      <c r="E60" s="14" t="s">
        <v>24</v>
      </c>
      <c r="F60" s="14"/>
      <c r="G60" s="14">
        <v>81.096588134765625</v>
      </c>
      <c r="H60" s="14" t="s">
        <v>24</v>
      </c>
      <c r="I60" s="14" t="s">
        <v>25</v>
      </c>
      <c r="J60" s="14">
        <v>14.38286304473877</v>
      </c>
      <c r="K60" s="14"/>
      <c r="L60" s="14"/>
      <c r="M60" s="14">
        <v>80.802780151367188</v>
      </c>
      <c r="N60" s="14" t="s">
        <v>24</v>
      </c>
      <c r="O60" s="13" t="s">
        <v>25</v>
      </c>
      <c r="R60" s="14"/>
      <c r="S60" s="14"/>
      <c r="T60" s="14"/>
      <c r="U60" s="14"/>
      <c r="V60" s="14"/>
      <c r="W60" s="14"/>
      <c r="X60" s="14"/>
    </row>
    <row r="61" spans="1:24" x14ac:dyDescent="0.2">
      <c r="A61" s="15" t="s">
        <v>76</v>
      </c>
      <c r="B61" s="14" t="s">
        <v>15</v>
      </c>
      <c r="C61" s="14" t="s">
        <v>1</v>
      </c>
      <c r="D61" s="14">
        <v>15.607211112976074</v>
      </c>
      <c r="E61" s="14" t="s">
        <v>24</v>
      </c>
      <c r="F61" s="14"/>
      <c r="G61" s="14">
        <v>81.090835571289063</v>
      </c>
      <c r="H61" s="14" t="s">
        <v>24</v>
      </c>
      <c r="I61" s="14" t="s">
        <v>25</v>
      </c>
      <c r="J61" s="14">
        <v>14.390717506408691</v>
      </c>
      <c r="K61" s="14"/>
      <c r="L61" s="14"/>
      <c r="M61" s="14">
        <v>80.947059631347656</v>
      </c>
      <c r="N61" s="14" t="s">
        <v>24</v>
      </c>
      <c r="O61" s="13" t="s">
        <v>25</v>
      </c>
      <c r="R61" s="14"/>
      <c r="S61" s="14"/>
      <c r="T61" s="14"/>
      <c r="U61" s="14"/>
      <c r="V61" s="14"/>
      <c r="W61" s="14"/>
      <c r="X61" s="14"/>
    </row>
    <row r="62" spans="1:24" x14ac:dyDescent="0.2">
      <c r="A62" s="15" t="s">
        <v>77</v>
      </c>
      <c r="B62" s="14" t="s">
        <v>108</v>
      </c>
      <c r="C62" s="14" t="s">
        <v>1</v>
      </c>
      <c r="D62" s="14">
        <v>15.218937873840332</v>
      </c>
      <c r="E62" s="14" t="s">
        <v>24</v>
      </c>
      <c r="F62" s="14"/>
      <c r="G62" s="14">
        <v>81.090835571289063</v>
      </c>
      <c r="H62" s="14" t="s">
        <v>24</v>
      </c>
      <c r="I62" s="14" t="s">
        <v>25</v>
      </c>
      <c r="J62" s="14">
        <v>13.948448181152344</v>
      </c>
      <c r="K62" s="14"/>
      <c r="L62" s="14"/>
      <c r="M62" s="14">
        <v>80.797981262207031</v>
      </c>
      <c r="N62" s="14" t="s">
        <v>24</v>
      </c>
      <c r="O62" s="13" t="s">
        <v>25</v>
      </c>
      <c r="R62" s="14"/>
      <c r="S62" s="14"/>
      <c r="T62" s="14"/>
      <c r="U62" s="14"/>
      <c r="V62" s="14"/>
      <c r="W62" s="14"/>
      <c r="X62" s="14"/>
    </row>
    <row r="63" spans="1:24" x14ac:dyDescent="0.2">
      <c r="A63" s="15" t="s">
        <v>78</v>
      </c>
      <c r="B63" s="14" t="s">
        <v>108</v>
      </c>
      <c r="C63" s="14" t="s">
        <v>1</v>
      </c>
      <c r="D63" s="14">
        <v>15.240972518920898</v>
      </c>
      <c r="E63" s="14" t="s">
        <v>24</v>
      </c>
      <c r="F63" s="14"/>
      <c r="G63" s="14">
        <v>81.240280151367188</v>
      </c>
      <c r="H63" s="14" t="s">
        <v>24</v>
      </c>
      <c r="I63" s="14" t="s">
        <v>25</v>
      </c>
      <c r="J63" s="14">
        <v>13.929136276245117</v>
      </c>
      <c r="K63" s="14"/>
      <c r="L63" s="14"/>
      <c r="M63" s="14">
        <v>80.945701599121094</v>
      </c>
      <c r="N63" s="14" t="s">
        <v>24</v>
      </c>
      <c r="O63" s="13" t="s">
        <v>25</v>
      </c>
      <c r="R63" s="14"/>
      <c r="S63" s="14"/>
      <c r="T63" s="14"/>
      <c r="U63" s="14"/>
      <c r="V63" s="14"/>
      <c r="W63" s="14"/>
      <c r="X63" s="14"/>
    </row>
    <row r="64" spans="1:24" x14ac:dyDescent="0.2">
      <c r="A64" s="15" t="s">
        <v>79</v>
      </c>
      <c r="B64" s="14" t="s">
        <v>108</v>
      </c>
      <c r="C64" s="14" t="s">
        <v>1</v>
      </c>
      <c r="D64" s="14">
        <v>15.230190277099609</v>
      </c>
      <c r="E64" s="14" t="s">
        <v>24</v>
      </c>
      <c r="F64" s="14"/>
      <c r="G64" s="14">
        <v>81.240280151367188</v>
      </c>
      <c r="H64" s="14" t="s">
        <v>24</v>
      </c>
      <c r="I64" s="14" t="s">
        <v>25</v>
      </c>
      <c r="J64" s="14">
        <v>13.944459915161133</v>
      </c>
      <c r="K64" s="14"/>
      <c r="L64" s="14"/>
      <c r="M64" s="14">
        <v>80.945701599121094</v>
      </c>
      <c r="N64" s="14" t="s">
        <v>24</v>
      </c>
      <c r="O64" s="13" t="s">
        <v>25</v>
      </c>
      <c r="R64" s="14"/>
      <c r="S64" s="14"/>
      <c r="T64" s="14"/>
      <c r="U64" s="14"/>
      <c r="V64" s="14"/>
      <c r="W64" s="14"/>
      <c r="X64" s="14"/>
    </row>
    <row r="65" spans="1:24" x14ac:dyDescent="0.2">
      <c r="A65" s="15" t="s">
        <v>80</v>
      </c>
      <c r="B65" s="14" t="s">
        <v>109</v>
      </c>
      <c r="C65" s="14" t="s">
        <v>1</v>
      </c>
      <c r="D65" s="14">
        <v>15.348179817199707</v>
      </c>
      <c r="E65" s="14" t="s">
        <v>24</v>
      </c>
      <c r="F65" s="14"/>
      <c r="G65" s="14">
        <v>81.095046997070313</v>
      </c>
      <c r="H65" s="14" t="s">
        <v>24</v>
      </c>
      <c r="I65" s="14" t="s">
        <v>25</v>
      </c>
      <c r="J65" s="14">
        <v>14.323452949523926</v>
      </c>
      <c r="K65" s="14"/>
      <c r="L65" s="14"/>
      <c r="M65" s="14">
        <v>80.797920227050781</v>
      </c>
      <c r="N65" s="14" t="s">
        <v>24</v>
      </c>
      <c r="O65" s="13" t="s">
        <v>25</v>
      </c>
      <c r="R65" s="14"/>
      <c r="S65" s="14"/>
      <c r="T65" s="14"/>
      <c r="U65" s="14"/>
      <c r="V65" s="14"/>
      <c r="W65" s="14"/>
      <c r="X65" s="14"/>
    </row>
    <row r="66" spans="1:24" x14ac:dyDescent="0.2">
      <c r="A66" s="15" t="s">
        <v>81</v>
      </c>
      <c r="B66" s="14" t="s">
        <v>109</v>
      </c>
      <c r="C66" s="14" t="s">
        <v>1</v>
      </c>
      <c r="D66" s="14">
        <v>15.360507011413574</v>
      </c>
      <c r="E66" s="14" t="s">
        <v>24</v>
      </c>
      <c r="F66" s="14"/>
      <c r="G66" s="14">
        <v>81.095046997070313</v>
      </c>
      <c r="H66" s="14" t="s">
        <v>24</v>
      </c>
      <c r="I66" s="14" t="s">
        <v>25</v>
      </c>
      <c r="J66" s="14">
        <v>14.340000152587891</v>
      </c>
      <c r="K66" s="14"/>
      <c r="L66" s="14"/>
      <c r="M66" s="14">
        <v>80.797920227050781</v>
      </c>
      <c r="N66" s="14" t="s">
        <v>24</v>
      </c>
      <c r="O66" s="13" t="s">
        <v>25</v>
      </c>
      <c r="R66" s="14"/>
      <c r="S66" s="14"/>
      <c r="T66" s="14"/>
      <c r="U66" s="14"/>
      <c r="V66" s="14"/>
      <c r="W66" s="14"/>
      <c r="X66" s="14"/>
    </row>
    <row r="67" spans="1:24" x14ac:dyDescent="0.2">
      <c r="A67" s="15" t="s">
        <v>82</v>
      </c>
      <c r="B67" s="14" t="s">
        <v>109</v>
      </c>
      <c r="C67" s="14" t="s">
        <v>1</v>
      </c>
      <c r="D67" s="14">
        <v>15.358417510986328</v>
      </c>
      <c r="E67" s="14" t="s">
        <v>24</v>
      </c>
      <c r="F67" s="14"/>
      <c r="G67" s="14">
        <v>80.942276000976563</v>
      </c>
      <c r="H67" s="14" t="s">
        <v>24</v>
      </c>
      <c r="I67" s="14" t="s">
        <v>25</v>
      </c>
      <c r="J67" s="14">
        <v>14.310299873352051</v>
      </c>
      <c r="K67" s="14"/>
      <c r="L67" s="14"/>
      <c r="M67" s="14">
        <v>80.795928955078125</v>
      </c>
      <c r="N67" s="14" t="s">
        <v>24</v>
      </c>
      <c r="O67" s="13" t="s">
        <v>25</v>
      </c>
      <c r="R67" s="14"/>
      <c r="S67" s="14"/>
      <c r="T67" s="14"/>
      <c r="U67" s="14"/>
      <c r="V67" s="14"/>
      <c r="W67" s="14"/>
      <c r="X67" s="14"/>
    </row>
    <row r="68" spans="1:24" x14ac:dyDescent="0.2">
      <c r="A68" s="15" t="s">
        <v>83</v>
      </c>
      <c r="B68" s="14" t="s">
        <v>13</v>
      </c>
      <c r="C68" s="14" t="s">
        <v>1</v>
      </c>
      <c r="D68" s="14">
        <v>15.126803398132324</v>
      </c>
      <c r="E68" s="14" t="s">
        <v>24</v>
      </c>
      <c r="F68" s="14"/>
      <c r="G68" s="14">
        <v>80.942276000976563</v>
      </c>
      <c r="H68" s="14" t="s">
        <v>24</v>
      </c>
      <c r="I68" s="14" t="s">
        <v>25</v>
      </c>
      <c r="J68" s="14">
        <v>14.343393325805664</v>
      </c>
      <c r="K68" s="14"/>
      <c r="L68" s="14"/>
      <c r="M68" s="14">
        <v>80.795928955078125</v>
      </c>
      <c r="N68" s="14" t="s">
        <v>24</v>
      </c>
      <c r="O68" s="13" t="s">
        <v>25</v>
      </c>
      <c r="R68" s="14"/>
      <c r="S68" s="14"/>
      <c r="T68" s="14"/>
      <c r="U68" s="14"/>
      <c r="V68" s="14"/>
      <c r="W68" s="14"/>
      <c r="X68" s="14"/>
    </row>
    <row r="69" spans="1:24" x14ac:dyDescent="0.2">
      <c r="A69" s="15" t="s">
        <v>84</v>
      </c>
      <c r="B69" s="14" t="s">
        <v>13</v>
      </c>
      <c r="C69" s="14" t="s">
        <v>1</v>
      </c>
      <c r="D69" s="14">
        <v>15.147439002990723</v>
      </c>
      <c r="E69" s="14" t="s">
        <v>24</v>
      </c>
      <c r="F69" s="14"/>
      <c r="G69" s="14">
        <v>80.946243286132813</v>
      </c>
      <c r="H69" s="14" t="s">
        <v>24</v>
      </c>
      <c r="I69" s="14" t="s">
        <v>25</v>
      </c>
      <c r="J69" s="14">
        <v>14.333771705627441</v>
      </c>
      <c r="K69" s="14"/>
      <c r="L69" s="14"/>
      <c r="M69" s="14">
        <v>80.798828125</v>
      </c>
      <c r="N69" s="14" t="s">
        <v>24</v>
      </c>
      <c r="O69" s="13" t="s">
        <v>25</v>
      </c>
      <c r="R69" s="14"/>
      <c r="S69" s="14"/>
      <c r="T69" s="14"/>
      <c r="U69" s="14"/>
      <c r="V69" s="14"/>
      <c r="W69" s="14"/>
      <c r="X69" s="14"/>
    </row>
    <row r="70" spans="1:24" x14ac:dyDescent="0.2">
      <c r="A70" s="15" t="s">
        <v>85</v>
      </c>
      <c r="B70" s="14" t="s">
        <v>13</v>
      </c>
      <c r="C70" s="14" t="s">
        <v>1</v>
      </c>
      <c r="D70" s="14">
        <v>15.165060043334961</v>
      </c>
      <c r="E70" s="14" t="s">
        <v>24</v>
      </c>
      <c r="F70" s="14"/>
      <c r="G70" s="14">
        <v>80.946243286132813</v>
      </c>
      <c r="H70" s="14" t="s">
        <v>24</v>
      </c>
      <c r="I70" s="14" t="s">
        <v>25</v>
      </c>
      <c r="J70" s="14">
        <v>14.349684715270996</v>
      </c>
      <c r="K70" s="14"/>
      <c r="L70" s="14"/>
      <c r="M70" s="14">
        <v>80.798828125</v>
      </c>
      <c r="N70" s="14" t="s">
        <v>24</v>
      </c>
      <c r="O70" s="13" t="s">
        <v>25</v>
      </c>
      <c r="R70" s="14"/>
      <c r="S70" s="14"/>
      <c r="T70" s="14"/>
      <c r="U70" s="14"/>
      <c r="V70" s="14"/>
      <c r="W70" s="14"/>
      <c r="X70" s="14"/>
    </row>
    <row r="71" spans="1:24" x14ac:dyDescent="0.2">
      <c r="A71" s="15" t="s">
        <v>86</v>
      </c>
      <c r="B71" s="14" t="s">
        <v>15</v>
      </c>
      <c r="C71" s="14" t="s">
        <v>2</v>
      </c>
      <c r="D71" s="14">
        <v>14.059629440307617</v>
      </c>
      <c r="E71" s="14" t="s">
        <v>24</v>
      </c>
      <c r="F71" s="14"/>
      <c r="G71" s="14">
        <v>78.263015747070313</v>
      </c>
      <c r="H71" s="14" t="s">
        <v>24</v>
      </c>
      <c r="I71" s="14" t="s">
        <v>25</v>
      </c>
      <c r="J71" s="14">
        <v>5.4420595169067383</v>
      </c>
      <c r="K71" s="14"/>
      <c r="L71" s="14"/>
      <c r="M71" s="14">
        <v>77.5233154296875</v>
      </c>
      <c r="N71" s="14" t="s">
        <v>24</v>
      </c>
      <c r="O71" s="13" t="s">
        <v>25</v>
      </c>
      <c r="R71" s="14"/>
      <c r="S71" s="14"/>
      <c r="T71" s="14"/>
      <c r="U71" s="14"/>
      <c r="V71" s="14"/>
      <c r="W71" s="14"/>
      <c r="X71" s="14"/>
    </row>
    <row r="72" spans="1:24" x14ac:dyDescent="0.2">
      <c r="A72" s="15" t="s">
        <v>87</v>
      </c>
      <c r="B72" s="14" t="s">
        <v>15</v>
      </c>
      <c r="C72" s="14" t="s">
        <v>2</v>
      </c>
      <c r="D72" s="14">
        <v>14.032750129699707</v>
      </c>
      <c r="E72" s="14" t="s">
        <v>24</v>
      </c>
      <c r="F72" s="14"/>
      <c r="G72" s="14">
        <v>78.263015747070313</v>
      </c>
      <c r="H72" s="14" t="s">
        <v>24</v>
      </c>
      <c r="I72" s="14" t="s">
        <v>25</v>
      </c>
      <c r="J72" s="14">
        <v>5.4467868804931641</v>
      </c>
      <c r="K72" s="14"/>
      <c r="L72" s="14"/>
      <c r="M72" s="14">
        <v>77.821456909179688</v>
      </c>
      <c r="N72" s="14" t="s">
        <v>24</v>
      </c>
      <c r="O72" s="13" t="s">
        <v>25</v>
      </c>
      <c r="R72" s="14"/>
      <c r="S72" s="14"/>
      <c r="T72" s="14"/>
      <c r="U72" s="14"/>
      <c r="V72" s="14"/>
      <c r="W72" s="14"/>
      <c r="X72" s="14"/>
    </row>
    <row r="73" spans="1:24" x14ac:dyDescent="0.2">
      <c r="A73" s="15" t="s">
        <v>88</v>
      </c>
      <c r="B73" s="14" t="s">
        <v>15</v>
      </c>
      <c r="C73" s="14" t="s">
        <v>2</v>
      </c>
      <c r="D73" s="14">
        <v>14.065370559692383</v>
      </c>
      <c r="E73" s="14" t="s">
        <v>24</v>
      </c>
      <c r="F73" s="14"/>
      <c r="G73" s="14">
        <v>78.257057189941406</v>
      </c>
      <c r="H73" s="14" t="s">
        <v>24</v>
      </c>
      <c r="I73" s="14" t="s">
        <v>25</v>
      </c>
      <c r="J73" s="14">
        <v>5.3426761627197266</v>
      </c>
      <c r="K73" s="14"/>
      <c r="L73" s="14"/>
      <c r="M73" s="14">
        <v>77.965499877929688</v>
      </c>
      <c r="N73" s="14" t="s">
        <v>24</v>
      </c>
      <c r="O73" s="13" t="s">
        <v>25</v>
      </c>
      <c r="R73" s="14"/>
      <c r="S73" s="14"/>
      <c r="T73" s="14"/>
      <c r="U73" s="14"/>
      <c r="V73" s="14"/>
      <c r="W73" s="14"/>
      <c r="X73" s="14"/>
    </row>
    <row r="74" spans="1:24" x14ac:dyDescent="0.2">
      <c r="A74" s="15" t="s">
        <v>89</v>
      </c>
      <c r="B74" s="14" t="s">
        <v>108</v>
      </c>
      <c r="C74" s="14" t="s">
        <v>2</v>
      </c>
      <c r="D74" s="14">
        <v>13.604740142822266</v>
      </c>
      <c r="E74" s="14" t="s">
        <v>24</v>
      </c>
      <c r="F74" s="14"/>
      <c r="G74" s="14">
        <v>78.257057189941406</v>
      </c>
      <c r="H74" s="14" t="s">
        <v>24</v>
      </c>
      <c r="I74" s="14" t="s">
        <v>25</v>
      </c>
      <c r="J74" s="14">
        <v>6.2220044136047363</v>
      </c>
      <c r="K74" s="14"/>
      <c r="L74" s="14"/>
      <c r="M74" s="14">
        <v>77.965499877929688</v>
      </c>
      <c r="N74" s="14" t="s">
        <v>24</v>
      </c>
      <c r="O74" s="13" t="s">
        <v>25</v>
      </c>
      <c r="R74" s="14"/>
      <c r="S74" s="14"/>
      <c r="T74" s="14"/>
      <c r="U74" s="14"/>
      <c r="V74" s="14"/>
      <c r="W74" s="14"/>
      <c r="X74" s="14"/>
    </row>
    <row r="75" spans="1:24" x14ac:dyDescent="0.2">
      <c r="A75" s="15" t="s">
        <v>90</v>
      </c>
      <c r="B75" s="14" t="s">
        <v>108</v>
      </c>
      <c r="C75" s="14" t="s">
        <v>2</v>
      </c>
      <c r="D75" s="14">
        <v>13.590402603149414</v>
      </c>
      <c r="E75" s="14" t="s">
        <v>24</v>
      </c>
      <c r="F75" s="14"/>
      <c r="G75" s="14">
        <v>78.257644653320313</v>
      </c>
      <c r="H75" s="14" t="s">
        <v>24</v>
      </c>
      <c r="I75" s="14" t="s">
        <v>25</v>
      </c>
      <c r="J75" s="14">
        <v>5.8002715110778809</v>
      </c>
      <c r="K75" s="14"/>
      <c r="L75" s="14"/>
      <c r="M75" s="14">
        <v>77.964279174804688</v>
      </c>
      <c r="N75" s="14" t="s">
        <v>24</v>
      </c>
      <c r="O75" s="13" t="s">
        <v>65</v>
      </c>
      <c r="R75" s="14"/>
      <c r="S75" s="14"/>
      <c r="T75" s="14"/>
      <c r="U75" s="14"/>
      <c r="V75" s="14"/>
      <c r="W75" s="14"/>
      <c r="X75" s="14"/>
    </row>
    <row r="76" spans="1:24" x14ac:dyDescent="0.2">
      <c r="A76" s="15" t="s">
        <v>91</v>
      </c>
      <c r="B76" s="14" t="s">
        <v>108</v>
      </c>
      <c r="C76" s="14" t="s">
        <v>2</v>
      </c>
      <c r="D76" s="14">
        <v>13.733729362487793</v>
      </c>
      <c r="E76" s="14" t="s">
        <v>24</v>
      </c>
      <c r="F76" s="14"/>
      <c r="G76" s="14">
        <v>78.257644653320313</v>
      </c>
      <c r="H76" s="14" t="s">
        <v>24</v>
      </c>
      <c r="I76" s="14" t="s">
        <v>25</v>
      </c>
      <c r="J76" s="14">
        <v>6.2305083274841309</v>
      </c>
      <c r="K76" s="14"/>
      <c r="L76" s="14"/>
      <c r="M76" s="14">
        <v>77.964279174804688</v>
      </c>
      <c r="N76" s="14" t="s">
        <v>24</v>
      </c>
      <c r="O76" s="13" t="s">
        <v>25</v>
      </c>
      <c r="R76" s="14"/>
      <c r="S76" s="14"/>
      <c r="T76" s="14"/>
      <c r="U76" s="14"/>
      <c r="V76" s="14"/>
      <c r="W76" s="14"/>
      <c r="X76" s="14"/>
    </row>
    <row r="77" spans="1:24" x14ac:dyDescent="0.2">
      <c r="A77" s="15" t="s">
        <v>92</v>
      </c>
      <c r="B77" s="14" t="s">
        <v>109</v>
      </c>
      <c r="C77" s="14" t="s">
        <v>2</v>
      </c>
      <c r="D77" s="14">
        <v>13.752867698669434</v>
      </c>
      <c r="E77" s="14" t="s">
        <v>24</v>
      </c>
      <c r="F77" s="14"/>
      <c r="G77" s="14">
        <v>78.112319946289063</v>
      </c>
      <c r="H77" s="14" t="s">
        <v>24</v>
      </c>
      <c r="I77" s="14" t="s">
        <v>25</v>
      </c>
      <c r="J77" s="14">
        <v>7.5316624641418457</v>
      </c>
      <c r="K77" s="14"/>
      <c r="L77" s="14"/>
      <c r="M77" s="14">
        <v>77.81640625</v>
      </c>
      <c r="N77" s="14" t="s">
        <v>24</v>
      </c>
      <c r="O77" s="13" t="s">
        <v>25</v>
      </c>
      <c r="R77" s="14"/>
      <c r="S77" s="14"/>
      <c r="T77" s="14"/>
      <c r="U77" s="14"/>
      <c r="V77" s="14"/>
      <c r="W77" s="14"/>
      <c r="X77" s="14"/>
    </row>
    <row r="78" spans="1:24" x14ac:dyDescent="0.2">
      <c r="A78" s="15" t="s">
        <v>93</v>
      </c>
      <c r="B78" s="14" t="s">
        <v>109</v>
      </c>
      <c r="C78" s="14" t="s">
        <v>2</v>
      </c>
      <c r="D78" s="14">
        <v>13.714787483215332</v>
      </c>
      <c r="E78" s="14" t="s">
        <v>24</v>
      </c>
      <c r="F78" s="14"/>
      <c r="G78" s="14">
        <v>78.112319946289063</v>
      </c>
      <c r="H78" s="14" t="s">
        <v>24</v>
      </c>
      <c r="I78" s="14" t="s">
        <v>25</v>
      </c>
      <c r="J78" s="14">
        <v>7.9077296257019043</v>
      </c>
      <c r="K78" s="14"/>
      <c r="L78" s="14"/>
      <c r="M78" s="14">
        <v>77.81640625</v>
      </c>
      <c r="N78" s="14" t="s">
        <v>24</v>
      </c>
      <c r="O78" s="13" t="s">
        <v>25</v>
      </c>
      <c r="R78" s="14"/>
      <c r="S78" s="14"/>
      <c r="T78" s="14"/>
      <c r="U78" s="14"/>
      <c r="V78" s="14"/>
      <c r="W78" s="14"/>
      <c r="X78" s="14"/>
    </row>
    <row r="79" spans="1:24" x14ac:dyDescent="0.2">
      <c r="A79" s="15" t="s">
        <v>94</v>
      </c>
      <c r="B79" s="14" t="s">
        <v>109</v>
      </c>
      <c r="C79" s="14" t="s">
        <v>2</v>
      </c>
      <c r="D79" s="14">
        <v>13.689573287963867</v>
      </c>
      <c r="E79" s="14" t="s">
        <v>24</v>
      </c>
      <c r="F79" s="14"/>
      <c r="G79" s="14">
        <v>78.10833740234375</v>
      </c>
      <c r="H79" s="14" t="s">
        <v>24</v>
      </c>
      <c r="I79" s="14" t="s">
        <v>25</v>
      </c>
      <c r="J79" s="14">
        <v>7.6188082695007324</v>
      </c>
      <c r="K79" s="14"/>
      <c r="L79" s="14"/>
      <c r="M79" s="14">
        <v>77.814460754394531</v>
      </c>
      <c r="N79" s="14" t="s">
        <v>24</v>
      </c>
      <c r="O79" s="13" t="s">
        <v>25</v>
      </c>
      <c r="R79" s="14"/>
      <c r="S79" s="14"/>
      <c r="T79" s="14"/>
      <c r="U79" s="14"/>
      <c r="V79" s="14"/>
      <c r="W79" s="14"/>
      <c r="X79" s="14"/>
    </row>
    <row r="80" spans="1:24" x14ac:dyDescent="0.2">
      <c r="A80" s="15" t="s">
        <v>95</v>
      </c>
      <c r="B80" s="14" t="s">
        <v>13</v>
      </c>
      <c r="C80" s="14" t="s">
        <v>2</v>
      </c>
      <c r="D80" s="14">
        <v>13.634609222412109</v>
      </c>
      <c r="E80" s="14" t="s">
        <v>24</v>
      </c>
      <c r="F80" s="14"/>
      <c r="G80" s="14">
        <v>78.10833740234375</v>
      </c>
      <c r="H80" s="14" t="s">
        <v>24</v>
      </c>
      <c r="I80" s="14" t="s">
        <v>25</v>
      </c>
      <c r="J80" s="14">
        <v>8.1624727249145508</v>
      </c>
      <c r="K80" s="14"/>
      <c r="L80" s="14"/>
      <c r="M80" s="14">
        <v>77.814460754394531</v>
      </c>
      <c r="N80" s="14" t="s">
        <v>24</v>
      </c>
      <c r="O80" s="13" t="s">
        <v>25</v>
      </c>
      <c r="R80" s="14"/>
      <c r="S80" s="14"/>
      <c r="T80" s="14"/>
      <c r="U80" s="14"/>
      <c r="V80" s="14"/>
      <c r="W80" s="14"/>
      <c r="X80" s="14"/>
    </row>
    <row r="81" spans="1:24" x14ac:dyDescent="0.2">
      <c r="A81" s="15" t="s">
        <v>96</v>
      </c>
      <c r="B81" s="14" t="s">
        <v>13</v>
      </c>
      <c r="C81" s="14" t="s">
        <v>2</v>
      </c>
      <c r="D81" s="14">
        <v>13.64287281036377</v>
      </c>
      <c r="E81" s="14" t="s">
        <v>24</v>
      </c>
      <c r="F81" s="14"/>
      <c r="G81" s="14">
        <v>77.963272094726563</v>
      </c>
      <c r="H81" s="14" t="s">
        <v>24</v>
      </c>
      <c r="I81" s="14" t="s">
        <v>25</v>
      </c>
      <c r="J81" s="14">
        <v>7.9565038681030273</v>
      </c>
      <c r="K81" s="14"/>
      <c r="L81" s="14"/>
      <c r="M81" s="14">
        <v>77.816848754882813</v>
      </c>
      <c r="N81" s="14" t="s">
        <v>24</v>
      </c>
      <c r="O81" s="13" t="s">
        <v>25</v>
      </c>
      <c r="R81" s="14"/>
      <c r="S81" s="14"/>
      <c r="T81" s="14"/>
      <c r="U81" s="14"/>
      <c r="V81" s="14"/>
      <c r="W81" s="14"/>
      <c r="X81" s="14"/>
    </row>
    <row r="82" spans="1:24" x14ac:dyDescent="0.2">
      <c r="A82" s="15" t="s">
        <v>97</v>
      </c>
      <c r="B82" s="14" t="s">
        <v>13</v>
      </c>
      <c r="C82" s="14" t="s">
        <v>2</v>
      </c>
      <c r="D82" s="14">
        <v>13.64926815032959</v>
      </c>
      <c r="E82" s="14" t="s">
        <v>24</v>
      </c>
      <c r="F82" s="14"/>
      <c r="G82" s="14">
        <v>78.112419128417969</v>
      </c>
      <c r="H82" s="14" t="s">
        <v>24</v>
      </c>
      <c r="I82" s="14" t="s">
        <v>25</v>
      </c>
      <c r="J82" s="14">
        <v>6.7547082901000977</v>
      </c>
      <c r="K82" s="14"/>
      <c r="L82" s="14"/>
      <c r="M82" s="14">
        <v>77.816848754882813</v>
      </c>
      <c r="N82" s="14" t="s">
        <v>24</v>
      </c>
      <c r="O82" s="13" t="s">
        <v>25</v>
      </c>
      <c r="R82" s="14"/>
      <c r="S82" s="14"/>
      <c r="T82" s="14"/>
      <c r="U82" s="14"/>
      <c r="V82" s="14"/>
      <c r="W82" s="14"/>
      <c r="X82" s="14"/>
    </row>
    <row r="83" spans="1:24" x14ac:dyDescent="0.2">
      <c r="A83" s="15" t="s">
        <v>98</v>
      </c>
      <c r="B83" s="14" t="s">
        <v>148</v>
      </c>
      <c r="C83" s="14" t="s">
        <v>3</v>
      </c>
      <c r="D83" s="14">
        <v>33.623119354248047</v>
      </c>
      <c r="E83" s="14" t="s">
        <v>24</v>
      </c>
      <c r="F83" s="14"/>
      <c r="G83" s="14">
        <v>72.595855712890625</v>
      </c>
      <c r="H83" s="14" t="s">
        <v>24</v>
      </c>
      <c r="I83" s="14" t="s">
        <v>25</v>
      </c>
      <c r="J83" s="14">
        <v>32.926029205322266</v>
      </c>
      <c r="K83" s="14"/>
      <c r="L83" s="14"/>
      <c r="M83" s="14">
        <v>72.6041259765625</v>
      </c>
      <c r="N83" s="14" t="s">
        <v>24</v>
      </c>
      <c r="O83" s="13" t="s">
        <v>25</v>
      </c>
      <c r="R83" s="14"/>
      <c r="S83" s="14"/>
      <c r="T83" s="14"/>
      <c r="U83" s="14"/>
      <c r="V83" s="14"/>
      <c r="W83" s="14"/>
      <c r="X83" s="14"/>
    </row>
    <row r="84" spans="1:24" x14ac:dyDescent="0.2">
      <c r="A84" s="15" t="s">
        <v>99</v>
      </c>
      <c r="B84" s="14" t="s">
        <v>148</v>
      </c>
      <c r="C84" s="14" t="s">
        <v>37</v>
      </c>
      <c r="D84" s="14">
        <v>35.936199188232422</v>
      </c>
      <c r="E84" s="14" t="s">
        <v>24</v>
      </c>
      <c r="F84" s="14"/>
      <c r="G84" s="14">
        <v>73.938079833984375</v>
      </c>
      <c r="H84" s="14">
        <v>79.157821655273438</v>
      </c>
      <c r="I84" s="14" t="s">
        <v>25</v>
      </c>
      <c r="J84" s="14">
        <v>35.757514953613281</v>
      </c>
      <c r="K84" s="14"/>
      <c r="L84" s="14"/>
      <c r="M84" s="14">
        <v>73.498519897460938</v>
      </c>
      <c r="N84" s="14" t="s">
        <v>24</v>
      </c>
      <c r="O84" s="13" t="s">
        <v>25</v>
      </c>
      <c r="R84" s="14"/>
      <c r="S84" s="14"/>
      <c r="T84" s="14"/>
      <c r="U84" s="14"/>
      <c r="V84" s="14"/>
      <c r="W84" s="14"/>
      <c r="X84" s="14"/>
    </row>
    <row r="85" spans="1:24" x14ac:dyDescent="0.2">
      <c r="A85" s="15" t="s">
        <v>124</v>
      </c>
      <c r="B85" s="14" t="s">
        <v>148</v>
      </c>
      <c r="C85" s="14" t="s">
        <v>49</v>
      </c>
      <c r="D85" s="14">
        <v>32.909282684326172</v>
      </c>
      <c r="E85" s="14" t="s">
        <v>24</v>
      </c>
      <c r="F85" s="14"/>
      <c r="G85" s="14">
        <v>74.080970764160156</v>
      </c>
      <c r="H85" s="14" t="s">
        <v>24</v>
      </c>
      <c r="I85" s="14" t="s">
        <v>25</v>
      </c>
      <c r="J85" s="14">
        <v>36.935512542724609</v>
      </c>
      <c r="K85" s="14"/>
      <c r="L85" s="14"/>
      <c r="M85" s="14">
        <v>74.238540649414063</v>
      </c>
      <c r="N85" s="14" t="s">
        <v>24</v>
      </c>
      <c r="O85" s="13" t="s">
        <v>25</v>
      </c>
      <c r="R85" s="14"/>
      <c r="S85" s="14"/>
      <c r="T85" s="14"/>
      <c r="U85" s="14"/>
      <c r="V85" s="14"/>
      <c r="W85" s="14"/>
      <c r="X85" s="14"/>
    </row>
    <row r="86" spans="1:24" x14ac:dyDescent="0.2">
      <c r="A86" s="15" t="s">
        <v>100</v>
      </c>
      <c r="B86" s="14" t="s">
        <v>148</v>
      </c>
      <c r="C86" s="14" t="s">
        <v>0</v>
      </c>
      <c r="D86" s="14">
        <v>36.937065124511719</v>
      </c>
      <c r="E86" s="14" t="s">
        <v>24</v>
      </c>
      <c r="F86" s="14"/>
      <c r="G86" s="14">
        <v>74.827613830566406</v>
      </c>
      <c r="H86" s="14" t="s">
        <v>24</v>
      </c>
      <c r="I86" s="14" t="s">
        <v>25</v>
      </c>
      <c r="J86" s="14">
        <v>36.992038726806641</v>
      </c>
      <c r="K86" s="14"/>
      <c r="L86" s="14"/>
      <c r="M86" s="14">
        <v>74.237495422363281</v>
      </c>
      <c r="N86" s="14" t="s">
        <v>24</v>
      </c>
      <c r="O86" s="13" t="s">
        <v>25</v>
      </c>
      <c r="R86" s="14"/>
      <c r="S86" s="14"/>
      <c r="T86" s="14"/>
      <c r="U86" s="14"/>
      <c r="V86" s="14"/>
      <c r="W86" s="14"/>
      <c r="X86" s="14"/>
    </row>
    <row r="87" spans="1:24" x14ac:dyDescent="0.2">
      <c r="A87" s="15" t="s">
        <v>101</v>
      </c>
      <c r="B87" s="14" t="s">
        <v>148</v>
      </c>
      <c r="C87" s="14" t="s">
        <v>1</v>
      </c>
      <c r="D87" s="14">
        <v>35.911121368408203</v>
      </c>
      <c r="E87" s="14" t="s">
        <v>24</v>
      </c>
      <c r="F87" s="14"/>
      <c r="G87" s="14">
        <v>80.792884826660156</v>
      </c>
      <c r="H87" s="14">
        <v>73.932823181152344</v>
      </c>
      <c r="I87" s="14" t="s">
        <v>25</v>
      </c>
      <c r="J87" s="14" t="s">
        <v>119</v>
      </c>
      <c r="K87" s="14"/>
      <c r="L87" s="14"/>
      <c r="M87" s="14">
        <v>76.622634887695313</v>
      </c>
      <c r="N87" s="14" t="s">
        <v>24</v>
      </c>
      <c r="O87" s="13" t="s">
        <v>147</v>
      </c>
      <c r="R87" s="14"/>
      <c r="S87" s="14"/>
      <c r="T87" s="14"/>
      <c r="U87" s="14"/>
      <c r="V87" s="14"/>
      <c r="W87" s="14"/>
      <c r="X87" s="14"/>
    </row>
    <row r="88" spans="1:24" ht="13.5" thickBot="1" x14ac:dyDescent="0.25">
      <c r="A88" s="12" t="s">
        <v>102</v>
      </c>
      <c r="B88" s="11" t="s">
        <v>148</v>
      </c>
      <c r="C88" s="11" t="s">
        <v>2</v>
      </c>
      <c r="D88" s="11">
        <v>36.984470367431641</v>
      </c>
      <c r="E88" s="11" t="s">
        <v>24</v>
      </c>
      <c r="F88" s="11"/>
      <c r="G88" s="11">
        <v>78.112319946289063</v>
      </c>
      <c r="H88" s="11" t="s">
        <v>24</v>
      </c>
      <c r="I88" s="11" t="s">
        <v>25</v>
      </c>
      <c r="J88" s="11">
        <v>37.119575500488281</v>
      </c>
      <c r="K88" s="11"/>
      <c r="L88" s="11"/>
      <c r="M88" s="11">
        <v>74.83489990234375</v>
      </c>
      <c r="N88" s="11" t="s">
        <v>24</v>
      </c>
      <c r="O88" s="10" t="s">
        <v>25</v>
      </c>
      <c r="R88" s="14"/>
      <c r="S88" s="14"/>
      <c r="T88" s="14"/>
      <c r="U88" s="14"/>
      <c r="V88" s="14"/>
      <c r="W88" s="14"/>
      <c r="X88" s="14"/>
    </row>
    <row r="89" spans="1:24" x14ac:dyDescent="0.2">
      <c r="A89" s="9" t="s">
        <v>149</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BD154"/>
  <sheetViews>
    <sheetView tabSelected="1" workbookViewId="0">
      <selection activeCell="A158" sqref="A158"/>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2" spans="1:56" x14ac:dyDescent="0.2">
      <c r="G2" s="27"/>
      <c r="H2" s="17"/>
      <c r="I2" s="17"/>
      <c r="J2" s="17"/>
      <c r="K2" s="17"/>
      <c r="L2" s="17"/>
      <c r="M2" s="17"/>
      <c r="N2" s="17"/>
      <c r="O2" s="17"/>
      <c r="P2" s="17"/>
      <c r="Q2" s="17"/>
      <c r="R2" s="17"/>
      <c r="S2" s="17"/>
    </row>
    <row r="3" spans="1:56" x14ac:dyDescent="0.2">
      <c r="G3" s="17"/>
      <c r="H3" s="17"/>
      <c r="I3" s="17"/>
      <c r="J3" s="17"/>
      <c r="K3" s="27"/>
      <c r="L3" s="17"/>
      <c r="M3" s="17"/>
      <c r="N3" s="17"/>
      <c r="O3" s="27"/>
      <c r="P3" s="17"/>
      <c r="Q3" s="17"/>
      <c r="R3" s="17"/>
      <c r="S3" s="27"/>
    </row>
    <row r="4" spans="1:56" x14ac:dyDescent="0.2">
      <c r="G4" s="14"/>
      <c r="H4" s="14"/>
      <c r="I4" s="14"/>
      <c r="J4" s="14"/>
      <c r="K4" s="14"/>
      <c r="L4" s="14"/>
      <c r="M4" s="14"/>
      <c r="N4" s="14"/>
      <c r="O4" s="14"/>
      <c r="P4" s="14"/>
      <c r="Q4" s="14"/>
      <c r="R4" s="14"/>
      <c r="S4" s="14"/>
    </row>
    <row r="5" spans="1:56" x14ac:dyDescent="0.2">
      <c r="G5" s="14"/>
      <c r="H5" s="14"/>
      <c r="I5" s="14"/>
      <c r="J5" s="14"/>
      <c r="K5" s="14"/>
      <c r="L5" s="14"/>
      <c r="M5" s="14"/>
      <c r="N5" s="14"/>
      <c r="O5" s="14"/>
      <c r="P5" s="14"/>
      <c r="Q5" s="14"/>
      <c r="R5" s="14"/>
      <c r="S5" s="14"/>
    </row>
    <row r="6" spans="1:56" x14ac:dyDescent="0.2">
      <c r="G6" s="14"/>
      <c r="H6" s="14"/>
      <c r="I6" s="14"/>
      <c r="J6" s="14"/>
      <c r="K6" s="14"/>
      <c r="L6" s="14"/>
      <c r="M6" s="14"/>
      <c r="N6" s="14"/>
      <c r="O6" s="14"/>
      <c r="P6" s="14"/>
      <c r="Q6" s="14"/>
      <c r="R6" s="14"/>
      <c r="S6" s="14"/>
    </row>
    <row r="7" spans="1:56" x14ac:dyDescent="0.2">
      <c r="G7" s="14"/>
      <c r="H7" s="14"/>
      <c r="I7" s="14"/>
      <c r="J7" s="14"/>
      <c r="K7" s="14"/>
      <c r="L7" s="14"/>
      <c r="M7" s="14"/>
      <c r="N7" s="14"/>
      <c r="O7" s="14"/>
      <c r="P7" s="14"/>
      <c r="Q7" s="14"/>
      <c r="R7" s="14"/>
      <c r="S7" s="14"/>
    </row>
    <row r="8" spans="1:56" ht="13.5" thickBot="1" x14ac:dyDescent="0.25">
      <c r="G8" s="14"/>
      <c r="H8" s="14"/>
      <c r="I8" s="14"/>
      <c r="J8" s="14"/>
      <c r="K8" s="14"/>
      <c r="L8" s="14"/>
      <c r="M8" s="14"/>
      <c r="N8" s="14"/>
      <c r="O8" s="14"/>
      <c r="P8" s="14"/>
      <c r="Q8" s="14"/>
      <c r="R8" s="14"/>
      <c r="S8" s="14"/>
    </row>
    <row r="9" spans="1:56" ht="15" x14ac:dyDescent="0.25">
      <c r="A9" s="14"/>
      <c r="B9" s="22"/>
      <c r="C9" s="21"/>
      <c r="D9" s="29" t="s">
        <v>138</v>
      </c>
      <c r="E9" s="21"/>
      <c r="F9" s="21"/>
      <c r="G9" s="21"/>
      <c r="H9" s="21"/>
      <c r="I9" s="21"/>
      <c r="J9" s="21" t="s">
        <v>137</v>
      </c>
      <c r="K9" s="21"/>
      <c r="L9" s="21"/>
      <c r="M9" s="21"/>
      <c r="N9" s="21"/>
      <c r="O9" s="20"/>
      <c r="R9" s="17"/>
      <c r="S9" s="22" t="s">
        <v>143</v>
      </c>
      <c r="T9" s="21"/>
      <c r="U9" s="21"/>
      <c r="V9" s="21"/>
      <c r="W9" s="21"/>
      <c r="X9" s="21"/>
      <c r="Y9" s="21"/>
      <c r="Z9" s="21"/>
      <c r="AA9" s="21"/>
      <c r="AB9" s="21"/>
      <c r="AC9" s="21"/>
      <c r="AD9" s="24"/>
      <c r="AE9" s="24"/>
      <c r="AF9" s="24"/>
      <c r="AG9" s="24"/>
      <c r="AH9" s="24"/>
      <c r="AI9" s="24"/>
      <c r="AJ9" s="24"/>
      <c r="AK9" s="24"/>
      <c r="AL9" s="21"/>
      <c r="AM9" s="21"/>
      <c r="AN9" s="21"/>
      <c r="AO9" s="24"/>
      <c r="AP9" s="24"/>
      <c r="AQ9" s="24"/>
      <c r="AR9" s="24"/>
      <c r="AS9" s="24"/>
      <c r="AT9" s="24"/>
      <c r="AU9" s="24"/>
      <c r="AV9" s="24"/>
      <c r="AW9" s="24"/>
      <c r="AX9" s="24"/>
      <c r="AY9" s="24"/>
      <c r="AZ9" s="24"/>
      <c r="BA9" s="24"/>
      <c r="BB9" s="24"/>
      <c r="BC9" s="24"/>
      <c r="BD9" s="23"/>
    </row>
    <row r="10" spans="1:56" x14ac:dyDescent="0.2">
      <c r="A10" s="18"/>
      <c r="B10" s="18"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142</v>
      </c>
      <c r="W10" s="17" t="s">
        <v>133</v>
      </c>
      <c r="X10" s="17" t="s">
        <v>37</v>
      </c>
      <c r="Y10" s="17" t="s">
        <v>142</v>
      </c>
      <c r="Z10" s="17" t="s">
        <v>133</v>
      </c>
      <c r="AA10" s="17" t="s">
        <v>49</v>
      </c>
      <c r="AB10" s="17" t="s">
        <v>142</v>
      </c>
      <c r="AC10" s="17" t="s">
        <v>133</v>
      </c>
      <c r="AD10" s="17" t="s">
        <v>5</v>
      </c>
      <c r="AE10" s="17" t="s">
        <v>142</v>
      </c>
      <c r="AF10" s="17" t="s">
        <v>133</v>
      </c>
      <c r="AG10" s="17" t="s">
        <v>6</v>
      </c>
      <c r="AH10" s="17" t="s">
        <v>142</v>
      </c>
      <c r="AI10" s="17" t="s">
        <v>133</v>
      </c>
      <c r="AJ10" s="17" t="s">
        <v>7</v>
      </c>
      <c r="AK10" s="17" t="s">
        <v>142</v>
      </c>
      <c r="AL10" s="17" t="s">
        <v>133</v>
      </c>
      <c r="AM10" s="17" t="s">
        <v>8</v>
      </c>
      <c r="AN10" s="17" t="s">
        <v>142</v>
      </c>
      <c r="AO10" s="17" t="s">
        <v>133</v>
      </c>
      <c r="AP10" s="17" t="s">
        <v>9</v>
      </c>
      <c r="AQ10" s="17" t="s">
        <v>142</v>
      </c>
      <c r="AR10" s="17" t="s">
        <v>133</v>
      </c>
      <c r="AS10" s="17" t="s">
        <v>10</v>
      </c>
      <c r="AT10" s="17" t="s">
        <v>142</v>
      </c>
      <c r="AU10" s="17" t="s">
        <v>133</v>
      </c>
      <c r="AV10" s="17" t="s">
        <v>11</v>
      </c>
      <c r="AW10" s="17" t="s">
        <v>142</v>
      </c>
      <c r="AX10" s="17" t="s">
        <v>133</v>
      </c>
      <c r="AY10" s="17" t="s">
        <v>130</v>
      </c>
      <c r="AZ10" s="17" t="s">
        <v>142</v>
      </c>
      <c r="BA10" s="17" t="s">
        <v>133</v>
      </c>
      <c r="BB10" s="17" t="s">
        <v>12</v>
      </c>
      <c r="BC10" s="17" t="s">
        <v>142</v>
      </c>
      <c r="BD10" s="19" t="s">
        <v>133</v>
      </c>
    </row>
    <row r="11" spans="1:56" x14ac:dyDescent="0.2">
      <c r="A11" s="15"/>
      <c r="B11" s="15" t="s">
        <v>15</v>
      </c>
      <c r="C11" s="14" t="s">
        <v>3</v>
      </c>
      <c r="D11" s="14">
        <v>19.039424896240234</v>
      </c>
      <c r="E11" s="14">
        <f>D11-20.00879</f>
        <v>-0.96936510375976681</v>
      </c>
      <c r="F11" s="14">
        <f>POWER(2,-E11)</f>
        <v>1.9579787450384616</v>
      </c>
      <c r="G11" s="14">
        <v>79.16143798828125</v>
      </c>
      <c r="H11" s="14" t="s">
        <v>24</v>
      </c>
      <c r="I11" s="14" t="s">
        <v>25</v>
      </c>
      <c r="J11" s="14">
        <v>17.603437423706055</v>
      </c>
      <c r="K11" s="14">
        <f>J11-19.91044</f>
        <v>-2.3070025762939466</v>
      </c>
      <c r="L11" s="14">
        <f>POWER(2,-K11)</f>
        <v>4.9485387515982566</v>
      </c>
      <c r="M11" s="14">
        <v>78.70245361328125</v>
      </c>
      <c r="N11" s="14" t="s">
        <v>24</v>
      </c>
      <c r="O11" s="13" t="s">
        <v>25</v>
      </c>
      <c r="R11" s="14"/>
      <c r="S11" s="15"/>
      <c r="T11" s="14" t="s">
        <v>117</v>
      </c>
      <c r="U11" s="14">
        <v>1.9579787450384616</v>
      </c>
      <c r="V11" s="14">
        <f>U11/U11</f>
        <v>1</v>
      </c>
      <c r="W11" s="14">
        <f>AVERAGE(V11:V16)</f>
        <v>1</v>
      </c>
      <c r="X11" s="14">
        <v>6.8376815938806346E-2</v>
      </c>
      <c r="Y11" s="14">
        <f>X11/X11</f>
        <v>1</v>
      </c>
      <c r="Z11" s="14">
        <f>AVERAGE(Y11:Y16)</f>
        <v>1</v>
      </c>
      <c r="AA11" s="14">
        <v>5.9224483251509759E-2</v>
      </c>
      <c r="AB11" s="14">
        <f>AA11/AA11</f>
        <v>1</v>
      </c>
      <c r="AC11" s="14">
        <f>AVERAGE(AB11:AB16)</f>
        <v>1</v>
      </c>
      <c r="AD11" s="14">
        <v>2.5964134578552777E-3</v>
      </c>
      <c r="AE11" s="14">
        <f>AD11/AD11</f>
        <v>1</v>
      </c>
      <c r="AF11" s="14">
        <f>AVERAGE(AE11:AE16)</f>
        <v>1</v>
      </c>
      <c r="AG11" s="14">
        <v>5.0061444969692736E-3</v>
      </c>
      <c r="AH11" s="14">
        <f>AG11/AG11</f>
        <v>1</v>
      </c>
      <c r="AI11" s="14">
        <f>AVERAGE(AH11:AH16)</f>
        <v>1</v>
      </c>
      <c r="AJ11" s="14">
        <v>2.0260355882775207E-3</v>
      </c>
      <c r="AK11" s="14">
        <f>AJ11/AJ11</f>
        <v>1</v>
      </c>
      <c r="AL11" s="14">
        <f>AVERAGE(AK11:AK16)</f>
        <v>1</v>
      </c>
      <c r="AM11" s="14">
        <v>7.2173388310348724E-2</v>
      </c>
      <c r="AN11" s="14">
        <f>AM11/AM11</f>
        <v>1</v>
      </c>
      <c r="AO11" s="14">
        <f>AVERAGE(AN11:AN16)</f>
        <v>1</v>
      </c>
      <c r="AP11" s="14">
        <v>0.2969892359572518</v>
      </c>
      <c r="AQ11" s="14">
        <f>AP11/AP11</f>
        <v>1</v>
      </c>
      <c r="AR11" s="14">
        <f>AVERAGE(AQ11:AQ16)</f>
        <v>1</v>
      </c>
      <c r="AS11" s="14">
        <v>2.6182800366440617E-2</v>
      </c>
      <c r="AT11" s="14">
        <f>AS11/AS11</f>
        <v>1</v>
      </c>
      <c r="AU11" s="14">
        <f>AVERAGE(AT11:AT16)</f>
        <v>1</v>
      </c>
      <c r="AV11" s="14">
        <v>6.3399393516841832E-2</v>
      </c>
      <c r="AW11" s="14">
        <f>AV11/AV11</f>
        <v>1</v>
      </c>
      <c r="AX11" s="14">
        <f>AVERAGE(AW11:AW16)</f>
        <v>1</v>
      </c>
      <c r="AY11" s="14">
        <v>2.43885767010435E-2</v>
      </c>
      <c r="AZ11" s="14">
        <f>AY11/AY11</f>
        <v>1</v>
      </c>
      <c r="BA11" s="14">
        <f>AVERAGE(AZ11:AZ16)</f>
        <v>1</v>
      </c>
      <c r="BB11" s="14">
        <v>0.31124453168031052</v>
      </c>
      <c r="BC11" s="14">
        <f>BB11/BB11</f>
        <v>1</v>
      </c>
      <c r="BD11" s="13">
        <f>AVERAGE(BC11:BC16)</f>
        <v>1</v>
      </c>
    </row>
    <row r="12" spans="1:56" x14ac:dyDescent="0.2">
      <c r="A12" s="15"/>
      <c r="B12" s="15" t="s">
        <v>15</v>
      </c>
      <c r="C12" s="14" t="s">
        <v>3</v>
      </c>
      <c r="D12" s="14">
        <v>18.973546981811523</v>
      </c>
      <c r="E12" s="14">
        <f t="shared" ref="E12:E13" si="0">D12-20.00879</f>
        <v>-1.0352430181884777</v>
      </c>
      <c r="F12" s="14">
        <f t="shared" ref="F12:F46" si="1">POWER(2,-E12)</f>
        <v>2.049458842947494</v>
      </c>
      <c r="G12" s="14">
        <v>79.012359619140625</v>
      </c>
      <c r="H12" s="14" t="s">
        <v>24</v>
      </c>
      <c r="I12" s="14" t="s">
        <v>25</v>
      </c>
      <c r="J12" s="14">
        <v>17.566389083862305</v>
      </c>
      <c r="K12" s="14">
        <f t="shared" ref="K12:K13" si="2">J12-19.91044</f>
        <v>-2.3440509161376966</v>
      </c>
      <c r="L12" s="14">
        <f t="shared" ref="L12:L58" si="3">POWER(2,-K12)</f>
        <v>5.0772627295891093</v>
      </c>
      <c r="M12" s="14">
        <v>78.70245361328125</v>
      </c>
      <c r="N12" s="14" t="s">
        <v>24</v>
      </c>
      <c r="O12" s="13" t="s">
        <v>25</v>
      </c>
      <c r="R12" s="14"/>
      <c r="S12" s="15"/>
      <c r="T12" s="14" t="s">
        <v>117</v>
      </c>
      <c r="U12" s="14">
        <v>2.049458842947494</v>
      </c>
      <c r="V12" s="14">
        <f t="shared" ref="V12:V16" si="4">U12/U12</f>
        <v>1</v>
      </c>
      <c r="W12" s="14">
        <f>STDEV(V11:V16)</f>
        <v>0</v>
      </c>
      <c r="X12" s="14">
        <v>6.6848686394368528E-2</v>
      </c>
      <c r="Y12" s="14">
        <f t="shared" ref="Y12:Y16" si="5">X12/X12</f>
        <v>1</v>
      </c>
      <c r="Z12" s="14">
        <f>STDEV(Y11:Y16)</f>
        <v>0</v>
      </c>
      <c r="AA12" s="14">
        <v>5.8758722078863228E-2</v>
      </c>
      <c r="AB12" s="14">
        <f t="shared" ref="AB12:AB16" si="6">AA12/AA12</f>
        <v>1</v>
      </c>
      <c r="AC12" s="14">
        <f>STDEV(AB11:AB16)</f>
        <v>0</v>
      </c>
      <c r="AD12" s="14">
        <v>3.6483851886866038E-3</v>
      </c>
      <c r="AE12" s="14">
        <f t="shared" ref="AE12:AE16" si="7">AD12/AD12</f>
        <v>1</v>
      </c>
      <c r="AF12" s="14">
        <f>STDEV(AE11:AE16)</f>
        <v>0</v>
      </c>
      <c r="AG12" s="14">
        <v>6.0656097346623713E-3</v>
      </c>
      <c r="AH12" s="14">
        <f t="shared" ref="AH12:AH16" si="8">AG12/AG12</f>
        <v>1</v>
      </c>
      <c r="AI12" s="14">
        <f>STDEV(AH11:AH16)</f>
        <v>0</v>
      </c>
      <c r="AJ12" s="14">
        <v>2.1434170227293014E-3</v>
      </c>
      <c r="AK12" s="14">
        <f t="shared" ref="AK12:AK16" si="9">AJ12/AJ12</f>
        <v>1</v>
      </c>
      <c r="AL12" s="14">
        <f>STDEV(AK11:AK16)</f>
        <v>0</v>
      </c>
      <c r="AM12" s="14">
        <v>7.304201594987246E-2</v>
      </c>
      <c r="AN12" s="14">
        <f t="shared" ref="AN12:AN16" si="10">AM12/AM12</f>
        <v>1</v>
      </c>
      <c r="AO12" s="14">
        <f>STDEV(AN11:AN16)</f>
        <v>0</v>
      </c>
      <c r="AP12" s="14">
        <v>0.30163959217826175</v>
      </c>
      <c r="AQ12" s="14">
        <f t="shared" ref="AQ12:AQ16" si="11">AP12/AP12</f>
        <v>1</v>
      </c>
      <c r="AR12" s="14">
        <f>STDEV(AQ11:AQ16)</f>
        <v>0</v>
      </c>
      <c r="AS12" s="14">
        <v>2.6362550201977194E-2</v>
      </c>
      <c r="AT12" s="14">
        <f t="shared" ref="AT12:AT16" si="12">AS12/AS12</f>
        <v>1</v>
      </c>
      <c r="AU12" s="14">
        <f>STDEV(AT11:AT16)</f>
        <v>0</v>
      </c>
      <c r="AV12" s="14">
        <v>6.7970560446750469E-2</v>
      </c>
      <c r="AW12" s="14">
        <f t="shared" ref="AW12:AW16" si="13">AV12/AV12</f>
        <v>1</v>
      </c>
      <c r="AX12" s="14">
        <f>STDEV(AW11:AW16)</f>
        <v>0</v>
      </c>
      <c r="AY12" s="14">
        <v>2.8067145373667675E-2</v>
      </c>
      <c r="AZ12" s="14">
        <f t="shared" ref="AZ12:AZ16" si="14">AY12/AY12</f>
        <v>1</v>
      </c>
      <c r="BA12" s="14">
        <f>STDEV(AZ11:AZ16)</f>
        <v>0</v>
      </c>
      <c r="BB12" s="14">
        <v>0.30475686184125117</v>
      </c>
      <c r="BC12" s="14">
        <f t="shared" ref="BC12:BC16" si="15">BB12/BB12</f>
        <v>1</v>
      </c>
      <c r="BD12" s="13">
        <f>STDEV(BC11:BC16)</f>
        <v>0</v>
      </c>
    </row>
    <row r="13" spans="1:56" x14ac:dyDescent="0.2">
      <c r="A13" s="15"/>
      <c r="B13" s="15" t="s">
        <v>15</v>
      </c>
      <c r="C13" s="14" t="s">
        <v>3</v>
      </c>
      <c r="D13" s="14">
        <v>18.982501983642578</v>
      </c>
      <c r="E13" s="14">
        <f t="shared" si="0"/>
        <v>-1.0262880163574231</v>
      </c>
      <c r="F13" s="14">
        <f t="shared" si="1"/>
        <v>2.0367769764680044</v>
      </c>
      <c r="G13" s="14">
        <v>78.860336303710938</v>
      </c>
      <c r="H13" s="14" t="s">
        <v>24</v>
      </c>
      <c r="I13" s="14" t="s">
        <v>25</v>
      </c>
      <c r="J13" s="14">
        <v>17.54246711730957</v>
      </c>
      <c r="K13" s="14">
        <f t="shared" si="2"/>
        <v>-2.3679728826904309</v>
      </c>
      <c r="L13" s="14">
        <f t="shared" si="3"/>
        <v>5.1621529315888663</v>
      </c>
      <c r="M13" s="14">
        <v>78.552818298339844</v>
      </c>
      <c r="N13" s="14" t="s">
        <v>24</v>
      </c>
      <c r="O13" s="13" t="s">
        <v>25</v>
      </c>
      <c r="R13" s="14"/>
      <c r="S13" s="15"/>
      <c r="T13" s="14" t="s">
        <v>117</v>
      </c>
      <c r="U13" s="14">
        <v>2.0367769764680044</v>
      </c>
      <c r="V13" s="14">
        <f t="shared" si="4"/>
        <v>1</v>
      </c>
      <c r="W13" s="14"/>
      <c r="X13" s="14">
        <v>6.6182732596043056E-2</v>
      </c>
      <c r="Y13" s="14">
        <f t="shared" si="5"/>
        <v>1</v>
      </c>
      <c r="Z13" s="14"/>
      <c r="AA13" s="14">
        <v>6.0379313220240982E-2</v>
      </c>
      <c r="AB13" s="14">
        <f t="shared" si="6"/>
        <v>1</v>
      </c>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3"/>
    </row>
    <row r="14" spans="1:56" x14ac:dyDescent="0.2">
      <c r="A14" s="15"/>
      <c r="B14" s="15" t="s">
        <v>108</v>
      </c>
      <c r="C14" s="14" t="s">
        <v>3</v>
      </c>
      <c r="D14" s="14">
        <v>18.877361297607422</v>
      </c>
      <c r="E14" s="14">
        <f>D14-19.80566</f>
        <v>-0.92829870239257772</v>
      </c>
      <c r="F14" s="14">
        <f t="shared" si="1"/>
        <v>1.9030305243017356</v>
      </c>
      <c r="G14" s="14">
        <v>78.860336303710938</v>
      </c>
      <c r="H14" s="14" t="s">
        <v>24</v>
      </c>
      <c r="I14" s="14" t="s">
        <v>25</v>
      </c>
      <c r="J14" s="14">
        <v>17.435966491699219</v>
      </c>
      <c r="K14" s="14">
        <f>J14-19.71913</f>
        <v>-2.2831635083007811</v>
      </c>
      <c r="L14" s="14">
        <f t="shared" si="3"/>
        <v>4.8674410562549904</v>
      </c>
      <c r="M14" s="14">
        <v>78.403640747070313</v>
      </c>
      <c r="N14" s="14" t="s">
        <v>24</v>
      </c>
      <c r="O14" s="13" t="s">
        <v>25</v>
      </c>
      <c r="R14" s="14"/>
      <c r="S14" s="15"/>
      <c r="T14" s="14" t="s">
        <v>117</v>
      </c>
      <c r="U14" s="14">
        <v>4.9485387515982566</v>
      </c>
      <c r="V14" s="14">
        <f t="shared" si="4"/>
        <v>1</v>
      </c>
      <c r="W14" s="14"/>
      <c r="X14" s="14">
        <v>0.16026650647260968</v>
      </c>
      <c r="Y14" s="14">
        <f t="shared" si="5"/>
        <v>1</v>
      </c>
      <c r="Z14" s="14"/>
      <c r="AA14" s="14">
        <v>0.17056261290451563</v>
      </c>
      <c r="AB14" s="14">
        <f t="shared" si="6"/>
        <v>1</v>
      </c>
      <c r="AC14" s="14"/>
      <c r="AD14" s="14">
        <v>4.9765185271720986E-3</v>
      </c>
      <c r="AE14" s="14">
        <f t="shared" si="7"/>
        <v>1</v>
      </c>
      <c r="AF14" s="14"/>
      <c r="AG14" s="14">
        <v>3.8925489964521998E-3</v>
      </c>
      <c r="AH14" s="14">
        <f t="shared" si="8"/>
        <v>1</v>
      </c>
      <c r="AI14" s="14"/>
      <c r="AJ14" s="14">
        <v>5.0928508044779559E-3</v>
      </c>
      <c r="AK14" s="14">
        <f t="shared" si="9"/>
        <v>1</v>
      </c>
      <c r="AL14" s="14"/>
      <c r="AM14" s="14">
        <v>4.6848453653522276E-2</v>
      </c>
      <c r="AN14" s="14">
        <f t="shared" si="10"/>
        <v>1</v>
      </c>
      <c r="AO14" s="14"/>
      <c r="AP14" s="14">
        <v>1.9913944533773879E-2</v>
      </c>
      <c r="AQ14" s="14">
        <f t="shared" si="11"/>
        <v>1</v>
      </c>
      <c r="AR14" s="14"/>
      <c r="AS14" s="14">
        <v>5.1668754012081507E-2</v>
      </c>
      <c r="AT14" s="14">
        <f t="shared" si="12"/>
        <v>1</v>
      </c>
      <c r="AU14" s="14"/>
      <c r="AV14" s="14">
        <v>0.10838649084302682</v>
      </c>
      <c r="AW14" s="14">
        <f t="shared" si="13"/>
        <v>1</v>
      </c>
      <c r="AX14" s="14"/>
      <c r="AY14" s="14">
        <v>2.9116069076130281E-2</v>
      </c>
      <c r="AZ14" s="14">
        <f t="shared" si="14"/>
        <v>1</v>
      </c>
      <c r="BA14" s="14"/>
      <c r="BB14" s="14">
        <v>0.53144642858257973</v>
      </c>
      <c r="BC14" s="14">
        <f t="shared" si="15"/>
        <v>1</v>
      </c>
      <c r="BD14" s="13"/>
    </row>
    <row r="15" spans="1:56" x14ac:dyDescent="0.2">
      <c r="A15" s="15"/>
      <c r="B15" s="15" t="s">
        <v>108</v>
      </c>
      <c r="C15" s="14" t="s">
        <v>3</v>
      </c>
      <c r="D15" s="14">
        <v>18.980846405029297</v>
      </c>
      <c r="E15" s="14">
        <f t="shared" ref="E15:E16" si="16">D15-19.80566</f>
        <v>-0.82481359497070272</v>
      </c>
      <c r="F15" s="14">
        <f t="shared" si="1"/>
        <v>1.7713061598216679</v>
      </c>
      <c r="G15" s="14">
        <v>78.710731506347656</v>
      </c>
      <c r="H15" s="14" t="s">
        <v>24</v>
      </c>
      <c r="I15" s="14" t="s">
        <v>25</v>
      </c>
      <c r="J15" s="14">
        <v>17.380294799804688</v>
      </c>
      <c r="K15" s="14">
        <f t="shared" ref="K15:K16" si="17">J15-19.71913</f>
        <v>-2.3388352001953123</v>
      </c>
      <c r="L15" s="14">
        <f t="shared" si="3"/>
        <v>5.0589402510330146</v>
      </c>
      <c r="M15" s="14">
        <v>78.553871154785156</v>
      </c>
      <c r="N15" s="14" t="s">
        <v>24</v>
      </c>
      <c r="O15" s="13" t="s">
        <v>25</v>
      </c>
      <c r="R15" s="14"/>
      <c r="S15" s="15"/>
      <c r="T15" s="14" t="s">
        <v>117</v>
      </c>
      <c r="U15" s="14">
        <v>5.0772627295891093</v>
      </c>
      <c r="V15" s="14">
        <f t="shared" si="4"/>
        <v>1</v>
      </c>
      <c r="W15" s="14"/>
      <c r="X15" s="14">
        <v>0.15894936832447884</v>
      </c>
      <c r="Y15" s="14">
        <f t="shared" si="5"/>
        <v>1</v>
      </c>
      <c r="Z15" s="14"/>
      <c r="AA15" s="14">
        <v>0.16870033300762413</v>
      </c>
      <c r="AB15" s="14">
        <f t="shared" si="6"/>
        <v>1</v>
      </c>
      <c r="AC15" s="14"/>
      <c r="AD15" s="14">
        <v>6.6791342929035666E-3</v>
      </c>
      <c r="AE15" s="14">
        <f t="shared" si="7"/>
        <v>1</v>
      </c>
      <c r="AF15" s="14"/>
      <c r="AG15" s="14">
        <v>4.0626894598548647E-3</v>
      </c>
      <c r="AH15" s="14">
        <f t="shared" si="8"/>
        <v>1</v>
      </c>
      <c r="AI15" s="14"/>
      <c r="AJ15" s="14">
        <v>4.7157421534203521E-3</v>
      </c>
      <c r="AK15" s="14">
        <f t="shared" si="9"/>
        <v>1</v>
      </c>
      <c r="AL15" s="14"/>
      <c r="AM15" s="14">
        <v>4.5701227646756659E-2</v>
      </c>
      <c r="AN15" s="14">
        <f t="shared" si="10"/>
        <v>1</v>
      </c>
      <c r="AO15" s="14"/>
      <c r="AP15" s="14">
        <v>2.0750515112258529E-2</v>
      </c>
      <c r="AQ15" s="14">
        <f t="shared" si="11"/>
        <v>1</v>
      </c>
      <c r="AR15" s="14"/>
      <c r="AS15" s="14">
        <v>5.1548668385336817E-2</v>
      </c>
      <c r="AT15" s="14">
        <f t="shared" si="12"/>
        <v>1</v>
      </c>
      <c r="AU15" s="14"/>
      <c r="AV15" s="14">
        <v>0.1245253436589164</v>
      </c>
      <c r="AW15" s="14">
        <f t="shared" si="13"/>
        <v>1</v>
      </c>
      <c r="AX15" s="14"/>
      <c r="AY15" s="14">
        <v>2.816461832853899E-2</v>
      </c>
      <c r="AZ15" s="14">
        <f t="shared" si="14"/>
        <v>1</v>
      </c>
      <c r="BA15" s="14"/>
      <c r="BB15" s="14">
        <v>0.53038934888808409</v>
      </c>
      <c r="BC15" s="14">
        <f t="shared" si="15"/>
        <v>1</v>
      </c>
      <c r="BD15" s="13"/>
    </row>
    <row r="16" spans="1:56" x14ac:dyDescent="0.2">
      <c r="A16" s="15"/>
      <c r="B16" s="15" t="s">
        <v>108</v>
      </c>
      <c r="C16" s="14" t="s">
        <v>3</v>
      </c>
      <c r="D16" s="14">
        <v>18.933147430419922</v>
      </c>
      <c r="E16" s="14">
        <f t="shared" si="16"/>
        <v>-0.87251256958007772</v>
      </c>
      <c r="F16" s="14">
        <f t="shared" si="1"/>
        <v>1.8308486959185029</v>
      </c>
      <c r="G16" s="14">
        <v>79.008857727050781</v>
      </c>
      <c r="H16" s="14" t="s">
        <v>24</v>
      </c>
      <c r="I16" s="14" t="s">
        <v>25</v>
      </c>
      <c r="J16" s="14">
        <v>17.341009140014648</v>
      </c>
      <c r="K16" s="14">
        <f t="shared" si="17"/>
        <v>-2.3781208599853514</v>
      </c>
      <c r="L16" s="14">
        <f t="shared" si="3"/>
        <v>5.1985917371468897</v>
      </c>
      <c r="M16" s="14">
        <v>78.553871154785156</v>
      </c>
      <c r="N16" s="14" t="s">
        <v>24</v>
      </c>
      <c r="O16" s="13" t="s">
        <v>25</v>
      </c>
      <c r="R16" s="14"/>
      <c r="S16" s="15"/>
      <c r="T16" s="14" t="s">
        <v>117</v>
      </c>
      <c r="U16" s="14">
        <v>5.1621529315888663</v>
      </c>
      <c r="V16" s="14">
        <f t="shared" si="4"/>
        <v>1</v>
      </c>
      <c r="W16" s="14"/>
      <c r="X16" s="14">
        <v>0.15808906903934983</v>
      </c>
      <c r="Y16" s="14">
        <f t="shared" si="5"/>
        <v>1</v>
      </c>
      <c r="Z16" s="14"/>
      <c r="AA16" s="14">
        <v>0.17054908366425403</v>
      </c>
      <c r="AB16" s="14">
        <f t="shared" si="6"/>
        <v>1</v>
      </c>
      <c r="AC16" s="14"/>
      <c r="AD16" s="14">
        <v>6.7543919579062424E-3</v>
      </c>
      <c r="AE16" s="14">
        <f t="shared" si="7"/>
        <v>1</v>
      </c>
      <c r="AF16" s="14"/>
      <c r="AG16" s="14">
        <v>1.8550050706935442E-3</v>
      </c>
      <c r="AH16" s="14">
        <f t="shared" si="8"/>
        <v>1</v>
      </c>
      <c r="AI16" s="14"/>
      <c r="AJ16" s="14">
        <v>4.9672634579551725E-3</v>
      </c>
      <c r="AK16" s="14">
        <f t="shared" si="9"/>
        <v>1</v>
      </c>
      <c r="AL16" s="14"/>
      <c r="AM16" s="14">
        <v>4.5556448560686566E-2</v>
      </c>
      <c r="AN16" s="14">
        <f t="shared" si="10"/>
        <v>1</v>
      </c>
      <c r="AO16" s="14"/>
      <c r="AP16" s="14">
        <v>2.0086024402819643E-2</v>
      </c>
      <c r="AQ16" s="14">
        <f t="shared" si="11"/>
        <v>1</v>
      </c>
      <c r="AR16" s="14"/>
      <c r="AS16" s="14">
        <v>5.2944778049355781E-2</v>
      </c>
      <c r="AT16" s="14">
        <f t="shared" si="12"/>
        <v>1</v>
      </c>
      <c r="AU16" s="14"/>
      <c r="AV16" s="14">
        <v>0.21073983707136598</v>
      </c>
      <c r="AW16" s="14">
        <f t="shared" si="13"/>
        <v>1</v>
      </c>
      <c r="AX16" s="14"/>
      <c r="AY16" s="14">
        <v>2.7206932937578473E-2</v>
      </c>
      <c r="AZ16" s="14">
        <f t="shared" si="14"/>
        <v>1</v>
      </c>
      <c r="BA16" s="14"/>
      <c r="BB16" s="14">
        <v>0.53531142681015598</v>
      </c>
      <c r="BC16" s="14">
        <f t="shared" si="15"/>
        <v>1</v>
      </c>
      <c r="BD16" s="13"/>
    </row>
    <row r="17" spans="1:56" x14ac:dyDescent="0.2">
      <c r="A17" s="15"/>
      <c r="B17" s="15" t="s">
        <v>109</v>
      </c>
      <c r="C17" s="14" t="s">
        <v>3</v>
      </c>
      <c r="D17" s="14">
        <v>18.953226089477539</v>
      </c>
      <c r="E17" s="14">
        <f>D17-21.31526</f>
        <v>-2.3620339105224595</v>
      </c>
      <c r="F17" s="14">
        <f t="shared" si="1"/>
        <v>5.1409461863102459</v>
      </c>
      <c r="G17" s="14">
        <v>78.712646484375</v>
      </c>
      <c r="H17" s="14" t="s">
        <v>24</v>
      </c>
      <c r="I17" s="14" t="s">
        <v>25</v>
      </c>
      <c r="J17" s="14">
        <v>17.364774703979492</v>
      </c>
      <c r="K17" s="14">
        <f>J17-20.81581</f>
        <v>-3.4510352960205068</v>
      </c>
      <c r="L17" s="14">
        <f t="shared" si="3"/>
        <v>10.936167169277933</v>
      </c>
      <c r="M17" s="14">
        <v>78.404273986816406</v>
      </c>
      <c r="N17" s="14" t="s">
        <v>24</v>
      </c>
      <c r="O17" s="13" t="s">
        <v>25</v>
      </c>
      <c r="R17" s="14"/>
      <c r="S17" s="15"/>
      <c r="T17" s="14" t="s">
        <v>4</v>
      </c>
      <c r="U17" s="14">
        <v>1.9030305243017356</v>
      </c>
      <c r="V17" s="14">
        <f>U17/U11</f>
        <v>0.97193625269121775</v>
      </c>
      <c r="W17" s="14">
        <f t="shared" ref="W17" si="18">AVERAGE(V17:V22)</f>
        <v>0.95369551894629134</v>
      </c>
      <c r="X17" s="14">
        <v>7.158989210381278E-2</v>
      </c>
      <c r="Y17" s="14">
        <f>X17/X11</f>
        <v>1.046990725158685</v>
      </c>
      <c r="Z17" s="14">
        <f t="shared" ref="Z17" si="19">AVERAGE(Y17:Y22)</f>
        <v>1.0191652133167806</v>
      </c>
      <c r="AA17" s="14">
        <v>5.0677745900447713E-2</v>
      </c>
      <c r="AB17" s="14">
        <f>AA17/AA11</f>
        <v>0.85568911906303258</v>
      </c>
      <c r="AC17" s="14">
        <f t="shared" ref="AC17" si="20">AVERAGE(AB17:AB22)</f>
        <v>0.92410178352006833</v>
      </c>
      <c r="AD17" s="14">
        <v>2.5891191101166974E-3</v>
      </c>
      <c r="AE17" s="14">
        <f>AD17/AD11</f>
        <v>0.99719060625089906</v>
      </c>
      <c r="AF17" s="14">
        <f t="shared" ref="AF17" si="21">AVERAGE(AE17:AE22)</f>
        <v>1.1580702925934581</v>
      </c>
      <c r="AG17" s="14">
        <v>3.9659202235763002E-3</v>
      </c>
      <c r="AH17" s="14">
        <f>AG17/AG11</f>
        <v>0.792210497714813</v>
      </c>
      <c r="AI17" s="14">
        <f t="shared" ref="AI17" si="22">AVERAGE(AH17:AH22)</f>
        <v>1.0882744161367133</v>
      </c>
      <c r="AJ17" s="14">
        <v>1.4441472706762846E-3</v>
      </c>
      <c r="AK17" s="14">
        <f>AJ17/AJ11</f>
        <v>0.71279462168976926</v>
      </c>
      <c r="AL17" s="14">
        <f t="shared" ref="AL17" si="23">AVERAGE(AK17:AK22)</f>
        <v>1.024590730130049</v>
      </c>
      <c r="AM17" s="14">
        <v>5.6927071949023543E-2</v>
      </c>
      <c r="AN17" s="14">
        <f>AM17/AM11</f>
        <v>0.78875432180396809</v>
      </c>
      <c r="AO17" s="14">
        <f t="shared" ref="AO17" si="24">AVERAGE(AN17:AN22)</f>
        <v>1.0285068530263934</v>
      </c>
      <c r="AP17" s="14">
        <v>0.25811428322815494</v>
      </c>
      <c r="AQ17" s="14">
        <f>AP17/AP11</f>
        <v>0.86910315923135861</v>
      </c>
      <c r="AR17" s="14">
        <f t="shared" ref="AR17" si="25">AVERAGE(AQ17:AQ22)</f>
        <v>1.047345304402215</v>
      </c>
      <c r="AS17" s="14">
        <v>1.9835847924274504E-2</v>
      </c>
      <c r="AT17" s="14">
        <f>AS17/AS11</f>
        <v>0.75759077129499042</v>
      </c>
      <c r="AU17" s="14">
        <f t="shared" ref="AU17" si="26">AVERAGE(AT17:AT22)</f>
        <v>1.0834789437472629</v>
      </c>
      <c r="AV17" s="14">
        <v>5.4378961416910447E-2</v>
      </c>
      <c r="AW17" s="14">
        <f>AV17/AV11</f>
        <v>0.85772053012565275</v>
      </c>
      <c r="AX17" s="14">
        <f t="shared" ref="AX17" si="27">AVERAGE(AW17:AW22)</f>
        <v>0.92745267991955649</v>
      </c>
      <c r="AY17" s="14">
        <v>2.0901305138459031E-2</v>
      </c>
      <c r="AZ17" s="14">
        <f>AY17/AY11</f>
        <v>0.85701209195880379</v>
      </c>
      <c r="BA17" s="14">
        <f t="shared" ref="BA17" si="28">AVERAGE(AZ17:AZ22)</f>
        <v>1.0376410155666602</v>
      </c>
      <c r="BB17" s="14">
        <v>0.25068301072870164</v>
      </c>
      <c r="BC17" s="14">
        <f>BB17/BB11</f>
        <v>0.80542141375253584</v>
      </c>
      <c r="BD17" s="13">
        <f t="shared" ref="BD17" si="29">AVERAGE(BC17:BC22)</f>
        <v>1.0108689268909901</v>
      </c>
    </row>
    <row r="18" spans="1:56" x14ac:dyDescent="0.2">
      <c r="A18" s="15"/>
      <c r="B18" s="15" t="s">
        <v>109</v>
      </c>
      <c r="C18" s="14" t="s">
        <v>3</v>
      </c>
      <c r="D18" s="14">
        <v>18.862783432006836</v>
      </c>
      <c r="E18" s="14">
        <f t="shared" ref="E18:E19" si="30">D18-21.31526</f>
        <v>-2.4524765679931626</v>
      </c>
      <c r="F18" s="14">
        <f t="shared" si="1"/>
        <v>5.4735490040889268</v>
      </c>
      <c r="G18" s="14">
        <v>78.861740112304688</v>
      </c>
      <c r="H18" s="14" t="s">
        <v>24</v>
      </c>
      <c r="I18" s="14" t="s">
        <v>25</v>
      </c>
      <c r="J18" s="14">
        <v>17.248432159423828</v>
      </c>
      <c r="K18" s="14">
        <f t="shared" ref="K18:K19" si="31">J18-20.81581</f>
        <v>-3.5673778405761709</v>
      </c>
      <c r="L18" s="14">
        <f t="shared" si="3"/>
        <v>11.854622693007576</v>
      </c>
      <c r="M18" s="14">
        <v>78.404273986816406</v>
      </c>
      <c r="N18" s="14" t="s">
        <v>24</v>
      </c>
      <c r="O18" s="13" t="s">
        <v>25</v>
      </c>
      <c r="R18" s="14"/>
      <c r="S18" s="15"/>
      <c r="T18" s="14" t="s">
        <v>4</v>
      </c>
      <c r="U18" s="14">
        <v>1.7713061598216679</v>
      </c>
      <c r="V18" s="14">
        <f t="shared" ref="V18:V22" si="32">U18/U12</f>
        <v>0.86427993707558826</v>
      </c>
      <c r="W18" s="14">
        <f t="shared" ref="W18" si="33">STDEV(V17:V22)</f>
        <v>5.8131779081269208E-2</v>
      </c>
      <c r="X18" s="14">
        <v>7.4207707110964582E-2</v>
      </c>
      <c r="Y18" s="14">
        <f t="shared" ref="Y18:Y22" si="34">X18/X12</f>
        <v>1.1100847468143518</v>
      </c>
      <c r="Z18" s="14">
        <f t="shared" ref="Z18" si="35">STDEV(Y17:Y22)</f>
        <v>7.3202595425217482E-2</v>
      </c>
      <c r="AA18" s="14">
        <v>5.0439187244631041E-2</v>
      </c>
      <c r="AB18" s="14">
        <f t="shared" ref="AB18:AB22" si="36">AA18/AA12</f>
        <v>0.85841191673525352</v>
      </c>
      <c r="AC18" s="14">
        <f t="shared" ref="AC18" si="37">STDEV(AB17:AB22)</f>
        <v>8.3354492951760603E-2</v>
      </c>
      <c r="AD18" s="14">
        <v>2.4814936152621524E-3</v>
      </c>
      <c r="AE18" s="14">
        <f t="shared" ref="AE18:AE22" si="38">AD18/AD12</f>
        <v>0.68016217776486343</v>
      </c>
      <c r="AF18" s="14">
        <f t="shared" ref="AF18" si="39">STDEV(AE17:AE22)</f>
        <v>0.42058756120272783</v>
      </c>
      <c r="AG18" s="14">
        <v>4.2300512503396911E-3</v>
      </c>
      <c r="AH18" s="14">
        <f t="shared" ref="AH18:AH22" si="40">AG18/AG12</f>
        <v>0.69738269281763265</v>
      </c>
      <c r="AI18" s="14">
        <f t="shared" ref="AI18" si="41">STDEV(AH17:AH22)</f>
        <v>0.47034037066719675</v>
      </c>
      <c r="AJ18" s="14">
        <v>1.4997740381848953E-3</v>
      </c>
      <c r="AK18" s="14">
        <f t="shared" ref="AK18:AK22" si="42">AJ18/AJ12</f>
        <v>0.6997117323791574</v>
      </c>
      <c r="AL18" s="14">
        <f t="shared" ref="AL18" si="43">STDEV(AK17:AK22)</f>
        <v>0.3121697048627366</v>
      </c>
      <c r="AM18" s="14">
        <v>6.0487195598253114E-2</v>
      </c>
      <c r="AN18" s="14">
        <f t="shared" ref="AN18:AN22" si="44">AM18/AM12</f>
        <v>0.82811508981028792</v>
      </c>
      <c r="AO18" s="14">
        <f t="shared" ref="AO18" si="45">STDEV(AN17:AN22)</f>
        <v>0.2046078952256806</v>
      </c>
      <c r="AP18" s="14">
        <v>0.23340260977729735</v>
      </c>
      <c r="AQ18" s="14">
        <f t="shared" ref="AQ18:AQ22" si="46">AP18/AP12</f>
        <v>0.77377975514355557</v>
      </c>
      <c r="AR18" s="14">
        <f t="shared" ref="AR18" si="47">STDEV(AQ17:AQ22)</f>
        <v>0.21012009769660547</v>
      </c>
      <c r="AS18" s="14">
        <v>2.0383710746598362E-2</v>
      </c>
      <c r="AT18" s="14">
        <f t="shared" ref="AT18:AT22" si="48">AS18/AS12</f>
        <v>0.77320709075670468</v>
      </c>
      <c r="AU18" s="14">
        <f t="shared" ref="AU18" si="49">STDEV(AT17:AT22)</f>
        <v>0.29154770466971924</v>
      </c>
      <c r="AV18" s="14">
        <v>4.8890066406888068E-2</v>
      </c>
      <c r="AW18" s="14">
        <f t="shared" ref="AW18:AW22" si="50">AV18/AV12</f>
        <v>0.71928296729566543</v>
      </c>
      <c r="AX18" s="14">
        <f t="shared" ref="AX18" si="51">STDEV(AW17:AW22)</f>
        <v>0.27715435683459394</v>
      </c>
      <c r="AY18" s="14">
        <v>2.0595102386194754E-2</v>
      </c>
      <c r="AZ18" s="14">
        <f t="shared" ref="AZ18:AZ22" si="52">AY18/AY12</f>
        <v>0.73377973114133943</v>
      </c>
      <c r="BA18" s="14">
        <f t="shared" ref="BA18" si="53">STDEV(AZ17:AZ22)</f>
        <v>0.2255061519337532</v>
      </c>
      <c r="BB18" s="14">
        <v>0.25724811762034455</v>
      </c>
      <c r="BC18" s="14">
        <f t="shared" ref="BC18:BC22" si="54">BB18/BB12</f>
        <v>0.84410935348962191</v>
      </c>
      <c r="BD18" s="13">
        <f t="shared" ref="BD18" si="55">STDEV(BC17:BC22)</f>
        <v>0.17213068332293011</v>
      </c>
    </row>
    <row r="19" spans="1:56" x14ac:dyDescent="0.2">
      <c r="A19" s="15"/>
      <c r="B19" s="15" t="s">
        <v>109</v>
      </c>
      <c r="C19" s="14" t="s">
        <v>3</v>
      </c>
      <c r="D19" s="14">
        <v>18.890083312988281</v>
      </c>
      <c r="E19" s="14">
        <f t="shared" si="30"/>
        <v>-2.4251766870117173</v>
      </c>
      <c r="F19" s="14">
        <f t="shared" si="1"/>
        <v>5.3709477513732349</v>
      </c>
      <c r="G19" s="14">
        <v>79.010391235351563</v>
      </c>
      <c r="H19" s="14" t="s">
        <v>24</v>
      </c>
      <c r="I19" s="14" t="s">
        <v>25</v>
      </c>
      <c r="J19" s="14">
        <v>17.28306770324707</v>
      </c>
      <c r="K19" s="14">
        <f t="shared" si="31"/>
        <v>-3.5327422967529287</v>
      </c>
      <c r="L19" s="14">
        <f t="shared" si="3"/>
        <v>11.573411586866191</v>
      </c>
      <c r="M19" s="14">
        <v>78.55218505859375</v>
      </c>
      <c r="N19" s="14" t="s">
        <v>24</v>
      </c>
      <c r="O19" s="13" t="s">
        <v>25</v>
      </c>
      <c r="R19" s="14"/>
      <c r="S19" s="15"/>
      <c r="T19" s="14" t="s">
        <v>4</v>
      </c>
      <c r="U19" s="14">
        <v>1.8308486959185029</v>
      </c>
      <c r="V19" s="14">
        <f t="shared" si="32"/>
        <v>0.89889502732567028</v>
      </c>
      <c r="W19" s="14"/>
      <c r="X19" s="14">
        <v>7.2276707006261875E-2</v>
      </c>
      <c r="Y19" s="14">
        <f t="shared" si="34"/>
        <v>1.0920780114567703</v>
      </c>
      <c r="Z19" s="14"/>
      <c r="AA19" s="14">
        <v>5.0412187330528234E-2</v>
      </c>
      <c r="AB19" s="14">
        <f t="shared" si="36"/>
        <v>0.83492482179523264</v>
      </c>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3"/>
    </row>
    <row r="20" spans="1:56" x14ac:dyDescent="0.2">
      <c r="A20" s="15"/>
      <c r="B20" s="15" t="s">
        <v>13</v>
      </c>
      <c r="C20" s="14" t="s">
        <v>3</v>
      </c>
      <c r="D20" s="14">
        <v>20.955121994018555</v>
      </c>
      <c r="E20" s="14">
        <f>D20-23.43122</f>
        <v>-2.476098005981445</v>
      </c>
      <c r="F20" s="14">
        <f t="shared" si="1"/>
        <v>5.5639058444236653</v>
      </c>
      <c r="G20" s="14">
        <v>79.010391235351563</v>
      </c>
      <c r="H20" s="14" t="s">
        <v>24</v>
      </c>
      <c r="I20" s="14" t="s">
        <v>25</v>
      </c>
      <c r="J20" s="14">
        <v>16.879724502563477</v>
      </c>
      <c r="K20" s="14">
        <f>J20-20.42601</f>
        <v>-3.546285497436525</v>
      </c>
      <c r="L20" s="14">
        <f t="shared" si="3"/>
        <v>11.682567740194889</v>
      </c>
      <c r="M20" s="14">
        <v>78.55218505859375</v>
      </c>
      <c r="N20" s="14" t="s">
        <v>24</v>
      </c>
      <c r="O20" s="13" t="s">
        <v>25</v>
      </c>
      <c r="R20" s="14"/>
      <c r="S20" s="15"/>
      <c r="T20" s="14" t="s">
        <v>4</v>
      </c>
      <c r="U20" s="14">
        <v>4.8674410562549904</v>
      </c>
      <c r="V20" s="14">
        <f t="shared" si="32"/>
        <v>0.98361178937578819</v>
      </c>
      <c r="W20" s="14"/>
      <c r="X20" s="14">
        <v>0.15128926485142363</v>
      </c>
      <c r="Y20" s="14">
        <f t="shared" si="34"/>
        <v>0.9439855412164968</v>
      </c>
      <c r="Z20" s="14"/>
      <c r="AA20" s="14">
        <v>0.17277325435955185</v>
      </c>
      <c r="AB20" s="14">
        <f t="shared" si="36"/>
        <v>1.0129608793943241</v>
      </c>
      <c r="AC20" s="14"/>
      <c r="AD20" s="14">
        <v>9.1009602607516355E-3</v>
      </c>
      <c r="AE20" s="14">
        <f t="shared" si="38"/>
        <v>1.8287805442820779</v>
      </c>
      <c r="AF20" s="14"/>
      <c r="AG20" s="14">
        <v>3.9444154128961987E-3</v>
      </c>
      <c r="AH20" s="14">
        <f t="shared" si="40"/>
        <v>1.0133245378520017</v>
      </c>
      <c r="AI20" s="14"/>
      <c r="AJ20" s="14">
        <v>7.0412659296456691E-3</v>
      </c>
      <c r="AK20" s="14">
        <f t="shared" si="42"/>
        <v>1.3825784810846105</v>
      </c>
      <c r="AL20" s="14"/>
      <c r="AM20" s="14">
        <v>5.5193605862595314E-2</v>
      </c>
      <c r="AN20" s="14">
        <f t="shared" si="44"/>
        <v>1.1781307931909852</v>
      </c>
      <c r="AO20" s="14"/>
      <c r="AP20" s="14">
        <v>2.4509052203474404E-2</v>
      </c>
      <c r="AQ20" s="14">
        <f t="shared" si="46"/>
        <v>1.2307482408574184</v>
      </c>
      <c r="AR20" s="14"/>
      <c r="AS20" s="14">
        <v>6.7795486151512804E-2</v>
      </c>
      <c r="AT20" s="14">
        <f t="shared" si="48"/>
        <v>1.3121176898452098</v>
      </c>
      <c r="AU20" s="14"/>
      <c r="AV20" s="14">
        <v>0.14325920195585537</v>
      </c>
      <c r="AW20" s="14">
        <f t="shared" si="50"/>
        <v>1.3217440738378894</v>
      </c>
      <c r="AX20" s="14"/>
      <c r="AY20" s="14">
        <v>3.4576088148984087E-2</v>
      </c>
      <c r="AZ20" s="14">
        <f t="shared" si="52"/>
        <v>1.1875259692020033</v>
      </c>
      <c r="BA20" s="14"/>
      <c r="BB20" s="14">
        <v>0.61753087251164429</v>
      </c>
      <c r="BC20" s="14">
        <f t="shared" si="54"/>
        <v>1.1619814139285125</v>
      </c>
      <c r="BD20" s="13"/>
    </row>
    <row r="21" spans="1:56" x14ac:dyDescent="0.2">
      <c r="A21" s="15"/>
      <c r="B21" s="15" t="s">
        <v>13</v>
      </c>
      <c r="C21" s="14" t="s">
        <v>3</v>
      </c>
      <c r="D21" s="14">
        <v>20.950538635253906</v>
      </c>
      <c r="E21" s="14">
        <f t="shared" ref="E21:E22" si="56">D21-23.43122</f>
        <v>-2.4806813647460935</v>
      </c>
      <c r="F21" s="14">
        <f t="shared" si="1"/>
        <v>5.5816101596289824</v>
      </c>
      <c r="G21" s="14">
        <v>78.864120483398438</v>
      </c>
      <c r="H21" s="14" t="s">
        <v>24</v>
      </c>
      <c r="I21" s="14" t="s">
        <v>25</v>
      </c>
      <c r="J21" s="14">
        <v>16.843690872192383</v>
      </c>
      <c r="K21" s="14">
        <f t="shared" ref="K21:K22" si="57">J21-20.42601</f>
        <v>-3.5823191278076187</v>
      </c>
      <c r="L21" s="14">
        <f t="shared" si="3"/>
        <v>11.97803317268025</v>
      </c>
      <c r="M21" s="14">
        <v>78.405807495117188</v>
      </c>
      <c r="N21" s="14" t="s">
        <v>24</v>
      </c>
      <c r="O21" s="13" t="s">
        <v>25</v>
      </c>
      <c r="R21" s="14"/>
      <c r="S21" s="15"/>
      <c r="T21" s="14" t="s">
        <v>4</v>
      </c>
      <c r="U21" s="14">
        <v>5.0589402510330146</v>
      </c>
      <c r="V21" s="14">
        <f t="shared" si="32"/>
        <v>0.9963912683798466</v>
      </c>
      <c r="W21" s="14"/>
      <c r="X21" s="14">
        <v>0.15264884239344764</v>
      </c>
      <c r="Y21" s="14">
        <f t="shared" si="34"/>
        <v>0.96036142831238358</v>
      </c>
      <c r="Z21" s="14"/>
      <c r="AA21" s="14">
        <v>0.16373333653226252</v>
      </c>
      <c r="AB21" s="14">
        <f t="shared" si="36"/>
        <v>0.97055728114575124</v>
      </c>
      <c r="AC21" s="14"/>
      <c r="AD21" s="14">
        <v>7.3724190861387913E-3</v>
      </c>
      <c r="AE21" s="14">
        <f t="shared" si="38"/>
        <v>1.1037986006617391</v>
      </c>
      <c r="AF21" s="14"/>
      <c r="AG21" s="14">
        <v>4.2729623627823224E-3</v>
      </c>
      <c r="AH21" s="14">
        <f t="shared" si="40"/>
        <v>1.0517570700407335</v>
      </c>
      <c r="AI21" s="14"/>
      <c r="AJ21" s="14">
        <v>5.9609539777636736E-3</v>
      </c>
      <c r="AK21" s="14">
        <f t="shared" si="42"/>
        <v>1.2640542641713697</v>
      </c>
      <c r="AL21" s="14"/>
      <c r="AM21" s="14">
        <v>5.1305329054407246E-2</v>
      </c>
      <c r="AN21" s="14">
        <f t="shared" si="44"/>
        <v>1.1226247454656353</v>
      </c>
      <c r="AO21" s="14"/>
      <c r="AP21" s="14">
        <v>2.4786782762377186E-2</v>
      </c>
      <c r="AQ21" s="14">
        <f t="shared" si="46"/>
        <v>1.1945140941457497</v>
      </c>
      <c r="AR21" s="14"/>
      <c r="AS21" s="14">
        <v>6.8071391269373782E-2</v>
      </c>
      <c r="AT21" s="14">
        <f t="shared" si="48"/>
        <v>1.3205266673530001</v>
      </c>
      <c r="AU21" s="14"/>
      <c r="AV21" s="14">
        <v>0.13564332668066234</v>
      </c>
      <c r="AW21" s="14">
        <f t="shared" si="50"/>
        <v>1.0892828937071546</v>
      </c>
      <c r="AX21" s="14"/>
      <c r="AY21" s="14">
        <v>3.3881255055856242E-2</v>
      </c>
      <c r="AZ21" s="14">
        <f t="shared" si="52"/>
        <v>1.2029722775090699</v>
      </c>
      <c r="BA21" s="14"/>
      <c r="BB21" s="14">
        <v>0.60789791640271096</v>
      </c>
      <c r="BC21" s="14">
        <f t="shared" si="54"/>
        <v>1.1461352262769171</v>
      </c>
      <c r="BD21" s="13"/>
    </row>
    <row r="22" spans="1:56" x14ac:dyDescent="0.2">
      <c r="A22" s="15"/>
      <c r="B22" s="15" t="s">
        <v>13</v>
      </c>
      <c r="C22" s="14" t="s">
        <v>3</v>
      </c>
      <c r="D22" s="14">
        <v>21.030607223510742</v>
      </c>
      <c r="E22" s="14">
        <f t="shared" si="56"/>
        <v>-2.4006127764892575</v>
      </c>
      <c r="F22" s="14">
        <f t="shared" si="1"/>
        <v>5.2802739330914878</v>
      </c>
      <c r="G22" s="14">
        <v>78.864120483398438</v>
      </c>
      <c r="H22" s="14" t="s">
        <v>24</v>
      </c>
      <c r="I22" s="14" t="s">
        <v>25</v>
      </c>
      <c r="J22" s="14">
        <v>16.930355072021484</v>
      </c>
      <c r="K22" s="14">
        <f t="shared" si="57"/>
        <v>-3.4956549279785172</v>
      </c>
      <c r="L22" s="14">
        <f t="shared" si="3"/>
        <v>11.279685421755493</v>
      </c>
      <c r="M22" s="14">
        <v>78.405807495117188</v>
      </c>
      <c r="N22" s="14" t="s">
        <v>24</v>
      </c>
      <c r="O22" s="13" t="s">
        <v>25</v>
      </c>
      <c r="R22" s="14"/>
      <c r="S22" s="15"/>
      <c r="T22" s="14" t="s">
        <v>4</v>
      </c>
      <c r="U22" s="14">
        <v>5.1985917371468897</v>
      </c>
      <c r="V22" s="14">
        <f t="shared" si="32"/>
        <v>1.0070588388296369</v>
      </c>
      <c r="W22" s="14"/>
      <c r="X22" s="14">
        <v>0.15200118972113466</v>
      </c>
      <c r="Y22" s="14">
        <f t="shared" si="34"/>
        <v>0.96149082694199539</v>
      </c>
      <c r="Z22" s="14"/>
      <c r="AA22" s="14">
        <v>0.17260704539052257</v>
      </c>
      <c r="AB22" s="14">
        <f t="shared" si="36"/>
        <v>1.0120666829868161</v>
      </c>
      <c r="AC22" s="14"/>
      <c r="AD22" s="14">
        <v>7.9730162074571117E-3</v>
      </c>
      <c r="AE22" s="14">
        <f t="shared" si="38"/>
        <v>1.1804195340077102</v>
      </c>
      <c r="AF22" s="14"/>
      <c r="AG22" s="14">
        <v>3.499833025453035E-3</v>
      </c>
      <c r="AH22" s="14">
        <f t="shared" si="40"/>
        <v>1.8866972822583861</v>
      </c>
      <c r="AI22" s="14"/>
      <c r="AJ22" s="14">
        <v>5.2842471468393304E-3</v>
      </c>
      <c r="AK22" s="14">
        <f t="shared" si="42"/>
        <v>1.0638145513253383</v>
      </c>
      <c r="AL22" s="14"/>
      <c r="AM22" s="14">
        <v>5.580251819397513E-2</v>
      </c>
      <c r="AN22" s="14">
        <f t="shared" si="44"/>
        <v>1.2249093148610912</v>
      </c>
      <c r="AO22" s="14"/>
      <c r="AP22" s="14">
        <v>2.347215195878433E-2</v>
      </c>
      <c r="AQ22" s="14">
        <f t="shared" si="46"/>
        <v>1.1685812726329929</v>
      </c>
      <c r="AR22" s="14"/>
      <c r="AS22" s="14">
        <v>6.6390236769742886E-2</v>
      </c>
      <c r="AT22" s="14">
        <f t="shared" si="48"/>
        <v>1.2539524994864097</v>
      </c>
      <c r="AU22" s="14"/>
      <c r="AV22" s="14">
        <v>0.13681924286559016</v>
      </c>
      <c r="AW22" s="14">
        <f t="shared" si="50"/>
        <v>0.64923293463141962</v>
      </c>
      <c r="AX22" s="14"/>
      <c r="AY22" s="14">
        <v>3.2836455684613838E-2</v>
      </c>
      <c r="AZ22" s="14">
        <f t="shared" si="52"/>
        <v>1.2069150080220845</v>
      </c>
      <c r="BA22" s="14"/>
      <c r="BB22" s="14">
        <v>0.58707455736805281</v>
      </c>
      <c r="BC22" s="14">
        <f t="shared" si="54"/>
        <v>1.0966972270073627</v>
      </c>
      <c r="BD22" s="13"/>
    </row>
    <row r="23" spans="1:56" x14ac:dyDescent="0.2">
      <c r="A23" s="15"/>
      <c r="B23" s="15" t="s">
        <v>15</v>
      </c>
      <c r="C23" s="14" t="s">
        <v>37</v>
      </c>
      <c r="D23" s="14">
        <v>23.879138946533203</v>
      </c>
      <c r="E23" s="14">
        <f>D23-20.00879</f>
        <v>3.8703489465332019</v>
      </c>
      <c r="F23" s="14">
        <f t="shared" si="1"/>
        <v>6.8376815938806346E-2</v>
      </c>
      <c r="G23" s="14">
        <v>77.968795776367188</v>
      </c>
      <c r="H23" s="14" t="s">
        <v>24</v>
      </c>
      <c r="I23" s="14" t="s">
        <v>25</v>
      </c>
      <c r="J23" s="14">
        <v>22.551895141601563</v>
      </c>
      <c r="K23" s="14">
        <f>J23-19.91044</f>
        <v>2.6414551416015613</v>
      </c>
      <c r="L23" s="14">
        <f t="shared" si="3"/>
        <v>0.16026650647260968</v>
      </c>
      <c r="M23" s="14">
        <v>77.508956909179688</v>
      </c>
      <c r="N23" s="14" t="s">
        <v>24</v>
      </c>
      <c r="O23" s="13" t="s">
        <v>25</v>
      </c>
      <c r="R23" s="14"/>
      <c r="S23" s="15"/>
      <c r="T23" s="14" t="s">
        <v>118</v>
      </c>
      <c r="U23" s="14">
        <v>5.1409461863102459</v>
      </c>
      <c r="V23" s="14">
        <f>U23/U11</f>
        <v>2.6256394250128898</v>
      </c>
      <c r="W23" s="14">
        <f t="shared" ref="W23" si="58">AVERAGE(V23:V28)</f>
        <v>2.4533583659828593</v>
      </c>
      <c r="X23" s="14">
        <v>7.9896956218541662E-2</v>
      </c>
      <c r="Y23" s="14">
        <f>X23/X11</f>
        <v>1.1684802095793001</v>
      </c>
      <c r="Z23" s="14">
        <f t="shared" ref="Z23" si="59">AVERAGE(Y23:Y28)</f>
        <v>1.1154916058218611</v>
      </c>
      <c r="AA23" s="14">
        <v>2.60869738741791E-2</v>
      </c>
      <c r="AB23" s="14">
        <f>AA23/AA11</f>
        <v>0.44047617542554224</v>
      </c>
      <c r="AC23" s="14">
        <f t="shared" ref="AC23" si="60">AVERAGE(AB23:AB28)</f>
        <v>0.56601655104441206</v>
      </c>
      <c r="AD23" s="14">
        <v>3.4399266961902215E-2</v>
      </c>
      <c r="AE23" s="14">
        <f>AD23/AD11</f>
        <v>13.248763157435308</v>
      </c>
      <c r="AF23" s="14">
        <f t="shared" ref="AF23" si="61">AVERAGE(AE23:AE28)</f>
        <v>5.6364645424477944</v>
      </c>
      <c r="AG23" s="14">
        <v>1.5179395122844943E-2</v>
      </c>
      <c r="AH23" s="14">
        <f>AG23/AG11</f>
        <v>3.0321528138140175</v>
      </c>
      <c r="AI23" s="14">
        <f t="shared" ref="AI23" si="62">AVERAGE(AH23:AH28)</f>
        <v>3.7594346922958932</v>
      </c>
      <c r="AJ23" s="14">
        <v>1.1247054382030636E-2</v>
      </c>
      <c r="AK23" s="14">
        <f>AJ23/AJ11</f>
        <v>5.5512620050235988</v>
      </c>
      <c r="AL23" s="14">
        <f t="shared" ref="AL23" si="63">AVERAGE(AK23:AK28)</f>
        <v>3.5516039230342913</v>
      </c>
      <c r="AM23" s="14">
        <v>0.15736750491463075</v>
      </c>
      <c r="AN23" s="14">
        <f>AM23/AM11</f>
        <v>2.1804089928263255</v>
      </c>
      <c r="AO23" s="14">
        <f t="shared" ref="AO23" si="64">AVERAGE(AN23:AN28)</f>
        <v>3.3420827106102862</v>
      </c>
      <c r="AP23" s="14">
        <v>1.8382836788385384</v>
      </c>
      <c r="AQ23" s="14">
        <f>AP23/AP11</f>
        <v>6.1897316679286591</v>
      </c>
      <c r="AR23" s="14">
        <f t="shared" ref="AR23" si="65">AVERAGE(AQ23:AQ28)</f>
        <v>5.0044722640235735</v>
      </c>
      <c r="AS23" s="14">
        <v>7.0097135925092757E-2</v>
      </c>
      <c r="AT23" s="14">
        <f>AS23/AS11</f>
        <v>2.6772207305578601</v>
      </c>
      <c r="AU23" s="14">
        <f t="shared" ref="AU23" si="66">AVERAGE(AT23:AT28)</f>
        <v>2.2726467694640808</v>
      </c>
      <c r="AV23" s="14">
        <v>0.17103628201904222</v>
      </c>
      <c r="AW23" s="14">
        <f>AV23/AV11</f>
        <v>2.697758961583868</v>
      </c>
      <c r="AX23" s="14">
        <f t="shared" ref="AX23" si="67">AVERAGE(AW23:AW28)</f>
        <v>2.0682548118066562</v>
      </c>
      <c r="AY23" s="14">
        <v>3.3359312269508216E-2</v>
      </c>
      <c r="AZ23" s="14">
        <f>AY23/AY11</f>
        <v>1.3678253011001209</v>
      </c>
      <c r="BA23" s="14">
        <f t="shared" ref="BA23" si="68">AVERAGE(AZ23:AZ28)</f>
        <v>1.2935893692322178</v>
      </c>
      <c r="BB23" s="14">
        <v>0.84765825563646557</v>
      </c>
      <c r="BC23" s="14">
        <f>BB23/BB11</f>
        <v>2.72344786608853</v>
      </c>
      <c r="BD23" s="13">
        <f t="shared" ref="BD23" si="69">AVERAGE(BC23:BC28)</f>
        <v>1.6440054588297712</v>
      </c>
    </row>
    <row r="24" spans="1:56" x14ac:dyDescent="0.2">
      <c r="A24" s="15"/>
      <c r="B24" s="15" t="s">
        <v>15</v>
      </c>
      <c r="C24" s="14" t="s">
        <v>37</v>
      </c>
      <c r="D24" s="14">
        <v>23.911746978759766</v>
      </c>
      <c r="E24" s="14">
        <f t="shared" ref="E24:E25" si="70">D24-20.00879</f>
        <v>3.9029569787597644</v>
      </c>
      <c r="F24" s="14">
        <f t="shared" si="1"/>
        <v>6.6848686394368528E-2</v>
      </c>
      <c r="G24" s="14">
        <v>77.968795776367188</v>
      </c>
      <c r="H24" s="14" t="s">
        <v>24</v>
      </c>
      <c r="I24" s="14" t="s">
        <v>25</v>
      </c>
      <c r="J24" s="14">
        <v>22.563800811767578</v>
      </c>
      <c r="K24" s="14">
        <f t="shared" ref="K24:K25" si="71">J24-19.91044</f>
        <v>2.6533608117675769</v>
      </c>
      <c r="L24" s="14">
        <f t="shared" si="3"/>
        <v>0.15894936832447884</v>
      </c>
      <c r="M24" s="14">
        <v>77.508956909179688</v>
      </c>
      <c r="N24" s="14" t="s">
        <v>24</v>
      </c>
      <c r="O24" s="13" t="s">
        <v>25</v>
      </c>
      <c r="R24" s="14"/>
      <c r="S24" s="15"/>
      <c r="T24" s="14" t="s">
        <v>118</v>
      </c>
      <c r="U24" s="14">
        <v>5.4735490040889268</v>
      </c>
      <c r="V24" s="14">
        <f t="shared" ref="V24:V28" si="72">U24/U12</f>
        <v>2.6707289209169818</v>
      </c>
      <c r="W24" s="14">
        <f t="shared" ref="W24" si="73">STDEV(V23:V28)</f>
        <v>0.21382762587929166</v>
      </c>
      <c r="X24" s="14">
        <v>8.2990615423414682E-2</v>
      </c>
      <c r="Y24" s="14">
        <f t="shared" ref="Y24:Y28" si="74">X24/X12</f>
        <v>1.2414696518315727</v>
      </c>
      <c r="Z24" s="14">
        <f t="shared" ref="Z24" si="75">STDEV(Y23:Y28)</f>
        <v>0.12634928686940128</v>
      </c>
      <c r="AA24" s="14">
        <v>2.9244678158890994E-2</v>
      </c>
      <c r="AB24" s="14">
        <f t="shared" ref="AB24:AB28" si="76">AA24/AA12</f>
        <v>0.49770786572996167</v>
      </c>
      <c r="AC24" s="14">
        <f t="shared" ref="AC24" si="77">STDEV(AB23:AB28)</f>
        <v>0.11198803555261837</v>
      </c>
      <c r="AD24" s="14">
        <v>3.3853267499882753E-2</v>
      </c>
      <c r="AE24" s="14">
        <f t="shared" ref="AE24:AE28" si="78">AD24/AD12</f>
        <v>9.2789729562710246</v>
      </c>
      <c r="AF24" s="14">
        <f t="shared" ref="AF24" si="79">STDEV(AE23:AE28)</f>
        <v>5.3303615375518616</v>
      </c>
      <c r="AG24" s="14">
        <v>1.7214784441846296E-2</v>
      </c>
      <c r="AH24" s="14">
        <f t="shared" ref="AH24:AH28" si="80">AG24/AG12</f>
        <v>2.8380962829624776</v>
      </c>
      <c r="AI24" s="14">
        <f t="shared" ref="AI24" si="81">STDEV(AH23:AH28)</f>
        <v>1.6124955343209277</v>
      </c>
      <c r="AJ24" s="14">
        <v>1.1434859632570136E-2</v>
      </c>
      <c r="AK24" s="14">
        <f t="shared" ref="AK24:AK28" si="82">AJ24/AJ12</f>
        <v>5.334873947212408</v>
      </c>
      <c r="AL24" s="14">
        <f t="shared" ref="AL24" si="83">STDEV(AK23:AK28)</f>
        <v>1.7296057370852103</v>
      </c>
      <c r="AM24" s="14">
        <v>0.16842237734660637</v>
      </c>
      <c r="AN24" s="14">
        <f t="shared" ref="AN24:AN28" si="84">AM24/AM12</f>
        <v>2.3058287090842602</v>
      </c>
      <c r="AO24" s="14">
        <f t="shared" ref="AO24" si="85">STDEV(AN23:AN28)</f>
        <v>1.0042722853517725</v>
      </c>
      <c r="AP24" s="14">
        <v>1.7945033746704451</v>
      </c>
      <c r="AQ24" s="14">
        <f t="shared" ref="AQ24:AQ28" si="86">AP24/AP12</f>
        <v>5.949163906871803</v>
      </c>
      <c r="AR24" s="14">
        <f t="shared" ref="AR24" si="87">STDEV(AQ23:AQ28)</f>
        <v>0.98767708236802965</v>
      </c>
      <c r="AS24" s="14">
        <v>6.9653895505804142E-2</v>
      </c>
      <c r="AT24" s="14">
        <f t="shared" ref="AT24:AT28" si="88">AS24/AS12</f>
        <v>2.6421531669792739</v>
      </c>
      <c r="AU24" s="14">
        <f t="shared" ref="AU24" si="89">STDEV(AT23:AT28)</f>
        <v>0.35410101896041096</v>
      </c>
      <c r="AV24" s="14">
        <v>0.17532744325766811</v>
      </c>
      <c r="AW24" s="14">
        <f t="shared" ref="AW24:AW28" si="90">AV24/AV12</f>
        <v>2.5794614919355157</v>
      </c>
      <c r="AX24" s="14">
        <f t="shared" ref="AX24" si="91">STDEV(AW23:AW28)</f>
        <v>0.69747562027475662</v>
      </c>
      <c r="AY24" s="14">
        <v>3.1970759767396724E-2</v>
      </c>
      <c r="AZ24" s="14">
        <f t="shared" ref="AZ24:AZ28" si="92">AY24/AY12</f>
        <v>1.1390812760527966</v>
      </c>
      <c r="BA24" s="14">
        <f t="shared" ref="BA24" si="93">STDEV(AZ23:AZ28)</f>
        <v>8.9249962417854836E-2</v>
      </c>
      <c r="BB24" s="14">
        <v>0.90828529394301349</v>
      </c>
      <c r="BC24" s="14">
        <f t="shared" ref="BC24:BC28" si="94">BB24/BB12</f>
        <v>2.9803604370232106</v>
      </c>
      <c r="BD24" s="13">
        <f t="shared" ref="BD24" si="95">STDEV(BC23:BC28)</f>
        <v>1.1065287802672323</v>
      </c>
    </row>
    <row r="25" spans="1:56" x14ac:dyDescent="0.2">
      <c r="A25" s="15"/>
      <c r="B25" s="15" t="s">
        <v>15</v>
      </c>
      <c r="C25" s="14" t="s">
        <v>37</v>
      </c>
      <c r="D25" s="14">
        <v>23.926191329956055</v>
      </c>
      <c r="E25" s="14">
        <f t="shared" si="70"/>
        <v>3.9174013299560535</v>
      </c>
      <c r="F25" s="14">
        <f t="shared" si="1"/>
        <v>6.6182732596043056E-2</v>
      </c>
      <c r="G25" s="14">
        <v>77.81689453125</v>
      </c>
      <c r="H25" s="14" t="s">
        <v>24</v>
      </c>
      <c r="I25" s="14" t="s">
        <v>25</v>
      </c>
      <c r="J25" s="14">
        <v>22.571630477905273</v>
      </c>
      <c r="K25" s="14">
        <f t="shared" si="71"/>
        <v>2.6611904779052722</v>
      </c>
      <c r="L25" s="14">
        <f t="shared" si="3"/>
        <v>0.15808906903934983</v>
      </c>
      <c r="M25" s="14">
        <v>77.359443664550781</v>
      </c>
      <c r="N25" s="14" t="s">
        <v>24</v>
      </c>
      <c r="O25" s="13" t="s">
        <v>25</v>
      </c>
      <c r="R25" s="14"/>
      <c r="S25" s="15"/>
      <c r="T25" s="14" t="s">
        <v>118</v>
      </c>
      <c r="U25" s="14">
        <v>5.3709477513732349</v>
      </c>
      <c r="V25" s="14">
        <f t="shared" si="72"/>
        <v>2.636983731369082</v>
      </c>
      <c r="W25" s="14"/>
      <c r="X25" s="14">
        <v>8.3948911634418893E-2</v>
      </c>
      <c r="Y25" s="14">
        <f t="shared" si="74"/>
        <v>1.2684413039699429</v>
      </c>
      <c r="Z25" s="14"/>
      <c r="AA25" s="14">
        <v>2.8021095222570225E-2</v>
      </c>
      <c r="AB25" s="14">
        <f t="shared" si="76"/>
        <v>0.46408436479493942</v>
      </c>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3"/>
    </row>
    <row r="26" spans="1:56" x14ac:dyDescent="0.2">
      <c r="A26" s="15"/>
      <c r="B26" s="15" t="s">
        <v>108</v>
      </c>
      <c r="C26" s="14" t="s">
        <v>37</v>
      </c>
      <c r="D26" s="14">
        <v>23.609760284423828</v>
      </c>
      <c r="E26" s="14">
        <f>D26-19.80566</f>
        <v>3.8041002844238285</v>
      </c>
      <c r="F26" s="14">
        <f t="shared" si="1"/>
        <v>7.158989210381278E-2</v>
      </c>
      <c r="G26" s="14">
        <v>77.81689453125</v>
      </c>
      <c r="H26" s="14" t="s">
        <v>24</v>
      </c>
      <c r="I26" s="14" t="s">
        <v>25</v>
      </c>
      <c r="J26" s="14">
        <v>22.443748474121094</v>
      </c>
      <c r="K26" s="14">
        <f>J26-19.71913</f>
        <v>2.7246184741210939</v>
      </c>
      <c r="L26" s="14">
        <f t="shared" si="3"/>
        <v>0.15128926485142363</v>
      </c>
      <c r="M26" s="14">
        <v>77.359443664550781</v>
      </c>
      <c r="N26" s="14" t="s">
        <v>24</v>
      </c>
      <c r="O26" s="13" t="s">
        <v>25</v>
      </c>
      <c r="R26" s="14"/>
      <c r="S26" s="15"/>
      <c r="T26" s="14" t="s">
        <v>118</v>
      </c>
      <c r="U26" s="14">
        <v>10.936167169277933</v>
      </c>
      <c r="V26" s="14">
        <f t="shared" si="72"/>
        <v>2.2099790904427734</v>
      </c>
      <c r="W26" s="14"/>
      <c r="X26" s="14">
        <v>0.15796405524950266</v>
      </c>
      <c r="Y26" s="14">
        <f t="shared" si="74"/>
        <v>0.9856336094560062</v>
      </c>
      <c r="Z26" s="14"/>
      <c r="AA26" s="14">
        <v>0.10609681701209255</v>
      </c>
      <c r="AB26" s="14">
        <f t="shared" si="76"/>
        <v>0.62204028893182861</v>
      </c>
      <c r="AC26" s="14"/>
      <c r="AD26" s="14">
        <v>1.1195588688295325E-2</v>
      </c>
      <c r="AE26" s="14">
        <f t="shared" si="78"/>
        <v>2.249682911289633</v>
      </c>
      <c r="AF26" s="14"/>
      <c r="AG26" s="14">
        <v>1.1811415126932106E-2</v>
      </c>
      <c r="AH26" s="14">
        <f t="shared" si="80"/>
        <v>3.0343651775989016</v>
      </c>
      <c r="AI26" s="14"/>
      <c r="AJ26" s="14">
        <v>1.1188782119199343E-2</v>
      </c>
      <c r="AK26" s="14">
        <f t="shared" si="82"/>
        <v>2.1969585500838664</v>
      </c>
      <c r="AL26" s="14"/>
      <c r="AM26" s="14">
        <v>0.18999975590403562</v>
      </c>
      <c r="AN26" s="14">
        <f t="shared" si="84"/>
        <v>4.0556249158023299</v>
      </c>
      <c r="AO26" s="14"/>
      <c r="AP26" s="14">
        <v>9.0386798644659788E-2</v>
      </c>
      <c r="AQ26" s="14">
        <f t="shared" si="86"/>
        <v>4.5388696594672417</v>
      </c>
      <c r="AR26" s="14"/>
      <c r="AS26" s="14">
        <v>0.1026779769815391</v>
      </c>
      <c r="AT26" s="14">
        <f t="shared" si="88"/>
        <v>1.9872353987388647</v>
      </c>
      <c r="AU26" s="14"/>
      <c r="AV26" s="14">
        <v>0.25080059625083601</v>
      </c>
      <c r="AW26" s="14">
        <f t="shared" si="90"/>
        <v>2.3139470085258469</v>
      </c>
      <c r="AX26" s="14"/>
      <c r="AY26" s="14">
        <v>3.8109228368872074E-2</v>
      </c>
      <c r="AZ26" s="14">
        <f t="shared" si="92"/>
        <v>1.3088727145559116</v>
      </c>
      <c r="BA26" s="14"/>
      <c r="BB26" s="14">
        <v>0.45167712348858241</v>
      </c>
      <c r="BC26" s="14">
        <f t="shared" si="94"/>
        <v>0.84990151254426538</v>
      </c>
      <c r="BD26" s="13"/>
    </row>
    <row r="27" spans="1:56" x14ac:dyDescent="0.2">
      <c r="A27" s="15"/>
      <c r="B27" s="15" t="s">
        <v>108</v>
      </c>
      <c r="C27" s="14" t="s">
        <v>37</v>
      </c>
      <c r="D27" s="14">
        <v>23.557947158813477</v>
      </c>
      <c r="E27" s="14">
        <f t="shared" ref="E27:E28" si="96">D27-19.80566</f>
        <v>3.752287158813477</v>
      </c>
      <c r="F27" s="14">
        <f t="shared" si="1"/>
        <v>7.4207707110964582E-2</v>
      </c>
      <c r="G27" s="14">
        <v>77.81634521484375</v>
      </c>
      <c r="H27" s="14" t="s">
        <v>24</v>
      </c>
      <c r="I27" s="14" t="s">
        <v>25</v>
      </c>
      <c r="J27" s="14">
        <v>22.430841445922852</v>
      </c>
      <c r="K27" s="14">
        <f t="shared" ref="K27:K28" si="97">J27-19.71913</f>
        <v>2.7117114459228517</v>
      </c>
      <c r="L27" s="14">
        <f t="shared" si="3"/>
        <v>0.15264884239344764</v>
      </c>
      <c r="M27" s="14">
        <v>77.360488891601563</v>
      </c>
      <c r="N27" s="14" t="s">
        <v>24</v>
      </c>
      <c r="O27" s="13" t="s">
        <v>25</v>
      </c>
      <c r="R27" s="14"/>
      <c r="S27" s="15"/>
      <c r="T27" s="14" t="s">
        <v>118</v>
      </c>
      <c r="U27" s="14">
        <v>11.854622693007576</v>
      </c>
      <c r="V27" s="14">
        <f t="shared" si="72"/>
        <v>2.3348452353906337</v>
      </c>
      <c r="W27" s="14"/>
      <c r="X27" s="14">
        <v>0.15880645708324445</v>
      </c>
      <c r="Y27" s="14">
        <f t="shared" si="74"/>
        <v>0.99910090085452463</v>
      </c>
      <c r="Z27" s="14"/>
      <c r="AA27" s="14">
        <v>0.11534354373918018</v>
      </c>
      <c r="AB27" s="14">
        <f t="shared" si="76"/>
        <v>0.68371853026494867</v>
      </c>
      <c r="AC27" s="14"/>
      <c r="AD27" s="14">
        <v>1.1906425493842186E-2</v>
      </c>
      <c r="AE27" s="14">
        <f t="shared" si="78"/>
        <v>1.7826300493003264</v>
      </c>
      <c r="AF27" s="14"/>
      <c r="AG27" s="14">
        <v>1.3248730502297438E-2</v>
      </c>
      <c r="AH27" s="14">
        <f t="shared" si="80"/>
        <v>3.2610738854676664</v>
      </c>
      <c r="AI27" s="14"/>
      <c r="AJ27" s="14">
        <v>1.0808914303216292E-2</v>
      </c>
      <c r="AK27" s="14">
        <f t="shared" si="82"/>
        <v>2.2920918811001001</v>
      </c>
      <c r="AL27" s="14"/>
      <c r="AM27" s="14">
        <v>0.18698029275022726</v>
      </c>
      <c r="AN27" s="14">
        <f t="shared" si="84"/>
        <v>4.0913625821055364</v>
      </c>
      <c r="AO27" s="14"/>
      <c r="AP27" s="14">
        <v>8.7371331335895266E-2</v>
      </c>
      <c r="AQ27" s="14">
        <f t="shared" si="86"/>
        <v>4.2105620445190768</v>
      </c>
      <c r="AR27" s="14"/>
      <c r="AS27" s="14">
        <v>0.10535265081623851</v>
      </c>
      <c r="AT27" s="14">
        <f t="shared" si="88"/>
        <v>2.0437511601406646</v>
      </c>
      <c r="AU27" s="14"/>
      <c r="AV27" s="14">
        <v>0.21671568139310504</v>
      </c>
      <c r="AW27" s="14">
        <f t="shared" si="90"/>
        <v>1.7403339354493523</v>
      </c>
      <c r="AX27" s="14"/>
      <c r="AY27" s="14">
        <v>3.7118842795881818E-2</v>
      </c>
      <c r="AZ27" s="14">
        <f t="shared" si="92"/>
        <v>1.3179245805106323</v>
      </c>
      <c r="BA27" s="14"/>
      <c r="BB27" s="14">
        <v>0.45397781164086626</v>
      </c>
      <c r="BC27" s="14">
        <f t="shared" si="94"/>
        <v>0.85593312270050659</v>
      </c>
      <c r="BD27" s="13"/>
    </row>
    <row r="28" spans="1:56" x14ac:dyDescent="0.2">
      <c r="A28" s="15"/>
      <c r="B28" s="15" t="s">
        <v>108</v>
      </c>
      <c r="C28" s="14" t="s">
        <v>37</v>
      </c>
      <c r="D28" s="14">
        <v>23.595985412597656</v>
      </c>
      <c r="E28" s="14">
        <f t="shared" si="96"/>
        <v>3.7903254125976567</v>
      </c>
      <c r="F28" s="14">
        <f t="shared" si="1"/>
        <v>7.2276707006261875E-2</v>
      </c>
      <c r="G28" s="14">
        <v>77.81634521484375</v>
      </c>
      <c r="H28" s="14" t="s">
        <v>24</v>
      </c>
      <c r="I28" s="14" t="s">
        <v>25</v>
      </c>
      <c r="J28" s="14">
        <v>22.436975479125977</v>
      </c>
      <c r="K28" s="14">
        <f t="shared" si="97"/>
        <v>2.7178454791259767</v>
      </c>
      <c r="L28" s="14">
        <f t="shared" si="3"/>
        <v>0.15200118972113466</v>
      </c>
      <c r="M28" s="14">
        <v>77.360488891601563</v>
      </c>
      <c r="N28" s="14" t="s">
        <v>24</v>
      </c>
      <c r="O28" s="13" t="s">
        <v>25</v>
      </c>
      <c r="R28" s="14"/>
      <c r="S28" s="15"/>
      <c r="T28" s="14" t="s">
        <v>118</v>
      </c>
      <c r="U28" s="14">
        <v>11.573411586866191</v>
      </c>
      <c r="V28" s="14">
        <f t="shared" si="72"/>
        <v>2.241973792764794</v>
      </c>
      <c r="W28" s="14"/>
      <c r="X28" s="14">
        <v>0.16280391099064051</v>
      </c>
      <c r="Y28" s="14">
        <f t="shared" si="74"/>
        <v>1.0298239592398202</v>
      </c>
      <c r="Z28" s="14"/>
      <c r="AA28" s="14">
        <v>0.11735006292984468</v>
      </c>
      <c r="AB28" s="14">
        <f t="shared" si="76"/>
        <v>0.68807208111925189</v>
      </c>
      <c r="AC28" s="14"/>
      <c r="AD28" s="14">
        <v>1.0957472013643344E-2</v>
      </c>
      <c r="AE28" s="14">
        <f t="shared" si="78"/>
        <v>1.6222736379426805</v>
      </c>
      <c r="AF28" s="14"/>
      <c r="AG28" s="14">
        <v>1.2301438860765233E-2</v>
      </c>
      <c r="AH28" s="14">
        <f t="shared" si="80"/>
        <v>6.6314853016364017</v>
      </c>
      <c r="AI28" s="14"/>
      <c r="AJ28" s="14">
        <v>1.183616043848036E-2</v>
      </c>
      <c r="AK28" s="14">
        <f t="shared" si="82"/>
        <v>2.3828332317514809</v>
      </c>
      <c r="AL28" s="14"/>
      <c r="AM28" s="14">
        <v>0.18574222148628855</v>
      </c>
      <c r="AN28" s="14">
        <f t="shared" si="84"/>
        <v>4.0771883532329785</v>
      </c>
      <c r="AO28" s="14"/>
      <c r="AP28" s="14">
        <v>8.3036308636263337E-2</v>
      </c>
      <c r="AQ28" s="14">
        <f t="shared" si="86"/>
        <v>4.1340340413310876</v>
      </c>
      <c r="AR28" s="14"/>
      <c r="AS28" s="14">
        <v>0.10657113492285283</v>
      </c>
      <c r="AT28" s="14">
        <f t="shared" si="88"/>
        <v>2.0128733909037431</v>
      </c>
      <c r="AU28" s="14"/>
      <c r="AV28" s="14">
        <v>0.2127993261717849</v>
      </c>
      <c r="AW28" s="14">
        <f t="shared" si="90"/>
        <v>1.0097726615386984</v>
      </c>
      <c r="AX28" s="14"/>
      <c r="AY28" s="14">
        <v>3.6300659114465145E-2</v>
      </c>
      <c r="AZ28" s="14">
        <f t="shared" si="92"/>
        <v>1.3342429739416284</v>
      </c>
      <c r="BA28" s="14"/>
      <c r="BB28" s="14">
        <v>0.43380800576382844</v>
      </c>
      <c r="BC28" s="14">
        <f t="shared" si="94"/>
        <v>0.81038435579234336</v>
      </c>
      <c r="BD28" s="13"/>
    </row>
    <row r="29" spans="1:56" x14ac:dyDescent="0.2">
      <c r="A29" s="15"/>
      <c r="B29" s="15" t="s">
        <v>109</v>
      </c>
      <c r="C29" s="14" t="s">
        <v>37</v>
      </c>
      <c r="D29" s="14">
        <v>24.960975646972656</v>
      </c>
      <c r="E29" s="14">
        <f>D29-21.31526</f>
        <v>3.6457156469726577</v>
      </c>
      <c r="F29" s="14">
        <f t="shared" si="1"/>
        <v>7.9896956218541662E-2</v>
      </c>
      <c r="G29" s="14">
        <v>77.818130493164063</v>
      </c>
      <c r="H29" s="14" t="s">
        <v>24</v>
      </c>
      <c r="I29" s="14" t="s">
        <v>25</v>
      </c>
      <c r="J29" s="14">
        <v>23.478141784667969</v>
      </c>
      <c r="K29" s="14">
        <f>J29-20.81581</f>
        <v>2.6623317846679697</v>
      </c>
      <c r="L29" s="14">
        <f t="shared" si="3"/>
        <v>0.15796405524950266</v>
      </c>
      <c r="M29" s="14">
        <v>77.360092163085938</v>
      </c>
      <c r="N29" s="14" t="s">
        <v>24</v>
      </c>
      <c r="O29" s="13" t="s">
        <v>25</v>
      </c>
      <c r="R29" s="14"/>
      <c r="S29" s="15"/>
      <c r="T29" s="14" t="s">
        <v>16</v>
      </c>
      <c r="U29" s="14">
        <v>5.5639058444236653</v>
      </c>
      <c r="V29" s="14">
        <f>U29/U11</f>
        <v>2.84165793858726</v>
      </c>
      <c r="W29" s="14">
        <f t="shared" ref="W29" si="98">AVERAGE(V29:V34)</f>
        <v>2.5104360309741449</v>
      </c>
      <c r="X29" s="14">
        <v>7.8410015838530495E-2</v>
      </c>
      <c r="Y29" s="14">
        <f>X29/X11</f>
        <v>1.1467339442758395</v>
      </c>
      <c r="Z29" s="14">
        <f t="shared" ref="Z29" si="99">AVERAGE(Y29:Y34)</f>
        <v>1.079156212469667</v>
      </c>
      <c r="AA29" s="14">
        <v>2.7670497627538919E-2</v>
      </c>
      <c r="AB29" s="14">
        <f>AA29/AA11</f>
        <v>0.46721382962566482</v>
      </c>
      <c r="AC29" s="14">
        <f t="shared" ref="AC29" si="100">AVERAGE(AB29:AB34)</f>
        <v>0.59971387096378759</v>
      </c>
      <c r="AD29" s="14">
        <v>6.4712822277440572E-3</v>
      </c>
      <c r="AE29" s="14">
        <f>AD29/AD11</f>
        <v>2.4923928075344164</v>
      </c>
      <c r="AF29" s="14">
        <f t="shared" ref="AF29" si="101">AVERAGE(AE29:AE34)</f>
        <v>2.0723365659202471</v>
      </c>
      <c r="AG29" s="14">
        <v>8.1267054276397688E-3</v>
      </c>
      <c r="AH29" s="14">
        <f>AG29/AG11</f>
        <v>1.6233461564203124</v>
      </c>
      <c r="AI29" s="14">
        <f t="shared" ref="AI29" si="102">AVERAGE(AH29:AH34)</f>
        <v>2.9540944652627745</v>
      </c>
      <c r="AJ29" s="14">
        <v>5.4595989413442018E-3</v>
      </c>
      <c r="AK29" s="14">
        <f>AJ29/AJ11</f>
        <v>2.69472015838863</v>
      </c>
      <c r="AL29" s="14">
        <f t="shared" ref="AL29" si="103">AVERAGE(AK29:AK34)</f>
        <v>2.2675068065035786</v>
      </c>
      <c r="AM29" s="14">
        <v>0.1027038177549363</v>
      </c>
      <c r="AN29" s="14">
        <f>AM29/AM11</f>
        <v>1.42301504972034</v>
      </c>
      <c r="AO29" s="14">
        <f t="shared" ref="AO29" si="104">AVERAGE(AN29:AN34)</f>
        <v>2.9390767729137703</v>
      </c>
      <c r="AP29" s="14">
        <v>0.51662487159156578</v>
      </c>
      <c r="AQ29" s="14">
        <f>AP29/AP11</f>
        <v>1.7395407275498969</v>
      </c>
      <c r="AR29" s="14">
        <f t="shared" ref="AR29" si="105">AVERAGE(AQ29:AQ34)</f>
        <v>3.005149493909141</v>
      </c>
      <c r="AS29" s="14">
        <v>3.6939288164765029E-2</v>
      </c>
      <c r="AT29" s="14">
        <f>AS29/AS11</f>
        <v>1.4108226640306729</v>
      </c>
      <c r="AU29" s="14">
        <f t="shared" ref="AU29" si="106">AVERAGE(AT29:AT34)</f>
        <v>2.0009548107853732</v>
      </c>
      <c r="AV29" s="14">
        <v>0.63392414646418127</v>
      </c>
      <c r="AW29" s="14">
        <f>AV29/AV11</f>
        <v>9.9988992212643399</v>
      </c>
      <c r="AX29" s="14">
        <f t="shared" ref="AX29" si="107">AVERAGE(AW29:AW34)</f>
        <v>4.8117625208866563</v>
      </c>
      <c r="AY29" s="14">
        <v>2.4156367964621724E-2</v>
      </c>
      <c r="AZ29" s="14">
        <f>AY29/AY11</f>
        <v>0.99047879098201574</v>
      </c>
      <c r="BA29" s="14">
        <f t="shared" ref="BA29" si="108">AVERAGE(AZ29:AZ34)</f>
        <v>1.1660774435553072</v>
      </c>
      <c r="BB29" s="14">
        <v>0.49839331427237016</v>
      </c>
      <c r="BC29" s="14">
        <f>BB29/BB11</f>
        <v>1.6012917932459816</v>
      </c>
      <c r="BD29" s="13">
        <f t="shared" ref="BD29" si="109">AVERAGE(BC29:BC34)</f>
        <v>1.2028712738724319</v>
      </c>
    </row>
    <row r="30" spans="1:56" x14ac:dyDescent="0.2">
      <c r="A30" s="15"/>
      <c r="B30" s="15" t="s">
        <v>109</v>
      </c>
      <c r="C30" s="14" t="s">
        <v>37</v>
      </c>
      <c r="D30" s="14">
        <v>24.906167984008789</v>
      </c>
      <c r="E30" s="14">
        <f t="shared" ref="E30:E31" si="110">D30-21.31526</f>
        <v>3.5909079840087905</v>
      </c>
      <c r="F30" s="14">
        <f t="shared" si="1"/>
        <v>8.2990615423414682E-2</v>
      </c>
      <c r="G30" s="14">
        <v>77.818130493164063</v>
      </c>
      <c r="H30" s="14" t="s">
        <v>24</v>
      </c>
      <c r="I30" s="14" t="s">
        <v>25</v>
      </c>
      <c r="J30" s="14">
        <v>23.470468521118164</v>
      </c>
      <c r="K30" s="14">
        <f t="shared" ref="K30:K31" si="111">J30-20.81581</f>
        <v>2.654658521118165</v>
      </c>
      <c r="L30" s="14">
        <f t="shared" si="3"/>
        <v>0.15880645708324445</v>
      </c>
      <c r="M30" s="14">
        <v>77.360092163085938</v>
      </c>
      <c r="N30" s="14" t="s">
        <v>24</v>
      </c>
      <c r="O30" s="13" t="s">
        <v>25</v>
      </c>
      <c r="R30" s="14"/>
      <c r="S30" s="15"/>
      <c r="T30" s="14" t="s">
        <v>16</v>
      </c>
      <c r="U30" s="14">
        <v>5.5816101596289824</v>
      </c>
      <c r="V30" s="14">
        <f t="shared" ref="V30:V34" si="112">U30/U12</f>
        <v>2.7234555984552551</v>
      </c>
      <c r="W30" s="14">
        <f t="shared" ref="W30" si="113">STDEV(V29:V34)</f>
        <v>0.25017956049997891</v>
      </c>
      <c r="X30" s="14">
        <v>7.1853362254912345E-2</v>
      </c>
      <c r="Y30" s="14">
        <f t="shared" ref="Y30:Y34" si="114">X30/X12</f>
        <v>1.0748657323050319</v>
      </c>
      <c r="Z30" s="14">
        <f t="shared" ref="Z30" si="115">STDEV(Y29:Y34)</f>
        <v>4.1967402584486238E-2</v>
      </c>
      <c r="AA30" s="14">
        <v>2.1950090463266101E-2</v>
      </c>
      <c r="AB30" s="14">
        <f t="shared" ref="AB30:AB34" si="116">AA30/AA12</f>
        <v>0.37356310155632227</v>
      </c>
      <c r="AC30" s="14">
        <f t="shared" ref="AC30" si="117">STDEV(AB29:AB34)</f>
        <v>0.17607812598642836</v>
      </c>
      <c r="AD30" s="14">
        <v>8.3526984999118242E-3</v>
      </c>
      <c r="AE30" s="14">
        <f t="shared" ref="AE30:AE34" si="118">AD30/AD12</f>
        <v>2.2894234210282889</v>
      </c>
      <c r="AF30" s="14">
        <f t="shared" ref="AF30" si="119">STDEV(AE29:AE34)</f>
        <v>0.39902456658759622</v>
      </c>
      <c r="AG30" s="14">
        <v>8.2323561474962788E-3</v>
      </c>
      <c r="AH30" s="14">
        <f t="shared" ref="AH30:AH34" si="120">AG30/AG12</f>
        <v>1.3572182365198797</v>
      </c>
      <c r="AI30" s="14">
        <f t="shared" ref="AI30" si="121">STDEV(AH29:AH34)</f>
        <v>1.8967860586633996</v>
      </c>
      <c r="AJ30" s="14">
        <v>5.0526210296290728E-3</v>
      </c>
      <c r="AK30" s="14">
        <f t="shared" ref="AK30:AK34" si="122">AJ30/AJ12</f>
        <v>2.357273911725942</v>
      </c>
      <c r="AL30" s="14">
        <f t="shared" ref="AL30" si="123">STDEV(AK29:AK34)</f>
        <v>0.27219644822587041</v>
      </c>
      <c r="AM30" s="14">
        <v>0.13627521365373391</v>
      </c>
      <c r="AN30" s="14">
        <f t="shared" ref="AN30:AN34" si="124">AM30/AM12</f>
        <v>1.86570991889459</v>
      </c>
      <c r="AO30" s="14">
        <f t="shared" ref="AO30" si="125">STDEV(AN29:AN34)</f>
        <v>1.1973827612501311</v>
      </c>
      <c r="AP30" s="14">
        <v>0.54426618787687375</v>
      </c>
      <c r="AQ30" s="14">
        <f t="shared" ref="AQ30:AQ34" si="126">AP30/AP12</f>
        <v>1.8043592485539017</v>
      </c>
      <c r="AR30" s="14">
        <f t="shared" ref="AR30" si="127">STDEV(AQ29:AQ34)</f>
        <v>1.1326053478741835</v>
      </c>
      <c r="AS30" s="14">
        <v>4.2875410848515247E-2</v>
      </c>
      <c r="AT30" s="14">
        <f t="shared" ref="AT30:AT34" si="128">AS30/AS12</f>
        <v>1.6263756927924062</v>
      </c>
      <c r="AU30" s="14">
        <f t="shared" ref="AU30" si="129">STDEV(AT29:AT34)</f>
        <v>0.44774801867317698</v>
      </c>
      <c r="AV30" s="14">
        <v>0.64578721489760871</v>
      </c>
      <c r="AW30" s="14">
        <f t="shared" ref="AW30:AW34" si="130">AV30/AV12</f>
        <v>9.5009841121367788</v>
      </c>
      <c r="AX30" s="14">
        <f t="shared" ref="AX30" si="131">STDEV(AW29:AW34)</f>
        <v>4.5198493747115043</v>
      </c>
      <c r="AY30" s="14">
        <v>2.6254636841193564E-2</v>
      </c>
      <c r="AZ30" s="14">
        <f t="shared" ref="AZ30:AZ34" si="132">AY30/AY12</f>
        <v>0.93542241263428993</v>
      </c>
      <c r="BA30" s="14">
        <f t="shared" ref="BA30" si="133">STDEV(AZ29:AZ34)</f>
        <v>0.19758095717697466</v>
      </c>
      <c r="BB30" s="14">
        <v>0.60099297010526787</v>
      </c>
      <c r="BC30" s="14">
        <f t="shared" ref="BC30:BC34" si="134">BB30/BB12</f>
        <v>1.9720408146817283</v>
      </c>
      <c r="BD30" s="13">
        <f t="shared" ref="BD30" si="135">STDEV(BC29:BC34)</f>
        <v>0.5490939121257119</v>
      </c>
    </row>
    <row r="31" spans="1:56" x14ac:dyDescent="0.2">
      <c r="A31" s="15"/>
      <c r="B31" s="15" t="s">
        <v>109</v>
      </c>
      <c r="C31" s="14" t="s">
        <v>37</v>
      </c>
      <c r="D31" s="14">
        <v>24.889604568481445</v>
      </c>
      <c r="E31" s="14">
        <f t="shared" si="110"/>
        <v>3.5743445684814468</v>
      </c>
      <c r="F31" s="14">
        <f t="shared" si="1"/>
        <v>8.3948911634418893E-2</v>
      </c>
      <c r="G31" s="14">
        <v>77.817893981933594</v>
      </c>
      <c r="H31" s="14" t="s">
        <v>24</v>
      </c>
      <c r="I31" s="14" t="s">
        <v>25</v>
      </c>
      <c r="J31" s="14">
        <v>23.434602737426758</v>
      </c>
      <c r="K31" s="14">
        <f t="shared" si="111"/>
        <v>2.6187927374267588</v>
      </c>
      <c r="L31" s="14">
        <f t="shared" si="3"/>
        <v>0.16280391099064051</v>
      </c>
      <c r="M31" s="14">
        <v>77.358795166015625</v>
      </c>
      <c r="N31" s="14" t="s">
        <v>24</v>
      </c>
      <c r="O31" s="13" t="s">
        <v>25</v>
      </c>
      <c r="R31" s="14"/>
      <c r="S31" s="15"/>
      <c r="T31" s="14" t="s">
        <v>16</v>
      </c>
      <c r="U31" s="14">
        <v>5.2802739330914878</v>
      </c>
      <c r="V31" s="14">
        <f t="shared" si="112"/>
        <v>2.5924654461913961</v>
      </c>
      <c r="W31" s="14"/>
      <c r="X31" s="14">
        <v>7.327652986002052E-2</v>
      </c>
      <c r="Y31" s="14">
        <f t="shared" si="114"/>
        <v>1.1071850161774914</v>
      </c>
      <c r="Z31" s="14"/>
      <c r="AA31" s="14">
        <v>2.9471286636166275E-2</v>
      </c>
      <c r="AB31" s="14">
        <f t="shared" si="116"/>
        <v>0.48810238249425142</v>
      </c>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3"/>
    </row>
    <row r="32" spans="1:56" x14ac:dyDescent="0.2">
      <c r="A32" s="15"/>
      <c r="B32" s="15" t="s">
        <v>13</v>
      </c>
      <c r="C32" s="14" t="s">
        <v>37</v>
      </c>
      <c r="D32" s="14">
        <v>27.104038238525391</v>
      </c>
      <c r="E32" s="14">
        <f>D32-23.43122</f>
        <v>3.6728182385253909</v>
      </c>
      <c r="F32" s="14">
        <f t="shared" si="1"/>
        <v>7.8410015838530495E-2</v>
      </c>
      <c r="G32" s="14">
        <v>77.817893981933594</v>
      </c>
      <c r="H32" s="14" t="s">
        <v>24</v>
      </c>
      <c r="I32" s="14" t="s">
        <v>25</v>
      </c>
      <c r="J32" s="14">
        <v>23.027849197387695</v>
      </c>
      <c r="K32" s="14">
        <f>J32-20.42601</f>
        <v>2.6018391973876938</v>
      </c>
      <c r="L32" s="14">
        <f t="shared" si="3"/>
        <v>0.16472835354565205</v>
      </c>
      <c r="M32" s="14">
        <v>77.358795166015625</v>
      </c>
      <c r="N32" s="14" t="s">
        <v>24</v>
      </c>
      <c r="O32" s="13" t="s">
        <v>25</v>
      </c>
      <c r="R32" s="14"/>
      <c r="S32" s="15"/>
      <c r="T32" s="14" t="s">
        <v>16</v>
      </c>
      <c r="U32" s="14">
        <v>11.682567740194889</v>
      </c>
      <c r="V32" s="14">
        <f t="shared" si="112"/>
        <v>2.3608116105833679</v>
      </c>
      <c r="W32" s="14"/>
      <c r="X32" s="14">
        <v>0.16472835354565205</v>
      </c>
      <c r="Y32" s="14">
        <f t="shared" si="114"/>
        <v>1.0278401717941292</v>
      </c>
      <c r="Z32" s="14"/>
      <c r="AA32" s="14">
        <v>0.12871170969328291</v>
      </c>
      <c r="AB32" s="14">
        <f t="shared" si="116"/>
        <v>0.75463026451956561</v>
      </c>
      <c r="AC32" s="14"/>
      <c r="AD32" s="14">
        <v>1.1398454403362266E-2</v>
      </c>
      <c r="AE32" s="14">
        <f t="shared" si="118"/>
        <v>2.2904474968044428</v>
      </c>
      <c r="AF32" s="14"/>
      <c r="AG32" s="14">
        <v>1.1279591694799177E-2</v>
      </c>
      <c r="AH32" s="14">
        <f t="shared" si="120"/>
        <v>2.8977391691356424</v>
      </c>
      <c r="AI32" s="14"/>
      <c r="AJ32" s="14">
        <v>1.0186000503638548E-2</v>
      </c>
      <c r="AK32" s="14">
        <f t="shared" si="122"/>
        <v>2.0000586890710355</v>
      </c>
      <c r="AL32" s="14"/>
      <c r="AM32" s="14">
        <v>0.16970894566317152</v>
      </c>
      <c r="AN32" s="14">
        <f t="shared" si="124"/>
        <v>3.6225090142417549</v>
      </c>
      <c r="AO32" s="14"/>
      <c r="AP32" s="14">
        <v>7.8445483442230582E-2</v>
      </c>
      <c r="AQ32" s="14">
        <f t="shared" si="126"/>
        <v>3.939223758968883</v>
      </c>
      <c r="AR32" s="14"/>
      <c r="AS32" s="14">
        <v>0.12062236766732291</v>
      </c>
      <c r="AT32" s="14">
        <f t="shared" si="128"/>
        <v>2.334532155335471</v>
      </c>
      <c r="AU32" s="14"/>
      <c r="AV32" s="14">
        <v>0.16774240296247947</v>
      </c>
      <c r="AW32" s="14">
        <f t="shared" si="130"/>
        <v>1.547632012604008</v>
      </c>
      <c r="AX32" s="14"/>
      <c r="AY32" s="14">
        <v>4.070593615079595E-2</v>
      </c>
      <c r="AZ32" s="14">
        <f t="shared" si="132"/>
        <v>1.3980574109905237</v>
      </c>
      <c r="BA32" s="14"/>
      <c r="BB32" s="14">
        <v>0.44566782301996827</v>
      </c>
      <c r="BC32" s="14">
        <f t="shared" si="134"/>
        <v>0.8385940690364756</v>
      </c>
      <c r="BD32" s="13"/>
    </row>
    <row r="33" spans="1:56" x14ac:dyDescent="0.2">
      <c r="A33" s="15"/>
      <c r="B33" s="15" t="s">
        <v>13</v>
      </c>
      <c r="C33" s="14" t="s">
        <v>37</v>
      </c>
      <c r="D33" s="14">
        <v>27.230020523071289</v>
      </c>
      <c r="E33" s="14">
        <f t="shared" ref="E33:E34" si="136">D33-23.43122</f>
        <v>3.7988005230712893</v>
      </c>
      <c r="F33" s="14">
        <f t="shared" si="1"/>
        <v>7.1853362254912345E-2</v>
      </c>
      <c r="G33" s="14">
        <v>77.671585083007813</v>
      </c>
      <c r="H33" s="14" t="s">
        <v>24</v>
      </c>
      <c r="I33" s="14" t="s">
        <v>25</v>
      </c>
      <c r="J33" s="14">
        <v>22.995025634765625</v>
      </c>
      <c r="K33" s="14">
        <f t="shared" ref="K33:K34" si="137">J33-20.42601</f>
        <v>2.5690156347656234</v>
      </c>
      <c r="L33" s="14">
        <f t="shared" si="3"/>
        <v>0.16851914018267011</v>
      </c>
      <c r="M33" s="14">
        <v>77.212486267089844</v>
      </c>
      <c r="N33" s="14" t="s">
        <v>24</v>
      </c>
      <c r="O33" s="13" t="s">
        <v>25</v>
      </c>
      <c r="R33" s="14"/>
      <c r="S33" s="15"/>
      <c r="T33" s="14" t="s">
        <v>16</v>
      </c>
      <c r="U33" s="14">
        <v>11.97803317268025</v>
      </c>
      <c r="V33" s="14">
        <f t="shared" si="112"/>
        <v>2.3591517340387078</v>
      </c>
      <c r="W33" s="14"/>
      <c r="X33" s="14">
        <v>0.16851914018267011</v>
      </c>
      <c r="Y33" s="14">
        <f t="shared" si="114"/>
        <v>1.0602064164146634</v>
      </c>
      <c r="Z33" s="14"/>
      <c r="AA33" s="14">
        <v>0.12917966484936089</v>
      </c>
      <c r="AB33" s="14">
        <f t="shared" si="116"/>
        <v>0.76573449824502027</v>
      </c>
      <c r="AC33" s="14"/>
      <c r="AD33" s="14">
        <v>1.0997152324106594E-2</v>
      </c>
      <c r="AE33" s="14">
        <f t="shared" si="118"/>
        <v>1.6464936684670086</v>
      </c>
      <c r="AF33" s="14"/>
      <c r="AG33" s="14">
        <v>1.1255756996947454E-2</v>
      </c>
      <c r="AH33" s="14">
        <f t="shared" si="120"/>
        <v>2.7705186695095207</v>
      </c>
      <c r="AI33" s="14"/>
      <c r="AJ33" s="14">
        <v>9.9179810854378523E-3</v>
      </c>
      <c r="AK33" s="14">
        <f t="shared" si="122"/>
        <v>2.1031644145862152</v>
      </c>
      <c r="AL33" s="14"/>
      <c r="AM33" s="14">
        <v>0.17692950004590038</v>
      </c>
      <c r="AN33" s="14">
        <f t="shared" si="124"/>
        <v>3.8714386714829701</v>
      </c>
      <c r="AO33" s="14"/>
      <c r="AP33" s="14">
        <v>7.5285191722028563E-2</v>
      </c>
      <c r="AQ33" s="14">
        <f t="shared" si="126"/>
        <v>3.6281119439561889</v>
      </c>
      <c r="AR33" s="14"/>
      <c r="AS33" s="14">
        <v>0.12137951322151309</v>
      </c>
      <c r="AT33" s="14">
        <f t="shared" si="128"/>
        <v>2.3546585590567823</v>
      </c>
      <c r="AU33" s="14"/>
      <c r="AV33" s="14">
        <v>0.23617119501467485</v>
      </c>
      <c r="AW33" s="14">
        <f t="shared" si="130"/>
        <v>1.8965713169325933</v>
      </c>
      <c r="AX33" s="14"/>
      <c r="AY33" s="14">
        <v>3.4184613367712682E-2</v>
      </c>
      <c r="AZ33" s="14">
        <f t="shared" si="132"/>
        <v>1.2137431783719106</v>
      </c>
      <c r="BA33" s="14"/>
      <c r="BB33" s="14">
        <v>0.43147498128402884</v>
      </c>
      <c r="BC33" s="14">
        <f t="shared" si="134"/>
        <v>0.81350611996371958</v>
      </c>
      <c r="BD33" s="13"/>
    </row>
    <row r="34" spans="1:56" ht="13.5" thickBot="1" x14ac:dyDescent="0.25">
      <c r="A34" s="15"/>
      <c r="B34" s="15" t="s">
        <v>13</v>
      </c>
      <c r="C34" s="14" t="s">
        <v>37</v>
      </c>
      <c r="D34" s="14">
        <v>27.201725006103516</v>
      </c>
      <c r="E34" s="14">
        <f t="shared" si="136"/>
        <v>3.7705050061035159</v>
      </c>
      <c r="F34" s="14">
        <f t="shared" si="1"/>
        <v>7.327652986002052E-2</v>
      </c>
      <c r="G34" s="14">
        <v>77.671585083007813</v>
      </c>
      <c r="H34" s="14" t="s">
        <v>24</v>
      </c>
      <c r="I34" s="14" t="s">
        <v>25</v>
      </c>
      <c r="J34" s="14">
        <v>23.005716323852539</v>
      </c>
      <c r="K34" s="14">
        <f t="shared" si="137"/>
        <v>2.5797063238525375</v>
      </c>
      <c r="L34" s="14">
        <f t="shared" si="3"/>
        <v>0.1672749915128362</v>
      </c>
      <c r="M34" s="14">
        <v>77.212486267089844</v>
      </c>
      <c r="N34" s="14" t="s">
        <v>24</v>
      </c>
      <c r="O34" s="13" t="s">
        <v>25</v>
      </c>
      <c r="R34" s="14"/>
      <c r="S34" s="12"/>
      <c r="T34" s="11" t="s">
        <v>16</v>
      </c>
      <c r="U34" s="11">
        <v>11.279685421755493</v>
      </c>
      <c r="V34" s="11">
        <f t="shared" si="112"/>
        <v>2.1850738579888804</v>
      </c>
      <c r="W34" s="11"/>
      <c r="X34" s="11">
        <v>0.1672749915128362</v>
      </c>
      <c r="Y34" s="11">
        <f t="shared" si="114"/>
        <v>1.0581059938508457</v>
      </c>
      <c r="Z34" s="11"/>
      <c r="AA34" s="11">
        <v>0.1277479405489137</v>
      </c>
      <c r="AB34" s="11">
        <f t="shared" si="116"/>
        <v>0.74903914934190186</v>
      </c>
      <c r="AC34" s="11"/>
      <c r="AD34" s="11">
        <v>1.1096962350784761E-2</v>
      </c>
      <c r="AE34" s="11">
        <f t="shared" si="118"/>
        <v>1.6429254357670779</v>
      </c>
      <c r="AF34" s="11"/>
      <c r="AG34" s="11">
        <v>1.1355691966733014E-2</v>
      </c>
      <c r="AH34" s="11">
        <f t="shared" si="120"/>
        <v>6.1216500947285173</v>
      </c>
      <c r="AI34" s="11"/>
      <c r="AJ34" s="11">
        <v>1.0840142786128869E-2</v>
      </c>
      <c r="AK34" s="11">
        <f t="shared" si="122"/>
        <v>2.1823168587460691</v>
      </c>
      <c r="AL34" s="11"/>
      <c r="AM34" s="11">
        <v>0.17824922698162812</v>
      </c>
      <c r="AN34" s="11">
        <f t="shared" si="124"/>
        <v>3.9127112102291974</v>
      </c>
      <c r="AO34" s="11"/>
      <c r="AP34" s="11">
        <v>7.862697934944636E-2</v>
      </c>
      <c r="AQ34" s="11">
        <f t="shared" si="126"/>
        <v>3.9145117905168347</v>
      </c>
      <c r="AR34" s="11"/>
      <c r="AS34" s="11">
        <v>0.1206285872206475</v>
      </c>
      <c r="AT34" s="11">
        <f t="shared" si="128"/>
        <v>2.2783849827115343</v>
      </c>
      <c r="AU34" s="11"/>
      <c r="AV34" s="11">
        <v>0.23491716328999926</v>
      </c>
      <c r="AW34" s="11">
        <f t="shared" si="130"/>
        <v>1.1147259414955595</v>
      </c>
      <c r="AX34" s="11"/>
      <c r="AY34" s="11">
        <v>3.5170005661858746E-2</v>
      </c>
      <c r="AZ34" s="11">
        <f t="shared" si="132"/>
        <v>1.2926854247977948</v>
      </c>
      <c r="BA34" s="11"/>
      <c r="BB34" s="11">
        <v>0.4223198032039463</v>
      </c>
      <c r="BC34" s="11">
        <f t="shared" si="134"/>
        <v>0.78892357243425471</v>
      </c>
      <c r="BD34" s="10"/>
    </row>
    <row r="35" spans="1:56" x14ac:dyDescent="0.2">
      <c r="A35" s="15"/>
      <c r="B35" s="15" t="s">
        <v>15</v>
      </c>
      <c r="C35" s="14" t="s">
        <v>49</v>
      </c>
      <c r="D35" s="14">
        <v>24.086452484130859</v>
      </c>
      <c r="E35" s="14">
        <f>D35-20.00879</f>
        <v>4.0776624841308582</v>
      </c>
      <c r="F35" s="14">
        <f t="shared" si="1"/>
        <v>5.9224483251509759E-2</v>
      </c>
      <c r="G35" s="14">
        <v>76.776161193847656</v>
      </c>
      <c r="H35" s="14" t="s">
        <v>24</v>
      </c>
      <c r="I35" s="14" t="s">
        <v>25</v>
      </c>
      <c r="J35" s="14">
        <v>22.462066650390625</v>
      </c>
      <c r="K35" s="14">
        <f>J35-19.91044</f>
        <v>2.5516266503906238</v>
      </c>
      <c r="L35" s="14">
        <f t="shared" si="3"/>
        <v>0.17056261290451563</v>
      </c>
      <c r="M35" s="14">
        <v>76.315460205078125</v>
      </c>
      <c r="N35" s="14" t="s">
        <v>24</v>
      </c>
      <c r="O35" s="13" t="s">
        <v>25</v>
      </c>
      <c r="R35" s="14"/>
      <c r="S35" s="14"/>
      <c r="T35" s="14"/>
      <c r="U35" s="14"/>
      <c r="V35" s="14"/>
      <c r="W35" s="14"/>
      <c r="X35" s="14"/>
      <c r="AA35" s="14"/>
      <c r="AB35" s="14"/>
      <c r="AC35" s="14"/>
      <c r="AD35" s="14"/>
      <c r="AE35" s="14"/>
      <c r="AF35" s="14"/>
      <c r="AG35" s="14"/>
      <c r="AH35" s="14"/>
      <c r="AI35" s="14"/>
      <c r="AJ35" s="14"/>
      <c r="AK35" s="14"/>
    </row>
    <row r="36" spans="1:56" x14ac:dyDescent="0.2">
      <c r="A36" s="15"/>
      <c r="B36" s="15" t="s">
        <v>15</v>
      </c>
      <c r="C36" s="14" t="s">
        <v>49</v>
      </c>
      <c r="D36" s="14">
        <v>24.097843170166016</v>
      </c>
      <c r="E36" s="14">
        <f t="shared" ref="E36:E37" si="138">D36-20.00879</f>
        <v>4.0890531701660144</v>
      </c>
      <c r="F36" s="14">
        <f t="shared" si="1"/>
        <v>5.8758722078863228E-2</v>
      </c>
      <c r="G36" s="14">
        <v>76.776161193847656</v>
      </c>
      <c r="H36" s="14" t="s">
        <v>24</v>
      </c>
      <c r="I36" s="14" t="s">
        <v>25</v>
      </c>
      <c r="J36" s="14">
        <v>22.4779052734375</v>
      </c>
      <c r="K36" s="14">
        <f t="shared" ref="K36:K37" si="139">J36-19.91044</f>
        <v>2.5674652734374988</v>
      </c>
      <c r="L36" s="14">
        <f t="shared" si="3"/>
        <v>0.16870033300762413</v>
      </c>
      <c r="M36" s="14">
        <v>76.166267395019531</v>
      </c>
      <c r="N36" s="14" t="s">
        <v>24</v>
      </c>
      <c r="O36" s="13" t="s">
        <v>25</v>
      </c>
      <c r="R36" s="14"/>
      <c r="S36" s="14"/>
      <c r="T36" s="14"/>
      <c r="U36" s="14"/>
      <c r="V36" s="14"/>
      <c r="W36" s="14"/>
      <c r="X36" s="14"/>
      <c r="AA36" s="14"/>
      <c r="AB36" s="14"/>
      <c r="AC36" s="14"/>
      <c r="AD36" s="14"/>
      <c r="AE36" s="14"/>
      <c r="AF36" s="14"/>
      <c r="AG36" s="14"/>
      <c r="AH36" s="14"/>
      <c r="AI36" s="14"/>
      <c r="AJ36" s="14"/>
      <c r="AK36" s="14"/>
    </row>
    <row r="37" spans="1:56" x14ac:dyDescent="0.2">
      <c r="A37" s="15"/>
      <c r="B37" s="15" t="s">
        <v>15</v>
      </c>
      <c r="C37" s="14" t="s">
        <v>49</v>
      </c>
      <c r="D37" s="14">
        <v>24.058591842651367</v>
      </c>
      <c r="E37" s="14">
        <f t="shared" si="138"/>
        <v>4.049801842651366</v>
      </c>
      <c r="F37" s="14">
        <f t="shared" si="1"/>
        <v>6.0379313220240982E-2</v>
      </c>
      <c r="G37" s="14">
        <v>76.773452758789063</v>
      </c>
      <c r="H37" s="14" t="s">
        <v>24</v>
      </c>
      <c r="I37" s="14" t="s">
        <v>25</v>
      </c>
      <c r="J37" s="14">
        <v>22.462181091308594</v>
      </c>
      <c r="K37" s="14">
        <f t="shared" si="139"/>
        <v>2.5517410913085925</v>
      </c>
      <c r="L37" s="14">
        <f t="shared" si="3"/>
        <v>0.17054908366425403</v>
      </c>
      <c r="M37" s="14">
        <v>76.166069030761719</v>
      </c>
      <c r="N37" s="14" t="s">
        <v>24</v>
      </c>
      <c r="O37" s="13" t="s">
        <v>25</v>
      </c>
      <c r="R37" s="14"/>
      <c r="S37" s="14"/>
      <c r="T37" s="14"/>
      <c r="U37" s="14"/>
      <c r="V37" s="14"/>
      <c r="W37" s="14"/>
      <c r="X37" s="14"/>
      <c r="AA37" s="14"/>
      <c r="AB37" s="14"/>
      <c r="AC37" s="14"/>
      <c r="AD37" s="14"/>
      <c r="AE37" s="14"/>
      <c r="AF37" s="14"/>
      <c r="AG37" s="14"/>
      <c r="AH37" s="14"/>
      <c r="AI37" s="14"/>
      <c r="AJ37" s="14"/>
      <c r="AK37" s="14"/>
    </row>
    <row r="38" spans="1:56" x14ac:dyDescent="0.2">
      <c r="A38" s="15"/>
      <c r="B38" s="15" t="s">
        <v>108</v>
      </c>
      <c r="C38" s="14" t="s">
        <v>49</v>
      </c>
      <c r="D38" s="14">
        <v>24.108163833618164</v>
      </c>
      <c r="E38" s="14">
        <f>D38-19.80566</f>
        <v>4.3025038336181645</v>
      </c>
      <c r="F38" s="14">
        <f t="shared" si="1"/>
        <v>5.0677745900447713E-2</v>
      </c>
      <c r="G38" s="14">
        <v>76.6243896484375</v>
      </c>
      <c r="H38" s="14" t="s">
        <v>24</v>
      </c>
      <c r="I38" s="14" t="s">
        <v>25</v>
      </c>
      <c r="J38" s="14">
        <v>22.252178192138672</v>
      </c>
      <c r="K38" s="14">
        <f>J38-19.71913</f>
        <v>2.5330481921386721</v>
      </c>
      <c r="L38" s="14">
        <f t="shared" si="3"/>
        <v>0.17277325435955185</v>
      </c>
      <c r="M38" s="14">
        <v>76.166069030761719</v>
      </c>
      <c r="N38" s="14" t="s">
        <v>24</v>
      </c>
      <c r="O38" s="13" t="s">
        <v>25</v>
      </c>
      <c r="R38" s="14"/>
      <c r="S38" s="14"/>
      <c r="T38" s="14"/>
      <c r="U38" s="14"/>
      <c r="V38" s="14"/>
      <c r="W38" s="14"/>
      <c r="X38" s="14"/>
      <c r="AA38" s="14"/>
      <c r="AB38" s="14"/>
      <c r="AC38" s="14"/>
      <c r="AD38" s="14"/>
      <c r="AE38" s="14"/>
      <c r="AF38" s="14"/>
      <c r="AG38" s="14"/>
      <c r="AH38" s="14"/>
      <c r="AI38" s="14"/>
      <c r="AJ38" s="14"/>
      <c r="AK38" s="14"/>
    </row>
    <row r="39" spans="1:56" x14ac:dyDescent="0.2">
      <c r="A39" s="15"/>
      <c r="B39" s="15" t="s">
        <v>108</v>
      </c>
      <c r="C39" s="14" t="s">
        <v>49</v>
      </c>
      <c r="D39" s="14">
        <v>24.114971160888672</v>
      </c>
      <c r="E39" s="14">
        <f t="shared" ref="E39:E40" si="140">D39-19.80566</f>
        <v>4.3093111608886723</v>
      </c>
      <c r="F39" s="14">
        <f t="shared" si="1"/>
        <v>5.0439187244631041E-2</v>
      </c>
      <c r="G39" s="14">
        <v>76.772895812988281</v>
      </c>
      <c r="H39" s="14" t="s">
        <v>24</v>
      </c>
      <c r="I39" s="14" t="s">
        <v>25</v>
      </c>
      <c r="J39" s="14">
        <v>22.329710006713867</v>
      </c>
      <c r="K39" s="14">
        <f t="shared" ref="K39:K40" si="141">J39-19.71913</f>
        <v>2.6105800067138674</v>
      </c>
      <c r="L39" s="14">
        <f t="shared" si="3"/>
        <v>0.16373333653226252</v>
      </c>
      <c r="M39" s="14">
        <v>76.167106628417969</v>
      </c>
      <c r="N39" s="14" t="s">
        <v>24</v>
      </c>
      <c r="O39" s="13" t="s">
        <v>25</v>
      </c>
      <c r="R39" s="14"/>
      <c r="S39" s="14"/>
      <c r="T39" s="14"/>
      <c r="U39" s="14"/>
      <c r="V39" s="14"/>
      <c r="W39" s="14"/>
      <c r="X39" s="14"/>
      <c r="AA39" s="14"/>
      <c r="AB39" s="14"/>
      <c r="AC39" s="14"/>
      <c r="AD39" s="14"/>
      <c r="AE39" s="14"/>
      <c r="AF39" s="14"/>
      <c r="AG39" s="14"/>
      <c r="AH39" s="14"/>
      <c r="AI39" s="14"/>
      <c r="AJ39" s="14"/>
      <c r="AK39" s="14"/>
    </row>
    <row r="40" spans="1:56" x14ac:dyDescent="0.2">
      <c r="A40" s="15"/>
      <c r="B40" s="15" t="s">
        <v>108</v>
      </c>
      <c r="C40" s="14" t="s">
        <v>49</v>
      </c>
      <c r="D40" s="14">
        <v>24.115743637084961</v>
      </c>
      <c r="E40" s="14">
        <f t="shared" si="140"/>
        <v>4.3100836370849613</v>
      </c>
      <c r="F40" s="14">
        <f t="shared" si="1"/>
        <v>5.0412187330528234E-2</v>
      </c>
      <c r="G40" s="14">
        <v>76.772895812988281</v>
      </c>
      <c r="H40" s="14" t="s">
        <v>24</v>
      </c>
      <c r="I40" s="14" t="s">
        <v>25</v>
      </c>
      <c r="J40" s="14">
        <v>22.253566741943359</v>
      </c>
      <c r="K40" s="14">
        <f t="shared" si="141"/>
        <v>2.5344367419433596</v>
      </c>
      <c r="L40" s="14">
        <f t="shared" si="3"/>
        <v>0.17260704539052257</v>
      </c>
      <c r="M40" s="14">
        <v>76.167106628417969</v>
      </c>
      <c r="N40" s="14" t="s">
        <v>24</v>
      </c>
      <c r="O40" s="13" t="s">
        <v>25</v>
      </c>
      <c r="R40" s="14"/>
      <c r="S40" s="14"/>
      <c r="T40" s="14"/>
      <c r="U40" s="14"/>
      <c r="V40" s="14"/>
      <c r="W40" s="14"/>
      <c r="X40" s="14"/>
      <c r="AA40" s="14"/>
      <c r="AB40" s="14"/>
      <c r="AC40" s="14"/>
      <c r="AD40" s="14"/>
      <c r="AE40" s="14"/>
      <c r="AF40" s="14"/>
      <c r="AG40" s="14"/>
      <c r="AH40" s="14"/>
      <c r="AI40" s="14"/>
      <c r="AJ40" s="14"/>
      <c r="AK40" s="14"/>
    </row>
    <row r="41" spans="1:56" x14ac:dyDescent="0.2">
      <c r="A41" s="15"/>
      <c r="B41" s="15" t="s">
        <v>109</v>
      </c>
      <c r="C41" s="14" t="s">
        <v>49</v>
      </c>
      <c r="D41" s="14">
        <v>26.575786590576172</v>
      </c>
      <c r="E41" s="14">
        <f>D41-21.31526</f>
        <v>5.2605265905761733</v>
      </c>
      <c r="F41" s="14">
        <f t="shared" si="1"/>
        <v>2.60869738741791E-2</v>
      </c>
      <c r="G41" s="14">
        <v>76.625434875488281</v>
      </c>
      <c r="H41" s="14" t="s">
        <v>24</v>
      </c>
      <c r="I41" s="14" t="s">
        <v>25</v>
      </c>
      <c r="J41" s="14">
        <v>24.052356719970703</v>
      </c>
      <c r="K41" s="14">
        <f>J41-20.81581</f>
        <v>3.2365467199707041</v>
      </c>
      <c r="L41" s="14">
        <f t="shared" si="3"/>
        <v>0.10609681701209255</v>
      </c>
      <c r="M41" s="14">
        <v>76.166748046875</v>
      </c>
      <c r="N41" s="14" t="s">
        <v>24</v>
      </c>
      <c r="O41" s="13" t="s">
        <v>25</v>
      </c>
      <c r="R41" s="14"/>
      <c r="S41" s="14"/>
      <c r="T41" s="14"/>
      <c r="U41" s="14"/>
      <c r="V41" s="14"/>
      <c r="W41" s="14"/>
      <c r="X41" s="14"/>
      <c r="AA41" s="14"/>
      <c r="AB41" s="14"/>
      <c r="AC41" s="14"/>
      <c r="AD41" s="14"/>
      <c r="AE41" s="14"/>
      <c r="AF41" s="14"/>
      <c r="AG41" s="14"/>
      <c r="AH41" s="14"/>
      <c r="AI41" s="14"/>
      <c r="AJ41" s="14"/>
      <c r="AK41" s="14"/>
    </row>
    <row r="42" spans="1:56" x14ac:dyDescent="0.2">
      <c r="A42" s="15"/>
      <c r="B42" s="15" t="s">
        <v>109</v>
      </c>
      <c r="C42" s="14" t="s">
        <v>49</v>
      </c>
      <c r="D42" s="14">
        <v>26.410942077636719</v>
      </c>
      <c r="E42" s="14">
        <f t="shared" ref="E42:E43" si="142">D42-21.31526</f>
        <v>5.0956820776367202</v>
      </c>
      <c r="F42" s="14">
        <f t="shared" si="1"/>
        <v>2.9244678158890994E-2</v>
      </c>
      <c r="G42" s="14">
        <v>76.625434875488281</v>
      </c>
      <c r="H42" s="14" t="s">
        <v>24</v>
      </c>
      <c r="I42" s="14" t="s">
        <v>25</v>
      </c>
      <c r="J42" s="14">
        <v>23.931800842285156</v>
      </c>
      <c r="K42" s="14">
        <f t="shared" ref="K42:K43" si="143">J42-20.81581</f>
        <v>3.1159908422851572</v>
      </c>
      <c r="L42" s="14">
        <f t="shared" si="3"/>
        <v>0.11534354373918018</v>
      </c>
      <c r="M42" s="14">
        <v>76.166748046875</v>
      </c>
      <c r="N42" s="14" t="s">
        <v>24</v>
      </c>
      <c r="O42" s="13" t="s">
        <v>25</v>
      </c>
      <c r="R42" s="14"/>
      <c r="S42" s="14"/>
      <c r="T42" s="14"/>
      <c r="U42" s="14"/>
      <c r="V42" s="14"/>
      <c r="W42" s="14"/>
      <c r="X42" s="14"/>
      <c r="AA42" s="14"/>
      <c r="AB42" s="14"/>
      <c r="AC42" s="14"/>
      <c r="AD42" s="14"/>
      <c r="AE42" s="14"/>
      <c r="AF42" s="14"/>
      <c r="AG42" s="14"/>
      <c r="AH42" s="14"/>
      <c r="AI42" s="14"/>
      <c r="AJ42" s="14"/>
      <c r="AK42" s="14"/>
    </row>
    <row r="43" spans="1:56" x14ac:dyDescent="0.2">
      <c r="A43" s="15"/>
      <c r="B43" s="15" t="s">
        <v>109</v>
      </c>
      <c r="C43" s="14" t="s">
        <v>49</v>
      </c>
      <c r="D43" s="14">
        <v>26.472602844238281</v>
      </c>
      <c r="E43" s="14">
        <f t="shared" si="142"/>
        <v>5.1573428442382827</v>
      </c>
      <c r="F43" s="14">
        <f t="shared" si="1"/>
        <v>2.8021095222570225E-2</v>
      </c>
      <c r="G43" s="14">
        <v>76.625396728515625</v>
      </c>
      <c r="H43" s="14" t="s">
        <v>24</v>
      </c>
      <c r="I43" s="14" t="s">
        <v>25</v>
      </c>
      <c r="J43" s="14">
        <v>23.906919479370117</v>
      </c>
      <c r="K43" s="14">
        <f t="shared" si="143"/>
        <v>3.0911094793701182</v>
      </c>
      <c r="L43" s="14">
        <f t="shared" si="3"/>
        <v>0.11735006292984468</v>
      </c>
      <c r="M43" s="14">
        <v>76.165397644042969</v>
      </c>
      <c r="N43" s="14" t="s">
        <v>24</v>
      </c>
      <c r="O43" s="13" t="s">
        <v>25</v>
      </c>
      <c r="R43" s="14"/>
      <c r="S43" s="14"/>
      <c r="T43" s="14"/>
      <c r="U43" s="14"/>
      <c r="V43" s="14"/>
      <c r="W43" s="14"/>
      <c r="X43" s="14"/>
      <c r="AA43" s="14"/>
      <c r="AB43" s="14"/>
      <c r="AC43" s="14"/>
      <c r="AD43" s="14"/>
      <c r="AE43" s="14"/>
      <c r="AF43" s="14"/>
      <c r="AG43" s="14"/>
      <c r="AH43" s="14"/>
      <c r="AI43" s="14"/>
      <c r="AJ43" s="14"/>
      <c r="AK43" s="14"/>
    </row>
    <row r="44" spans="1:56" x14ac:dyDescent="0.2">
      <c r="A44" s="15"/>
      <c r="B44" s="15" t="s">
        <v>13</v>
      </c>
      <c r="C44" s="14" t="s">
        <v>49</v>
      </c>
      <c r="D44" s="14">
        <v>28.606727600097656</v>
      </c>
      <c r="E44" s="14">
        <f>D44-23.43122</f>
        <v>5.1755076000976565</v>
      </c>
      <c r="F44" s="14">
        <f t="shared" si="1"/>
        <v>2.7670497627538919E-2</v>
      </c>
      <c r="G44" s="14">
        <v>76.625396728515625</v>
      </c>
      <c r="H44" s="14" t="s">
        <v>24</v>
      </c>
      <c r="I44" s="14" t="s">
        <v>25</v>
      </c>
      <c r="J44" s="14">
        <v>23.383794784545898</v>
      </c>
      <c r="K44" s="14">
        <f>J44-20.42601</f>
        <v>2.9577847845458969</v>
      </c>
      <c r="L44" s="14">
        <f t="shared" si="3"/>
        <v>0.12871170969328291</v>
      </c>
      <c r="M44" s="14">
        <v>76.016227722167969</v>
      </c>
      <c r="N44" s="14" t="s">
        <v>24</v>
      </c>
      <c r="O44" s="13" t="s">
        <v>25</v>
      </c>
      <c r="R44" s="14"/>
      <c r="S44" s="14"/>
      <c r="T44" s="14"/>
      <c r="U44" s="14"/>
      <c r="V44" s="14"/>
      <c r="W44" s="14"/>
      <c r="X44" s="14"/>
      <c r="AA44" s="14"/>
      <c r="AB44" s="14"/>
      <c r="AC44" s="14"/>
      <c r="AD44" s="14"/>
      <c r="AE44" s="14"/>
      <c r="AF44" s="14"/>
      <c r="AG44" s="14"/>
      <c r="AH44" s="14"/>
      <c r="AI44" s="14"/>
      <c r="AJ44" s="14"/>
      <c r="AK44" s="14"/>
    </row>
    <row r="45" spans="1:56" x14ac:dyDescent="0.2">
      <c r="A45" s="15"/>
      <c r="B45" s="15" t="s">
        <v>13</v>
      </c>
      <c r="C45" s="14" t="s">
        <v>49</v>
      </c>
      <c r="D45" s="14">
        <v>28.940849304199219</v>
      </c>
      <c r="E45" s="14">
        <f t="shared" ref="E45:E46" si="144">D45-23.43122</f>
        <v>5.509629304199219</v>
      </c>
      <c r="F45" s="14">
        <f t="shared" si="1"/>
        <v>2.1950090463266101E-2</v>
      </c>
      <c r="G45" s="14">
        <v>76.479049682617188</v>
      </c>
      <c r="H45" s="14" t="s">
        <v>24</v>
      </c>
      <c r="I45" s="14" t="s">
        <v>25</v>
      </c>
      <c r="J45" s="14">
        <v>23.378559112548828</v>
      </c>
      <c r="K45" s="14">
        <f t="shared" ref="K45:K46" si="145">J45-20.42601</f>
        <v>2.9525491125488266</v>
      </c>
      <c r="L45" s="14">
        <f t="shared" si="3"/>
        <v>0.12917966484936089</v>
      </c>
      <c r="M45" s="14">
        <v>76.019157409667969</v>
      </c>
      <c r="N45" s="14" t="s">
        <v>24</v>
      </c>
      <c r="O45" s="13" t="s">
        <v>25</v>
      </c>
      <c r="R45" s="14"/>
      <c r="S45" s="14"/>
      <c r="T45" s="14"/>
      <c r="U45" s="14"/>
      <c r="V45" s="14"/>
      <c r="W45" s="14"/>
      <c r="X45" s="14"/>
      <c r="AA45" s="14"/>
      <c r="AB45" s="14"/>
      <c r="AC45" s="14"/>
      <c r="AD45" s="14"/>
      <c r="AE45" s="14"/>
      <c r="AF45" s="14"/>
      <c r="AG45" s="14"/>
      <c r="AH45" s="14"/>
      <c r="AI45" s="14"/>
      <c r="AJ45" s="14"/>
      <c r="AK45" s="14"/>
    </row>
    <row r="46" spans="1:56" x14ac:dyDescent="0.2">
      <c r="A46" s="15"/>
      <c r="B46" s="15" t="s">
        <v>13</v>
      </c>
      <c r="C46" s="14" t="s">
        <v>49</v>
      </c>
      <c r="D46" s="14">
        <v>28.515766143798828</v>
      </c>
      <c r="E46" s="14">
        <f t="shared" si="144"/>
        <v>5.0845461437988284</v>
      </c>
      <c r="F46" s="14">
        <f t="shared" si="1"/>
        <v>2.9471286636166275E-2</v>
      </c>
      <c r="G46" s="14">
        <v>76.62811279296875</v>
      </c>
      <c r="H46" s="14" t="s">
        <v>24</v>
      </c>
      <c r="I46" s="14" t="s">
        <v>25</v>
      </c>
      <c r="J46" s="14">
        <v>23.394638061523438</v>
      </c>
      <c r="K46" s="14">
        <f t="shared" si="145"/>
        <v>2.9686280615234359</v>
      </c>
      <c r="L46" s="14">
        <f t="shared" si="3"/>
        <v>0.1277479405489137</v>
      </c>
      <c r="M46" s="14">
        <v>76.019157409667969</v>
      </c>
      <c r="N46" s="14" t="s">
        <v>24</v>
      </c>
      <c r="O46" s="13" t="s">
        <v>25</v>
      </c>
      <c r="R46" s="14"/>
      <c r="S46" s="14"/>
      <c r="T46" s="14"/>
      <c r="U46" s="14"/>
      <c r="V46" s="14"/>
      <c r="W46" s="14"/>
      <c r="X46" s="14"/>
      <c r="AA46" s="14"/>
      <c r="AB46" s="14"/>
      <c r="AC46" s="14"/>
      <c r="AD46" s="14"/>
      <c r="AE46" s="14"/>
      <c r="AF46" s="14"/>
      <c r="AG46" s="14"/>
      <c r="AH46" s="14"/>
      <c r="AI46" s="14"/>
      <c r="AJ46" s="14"/>
      <c r="AK46" s="14"/>
    </row>
    <row r="47" spans="1:56" x14ac:dyDescent="0.2">
      <c r="A47" s="15"/>
      <c r="B47" s="15" t="s">
        <v>15</v>
      </c>
      <c r="C47" s="14" t="s">
        <v>5</v>
      </c>
      <c r="D47" s="14">
        <v>29.149124145507813</v>
      </c>
      <c r="E47" s="14">
        <f>D47-20.55986</f>
        <v>8.589264145507812</v>
      </c>
      <c r="F47" s="14">
        <f>POWER(2,-E47)</f>
        <v>2.5964134578552777E-3</v>
      </c>
      <c r="G47" s="14">
        <v>77.517547607421875</v>
      </c>
      <c r="H47" s="14" t="s">
        <v>24</v>
      </c>
      <c r="I47" s="14" t="s">
        <v>25</v>
      </c>
      <c r="J47" s="14">
        <v>27.330297470092773</v>
      </c>
      <c r="K47" s="14">
        <f>J47-19.67965</f>
        <v>7.6506474700927747</v>
      </c>
      <c r="L47" s="14">
        <f t="shared" si="3"/>
        <v>4.9765185271720986E-3</v>
      </c>
      <c r="M47" s="14">
        <v>77.657958984375</v>
      </c>
      <c r="N47" s="14" t="s">
        <v>24</v>
      </c>
      <c r="O47" s="13" t="s">
        <v>25</v>
      </c>
      <c r="R47" s="14"/>
      <c r="S47" s="14"/>
      <c r="T47" s="14"/>
      <c r="U47" s="14"/>
      <c r="V47" s="14"/>
      <c r="W47" s="14"/>
      <c r="X47" s="14"/>
    </row>
    <row r="48" spans="1:56" x14ac:dyDescent="0.2">
      <c r="A48" s="15"/>
      <c r="B48" s="15" t="s">
        <v>15</v>
      </c>
      <c r="C48" s="14" t="s">
        <v>5</v>
      </c>
      <c r="D48" s="14"/>
      <c r="E48" s="14"/>
      <c r="F48" s="14"/>
      <c r="G48" s="14"/>
      <c r="H48" s="14"/>
      <c r="I48" s="14" t="s">
        <v>25</v>
      </c>
      <c r="J48" s="14">
        <v>26.905773162841797</v>
      </c>
      <c r="K48" s="14">
        <f t="shared" ref="K48:K49" si="146">J48-19.67965</f>
        <v>7.2261231628417981</v>
      </c>
      <c r="L48" s="14">
        <f t="shared" si="3"/>
        <v>6.6791342929035666E-3</v>
      </c>
      <c r="M48" s="14">
        <v>77.657958984375</v>
      </c>
      <c r="N48" s="14"/>
      <c r="O48" s="13" t="s">
        <v>25</v>
      </c>
      <c r="R48" s="14"/>
      <c r="S48" s="14"/>
      <c r="T48" s="14"/>
      <c r="U48" s="14"/>
      <c r="V48" s="14"/>
      <c r="W48" s="14"/>
      <c r="X48" s="14"/>
    </row>
    <row r="49" spans="1:24" x14ac:dyDescent="0.2">
      <c r="A49" s="15"/>
      <c r="B49" s="15" t="s">
        <v>15</v>
      </c>
      <c r="C49" s="14" t="s">
        <v>5</v>
      </c>
      <c r="D49" s="14">
        <v>28.65838623046875</v>
      </c>
      <c r="E49" s="14">
        <f>D49-20.55986</f>
        <v>8.0985262304687495</v>
      </c>
      <c r="F49" s="14">
        <f t="shared" ref="F49:F70" si="147">POWER(2,-E49)</f>
        <v>3.6483851886866038E-3</v>
      </c>
      <c r="G49" s="14">
        <v>77.666648864746094</v>
      </c>
      <c r="H49" s="14" t="s">
        <v>24</v>
      </c>
      <c r="I49" s="14" t="s">
        <v>25</v>
      </c>
      <c r="J49" s="14">
        <v>26.889608383178711</v>
      </c>
      <c r="K49" s="14">
        <f t="shared" si="146"/>
        <v>7.2099583831787122</v>
      </c>
      <c r="L49" s="14">
        <f t="shared" si="3"/>
        <v>6.7543919579062424E-3</v>
      </c>
      <c r="M49" s="14">
        <v>77.508735656738281</v>
      </c>
      <c r="N49" s="14" t="s">
        <v>24</v>
      </c>
      <c r="O49" s="13" t="s">
        <v>25</v>
      </c>
      <c r="R49" s="14"/>
      <c r="S49" s="14"/>
      <c r="T49" s="14"/>
      <c r="U49" s="14"/>
      <c r="V49" s="14"/>
      <c r="W49" s="14"/>
      <c r="X49" s="14"/>
    </row>
    <row r="50" spans="1:24" x14ac:dyDescent="0.2">
      <c r="A50" s="15"/>
      <c r="B50" s="15" t="s">
        <v>108</v>
      </c>
      <c r="C50" s="14" t="s">
        <v>5</v>
      </c>
      <c r="D50" s="14">
        <v>29.230052947998047</v>
      </c>
      <c r="E50" s="14">
        <f>D50-20.63673</f>
        <v>8.5933229479980469</v>
      </c>
      <c r="F50" s="14">
        <f t="shared" si="147"/>
        <v>2.5891191101166974E-3</v>
      </c>
      <c r="G50" s="14">
        <v>77.515396118164063</v>
      </c>
      <c r="H50" s="14" t="s">
        <v>24</v>
      </c>
      <c r="I50" s="14" t="s">
        <v>25</v>
      </c>
      <c r="J50" s="14">
        <v>26.554975509643555</v>
      </c>
      <c r="K50" s="14">
        <f>J50-19.77521</f>
        <v>6.7797655096435534</v>
      </c>
      <c r="L50" s="14">
        <f t="shared" si="3"/>
        <v>9.1009602607516355E-3</v>
      </c>
      <c r="M50" s="14">
        <v>77.657958984375</v>
      </c>
      <c r="N50" s="14" t="s">
        <v>24</v>
      </c>
      <c r="O50" s="13" t="s">
        <v>25</v>
      </c>
      <c r="R50" s="14"/>
      <c r="S50" s="14"/>
      <c r="T50" s="14"/>
      <c r="U50" s="14"/>
      <c r="V50" s="14"/>
      <c r="W50" s="14"/>
      <c r="X50" s="14"/>
    </row>
    <row r="51" spans="1:24" x14ac:dyDescent="0.2">
      <c r="A51" s="15"/>
      <c r="B51" s="15" t="s">
        <v>108</v>
      </c>
      <c r="C51" s="14" t="s">
        <v>5</v>
      </c>
      <c r="D51" s="14"/>
      <c r="E51" s="14"/>
      <c r="F51" s="14"/>
      <c r="G51" s="14"/>
      <c r="H51" s="14"/>
      <c r="I51" s="14" t="s">
        <v>25</v>
      </c>
      <c r="J51" s="14">
        <v>26.858856201171875</v>
      </c>
      <c r="K51" s="14">
        <f t="shared" ref="K51:K52" si="148">J51-19.77521</f>
        <v>7.0836462011718737</v>
      </c>
      <c r="L51" s="14">
        <f t="shared" si="3"/>
        <v>7.3724190861387913E-3</v>
      </c>
      <c r="M51" s="14">
        <v>77.508735656738281</v>
      </c>
      <c r="N51" s="14"/>
      <c r="O51" s="13" t="s">
        <v>25</v>
      </c>
      <c r="R51" s="14"/>
      <c r="S51" s="14"/>
      <c r="T51" s="14"/>
      <c r="U51" s="14"/>
      <c r="V51" s="14"/>
      <c r="W51" s="14"/>
      <c r="X51" s="14"/>
    </row>
    <row r="52" spans="1:24" x14ac:dyDescent="0.2">
      <c r="A52" s="15"/>
      <c r="B52" s="15" t="s">
        <v>108</v>
      </c>
      <c r="C52" s="14" t="s">
        <v>5</v>
      </c>
      <c r="D52" s="14">
        <v>29.291305541992188</v>
      </c>
      <c r="E52" s="14">
        <f>D52-20.63673</f>
        <v>8.6545755419921875</v>
      </c>
      <c r="F52" s="14">
        <f t="shared" si="147"/>
        <v>2.4814936152621524E-3</v>
      </c>
      <c r="G52" s="14">
        <v>77.66314697265625</v>
      </c>
      <c r="H52" s="14" t="s">
        <v>24</v>
      </c>
      <c r="I52" s="14" t="s">
        <v>25</v>
      </c>
      <c r="J52" s="14">
        <v>26.745868682861328</v>
      </c>
      <c r="K52" s="14">
        <f t="shared" si="148"/>
        <v>6.9706586828613268</v>
      </c>
      <c r="L52" s="14">
        <f t="shared" si="3"/>
        <v>7.9730162074571117E-3</v>
      </c>
      <c r="M52" s="14">
        <v>77.508735656738281</v>
      </c>
      <c r="N52" s="14" t="s">
        <v>24</v>
      </c>
      <c r="O52" s="13" t="s">
        <v>25</v>
      </c>
      <c r="R52" s="14"/>
      <c r="S52" s="14"/>
      <c r="T52" s="14"/>
      <c r="U52" s="14"/>
      <c r="V52" s="14"/>
      <c r="W52" s="14"/>
      <c r="X52" s="14"/>
    </row>
    <row r="53" spans="1:24" x14ac:dyDescent="0.2">
      <c r="A53" s="15"/>
      <c r="B53" s="15" t="s">
        <v>109</v>
      </c>
      <c r="C53" s="14" t="s">
        <v>5</v>
      </c>
      <c r="D53" s="14">
        <v>26.549358367919922</v>
      </c>
      <c r="E53" s="14">
        <f>D53-21.68788</f>
        <v>4.8614783679199221</v>
      </c>
      <c r="F53" s="14">
        <f t="shared" si="147"/>
        <v>3.4399266961902215E-2</v>
      </c>
      <c r="G53" s="14">
        <v>77.365341186523438</v>
      </c>
      <c r="H53" s="14" t="s">
        <v>24</v>
      </c>
      <c r="I53" s="14" t="s">
        <v>25</v>
      </c>
      <c r="J53" s="14">
        <v>27.175975799560547</v>
      </c>
      <c r="K53" s="14">
        <f>J53-20.69505</f>
        <v>6.4809257995605485</v>
      </c>
      <c r="L53" s="14">
        <f t="shared" si="3"/>
        <v>1.1195588688295325E-2</v>
      </c>
      <c r="M53" s="14">
        <v>77.523086547851563</v>
      </c>
      <c r="N53" s="14" t="s">
        <v>24</v>
      </c>
      <c r="O53" s="13" t="s">
        <v>25</v>
      </c>
      <c r="R53" s="14"/>
      <c r="S53" s="14"/>
      <c r="T53" s="14"/>
      <c r="U53" s="14"/>
      <c r="V53" s="14"/>
      <c r="W53" s="14"/>
      <c r="X53" s="14"/>
    </row>
    <row r="54" spans="1:24" x14ac:dyDescent="0.2">
      <c r="A54" s="15"/>
      <c r="B54" s="15" t="s">
        <v>109</v>
      </c>
      <c r="C54" s="14" t="s">
        <v>5</v>
      </c>
      <c r="D54" s="14"/>
      <c r="E54" s="14"/>
      <c r="F54" s="14"/>
      <c r="G54" s="14"/>
      <c r="H54" s="14"/>
      <c r="I54" s="14" t="s">
        <v>25</v>
      </c>
      <c r="J54" s="14">
        <v>27.087165832519531</v>
      </c>
      <c r="K54" s="14">
        <f t="shared" ref="K54:K55" si="149">J54-20.69505</f>
        <v>6.3921158325195329</v>
      </c>
      <c r="L54" s="14">
        <f t="shared" si="3"/>
        <v>1.1906425493842186E-2</v>
      </c>
      <c r="M54" s="14">
        <v>77.523086547851563</v>
      </c>
      <c r="N54" s="14"/>
      <c r="O54" s="13" t="s">
        <v>25</v>
      </c>
      <c r="R54" s="14"/>
      <c r="S54" s="14"/>
      <c r="T54" s="14"/>
      <c r="U54" s="14"/>
      <c r="V54" s="14"/>
      <c r="W54" s="14"/>
      <c r="X54" s="14"/>
    </row>
    <row r="55" spans="1:24" x14ac:dyDescent="0.2">
      <c r="A55" s="15"/>
      <c r="B55" s="15" t="s">
        <v>109</v>
      </c>
      <c r="C55" s="14" t="s">
        <v>5</v>
      </c>
      <c r="D55" s="14">
        <v>26.572441101074219</v>
      </c>
      <c r="E55" s="14">
        <f>D55-21.68788</f>
        <v>4.8845611010742189</v>
      </c>
      <c r="F55" s="14">
        <f t="shared" si="147"/>
        <v>3.3853267499882753E-2</v>
      </c>
      <c r="G55" s="14">
        <v>77.216232299804688</v>
      </c>
      <c r="H55" s="14" t="s">
        <v>24</v>
      </c>
      <c r="I55" s="14" t="s">
        <v>25</v>
      </c>
      <c r="J55" s="14">
        <v>27.206991195678711</v>
      </c>
      <c r="K55" s="14">
        <f t="shared" si="149"/>
        <v>6.5119411956787125</v>
      </c>
      <c r="L55" s="14">
        <f t="shared" si="3"/>
        <v>1.0957472013643344E-2</v>
      </c>
      <c r="M55" s="14">
        <v>77.373954772949219</v>
      </c>
      <c r="N55" s="14" t="s">
        <v>24</v>
      </c>
      <c r="O55" s="13" t="s">
        <v>25</v>
      </c>
      <c r="R55" s="14"/>
      <c r="S55" s="14"/>
      <c r="T55" s="14"/>
      <c r="U55" s="14"/>
      <c r="V55" s="14"/>
      <c r="W55" s="14"/>
      <c r="X55" s="14"/>
    </row>
    <row r="56" spans="1:24" x14ac:dyDescent="0.2">
      <c r="A56" s="15"/>
      <c r="B56" s="15" t="s">
        <v>13</v>
      </c>
      <c r="C56" s="14" t="s">
        <v>5</v>
      </c>
      <c r="D56" s="14">
        <v>30.702472686767578</v>
      </c>
      <c r="E56" s="14">
        <f>D56-23.43074</f>
        <v>7.271732686767578</v>
      </c>
      <c r="F56" s="14">
        <f t="shared" si="147"/>
        <v>6.4712822277440572E-3</v>
      </c>
      <c r="G56" s="14">
        <v>77.66265869140625</v>
      </c>
      <c r="H56" s="14" t="s">
        <v>24</v>
      </c>
      <c r="I56" s="14" t="s">
        <v>25</v>
      </c>
      <c r="J56" s="14">
        <v>26.763957977294922</v>
      </c>
      <c r="K56" s="14">
        <f>J56-20.30894</f>
        <v>6.4550179772949221</v>
      </c>
      <c r="L56" s="14">
        <f t="shared" si="3"/>
        <v>1.1398454403362266E-2</v>
      </c>
      <c r="M56" s="14">
        <v>77.523086547851563</v>
      </c>
      <c r="N56" s="14" t="s">
        <v>24</v>
      </c>
      <c r="O56" s="13" t="s">
        <v>25</v>
      </c>
      <c r="R56" s="14"/>
      <c r="S56" s="14"/>
      <c r="T56" s="14"/>
      <c r="U56" s="14"/>
      <c r="V56" s="14"/>
      <c r="W56" s="14"/>
      <c r="X56" s="14"/>
    </row>
    <row r="57" spans="1:24" x14ac:dyDescent="0.2">
      <c r="A57" s="15"/>
      <c r="B57" s="15" t="s">
        <v>13</v>
      </c>
      <c r="C57" s="14" t="s">
        <v>5</v>
      </c>
      <c r="D57" s="14"/>
      <c r="E57" s="14"/>
      <c r="F57" s="14"/>
      <c r="G57" s="14"/>
      <c r="H57" s="14"/>
      <c r="I57" s="14" t="s">
        <v>25</v>
      </c>
      <c r="J57" s="14">
        <v>26.815666198730469</v>
      </c>
      <c r="K57" s="14">
        <f t="shared" ref="K57:K58" si="150">J57-20.30894</f>
        <v>6.506726198730469</v>
      </c>
      <c r="L57" s="14">
        <f t="shared" si="3"/>
        <v>1.0997152324106594E-2</v>
      </c>
      <c r="M57" s="14">
        <v>77.373954772949219</v>
      </c>
      <c r="N57" s="14"/>
      <c r="O57" s="13" t="s">
        <v>25</v>
      </c>
      <c r="R57" s="14"/>
      <c r="S57" s="14"/>
      <c r="T57" s="14"/>
      <c r="U57" s="14"/>
      <c r="V57" s="14"/>
      <c r="W57" s="14"/>
      <c r="X57" s="14"/>
    </row>
    <row r="58" spans="1:24" x14ac:dyDescent="0.2">
      <c r="A58" s="15"/>
      <c r="B58" s="15" t="s">
        <v>13</v>
      </c>
      <c r="C58" s="14" t="s">
        <v>5</v>
      </c>
      <c r="D58" s="14">
        <v>30.334281921386719</v>
      </c>
      <c r="E58" s="14">
        <f>D58-23.43074</f>
        <v>6.9035419213867186</v>
      </c>
      <c r="F58" s="14">
        <f t="shared" si="147"/>
        <v>8.3526984999118242E-3</v>
      </c>
      <c r="G58" s="14">
        <v>77.369522094726563</v>
      </c>
      <c r="H58" s="14" t="s">
        <v>24</v>
      </c>
      <c r="I58" s="14" t="s">
        <v>25</v>
      </c>
      <c r="J58" s="14">
        <v>26.802631378173828</v>
      </c>
      <c r="K58" s="14">
        <f t="shared" si="150"/>
        <v>6.4936913781738284</v>
      </c>
      <c r="L58" s="14">
        <f t="shared" si="3"/>
        <v>1.1096962350784761E-2</v>
      </c>
      <c r="M58" s="14">
        <v>77.373954772949219</v>
      </c>
      <c r="N58" s="14" t="s">
        <v>24</v>
      </c>
      <c r="O58" s="13" t="s">
        <v>25</v>
      </c>
      <c r="R58" s="14"/>
      <c r="S58" s="14"/>
      <c r="T58" s="14"/>
      <c r="U58" s="14"/>
      <c r="V58" s="14"/>
      <c r="W58" s="14"/>
      <c r="X58" s="14"/>
    </row>
    <row r="59" spans="1:24" x14ac:dyDescent="0.2">
      <c r="A59" s="15"/>
      <c r="B59" s="15" t="s">
        <v>15</v>
      </c>
      <c r="C59" s="14" t="s">
        <v>6</v>
      </c>
      <c r="D59" s="14">
        <v>28.201944351196289</v>
      </c>
      <c r="E59" s="14">
        <f>D59-20.55986</f>
        <v>7.6420843511962886</v>
      </c>
      <c r="F59" s="14">
        <f t="shared" si="147"/>
        <v>5.0061444969692736E-3</v>
      </c>
      <c r="G59" s="14">
        <v>74.088119506835938</v>
      </c>
      <c r="H59" s="14" t="s">
        <v>24</v>
      </c>
      <c r="I59" s="14" t="s">
        <v>25</v>
      </c>
      <c r="J59" s="14">
        <v>27.684719085693359</v>
      </c>
      <c r="K59" s="14">
        <f>J59-19.67965</f>
        <v>8.0050690856933606</v>
      </c>
      <c r="L59" s="14">
        <f t="shared" ref="L59:L70" si="151">POWER(2,-K59)</f>
        <v>3.8925489964521998E-3</v>
      </c>
      <c r="M59" s="14">
        <v>74.225852966308594</v>
      </c>
      <c r="N59" s="14" t="s">
        <v>24</v>
      </c>
      <c r="O59" s="13" t="s">
        <v>25</v>
      </c>
      <c r="R59" s="14"/>
      <c r="S59" s="14"/>
      <c r="T59" s="14"/>
      <c r="U59" s="14"/>
      <c r="V59" s="14"/>
      <c r="W59" s="14"/>
      <c r="X59" s="14"/>
    </row>
    <row r="60" spans="1:24" x14ac:dyDescent="0.2">
      <c r="A60" s="15"/>
      <c r="B60" s="15" t="s">
        <v>15</v>
      </c>
      <c r="C60" s="14" t="s">
        <v>6</v>
      </c>
      <c r="D60" s="14"/>
      <c r="E60" s="14"/>
      <c r="F60" s="14"/>
      <c r="G60" s="14"/>
      <c r="H60" s="14"/>
      <c r="I60" s="14" t="s">
        <v>25</v>
      </c>
      <c r="J60" s="14">
        <v>27.62299919128418</v>
      </c>
      <c r="K60" s="14">
        <f t="shared" ref="K60:K61" si="152">J60-19.67965</f>
        <v>7.9433491912841809</v>
      </c>
      <c r="L60" s="14">
        <f t="shared" si="151"/>
        <v>4.0626894598548647E-3</v>
      </c>
      <c r="M60" s="14">
        <v>74.076629638671875</v>
      </c>
      <c r="N60" s="14"/>
      <c r="O60" s="13" t="s">
        <v>25</v>
      </c>
      <c r="R60" s="14"/>
      <c r="S60" s="14"/>
      <c r="T60" s="14"/>
      <c r="U60" s="14"/>
      <c r="V60" s="14"/>
      <c r="W60" s="14"/>
      <c r="X60" s="14"/>
    </row>
    <row r="61" spans="1:24" x14ac:dyDescent="0.2">
      <c r="A61" s="15"/>
      <c r="B61" s="15" t="s">
        <v>15</v>
      </c>
      <c r="C61" s="14" t="s">
        <v>6</v>
      </c>
      <c r="D61" s="14">
        <v>27.924991607666016</v>
      </c>
      <c r="E61" s="14">
        <f>D61-20.55986</f>
        <v>7.3651316076660152</v>
      </c>
      <c r="F61" s="14">
        <f t="shared" si="147"/>
        <v>6.0656097346623713E-3</v>
      </c>
      <c r="G61" s="14">
        <v>73.939010620117188</v>
      </c>
      <c r="H61" s="14" t="s">
        <v>24</v>
      </c>
      <c r="I61" s="14" t="s">
        <v>25</v>
      </c>
      <c r="J61" s="14">
        <v>28.754011154174805</v>
      </c>
      <c r="K61" s="14">
        <f t="shared" si="152"/>
        <v>9.0743611541748059</v>
      </c>
      <c r="L61" s="14">
        <f t="shared" si="151"/>
        <v>1.8550050706935442E-3</v>
      </c>
      <c r="M61" s="14">
        <v>73.62896728515625</v>
      </c>
      <c r="N61" s="14" t="s">
        <v>24</v>
      </c>
      <c r="O61" s="13" t="s">
        <v>25</v>
      </c>
      <c r="R61" s="14"/>
      <c r="S61" s="14"/>
      <c r="T61" s="14"/>
      <c r="U61" s="14"/>
      <c r="V61" s="14"/>
      <c r="W61" s="14"/>
      <c r="X61" s="14"/>
    </row>
    <row r="62" spans="1:24" x14ac:dyDescent="0.2">
      <c r="A62" s="15"/>
      <c r="B62" s="15" t="s">
        <v>108</v>
      </c>
      <c r="C62" s="14" t="s">
        <v>6</v>
      </c>
      <c r="D62" s="14">
        <v>28.614858627319336</v>
      </c>
      <c r="E62" s="14">
        <f>D62-20.63673</f>
        <v>7.9781286273193359</v>
      </c>
      <c r="F62" s="14">
        <f t="shared" si="147"/>
        <v>3.9659202235763002E-3</v>
      </c>
      <c r="G62" s="14">
        <v>73.93670654296875</v>
      </c>
      <c r="H62" s="14" t="s">
        <v>24</v>
      </c>
      <c r="I62" s="14" t="s">
        <v>25</v>
      </c>
      <c r="J62" s="14">
        <v>27.76118278503418</v>
      </c>
      <c r="K62" s="14">
        <f>J62-19.77521</f>
        <v>7.9859727850341784</v>
      </c>
      <c r="L62" s="14">
        <f t="shared" si="151"/>
        <v>3.9444154128961987E-3</v>
      </c>
      <c r="M62" s="14">
        <v>78.7025146484375</v>
      </c>
      <c r="N62" s="14" t="s">
        <v>24</v>
      </c>
      <c r="O62" s="13" t="s">
        <v>25</v>
      </c>
      <c r="R62" s="14"/>
      <c r="S62" s="14"/>
      <c r="T62" s="14"/>
      <c r="U62" s="14"/>
      <c r="V62" s="14"/>
      <c r="W62" s="14"/>
      <c r="X62" s="14"/>
    </row>
    <row r="63" spans="1:24" x14ac:dyDescent="0.2">
      <c r="A63" s="15"/>
      <c r="B63" s="15" t="s">
        <v>108</v>
      </c>
      <c r="C63" s="14" t="s">
        <v>6</v>
      </c>
      <c r="D63" s="14"/>
      <c r="E63" s="14"/>
      <c r="F63" s="14"/>
      <c r="G63" s="14"/>
      <c r="H63" s="14"/>
      <c r="I63" s="14" t="s">
        <v>25</v>
      </c>
      <c r="J63" s="14">
        <v>27.645757675170898</v>
      </c>
      <c r="K63" s="14">
        <f t="shared" ref="K63:K64" si="153">J63-19.77521</f>
        <v>7.8705476751708972</v>
      </c>
      <c r="L63" s="14">
        <f t="shared" si="151"/>
        <v>4.2729623627823224E-3</v>
      </c>
      <c r="M63" s="14">
        <v>74.225852966308594</v>
      </c>
      <c r="N63" s="14"/>
      <c r="O63" s="13" t="s">
        <v>25</v>
      </c>
      <c r="R63" s="14"/>
      <c r="S63" s="14"/>
      <c r="T63" s="14"/>
      <c r="U63" s="14"/>
      <c r="V63" s="14"/>
      <c r="W63" s="14"/>
      <c r="X63" s="14"/>
    </row>
    <row r="64" spans="1:24" x14ac:dyDescent="0.2">
      <c r="A64" s="15"/>
      <c r="B64" s="15" t="s">
        <v>108</v>
      </c>
      <c r="C64" s="14" t="s">
        <v>6</v>
      </c>
      <c r="D64" s="14">
        <v>28.521839141845703</v>
      </c>
      <c r="E64" s="14">
        <f>D64-20.63673</f>
        <v>7.8851091418457031</v>
      </c>
      <c r="F64" s="14">
        <f t="shared" si="147"/>
        <v>4.2300512503396911E-3</v>
      </c>
      <c r="G64" s="14">
        <v>73.935661315917969</v>
      </c>
      <c r="H64" s="14" t="s">
        <v>24</v>
      </c>
      <c r="I64" s="14" t="s">
        <v>25</v>
      </c>
      <c r="J64" s="14">
        <v>27.933708190917969</v>
      </c>
      <c r="K64" s="14">
        <f t="shared" si="153"/>
        <v>8.1584981909179675</v>
      </c>
      <c r="L64" s="14">
        <f t="shared" si="151"/>
        <v>3.499833025453035E-3</v>
      </c>
      <c r="M64" s="14">
        <v>73.778190612792969</v>
      </c>
      <c r="N64" s="14" t="s">
        <v>24</v>
      </c>
      <c r="O64" s="13" t="s">
        <v>25</v>
      </c>
      <c r="R64" s="14"/>
      <c r="S64" s="14"/>
      <c r="T64" s="14"/>
      <c r="U64" s="14"/>
      <c r="V64" s="14"/>
      <c r="W64" s="14"/>
      <c r="X64" s="14"/>
    </row>
    <row r="65" spans="1:24" x14ac:dyDescent="0.2">
      <c r="A65" s="15"/>
      <c r="B65" s="15" t="s">
        <v>109</v>
      </c>
      <c r="C65" s="14" t="s">
        <v>6</v>
      </c>
      <c r="D65" s="14">
        <v>27.729621887207031</v>
      </c>
      <c r="E65" s="14">
        <f>D65-21.68788</f>
        <v>6.0417418872070314</v>
      </c>
      <c r="F65" s="14">
        <f t="shared" si="147"/>
        <v>1.5179395122844943E-2</v>
      </c>
      <c r="G65" s="14">
        <v>74.084999084472656</v>
      </c>
      <c r="H65" s="14" t="s">
        <v>24</v>
      </c>
      <c r="I65" s="14" t="s">
        <v>25</v>
      </c>
      <c r="J65" s="14">
        <v>27.098724365234375</v>
      </c>
      <c r="K65" s="14">
        <f>J65-20.69505</f>
        <v>6.4036743652343766</v>
      </c>
      <c r="L65" s="14">
        <f t="shared" si="151"/>
        <v>1.1811415126932106E-2</v>
      </c>
      <c r="M65" s="14">
        <v>73.943901062011719</v>
      </c>
      <c r="N65" s="14" t="s">
        <v>24</v>
      </c>
      <c r="O65" s="13" t="s">
        <v>25</v>
      </c>
      <c r="R65" s="14"/>
      <c r="S65" s="14"/>
      <c r="T65" s="14"/>
      <c r="U65" s="14"/>
      <c r="V65" s="14"/>
      <c r="W65" s="14"/>
      <c r="X65" s="14"/>
    </row>
    <row r="66" spans="1:24" x14ac:dyDescent="0.2">
      <c r="A66" s="15"/>
      <c r="B66" s="15" t="s">
        <v>109</v>
      </c>
      <c r="C66" s="14" t="s">
        <v>6</v>
      </c>
      <c r="D66" s="14"/>
      <c r="E66" s="14"/>
      <c r="F66" s="14"/>
      <c r="G66" s="14"/>
      <c r="H66" s="14"/>
      <c r="I66" s="14" t="s">
        <v>25</v>
      </c>
      <c r="J66" s="14">
        <v>26.933052062988281</v>
      </c>
      <c r="K66" s="14">
        <f t="shared" ref="K66:K67" si="154">J66-20.69505</f>
        <v>6.2380020629882829</v>
      </c>
      <c r="L66" s="14">
        <f t="shared" si="151"/>
        <v>1.3248730502297438E-2</v>
      </c>
      <c r="M66" s="14">
        <v>73.645637512207031</v>
      </c>
      <c r="N66" s="14"/>
      <c r="O66" s="13" t="s">
        <v>25</v>
      </c>
      <c r="R66" s="14"/>
      <c r="S66" s="14"/>
      <c r="T66" s="14"/>
      <c r="U66" s="14"/>
      <c r="V66" s="14"/>
      <c r="W66" s="14"/>
      <c r="X66" s="14"/>
    </row>
    <row r="67" spans="1:24" x14ac:dyDescent="0.2">
      <c r="A67" s="15"/>
      <c r="B67" s="15" t="s">
        <v>109</v>
      </c>
      <c r="C67" s="14" t="s">
        <v>6</v>
      </c>
      <c r="D67" s="14">
        <v>27.548088073730469</v>
      </c>
      <c r="E67" s="14">
        <f>D67-21.68788</f>
        <v>5.8602080737304689</v>
      </c>
      <c r="F67" s="14">
        <f t="shared" si="147"/>
        <v>1.7214784441846296E-2</v>
      </c>
      <c r="G67" s="14">
        <v>73.935890197753906</v>
      </c>
      <c r="H67" s="14" t="s">
        <v>24</v>
      </c>
      <c r="I67" s="14" t="s">
        <v>25</v>
      </c>
      <c r="J67" s="14">
        <v>27.040079116821289</v>
      </c>
      <c r="K67" s="14">
        <f t="shared" si="154"/>
        <v>6.3450291168212907</v>
      </c>
      <c r="L67" s="14">
        <f t="shared" si="151"/>
        <v>1.2301438860765233E-2</v>
      </c>
      <c r="M67" s="14">
        <v>73.943901062011719</v>
      </c>
      <c r="N67" s="14" t="s">
        <v>24</v>
      </c>
      <c r="O67" s="13" t="s">
        <v>25</v>
      </c>
      <c r="R67" s="14"/>
      <c r="S67" s="14"/>
      <c r="T67" s="14"/>
      <c r="U67" s="14"/>
      <c r="V67" s="14"/>
      <c r="W67" s="14"/>
      <c r="X67" s="14"/>
    </row>
    <row r="68" spans="1:24" x14ac:dyDescent="0.2">
      <c r="A68" s="15"/>
      <c r="B68" s="15" t="s">
        <v>13</v>
      </c>
      <c r="C68" s="14" t="s">
        <v>6</v>
      </c>
      <c r="D68" s="14">
        <v>30.37385368347168</v>
      </c>
      <c r="E68" s="14">
        <f>D68-23.43074</f>
        <v>6.9431136834716796</v>
      </c>
      <c r="F68" s="14">
        <f t="shared" si="147"/>
        <v>8.1267054276397688E-3</v>
      </c>
      <c r="G68" s="14">
        <v>73.636550903320313</v>
      </c>
      <c r="H68" s="14" t="s">
        <v>24</v>
      </c>
      <c r="I68" s="14" t="s">
        <v>25</v>
      </c>
      <c r="J68" s="14">
        <v>26.779081344604492</v>
      </c>
      <c r="K68" s="14">
        <f>J68-20.30894</f>
        <v>6.4701413446044924</v>
      </c>
      <c r="L68" s="14">
        <f t="shared" si="151"/>
        <v>1.1279591694799177E-2</v>
      </c>
      <c r="M68" s="14">
        <v>73.794769287109375</v>
      </c>
      <c r="N68" s="14" t="s">
        <v>24</v>
      </c>
      <c r="O68" s="13" t="s">
        <v>25</v>
      </c>
      <c r="R68" s="14"/>
      <c r="S68" s="14"/>
      <c r="T68" s="14"/>
      <c r="U68" s="14"/>
      <c r="V68" s="14"/>
      <c r="W68" s="14"/>
      <c r="X68" s="14"/>
    </row>
    <row r="69" spans="1:24" x14ac:dyDescent="0.2">
      <c r="A69" s="15"/>
      <c r="B69" s="15" t="s">
        <v>13</v>
      </c>
      <c r="C69" s="14" t="s">
        <v>6</v>
      </c>
      <c r="D69" s="14"/>
      <c r="E69" s="14"/>
      <c r="F69" s="14"/>
      <c r="G69" s="14"/>
      <c r="H69" s="14"/>
      <c r="I69" s="14" t="s">
        <v>25</v>
      </c>
      <c r="J69" s="14">
        <v>26.782133102416992</v>
      </c>
      <c r="K69" s="14">
        <f t="shared" ref="K69:K70" si="155">J69-20.30894</f>
        <v>6.4731931024169924</v>
      </c>
      <c r="L69" s="14">
        <f t="shared" si="151"/>
        <v>1.1255756996947454E-2</v>
      </c>
      <c r="M69" s="14">
        <v>73.794769287109375</v>
      </c>
      <c r="N69" s="14"/>
      <c r="O69" s="13" t="s">
        <v>25</v>
      </c>
      <c r="R69" s="14"/>
      <c r="S69" s="14"/>
      <c r="T69" s="14"/>
      <c r="U69" s="14"/>
      <c r="V69" s="14"/>
      <c r="W69" s="14"/>
      <c r="X69" s="14"/>
    </row>
    <row r="70" spans="1:24" x14ac:dyDescent="0.2">
      <c r="A70" s="15"/>
      <c r="B70" s="15" t="s">
        <v>13</v>
      </c>
      <c r="C70" s="14" t="s">
        <v>6</v>
      </c>
      <c r="D70" s="14">
        <v>30.355218887329102</v>
      </c>
      <c r="E70" s="14">
        <f>D70-23.43074</f>
        <v>6.9244788873291014</v>
      </c>
      <c r="F70" s="14">
        <f t="shared" si="147"/>
        <v>8.2323561474962788E-3</v>
      </c>
      <c r="G70" s="14">
        <v>73.790725708007813</v>
      </c>
      <c r="H70" s="14" t="s">
        <v>24</v>
      </c>
      <c r="I70" s="14" t="s">
        <v>25</v>
      </c>
      <c r="J70" s="14">
        <v>26.769380569458008</v>
      </c>
      <c r="K70" s="14">
        <f t="shared" si="155"/>
        <v>6.460440569458008</v>
      </c>
      <c r="L70" s="14">
        <f t="shared" si="151"/>
        <v>1.1355691966733014E-2</v>
      </c>
      <c r="M70" s="14">
        <v>73.794769287109375</v>
      </c>
      <c r="N70" s="14" t="s">
        <v>24</v>
      </c>
      <c r="O70" s="13" t="s">
        <v>25</v>
      </c>
      <c r="R70" s="14"/>
      <c r="S70" s="14"/>
      <c r="T70" s="14"/>
      <c r="U70" s="14"/>
      <c r="V70" s="14"/>
      <c r="W70" s="14"/>
      <c r="X70" s="14"/>
    </row>
    <row r="71" spans="1:24" x14ac:dyDescent="0.2">
      <c r="A71" s="15"/>
      <c r="B71" s="15" t="s">
        <v>15</v>
      </c>
      <c r="C71" s="14" t="s">
        <v>7</v>
      </c>
      <c r="D71" s="14">
        <v>29.962434768676758</v>
      </c>
      <c r="E71" s="14">
        <f>D71-21.01531</f>
        <v>8.9471247686767583</v>
      </c>
      <c r="F71" s="14">
        <f>POWER(2,-E71)</f>
        <v>2.0260355882775207E-3</v>
      </c>
      <c r="G71" s="14">
        <v>75.136566162109375</v>
      </c>
      <c r="H71" s="14" t="s">
        <v>24</v>
      </c>
      <c r="I71" s="14" t="s">
        <v>25</v>
      </c>
      <c r="J71" s="14">
        <v>27.296960830688477</v>
      </c>
      <c r="K71" s="14">
        <f>J71-19.67965</f>
        <v>7.6173108306884778</v>
      </c>
      <c r="L71" s="14">
        <f t="shared" ref="L71:L82" si="156">POWER(2,-K71)</f>
        <v>5.0928508044779559E-3</v>
      </c>
      <c r="M71" s="14">
        <v>73.925865173339844</v>
      </c>
      <c r="N71" s="14" t="s">
        <v>24</v>
      </c>
      <c r="O71" s="13" t="s">
        <v>25</v>
      </c>
      <c r="R71" s="14"/>
      <c r="S71" s="14"/>
      <c r="T71" s="14"/>
      <c r="U71" s="14"/>
      <c r="V71" s="14"/>
      <c r="W71" s="14"/>
      <c r="X71" s="14"/>
    </row>
    <row r="72" spans="1:24" x14ac:dyDescent="0.2">
      <c r="A72" s="15"/>
      <c r="B72" s="15" t="s">
        <v>15</v>
      </c>
      <c r="C72" s="14" t="s">
        <v>7</v>
      </c>
      <c r="D72" s="14"/>
      <c r="E72" s="14"/>
      <c r="F72" s="14"/>
      <c r="G72" s="14"/>
      <c r="H72" s="14"/>
      <c r="I72" s="14" t="s">
        <v>25</v>
      </c>
      <c r="J72" s="14">
        <v>27.407949447631836</v>
      </c>
      <c r="K72" s="14">
        <f t="shared" ref="K72:K73" si="157">J72-19.67965</f>
        <v>7.7282994476318372</v>
      </c>
      <c r="L72" s="14">
        <f t="shared" si="156"/>
        <v>4.7157421534203521E-3</v>
      </c>
      <c r="M72" s="14">
        <v>74.0750732421875</v>
      </c>
      <c r="N72" s="14"/>
      <c r="O72" s="13" t="s">
        <v>25</v>
      </c>
      <c r="R72" s="14"/>
      <c r="S72" s="14"/>
      <c r="T72" s="14"/>
      <c r="U72" s="14"/>
      <c r="V72" s="14"/>
      <c r="W72" s="14"/>
      <c r="X72" s="14"/>
    </row>
    <row r="73" spans="1:24" x14ac:dyDescent="0.2">
      <c r="A73" s="15"/>
      <c r="B73" s="15" t="s">
        <v>15</v>
      </c>
      <c r="C73" s="14" t="s">
        <v>7</v>
      </c>
      <c r="D73" s="14">
        <v>29.881181716918945</v>
      </c>
      <c r="E73" s="14">
        <f>D73-21.01531</f>
        <v>8.8658717169189458</v>
      </c>
      <c r="F73" s="14">
        <f t="shared" ref="F73:F94" si="158">POWER(2,-E73)</f>
        <v>2.1434170227293014E-3</v>
      </c>
      <c r="G73" s="14">
        <v>74.83843994140625</v>
      </c>
      <c r="H73" s="14" t="s">
        <v>24</v>
      </c>
      <c r="I73" s="14" t="s">
        <v>25</v>
      </c>
      <c r="J73" s="14">
        <v>27.332983016967773</v>
      </c>
      <c r="K73" s="14">
        <f t="shared" si="157"/>
        <v>7.6533330169677747</v>
      </c>
      <c r="L73" s="14">
        <f t="shared" si="156"/>
        <v>4.9672634579551725E-3</v>
      </c>
      <c r="M73" s="14">
        <v>73.776649475097656</v>
      </c>
      <c r="N73" s="14" t="s">
        <v>24</v>
      </c>
      <c r="O73" s="13" t="s">
        <v>25</v>
      </c>
      <c r="R73" s="14"/>
      <c r="S73" s="14"/>
      <c r="T73" s="14"/>
      <c r="U73" s="14"/>
      <c r="V73" s="14"/>
      <c r="W73" s="14"/>
      <c r="X73" s="14"/>
    </row>
    <row r="74" spans="1:24" x14ac:dyDescent="0.2">
      <c r="A74" s="15"/>
      <c r="B74" s="15" t="s">
        <v>108</v>
      </c>
      <c r="C74" s="14" t="s">
        <v>7</v>
      </c>
      <c r="D74" s="14">
        <v>30.047916412353516</v>
      </c>
      <c r="E74" s="14">
        <f>D74-20.61235</f>
        <v>9.4355664123535163</v>
      </c>
      <c r="F74" s="14">
        <f t="shared" si="158"/>
        <v>1.4441472706762846E-3</v>
      </c>
      <c r="G74" s="14">
        <v>74.840614318847656</v>
      </c>
      <c r="H74" s="14" t="s">
        <v>24</v>
      </c>
      <c r="I74" s="14" t="s">
        <v>25</v>
      </c>
      <c r="J74" s="14">
        <v>26.925159454345703</v>
      </c>
      <c r="K74" s="14">
        <f>J74-19.77521</f>
        <v>7.1499494543457018</v>
      </c>
      <c r="L74" s="14">
        <f t="shared" si="156"/>
        <v>7.0412659296456691E-3</v>
      </c>
      <c r="M74" s="14">
        <v>75.417999267578125</v>
      </c>
      <c r="N74" s="14" t="s">
        <v>24</v>
      </c>
      <c r="O74" s="13" t="s">
        <v>25</v>
      </c>
      <c r="R74" s="14"/>
      <c r="S74" s="14"/>
      <c r="T74" s="14"/>
      <c r="U74" s="14"/>
      <c r="V74" s="14"/>
      <c r="W74" s="14"/>
      <c r="X74" s="14"/>
    </row>
    <row r="75" spans="1:24" x14ac:dyDescent="0.2">
      <c r="A75" s="15"/>
      <c r="B75" s="15" t="s">
        <v>108</v>
      </c>
      <c r="C75" s="14" t="s">
        <v>7</v>
      </c>
      <c r="D75" s="14"/>
      <c r="E75" s="14"/>
      <c r="F75" s="14"/>
      <c r="G75" s="14"/>
      <c r="H75" s="14"/>
      <c r="I75" s="14" t="s">
        <v>25</v>
      </c>
      <c r="J75" s="14">
        <v>27.165451049804688</v>
      </c>
      <c r="K75" s="14">
        <f t="shared" ref="K75:K76" si="159">J75-19.77521</f>
        <v>7.3902410498046862</v>
      </c>
      <c r="L75" s="14">
        <f t="shared" si="156"/>
        <v>5.9609539777636736E-3</v>
      </c>
      <c r="M75" s="14">
        <v>73.627433776855469</v>
      </c>
      <c r="N75" s="14"/>
      <c r="O75" s="13" t="s">
        <v>25</v>
      </c>
      <c r="R75" s="14"/>
      <c r="S75" s="14"/>
      <c r="T75" s="14"/>
      <c r="U75" s="14"/>
      <c r="V75" s="14"/>
      <c r="W75" s="14"/>
      <c r="X75" s="14"/>
    </row>
    <row r="76" spans="1:24" x14ac:dyDescent="0.2">
      <c r="A76" s="15"/>
      <c r="B76" s="15" t="s">
        <v>108</v>
      </c>
      <c r="C76" s="14" t="s">
        <v>7</v>
      </c>
      <c r="D76" s="14">
        <v>29.993389129638672</v>
      </c>
      <c r="E76" s="14">
        <f>D76-20.61235</f>
        <v>9.3810391296386726</v>
      </c>
      <c r="F76" s="14">
        <f t="shared" si="158"/>
        <v>1.4997740381848953E-3</v>
      </c>
      <c r="G76" s="14">
        <v>74.691627502441406</v>
      </c>
      <c r="H76" s="14" t="s">
        <v>24</v>
      </c>
      <c r="I76" s="14" t="s">
        <v>25</v>
      </c>
      <c r="J76" s="14">
        <v>27.339296340942383</v>
      </c>
      <c r="K76" s="14">
        <f t="shared" si="159"/>
        <v>7.5640863409423815</v>
      </c>
      <c r="L76" s="14">
        <f t="shared" si="156"/>
        <v>5.2842471468393304E-3</v>
      </c>
      <c r="M76" s="14">
        <v>73.776649475097656</v>
      </c>
      <c r="N76" s="14" t="s">
        <v>24</v>
      </c>
      <c r="O76" s="13" t="s">
        <v>25</v>
      </c>
      <c r="R76" s="14"/>
      <c r="S76" s="14"/>
      <c r="T76" s="14"/>
      <c r="U76" s="14"/>
      <c r="V76" s="14"/>
      <c r="W76" s="14"/>
      <c r="X76" s="14"/>
    </row>
    <row r="77" spans="1:24" x14ac:dyDescent="0.2">
      <c r="A77" s="15"/>
      <c r="B77" s="15" t="s">
        <v>109</v>
      </c>
      <c r="C77" s="14" t="s">
        <v>7</v>
      </c>
      <c r="D77" s="14">
        <v>28.945878982543945</v>
      </c>
      <c r="E77" s="14">
        <f>D77-22.47157</f>
        <v>6.4743089825439455</v>
      </c>
      <c r="F77" s="14">
        <f t="shared" si="158"/>
        <v>1.1247054382030636E-2</v>
      </c>
      <c r="G77" s="14">
        <v>74.989913940429688</v>
      </c>
      <c r="H77" s="14" t="s">
        <v>24</v>
      </c>
      <c r="I77" s="14" t="s">
        <v>25</v>
      </c>
      <c r="J77" s="14">
        <v>27.176853179931641</v>
      </c>
      <c r="K77" s="14">
        <f>J77-20.69505</f>
        <v>6.4818031799316422</v>
      </c>
      <c r="L77" s="14">
        <f t="shared" si="156"/>
        <v>1.1188782119199343E-2</v>
      </c>
      <c r="M77" s="14">
        <v>73.939033508300781</v>
      </c>
      <c r="N77" s="14" t="s">
        <v>24</v>
      </c>
      <c r="O77" s="13" t="s">
        <v>25</v>
      </c>
      <c r="R77" s="14"/>
      <c r="S77" s="14"/>
      <c r="T77" s="14"/>
      <c r="U77" s="14"/>
      <c r="V77" s="14"/>
      <c r="W77" s="14"/>
      <c r="X77" s="14"/>
    </row>
    <row r="78" spans="1:24" x14ac:dyDescent="0.2">
      <c r="A78" s="15"/>
      <c r="B78" s="15" t="s">
        <v>109</v>
      </c>
      <c r="C78" s="14" t="s">
        <v>7</v>
      </c>
      <c r="D78" s="14"/>
      <c r="E78" s="14"/>
      <c r="F78" s="14"/>
      <c r="G78" s="14"/>
      <c r="H78" s="14"/>
      <c r="I78" s="14" t="s">
        <v>25</v>
      </c>
      <c r="J78" s="14">
        <v>27.2266845703125</v>
      </c>
      <c r="K78" s="14">
        <f t="shared" ref="K78:K79" si="160">J78-20.69505</f>
        <v>6.5316345703125016</v>
      </c>
      <c r="L78" s="14">
        <f t="shared" si="156"/>
        <v>1.0808914303216292E-2</v>
      </c>
      <c r="M78" s="14">
        <v>73.789901733398438</v>
      </c>
      <c r="N78" s="14"/>
      <c r="O78" s="13" t="s">
        <v>25</v>
      </c>
      <c r="R78" s="14"/>
      <c r="S78" s="14"/>
      <c r="T78" s="14"/>
      <c r="U78" s="14"/>
      <c r="V78" s="14"/>
      <c r="W78" s="14"/>
      <c r="X78" s="14"/>
    </row>
    <row r="79" spans="1:24" x14ac:dyDescent="0.2">
      <c r="A79" s="15"/>
      <c r="B79" s="15" t="s">
        <v>109</v>
      </c>
      <c r="C79" s="14" t="s">
        <v>7</v>
      </c>
      <c r="D79" s="14">
        <v>28.921987533569336</v>
      </c>
      <c r="E79" s="14">
        <f>D79-22.47157</f>
        <v>6.4504175335693361</v>
      </c>
      <c r="F79" s="14">
        <f t="shared" si="158"/>
        <v>1.1434859632570136E-2</v>
      </c>
      <c r="G79" s="14">
        <v>74.840850830078125</v>
      </c>
      <c r="H79" s="14" t="s">
        <v>24</v>
      </c>
      <c r="I79" s="14" t="s">
        <v>25</v>
      </c>
      <c r="J79" s="14">
        <v>27.095705032348633</v>
      </c>
      <c r="K79" s="14">
        <f t="shared" si="160"/>
        <v>6.4006550323486344</v>
      </c>
      <c r="L79" s="14">
        <f t="shared" si="156"/>
        <v>1.183616043848036E-2</v>
      </c>
      <c r="M79" s="14">
        <v>73.789901733398438</v>
      </c>
      <c r="N79" s="14" t="s">
        <v>24</v>
      </c>
      <c r="O79" s="13" t="s">
        <v>25</v>
      </c>
      <c r="R79" s="14"/>
      <c r="S79" s="14"/>
      <c r="T79" s="14"/>
      <c r="U79" s="14"/>
      <c r="V79" s="14"/>
      <c r="W79" s="14"/>
      <c r="X79" s="14"/>
    </row>
    <row r="80" spans="1:24" x14ac:dyDescent="0.2">
      <c r="A80" s="15"/>
      <c r="B80" s="15" t="s">
        <v>13</v>
      </c>
      <c r="C80" s="14" t="s">
        <v>7</v>
      </c>
      <c r="D80" s="14">
        <v>31.964729309082031</v>
      </c>
      <c r="E80" s="14">
        <f>D80-24.44774</f>
        <v>7.5169893090820317</v>
      </c>
      <c r="F80" s="14">
        <f t="shared" si="158"/>
        <v>5.4595989413442018E-3</v>
      </c>
      <c r="G80" s="14">
        <v>74.988441467285156</v>
      </c>
      <c r="H80" s="14">
        <v>67.535842895507813</v>
      </c>
      <c r="I80" s="14" t="s">
        <v>25</v>
      </c>
      <c r="J80" s="14">
        <v>26.92620849609375</v>
      </c>
      <c r="K80" s="14">
        <f>J80-20.30894</f>
        <v>6.6172684960937502</v>
      </c>
      <c r="L80" s="14">
        <f t="shared" si="156"/>
        <v>1.0186000503638548E-2</v>
      </c>
      <c r="M80" s="14">
        <v>73.789901733398438</v>
      </c>
      <c r="N80" s="14" t="s">
        <v>24</v>
      </c>
      <c r="O80" s="13" t="s">
        <v>25</v>
      </c>
      <c r="R80" s="14"/>
      <c r="S80" s="14"/>
      <c r="T80" s="14"/>
      <c r="U80" s="14"/>
      <c r="V80" s="14"/>
      <c r="W80" s="14"/>
      <c r="X80" s="14"/>
    </row>
    <row r="81" spans="1:24" x14ac:dyDescent="0.2">
      <c r="A81" s="15"/>
      <c r="B81" s="15" t="s">
        <v>13</v>
      </c>
      <c r="C81" s="14" t="s">
        <v>7</v>
      </c>
      <c r="D81" s="14"/>
      <c r="E81" s="14"/>
      <c r="F81" s="14"/>
      <c r="G81" s="14"/>
      <c r="H81" s="14"/>
      <c r="I81" s="14" t="s">
        <v>25</v>
      </c>
      <c r="J81" s="14">
        <v>26.964677810668945</v>
      </c>
      <c r="K81" s="14">
        <f t="shared" ref="K81:K82" si="161">J81-20.30894</f>
        <v>6.6557378106689455</v>
      </c>
      <c r="L81" s="14">
        <f t="shared" si="156"/>
        <v>9.9179810854378523E-3</v>
      </c>
      <c r="M81" s="14">
        <v>73.939033508300781</v>
      </c>
      <c r="N81" s="14"/>
      <c r="O81" s="13" t="s">
        <v>25</v>
      </c>
      <c r="R81" s="14"/>
      <c r="S81" s="14"/>
      <c r="T81" s="14"/>
      <c r="U81" s="14"/>
      <c r="V81" s="14"/>
      <c r="W81" s="14"/>
      <c r="X81" s="14"/>
    </row>
    <row r="82" spans="1:24" x14ac:dyDescent="0.2">
      <c r="A82" s="15"/>
      <c r="B82" s="15" t="s">
        <v>13</v>
      </c>
      <c r="C82" s="14" t="s">
        <v>7</v>
      </c>
      <c r="D82" s="14">
        <v>32.076492309570313</v>
      </c>
      <c r="E82" s="14">
        <f>D82-24.44774</f>
        <v>7.6287523095703129</v>
      </c>
      <c r="F82" s="14">
        <f t="shared" si="158"/>
        <v>5.0526210296290728E-3</v>
      </c>
      <c r="G82" s="14">
        <v>74.843963623046875</v>
      </c>
      <c r="H82" s="14">
        <v>67.541534423828125</v>
      </c>
      <c r="I82" s="14" t="s">
        <v>25</v>
      </c>
      <c r="J82" s="14">
        <v>26.83641242980957</v>
      </c>
      <c r="K82" s="14">
        <f t="shared" si="161"/>
        <v>6.5274724298095705</v>
      </c>
      <c r="L82" s="14">
        <f t="shared" si="156"/>
        <v>1.0840142786128869E-2</v>
      </c>
      <c r="M82" s="14">
        <v>73.939033508300781</v>
      </c>
      <c r="N82" s="14" t="s">
        <v>24</v>
      </c>
      <c r="O82" s="13" t="s">
        <v>25</v>
      </c>
      <c r="R82" s="14"/>
      <c r="S82" s="14"/>
      <c r="T82" s="14"/>
      <c r="U82" s="14"/>
      <c r="V82" s="14"/>
      <c r="W82" s="14"/>
      <c r="X82" s="14"/>
    </row>
    <row r="83" spans="1:24" x14ac:dyDescent="0.2">
      <c r="A83" s="15"/>
      <c r="B83" s="15" t="s">
        <v>15</v>
      </c>
      <c r="C83" s="14" t="s">
        <v>8</v>
      </c>
      <c r="D83" s="14">
        <v>24.807699203491211</v>
      </c>
      <c r="E83" s="14">
        <f>D83-21.01531</f>
        <v>3.7923892034912114</v>
      </c>
      <c r="F83" s="14">
        <f t="shared" si="158"/>
        <v>7.2173388310348724E-2</v>
      </c>
      <c r="G83" s="14">
        <v>78.266883850097656</v>
      </c>
      <c r="H83" s="14" t="s">
        <v>24</v>
      </c>
      <c r="I83" s="14" t="s">
        <v>25</v>
      </c>
      <c r="J83" s="14">
        <v>24.095504760742188</v>
      </c>
      <c r="K83" s="14">
        <f>J83-19.67965</f>
        <v>4.4158547607421887</v>
      </c>
      <c r="L83" s="14">
        <f t="shared" ref="L83:L94" si="162">POWER(2,-K83)</f>
        <v>4.6848453653522276E-2</v>
      </c>
      <c r="M83" s="14">
        <v>77.357780456542969</v>
      </c>
      <c r="N83" s="14" t="s">
        <v>24</v>
      </c>
      <c r="O83" s="13" t="s">
        <v>25</v>
      </c>
      <c r="R83" s="14"/>
      <c r="S83" s="14"/>
      <c r="T83" s="14"/>
      <c r="U83" s="14"/>
      <c r="V83" s="14"/>
      <c r="W83" s="14"/>
      <c r="X83" s="14"/>
    </row>
    <row r="84" spans="1:24" x14ac:dyDescent="0.2">
      <c r="A84" s="15"/>
      <c r="B84" s="15" t="s">
        <v>15</v>
      </c>
      <c r="C84" s="14" t="s">
        <v>8</v>
      </c>
      <c r="D84" s="14"/>
      <c r="E84" s="14"/>
      <c r="F84" s="14"/>
      <c r="G84" s="14"/>
      <c r="H84" s="14"/>
      <c r="I84" s="14" t="s">
        <v>25</v>
      </c>
      <c r="J84" s="14">
        <v>24.13127326965332</v>
      </c>
      <c r="K84" s="14">
        <f t="shared" ref="K84:K85" si="163">J84-19.67965</f>
        <v>4.4516232696533216</v>
      </c>
      <c r="L84" s="14">
        <f t="shared" si="162"/>
        <v>4.5701227646756659E-2</v>
      </c>
      <c r="M84" s="14">
        <v>77.357780456542969</v>
      </c>
      <c r="N84" s="14"/>
      <c r="O84" s="13" t="s">
        <v>25</v>
      </c>
      <c r="R84" s="14"/>
      <c r="S84" s="14"/>
      <c r="T84" s="14"/>
      <c r="U84" s="14"/>
      <c r="V84" s="14"/>
      <c r="W84" s="14"/>
      <c r="X84" s="14"/>
    </row>
    <row r="85" spans="1:24" x14ac:dyDescent="0.2">
      <c r="A85" s="15"/>
      <c r="B85" s="15" t="s">
        <v>15</v>
      </c>
      <c r="C85" s="14" t="s">
        <v>8</v>
      </c>
      <c r="D85" s="14">
        <v>24.790439605712891</v>
      </c>
      <c r="E85" s="14">
        <f>D85-21.01531</f>
        <v>3.7751296057128911</v>
      </c>
      <c r="F85" s="14">
        <f t="shared" si="158"/>
        <v>7.304201594987246E-2</v>
      </c>
      <c r="G85" s="14">
        <v>78.117820739746094</v>
      </c>
      <c r="H85" s="14" t="s">
        <v>24</v>
      </c>
      <c r="I85" s="14" t="s">
        <v>25</v>
      </c>
      <c r="J85" s="14">
        <v>24.13585090637207</v>
      </c>
      <c r="K85" s="14">
        <f t="shared" si="163"/>
        <v>4.4562009063720716</v>
      </c>
      <c r="L85" s="14">
        <f t="shared" si="162"/>
        <v>4.5556448560686566E-2</v>
      </c>
      <c r="M85" s="14">
        <v>77.208564758300781</v>
      </c>
      <c r="N85" s="14" t="s">
        <v>24</v>
      </c>
      <c r="O85" s="13" t="s">
        <v>25</v>
      </c>
      <c r="R85" s="14"/>
      <c r="S85" s="14"/>
      <c r="T85" s="14"/>
      <c r="U85" s="14"/>
      <c r="V85" s="14"/>
      <c r="W85" s="14"/>
      <c r="X85" s="14"/>
    </row>
    <row r="86" spans="1:24" x14ac:dyDescent="0.2">
      <c r="A86" s="15"/>
      <c r="B86" s="15" t="s">
        <v>108</v>
      </c>
      <c r="C86" s="14" t="s">
        <v>8</v>
      </c>
      <c r="D86" s="14">
        <v>24.747091293334961</v>
      </c>
      <c r="E86" s="14">
        <f>D86-20.61235</f>
        <v>4.1347412933349617</v>
      </c>
      <c r="F86" s="14">
        <f t="shared" si="158"/>
        <v>5.6927071949023543E-2</v>
      </c>
      <c r="G86" s="14">
        <v>77.523574829101563</v>
      </c>
      <c r="H86" s="14" t="s">
        <v>24</v>
      </c>
      <c r="I86" s="14" t="s">
        <v>25</v>
      </c>
      <c r="J86" s="14">
        <v>23.954565048217773</v>
      </c>
      <c r="K86" s="14">
        <f>J86-19.77521</f>
        <v>4.1793550482177722</v>
      </c>
      <c r="L86" s="14">
        <f t="shared" si="162"/>
        <v>5.5193605862595314E-2</v>
      </c>
      <c r="M86" s="14">
        <v>77.208564758300781</v>
      </c>
      <c r="N86" s="14" t="s">
        <v>24</v>
      </c>
      <c r="O86" s="13" t="s">
        <v>25</v>
      </c>
      <c r="R86" s="14"/>
      <c r="S86" s="14"/>
      <c r="T86" s="14"/>
      <c r="U86" s="14"/>
      <c r="V86" s="14"/>
      <c r="W86" s="14"/>
      <c r="X86" s="14"/>
    </row>
    <row r="87" spans="1:24" x14ac:dyDescent="0.2">
      <c r="A87" s="15"/>
      <c r="B87" s="15" t="s">
        <v>108</v>
      </c>
      <c r="C87" s="14" t="s">
        <v>8</v>
      </c>
      <c r="D87" s="14"/>
      <c r="E87" s="14"/>
      <c r="F87" s="14"/>
      <c r="G87" s="14"/>
      <c r="H87" s="14"/>
      <c r="I87" s="14" t="s">
        <v>25</v>
      </c>
      <c r="J87" s="14">
        <v>24.059957504272461</v>
      </c>
      <c r="K87" s="14">
        <f t="shared" ref="K87:K88" si="164">J87-19.77521</f>
        <v>4.2847475042724597</v>
      </c>
      <c r="L87" s="14">
        <f t="shared" si="162"/>
        <v>5.1305329054407246E-2</v>
      </c>
      <c r="M87" s="14">
        <v>77.208564758300781</v>
      </c>
      <c r="N87" s="14"/>
      <c r="O87" s="13" t="s">
        <v>25</v>
      </c>
      <c r="R87" s="14"/>
      <c r="S87" s="14"/>
      <c r="T87" s="14"/>
      <c r="U87" s="14"/>
      <c r="V87" s="14"/>
      <c r="W87" s="14"/>
      <c r="X87" s="14"/>
    </row>
    <row r="88" spans="1:24" x14ac:dyDescent="0.2">
      <c r="A88" s="15"/>
      <c r="B88" s="15" t="s">
        <v>108</v>
      </c>
      <c r="C88" s="14" t="s">
        <v>8</v>
      </c>
      <c r="D88" s="14">
        <v>24.659576416015625</v>
      </c>
      <c r="E88" s="14">
        <f>D88-20.61235</f>
        <v>4.0472264160156257</v>
      </c>
      <c r="F88" s="14">
        <f t="shared" si="158"/>
        <v>6.0487195598253114E-2</v>
      </c>
      <c r="G88" s="14">
        <v>77.971061706542969</v>
      </c>
      <c r="H88" s="14" t="s">
        <v>24</v>
      </c>
      <c r="I88" s="14" t="s">
        <v>25</v>
      </c>
      <c r="J88" s="14">
        <v>23.938735961914063</v>
      </c>
      <c r="K88" s="14">
        <f t="shared" si="164"/>
        <v>4.1635259619140612</v>
      </c>
      <c r="L88" s="14">
        <f t="shared" si="162"/>
        <v>5.580251819397513E-2</v>
      </c>
      <c r="M88" s="14">
        <v>77.357780456542969</v>
      </c>
      <c r="N88" s="14" t="s">
        <v>24</v>
      </c>
      <c r="O88" s="13" t="s">
        <v>25</v>
      </c>
      <c r="R88" s="14"/>
      <c r="S88" s="14"/>
      <c r="T88" s="14"/>
      <c r="U88" s="14"/>
      <c r="V88" s="14"/>
      <c r="W88" s="14"/>
      <c r="X88" s="14"/>
    </row>
    <row r="89" spans="1:24" x14ac:dyDescent="0.2">
      <c r="B89" s="15" t="s">
        <v>109</v>
      </c>
      <c r="C89" s="14" t="s">
        <v>8</v>
      </c>
      <c r="D89" s="14">
        <v>25.139360427856445</v>
      </c>
      <c r="E89" s="14">
        <f>D89-22.47157</f>
        <v>2.6677904278564455</v>
      </c>
      <c r="F89" s="14">
        <f t="shared" si="158"/>
        <v>0.15736750491463075</v>
      </c>
      <c r="G89" s="14">
        <v>77.971214294433594</v>
      </c>
      <c r="H89" s="14" t="s">
        <v>24</v>
      </c>
      <c r="I89" s="14" t="s">
        <v>25</v>
      </c>
      <c r="J89" s="14">
        <v>23.090980529785156</v>
      </c>
      <c r="K89" s="14">
        <f>J89-20.69505</f>
        <v>2.3959305297851579</v>
      </c>
      <c r="L89" s="14">
        <f t="shared" si="162"/>
        <v>0.18999975590403562</v>
      </c>
      <c r="M89" s="14">
        <v>77.369194030761719</v>
      </c>
      <c r="N89" s="14"/>
      <c r="O89" s="13" t="s">
        <v>25</v>
      </c>
    </row>
    <row r="90" spans="1:24" x14ac:dyDescent="0.2">
      <c r="B90" s="15" t="s">
        <v>109</v>
      </c>
      <c r="C90" s="14" t="s">
        <v>8</v>
      </c>
      <c r="D90" s="14"/>
      <c r="E90" s="14"/>
      <c r="F90" s="14"/>
      <c r="G90" s="14"/>
      <c r="H90" s="14"/>
      <c r="I90" s="14" t="s">
        <v>25</v>
      </c>
      <c r="J90" s="14">
        <v>23.114091873168945</v>
      </c>
      <c r="K90" s="14">
        <f t="shared" ref="K90:K91" si="165">J90-20.69505</f>
        <v>2.4190418731689469</v>
      </c>
      <c r="L90" s="14">
        <f t="shared" si="162"/>
        <v>0.18698029275022726</v>
      </c>
      <c r="M90" s="14">
        <v>77.220054626464844</v>
      </c>
      <c r="N90" s="14"/>
      <c r="O90" s="13" t="s">
        <v>25</v>
      </c>
    </row>
    <row r="91" spans="1:24" x14ac:dyDescent="0.2">
      <c r="B91" s="15" t="s">
        <v>109</v>
      </c>
      <c r="C91" s="14" t="s">
        <v>8</v>
      </c>
      <c r="D91" s="14">
        <v>25.041414260864258</v>
      </c>
      <c r="E91" s="14">
        <f>D91-22.47157</f>
        <v>2.569844260864258</v>
      </c>
      <c r="F91" s="14">
        <f t="shared" si="158"/>
        <v>0.16842237734660637</v>
      </c>
      <c r="G91" s="14">
        <v>78.120277404785156</v>
      </c>
      <c r="H91" s="14" t="s">
        <v>24</v>
      </c>
      <c r="I91" s="14" t="s">
        <v>25</v>
      </c>
      <c r="J91" s="14">
        <v>23.123676300048828</v>
      </c>
      <c r="K91" s="14">
        <f t="shared" si="165"/>
        <v>2.4286263000488297</v>
      </c>
      <c r="L91" s="14">
        <f t="shared" si="162"/>
        <v>0.18574222148628855</v>
      </c>
      <c r="M91" s="14">
        <v>77.220054626464844</v>
      </c>
      <c r="N91" s="14"/>
      <c r="O91" s="13" t="s">
        <v>25</v>
      </c>
    </row>
    <row r="92" spans="1:24" x14ac:dyDescent="0.2">
      <c r="B92" s="15" t="s">
        <v>13</v>
      </c>
      <c r="C92" s="14" t="s">
        <v>8</v>
      </c>
      <c r="D92" s="14">
        <v>27.731178283691406</v>
      </c>
      <c r="E92" s="14">
        <f>D92-24.44774</f>
        <v>3.2834382836914067</v>
      </c>
      <c r="F92" s="14">
        <f t="shared" si="158"/>
        <v>0.1027038177549363</v>
      </c>
      <c r="G92" s="14">
        <v>77.969482421875</v>
      </c>
      <c r="H92" s="14" t="s">
        <v>24</v>
      </c>
      <c r="I92" s="14" t="s">
        <v>25</v>
      </c>
      <c r="J92" s="14">
        <v>22.867805480957031</v>
      </c>
      <c r="K92" s="14">
        <f>J92-20.30894</f>
        <v>2.5588654809570315</v>
      </c>
      <c r="L92" s="14">
        <f t="shared" si="162"/>
        <v>0.16970894566317152</v>
      </c>
      <c r="M92" s="14">
        <v>77.0709228515625</v>
      </c>
      <c r="N92" s="14"/>
      <c r="O92" s="13" t="s">
        <v>25</v>
      </c>
    </row>
    <row r="93" spans="1:24" x14ac:dyDescent="0.2">
      <c r="B93" s="15" t="s">
        <v>13</v>
      </c>
      <c r="C93" s="14" t="s">
        <v>8</v>
      </c>
      <c r="D93" s="14"/>
      <c r="E93" s="14"/>
      <c r="F93" s="14"/>
      <c r="G93" s="14"/>
      <c r="H93" s="14"/>
      <c r="I93" s="14" t="s">
        <v>25</v>
      </c>
      <c r="J93" s="14">
        <v>22.807693481445313</v>
      </c>
      <c r="K93" s="14">
        <f t="shared" ref="K93:K94" si="166">J93-20.30894</f>
        <v>2.4987534814453127</v>
      </c>
      <c r="L93" s="14">
        <f t="shared" si="162"/>
        <v>0.17692950004590038</v>
      </c>
      <c r="M93" s="14">
        <v>77.220054626464844</v>
      </c>
      <c r="N93" s="14"/>
      <c r="O93" s="13" t="s">
        <v>25</v>
      </c>
    </row>
    <row r="94" spans="1:24" x14ac:dyDescent="0.2">
      <c r="B94" s="15" t="s">
        <v>13</v>
      </c>
      <c r="C94" s="14" t="s">
        <v>8</v>
      </c>
      <c r="D94" s="14">
        <v>27.323144912719727</v>
      </c>
      <c r="E94" s="14">
        <f>D94-24.44774</f>
        <v>2.875404912719727</v>
      </c>
      <c r="F94" s="14">
        <f t="shared" si="158"/>
        <v>0.13627521365373391</v>
      </c>
      <c r="G94" s="14">
        <v>77.824539184570313</v>
      </c>
      <c r="H94" s="14" t="s">
        <v>24</v>
      </c>
      <c r="I94" s="14" t="s">
        <v>25</v>
      </c>
      <c r="J94" s="14">
        <v>22.796972274780273</v>
      </c>
      <c r="K94" s="14">
        <f t="shared" si="166"/>
        <v>2.4880322747802737</v>
      </c>
      <c r="L94" s="14">
        <f t="shared" si="162"/>
        <v>0.17824922698162812</v>
      </c>
      <c r="M94" s="14">
        <v>77.220054626464844</v>
      </c>
      <c r="N94" s="14"/>
      <c r="O94" s="13" t="s">
        <v>25</v>
      </c>
    </row>
    <row r="95" spans="1:24" x14ac:dyDescent="0.2">
      <c r="B95" s="15" t="s">
        <v>15</v>
      </c>
      <c r="C95" s="14" t="s">
        <v>9</v>
      </c>
      <c r="D95" s="14">
        <v>23.396997451782227</v>
      </c>
      <c r="E95" s="14">
        <f>D95-21.64548</f>
        <v>1.7515174517822274</v>
      </c>
      <c r="F95" s="14">
        <f>POWER(2,-E95)</f>
        <v>0.2969892359572518</v>
      </c>
      <c r="G95" s="14">
        <v>78.113006591796875</v>
      </c>
      <c r="H95" s="14" t="s">
        <v>24</v>
      </c>
      <c r="I95" s="14" t="s">
        <v>25</v>
      </c>
      <c r="J95" s="14">
        <v>25.329727172851563</v>
      </c>
      <c r="K95" s="14">
        <f>J95-19.67965</f>
        <v>5.6500771728515637</v>
      </c>
      <c r="L95" s="14">
        <f t="shared" ref="L95:L106" si="167">POWER(2,-K95)</f>
        <v>1.9913944533773879E-2</v>
      </c>
      <c r="M95" s="14">
        <v>77.359138488769531</v>
      </c>
      <c r="N95" s="14"/>
      <c r="O95" s="13" t="s">
        <v>25</v>
      </c>
    </row>
    <row r="96" spans="1:24" x14ac:dyDescent="0.2">
      <c r="B96" s="15" t="s">
        <v>15</v>
      </c>
      <c r="C96" s="14" t="s">
        <v>9</v>
      </c>
      <c r="D96" s="14"/>
      <c r="E96" s="14"/>
      <c r="F96" s="14"/>
      <c r="G96" s="14"/>
      <c r="H96" s="14"/>
      <c r="I96" s="14" t="s">
        <v>25</v>
      </c>
      <c r="J96" s="14">
        <v>25.270359039306641</v>
      </c>
      <c r="K96" s="14">
        <f t="shared" ref="K96:K97" si="168">J96-19.67965</f>
        <v>5.5907090393066419</v>
      </c>
      <c r="L96" s="14">
        <f t="shared" si="167"/>
        <v>2.0750515112258529E-2</v>
      </c>
      <c r="M96" s="14">
        <v>77.359138488769531</v>
      </c>
      <c r="N96" s="14"/>
      <c r="O96" s="13" t="s">
        <v>25</v>
      </c>
    </row>
    <row r="97" spans="2:15" x14ac:dyDescent="0.2">
      <c r="B97" s="15" t="s">
        <v>15</v>
      </c>
      <c r="C97" s="14" t="s">
        <v>9</v>
      </c>
      <c r="D97" s="14">
        <v>23.374582290649414</v>
      </c>
      <c r="E97" s="14">
        <f>D97-21.64548</f>
        <v>1.7291022906494149</v>
      </c>
      <c r="F97" s="14">
        <f t="shared" ref="F97:F118" si="169">POWER(2,-E97)</f>
        <v>0.30163959217826175</v>
      </c>
      <c r="G97" s="14">
        <v>76.919952392578125</v>
      </c>
      <c r="H97" s="14" t="s">
        <v>24</v>
      </c>
      <c r="I97" s="14" t="s">
        <v>25</v>
      </c>
      <c r="J97" s="14">
        <v>25.317314147949219</v>
      </c>
      <c r="K97" s="14">
        <f t="shared" si="168"/>
        <v>5.63766414794922</v>
      </c>
      <c r="L97" s="14">
        <f t="shared" si="167"/>
        <v>2.0086024402819643E-2</v>
      </c>
      <c r="M97" s="14">
        <v>77.359138488769531</v>
      </c>
      <c r="N97" s="14"/>
      <c r="O97" s="13" t="s">
        <v>25</v>
      </c>
    </row>
    <row r="98" spans="2:15" x14ac:dyDescent="0.2">
      <c r="B98" s="15" t="s">
        <v>108</v>
      </c>
      <c r="C98" s="14" t="s">
        <v>9</v>
      </c>
      <c r="D98" s="14">
        <v>23.55689811706543</v>
      </c>
      <c r="E98" s="14">
        <f>D98-21.60298</f>
        <v>1.9539181170654309</v>
      </c>
      <c r="F98" s="14">
        <f t="shared" si="169"/>
        <v>0.25811428322815494</v>
      </c>
      <c r="G98" s="14">
        <v>77.961044311523438</v>
      </c>
      <c r="H98" s="14" t="s">
        <v>24</v>
      </c>
      <c r="I98" s="14" t="s">
        <v>25</v>
      </c>
      <c r="J98" s="14">
        <v>25.125751495361328</v>
      </c>
      <c r="K98" s="14">
        <f>J98-19.77521</f>
        <v>5.3505414953613268</v>
      </c>
      <c r="L98" s="14">
        <f t="shared" si="167"/>
        <v>2.4509052203474404E-2</v>
      </c>
      <c r="M98" s="14">
        <v>77.359138488769531</v>
      </c>
      <c r="N98" s="14"/>
      <c r="O98" s="13" t="s">
        <v>25</v>
      </c>
    </row>
    <row r="99" spans="2:15" x14ac:dyDescent="0.2">
      <c r="B99" s="15" t="s">
        <v>108</v>
      </c>
      <c r="C99" s="14" t="s">
        <v>9</v>
      </c>
      <c r="D99" s="14"/>
      <c r="E99" s="14"/>
      <c r="F99" s="14"/>
      <c r="G99" s="14"/>
      <c r="H99" s="14"/>
      <c r="I99" s="14" t="s">
        <v>25</v>
      </c>
      <c r="J99" s="14">
        <v>25.109495162963867</v>
      </c>
      <c r="K99" s="14">
        <f t="shared" ref="K99:K100" si="170">J99-19.77521</f>
        <v>5.3342851629638659</v>
      </c>
      <c r="L99" s="14">
        <f t="shared" si="167"/>
        <v>2.4786782762377186E-2</v>
      </c>
      <c r="M99" s="14">
        <v>77.359138488769531</v>
      </c>
      <c r="N99" s="14"/>
      <c r="O99" s="13" t="s">
        <v>25</v>
      </c>
    </row>
    <row r="100" spans="2:15" x14ac:dyDescent="0.2">
      <c r="B100" s="15" t="s">
        <v>108</v>
      </c>
      <c r="C100" s="14" t="s">
        <v>9</v>
      </c>
      <c r="D100" s="14">
        <v>23.70208740234375</v>
      </c>
      <c r="E100" s="14">
        <f>D100-21.60298</f>
        <v>2.0991074023437513</v>
      </c>
      <c r="F100" s="14">
        <f t="shared" si="169"/>
        <v>0.23340260977729735</v>
      </c>
      <c r="G100" s="14">
        <v>78.109405517578125</v>
      </c>
      <c r="H100" s="14" t="s">
        <v>24</v>
      </c>
      <c r="I100" s="14" t="s">
        <v>25</v>
      </c>
      <c r="J100" s="14">
        <v>25.188116073608398</v>
      </c>
      <c r="K100" s="14">
        <f t="shared" si="170"/>
        <v>5.4129060736083972</v>
      </c>
      <c r="L100" s="14">
        <f t="shared" si="167"/>
        <v>2.347215195878433E-2</v>
      </c>
      <c r="M100" s="14">
        <v>77.508346557617188</v>
      </c>
      <c r="N100" s="14"/>
      <c r="O100" s="13" t="s">
        <v>25</v>
      </c>
    </row>
    <row r="101" spans="2:15" x14ac:dyDescent="0.2">
      <c r="B101" s="15" t="s">
        <v>109</v>
      </c>
      <c r="C101" s="14" t="s">
        <v>9</v>
      </c>
      <c r="D101" s="14">
        <v>22.259910583496094</v>
      </c>
      <c r="E101" s="14">
        <f>D101-23.13827</f>
        <v>-0.87835941650390481</v>
      </c>
      <c r="F101" s="14">
        <f t="shared" si="169"/>
        <v>1.8382836788385384</v>
      </c>
      <c r="G101" s="14">
        <v>77.962387084960938</v>
      </c>
      <c r="H101" s="14" t="s">
        <v>24</v>
      </c>
      <c r="I101" s="14" t="s">
        <v>25</v>
      </c>
      <c r="J101" s="14">
        <v>24.16279411315918</v>
      </c>
      <c r="K101" s="14">
        <f>J101-20.69505</f>
        <v>3.4677441131591813</v>
      </c>
      <c r="L101" s="14">
        <f t="shared" si="167"/>
        <v>9.0386798644659788E-2</v>
      </c>
      <c r="M101" s="14">
        <v>77.51904296875</v>
      </c>
      <c r="N101" s="14"/>
      <c r="O101" s="13" t="s">
        <v>25</v>
      </c>
    </row>
    <row r="102" spans="2:15" x14ac:dyDescent="0.2">
      <c r="B102" s="15" t="s">
        <v>109</v>
      </c>
      <c r="C102" s="14" t="s">
        <v>9</v>
      </c>
      <c r="D102" s="14"/>
      <c r="E102" s="14"/>
      <c r="F102" s="14"/>
      <c r="G102" s="14"/>
      <c r="H102" s="14"/>
      <c r="I102" s="14" t="s">
        <v>25</v>
      </c>
      <c r="J102" s="14">
        <v>24.211746215820313</v>
      </c>
      <c r="K102" s="14">
        <f t="shared" ref="K102:K103" si="171">J102-20.69505</f>
        <v>3.5166962158203141</v>
      </c>
      <c r="L102" s="14">
        <f t="shared" si="167"/>
        <v>8.7371331335895266E-2</v>
      </c>
      <c r="M102" s="14">
        <v>77.369918823242188</v>
      </c>
      <c r="N102" s="14"/>
      <c r="O102" s="13" t="s">
        <v>25</v>
      </c>
    </row>
    <row r="103" spans="2:15" x14ac:dyDescent="0.2">
      <c r="B103" s="15" t="s">
        <v>109</v>
      </c>
      <c r="C103" s="14" t="s">
        <v>9</v>
      </c>
      <c r="D103" s="14">
        <v>22.294685363769531</v>
      </c>
      <c r="E103" s="14">
        <f>D103-23.13827</f>
        <v>-0.84358463623046731</v>
      </c>
      <c r="F103" s="14">
        <f t="shared" si="169"/>
        <v>1.7945033746704451</v>
      </c>
      <c r="G103" s="14">
        <v>77.813255310058594</v>
      </c>
      <c r="H103" s="14" t="s">
        <v>24</v>
      </c>
      <c r="I103" s="14" t="s">
        <v>25</v>
      </c>
      <c r="J103" s="14">
        <v>24.285163879394531</v>
      </c>
      <c r="K103" s="14">
        <f t="shared" si="171"/>
        <v>3.5901138793945329</v>
      </c>
      <c r="L103" s="14">
        <f t="shared" si="167"/>
        <v>8.3036308636263337E-2</v>
      </c>
      <c r="M103" s="14">
        <v>77.51904296875</v>
      </c>
      <c r="N103" s="14"/>
      <c r="O103" s="13" t="s">
        <v>25</v>
      </c>
    </row>
    <row r="104" spans="2:15" x14ac:dyDescent="0.2">
      <c r="B104" s="15" t="s">
        <v>13</v>
      </c>
      <c r="C104" s="14" t="s">
        <v>9</v>
      </c>
      <c r="D104" s="14">
        <v>26.334300994873047</v>
      </c>
      <c r="E104" s="14">
        <f>D104-25.38149</f>
        <v>0.95281099487304743</v>
      </c>
      <c r="F104" s="14">
        <f t="shared" si="169"/>
        <v>0.51662487159156578</v>
      </c>
      <c r="G104" s="14">
        <v>77.662261962890625</v>
      </c>
      <c r="H104" s="14" t="s">
        <v>24</v>
      </c>
      <c r="I104" s="14" t="s">
        <v>25</v>
      </c>
      <c r="J104" s="14">
        <v>23.981105804443359</v>
      </c>
      <c r="K104" s="14">
        <f>J104-20.30894</f>
        <v>3.6721658044433596</v>
      </c>
      <c r="L104" s="14">
        <f t="shared" si="167"/>
        <v>7.8445483442230582E-2</v>
      </c>
      <c r="M104" s="14">
        <v>77.369918823242188</v>
      </c>
      <c r="N104" s="14"/>
      <c r="O104" s="13" t="s">
        <v>25</v>
      </c>
    </row>
    <row r="105" spans="2:15" x14ac:dyDescent="0.2">
      <c r="B105" s="15" t="s">
        <v>13</v>
      </c>
      <c r="C105" s="14" t="s">
        <v>9</v>
      </c>
      <c r="D105" s="14"/>
      <c r="E105" s="14"/>
      <c r="F105" s="14"/>
      <c r="G105" s="14"/>
      <c r="H105" s="14"/>
      <c r="I105" s="14" t="s">
        <v>25</v>
      </c>
      <c r="J105" s="14">
        <v>24.040430068969727</v>
      </c>
      <c r="K105" s="14">
        <f t="shared" ref="K105:K106" si="172">J105-20.30894</f>
        <v>3.7314900689697268</v>
      </c>
      <c r="L105" s="14">
        <f t="shared" si="167"/>
        <v>7.5285191722028563E-2</v>
      </c>
      <c r="M105" s="14">
        <v>77.369918823242188</v>
      </c>
      <c r="N105" s="14"/>
      <c r="O105" s="13" t="s">
        <v>25</v>
      </c>
    </row>
    <row r="106" spans="2:15" x14ac:dyDescent="0.2">
      <c r="B106" s="15" t="s">
        <v>13</v>
      </c>
      <c r="C106" s="14" t="s">
        <v>9</v>
      </c>
      <c r="D106" s="14">
        <v>26.259105682373047</v>
      </c>
      <c r="E106" s="14">
        <f>D106-25.38149</f>
        <v>0.87761568237304743</v>
      </c>
      <c r="F106" s="14">
        <f t="shared" si="169"/>
        <v>0.54426618787687375</v>
      </c>
      <c r="G106" s="14">
        <v>77.964332580566406</v>
      </c>
      <c r="H106" s="14" t="s">
        <v>24</v>
      </c>
      <c r="I106" s="14" t="s">
        <v>25</v>
      </c>
      <c r="J106" s="14">
        <v>23.977771759033203</v>
      </c>
      <c r="K106" s="14">
        <f t="shared" si="172"/>
        <v>3.6688317590332034</v>
      </c>
      <c r="L106" s="14">
        <f t="shared" si="167"/>
        <v>7.862697934944636E-2</v>
      </c>
      <c r="M106" s="14">
        <v>77.51904296875</v>
      </c>
      <c r="N106" s="14"/>
      <c r="O106" s="13" t="s">
        <v>25</v>
      </c>
    </row>
    <row r="107" spans="2:15" x14ac:dyDescent="0.2">
      <c r="B107" s="15" t="s">
        <v>15</v>
      </c>
      <c r="C107" s="14" t="s">
        <v>10</v>
      </c>
      <c r="D107" s="14">
        <v>26.900716781616211</v>
      </c>
      <c r="E107" s="14">
        <f>D107-21.64548</f>
        <v>5.2552367816162118</v>
      </c>
      <c r="F107" s="14">
        <f t="shared" si="169"/>
        <v>2.6182800366440617E-2</v>
      </c>
      <c r="G107" s="14">
        <v>76.770828247070313</v>
      </c>
      <c r="H107" s="14" t="s">
        <v>24</v>
      </c>
      <c r="I107" s="14" t="s">
        <v>25</v>
      </c>
      <c r="J107" s="14">
        <v>23.954214096069336</v>
      </c>
      <c r="K107" s="14">
        <f>J107-19.67965</f>
        <v>4.2745640960693372</v>
      </c>
      <c r="L107" s="14">
        <f t="shared" ref="L107:L118" si="173">POWER(2,-K107)</f>
        <v>5.1668754012081507E-2</v>
      </c>
      <c r="M107" s="14">
        <v>76.16546630859375</v>
      </c>
      <c r="N107" s="14"/>
      <c r="O107" s="13" t="s">
        <v>25</v>
      </c>
    </row>
    <row r="108" spans="2:15" x14ac:dyDescent="0.2">
      <c r="B108" s="15" t="s">
        <v>15</v>
      </c>
      <c r="C108" s="14" t="s">
        <v>10</v>
      </c>
      <c r="D108" s="14"/>
      <c r="E108" s="14"/>
      <c r="F108" s="14"/>
      <c r="G108" s="14"/>
      <c r="H108" s="14"/>
      <c r="I108" s="14" t="s">
        <v>25</v>
      </c>
      <c r="J108" s="14">
        <v>23.957571029663086</v>
      </c>
      <c r="K108" s="14">
        <f t="shared" ref="K108:K109" si="174">J108-19.67965</f>
        <v>4.2779210296630872</v>
      </c>
      <c r="L108" s="14">
        <f t="shared" si="173"/>
        <v>5.1548668385336817E-2</v>
      </c>
      <c r="M108" s="14">
        <v>76.16546630859375</v>
      </c>
      <c r="N108" s="14"/>
      <c r="O108" s="13" t="s">
        <v>25</v>
      </c>
    </row>
    <row r="109" spans="2:15" x14ac:dyDescent="0.2">
      <c r="B109" s="15" t="s">
        <v>15</v>
      </c>
      <c r="C109" s="14" t="s">
        <v>10</v>
      </c>
      <c r="D109" s="14">
        <v>26.890846252441406</v>
      </c>
      <c r="E109" s="14">
        <f>D109-21.64548</f>
        <v>5.2453662524414071</v>
      </c>
      <c r="F109" s="14">
        <f t="shared" si="169"/>
        <v>2.6362550201977194E-2</v>
      </c>
      <c r="G109" s="14">
        <v>76.770828247070313</v>
      </c>
      <c r="H109" s="14" t="s">
        <v>24</v>
      </c>
      <c r="I109" s="14" t="s">
        <v>25</v>
      </c>
      <c r="J109" s="14">
        <v>23.919017791748047</v>
      </c>
      <c r="K109" s="14">
        <f t="shared" si="174"/>
        <v>4.2393677917480481</v>
      </c>
      <c r="L109" s="14">
        <f t="shared" si="173"/>
        <v>5.2944778049355781E-2</v>
      </c>
      <c r="M109" s="14">
        <v>76.16546630859375</v>
      </c>
      <c r="N109" s="14"/>
      <c r="O109" s="13" t="s">
        <v>25</v>
      </c>
    </row>
    <row r="110" spans="2:15" x14ac:dyDescent="0.2">
      <c r="B110" s="15" t="s">
        <v>108</v>
      </c>
      <c r="C110" s="14" t="s">
        <v>10</v>
      </c>
      <c r="D110" s="14">
        <v>27.258726119995117</v>
      </c>
      <c r="E110" s="14">
        <f>D110-21.60298</f>
        <v>5.6557461199951184</v>
      </c>
      <c r="F110" s="14">
        <f t="shared" si="169"/>
        <v>1.9835847924274504E-2</v>
      </c>
      <c r="G110" s="14">
        <v>76.469863891601563</v>
      </c>
      <c r="H110" s="14" t="s">
        <v>24</v>
      </c>
      <c r="I110" s="14" t="s">
        <v>25</v>
      </c>
      <c r="J110" s="14">
        <v>23.657876968383789</v>
      </c>
      <c r="K110" s="14">
        <f>J110-19.77521</f>
        <v>3.8826669683837878</v>
      </c>
      <c r="L110" s="14">
        <f t="shared" si="173"/>
        <v>6.7795486151512804E-2</v>
      </c>
      <c r="M110" s="14">
        <v>76.16546630859375</v>
      </c>
      <c r="N110" s="14"/>
      <c r="O110" s="13" t="s">
        <v>25</v>
      </c>
    </row>
    <row r="111" spans="2:15" x14ac:dyDescent="0.2">
      <c r="B111" s="15" t="s">
        <v>108</v>
      </c>
      <c r="C111" s="14" t="s">
        <v>10</v>
      </c>
      <c r="D111" s="14"/>
      <c r="E111" s="14"/>
      <c r="F111" s="14"/>
      <c r="G111" s="14"/>
      <c r="H111" s="14"/>
      <c r="I111" s="14" t="s">
        <v>25</v>
      </c>
      <c r="J111" s="14">
        <v>23.652017593383789</v>
      </c>
      <c r="K111" s="14">
        <f t="shared" ref="K111:K112" si="175">J111-19.77521</f>
        <v>3.8768075933837878</v>
      </c>
      <c r="L111" s="14">
        <f t="shared" si="173"/>
        <v>6.8071391269373782E-2</v>
      </c>
      <c r="M111" s="14">
        <v>76.16546630859375</v>
      </c>
      <c r="N111" s="14"/>
      <c r="O111" s="13" t="s">
        <v>25</v>
      </c>
    </row>
    <row r="112" spans="2:15" x14ac:dyDescent="0.2">
      <c r="B112" s="15" t="s">
        <v>108</v>
      </c>
      <c r="C112" s="14" t="s">
        <v>10</v>
      </c>
      <c r="D112" s="14">
        <v>27.219419479370117</v>
      </c>
      <c r="E112" s="14">
        <f>D112-21.60298</f>
        <v>5.6164394793701184</v>
      </c>
      <c r="F112" s="14">
        <f t="shared" si="169"/>
        <v>2.0383710746598362E-2</v>
      </c>
      <c r="G112" s="14">
        <v>76.618095397949219</v>
      </c>
      <c r="H112" s="14" t="s">
        <v>24</v>
      </c>
      <c r="I112" s="14" t="s">
        <v>25</v>
      </c>
      <c r="J112" s="14">
        <v>23.688095092773438</v>
      </c>
      <c r="K112" s="14">
        <f t="shared" si="175"/>
        <v>3.9128850927734362</v>
      </c>
      <c r="L112" s="14">
        <f t="shared" si="173"/>
        <v>6.6390236769742886E-2</v>
      </c>
      <c r="M112" s="14">
        <v>76.16546630859375</v>
      </c>
      <c r="N112" s="14"/>
      <c r="O112" s="13" t="s">
        <v>25</v>
      </c>
    </row>
    <row r="113" spans="2:15" x14ac:dyDescent="0.2">
      <c r="B113" s="15" t="s">
        <v>109</v>
      </c>
      <c r="C113" s="14" t="s">
        <v>10</v>
      </c>
      <c r="D113" s="14">
        <v>26.972770690917969</v>
      </c>
      <c r="E113" s="14">
        <f>D113-23.13827</f>
        <v>3.8345006909179702</v>
      </c>
      <c r="F113" s="14">
        <f t="shared" si="169"/>
        <v>7.0097135925092757E-2</v>
      </c>
      <c r="G113" s="14">
        <v>76.620162963867188</v>
      </c>
      <c r="H113" s="14" t="s">
        <v>24</v>
      </c>
      <c r="I113" s="14" t="s">
        <v>25</v>
      </c>
      <c r="J113" s="14">
        <v>23.978851318359375</v>
      </c>
      <c r="K113" s="14">
        <f>J113-20.69505</f>
        <v>3.2838013183593766</v>
      </c>
      <c r="L113" s="14">
        <f t="shared" si="173"/>
        <v>0.1026779769815391</v>
      </c>
      <c r="M113" s="14">
        <v>76.176971435546875</v>
      </c>
      <c r="N113" s="14"/>
      <c r="O113" s="13" t="s">
        <v>25</v>
      </c>
    </row>
    <row r="114" spans="2:15" x14ac:dyDescent="0.2">
      <c r="B114" s="15" t="s">
        <v>109</v>
      </c>
      <c r="C114" s="14" t="s">
        <v>10</v>
      </c>
      <c r="D114" s="14"/>
      <c r="E114" s="14"/>
      <c r="F114" s="14"/>
      <c r="G114" s="14"/>
      <c r="H114" s="14"/>
      <c r="I114" s="14" t="s">
        <v>25</v>
      </c>
      <c r="J114" s="14">
        <v>23.941751480102539</v>
      </c>
      <c r="K114" s="14">
        <f t="shared" ref="K114:K115" si="176">J114-20.69505</f>
        <v>3.2467014801025407</v>
      </c>
      <c r="L114" s="14">
        <f t="shared" si="173"/>
        <v>0.10535265081623851</v>
      </c>
      <c r="M114" s="14">
        <v>76.027854919433594</v>
      </c>
      <c r="N114" s="14"/>
      <c r="O114" s="13" t="s">
        <v>25</v>
      </c>
    </row>
    <row r="115" spans="2:15" x14ac:dyDescent="0.2">
      <c r="B115" s="15" t="s">
        <v>109</v>
      </c>
      <c r="C115" s="14" t="s">
        <v>10</v>
      </c>
      <c r="D115" s="14">
        <v>26.981922149658203</v>
      </c>
      <c r="E115" s="14">
        <f>D115-23.13827</f>
        <v>3.8436521496582046</v>
      </c>
      <c r="F115" s="14">
        <f t="shared" si="169"/>
        <v>6.9653895505804142E-2</v>
      </c>
      <c r="G115" s="14">
        <v>76.620162963867188</v>
      </c>
      <c r="H115" s="14" t="s">
        <v>24</v>
      </c>
      <c r="I115" s="14" t="s">
        <v>25</v>
      </c>
      <c r="J115" s="14">
        <v>23.925161361694336</v>
      </c>
      <c r="K115" s="14">
        <f t="shared" si="176"/>
        <v>3.2301113616943375</v>
      </c>
      <c r="L115" s="14">
        <f t="shared" si="173"/>
        <v>0.10657113492285283</v>
      </c>
      <c r="M115" s="14">
        <v>75.878738403320313</v>
      </c>
      <c r="N115" s="14"/>
      <c r="O115" s="13" t="s">
        <v>25</v>
      </c>
    </row>
    <row r="116" spans="2:15" x14ac:dyDescent="0.2">
      <c r="B116" s="15" t="s">
        <v>13</v>
      </c>
      <c r="C116" s="14" t="s">
        <v>10</v>
      </c>
      <c r="D116" s="14">
        <v>30.140190124511719</v>
      </c>
      <c r="E116" s="14">
        <f>D116-25.38149</f>
        <v>4.7587001245117193</v>
      </c>
      <c r="F116" s="14">
        <f t="shared" si="169"/>
        <v>3.6939288164765029E-2</v>
      </c>
      <c r="G116" s="14">
        <v>76.618385314941406</v>
      </c>
      <c r="H116" s="14" t="s">
        <v>24</v>
      </c>
      <c r="I116" s="14" t="s">
        <v>25</v>
      </c>
      <c r="J116" s="14">
        <v>23.360370635986328</v>
      </c>
      <c r="K116" s="14">
        <f>J116-20.30894</f>
        <v>3.0514306359863284</v>
      </c>
      <c r="L116" s="14">
        <f t="shared" si="173"/>
        <v>0.12062236766732291</v>
      </c>
      <c r="M116" s="14">
        <v>76.027854919433594</v>
      </c>
      <c r="N116" s="14"/>
      <c r="O116" s="13" t="s">
        <v>25</v>
      </c>
    </row>
    <row r="117" spans="2:15" x14ac:dyDescent="0.2">
      <c r="B117" s="15" t="s">
        <v>13</v>
      </c>
      <c r="C117" s="14" t="s">
        <v>10</v>
      </c>
      <c r="D117" s="14"/>
      <c r="E117" s="14"/>
      <c r="F117" s="14"/>
      <c r="G117" s="14"/>
      <c r="H117" s="14"/>
      <c r="I117" s="14" t="s">
        <v>25</v>
      </c>
      <c r="J117" s="14">
        <v>23.351343154907227</v>
      </c>
      <c r="K117" s="14">
        <f t="shared" ref="K117:K118" si="177">J117-20.30894</f>
        <v>3.0424031549072268</v>
      </c>
      <c r="L117" s="14">
        <f t="shared" si="173"/>
        <v>0.12137951322151309</v>
      </c>
      <c r="M117" s="14">
        <v>76.027854919433594</v>
      </c>
      <c r="N117" s="14"/>
      <c r="O117" s="13" t="s">
        <v>25</v>
      </c>
    </row>
    <row r="118" spans="2:15" x14ac:dyDescent="0.2">
      <c r="B118" s="15" t="s">
        <v>13</v>
      </c>
      <c r="C118" s="14" t="s">
        <v>10</v>
      </c>
      <c r="D118" s="14">
        <v>29.925195693969727</v>
      </c>
      <c r="E118" s="14">
        <f>D118-25.38149</f>
        <v>4.5437056939697271</v>
      </c>
      <c r="F118" s="14">
        <f t="shared" si="169"/>
        <v>4.2875410848515247E-2</v>
      </c>
      <c r="G118" s="14">
        <v>76.472991943359375</v>
      </c>
      <c r="H118" s="14" t="s">
        <v>24</v>
      </c>
      <c r="I118" s="14" t="s">
        <v>25</v>
      </c>
      <c r="J118" s="14">
        <v>23.360296249389648</v>
      </c>
      <c r="K118" s="14">
        <f t="shared" si="177"/>
        <v>3.0513562493896487</v>
      </c>
      <c r="L118" s="14">
        <f t="shared" si="173"/>
        <v>0.1206285872206475</v>
      </c>
      <c r="M118" s="14">
        <v>76.027854919433594</v>
      </c>
      <c r="N118" s="14"/>
      <c r="O118" s="13" t="s">
        <v>25</v>
      </c>
    </row>
    <row r="119" spans="2:15" x14ac:dyDescent="0.2">
      <c r="B119" s="15" t="s">
        <v>15</v>
      </c>
      <c r="C119" s="14" t="s">
        <v>11</v>
      </c>
      <c r="D119" s="14">
        <v>25.547407150268555</v>
      </c>
      <c r="E119" s="14">
        <f>D119-21.56802</f>
        <v>3.9793871502685541</v>
      </c>
      <c r="F119" s="14">
        <f>POWER(2,-E119)</f>
        <v>6.3399393516841832E-2</v>
      </c>
      <c r="G119" s="14">
        <v>74.688873291015625</v>
      </c>
      <c r="H119" s="14">
        <v>68.72698974609375</v>
      </c>
      <c r="I119" s="14" t="s">
        <v>25</v>
      </c>
      <c r="J119" s="14">
        <v>22.885393142700195</v>
      </c>
      <c r="K119" s="14">
        <f>J119-19.67965</f>
        <v>3.2057431427001966</v>
      </c>
      <c r="L119" s="14">
        <f t="shared" ref="L119:L130" si="178">POWER(2,-K119)</f>
        <v>0.10838649084302682</v>
      </c>
      <c r="M119" s="14">
        <v>74.673080444335938</v>
      </c>
      <c r="N119" s="14"/>
      <c r="O119" s="13" t="s">
        <v>25</v>
      </c>
    </row>
    <row r="120" spans="2:15" x14ac:dyDescent="0.2">
      <c r="B120" s="15" t="s">
        <v>15</v>
      </c>
      <c r="C120" s="14" t="s">
        <v>11</v>
      </c>
      <c r="D120" s="14"/>
      <c r="E120" s="14"/>
      <c r="F120" s="14"/>
      <c r="G120" s="14"/>
      <c r="H120" s="14"/>
      <c r="I120" s="14" t="s">
        <v>25</v>
      </c>
      <c r="J120" s="14">
        <v>22.685138702392578</v>
      </c>
      <c r="K120" s="14">
        <f t="shared" ref="K120:K121" si="179">J120-19.67965</f>
        <v>3.0054887023925794</v>
      </c>
      <c r="L120" s="14">
        <f t="shared" si="178"/>
        <v>0.1245253436589164</v>
      </c>
      <c r="M120" s="14">
        <v>74.673080444335938</v>
      </c>
      <c r="N120" s="14"/>
      <c r="O120" s="13" t="s">
        <v>25</v>
      </c>
    </row>
    <row r="121" spans="2:15" x14ac:dyDescent="0.2">
      <c r="B121" s="15" t="s">
        <v>15</v>
      </c>
      <c r="C121" s="14" t="s">
        <v>11</v>
      </c>
      <c r="D121" s="14">
        <v>25.446966171264648</v>
      </c>
      <c r="E121" s="14">
        <f>D121-21.56802</f>
        <v>3.8789461712646478</v>
      </c>
      <c r="F121" s="14">
        <f t="shared" ref="F121:F142" si="180">POWER(2,-E121)</f>
        <v>6.7970560446750469E-2</v>
      </c>
      <c r="G121" s="14">
        <v>74.837921142578125</v>
      </c>
      <c r="H121" s="14">
        <v>68.87603759765625</v>
      </c>
      <c r="I121" s="14" t="s">
        <v>25</v>
      </c>
      <c r="J121" s="14">
        <v>21.926115036010742</v>
      </c>
      <c r="K121" s="14">
        <f t="shared" si="179"/>
        <v>2.2464650360107434</v>
      </c>
      <c r="L121" s="14">
        <f t="shared" si="178"/>
        <v>0.21073983707136598</v>
      </c>
      <c r="M121" s="14">
        <v>74.822319030761719</v>
      </c>
      <c r="N121" s="14"/>
      <c r="O121" s="13" t="s">
        <v>25</v>
      </c>
    </row>
    <row r="122" spans="2:15" x14ac:dyDescent="0.2">
      <c r="B122" s="15" t="s">
        <v>108</v>
      </c>
      <c r="C122" s="14" t="s">
        <v>11</v>
      </c>
      <c r="D122" s="14">
        <v>25.552297592163086</v>
      </c>
      <c r="E122" s="14">
        <f>D122-21.35149</f>
        <v>4.2008075921630876</v>
      </c>
      <c r="F122" s="14">
        <f t="shared" si="180"/>
        <v>5.4378961416910447E-2</v>
      </c>
      <c r="G122" s="14">
        <v>74.539474487304688</v>
      </c>
      <c r="H122" s="14">
        <v>68.578361511230469</v>
      </c>
      <c r="I122" s="14" t="s">
        <v>25</v>
      </c>
      <c r="J122" s="14">
        <v>22.578510284423828</v>
      </c>
      <c r="K122" s="14">
        <f>J122-19.77521</f>
        <v>2.8033002844238268</v>
      </c>
      <c r="L122" s="14">
        <f t="shared" si="178"/>
        <v>0.14325920195585537</v>
      </c>
      <c r="M122" s="14">
        <v>74.673080444335938</v>
      </c>
      <c r="N122" s="14"/>
      <c r="O122" s="13" t="s">
        <v>25</v>
      </c>
    </row>
    <row r="123" spans="2:15" x14ac:dyDescent="0.2">
      <c r="B123" s="15" t="s">
        <v>108</v>
      </c>
      <c r="C123" s="14" t="s">
        <v>11</v>
      </c>
      <c r="D123" s="14"/>
      <c r="E123" s="14"/>
      <c r="F123" s="14"/>
      <c r="G123" s="14"/>
      <c r="H123" s="14"/>
      <c r="I123" s="14" t="s">
        <v>25</v>
      </c>
      <c r="J123" s="14">
        <v>22.657320022583008</v>
      </c>
      <c r="K123" s="14">
        <f t="shared" ref="K123:K124" si="181">J123-19.77521</f>
        <v>2.8821100225830065</v>
      </c>
      <c r="L123" s="14">
        <f t="shared" si="178"/>
        <v>0.13564332668066234</v>
      </c>
      <c r="M123" s="14">
        <v>74.673080444335938</v>
      </c>
      <c r="N123" s="14"/>
      <c r="O123" s="13" t="s">
        <v>25</v>
      </c>
    </row>
    <row r="124" spans="2:15" x14ac:dyDescent="0.2">
      <c r="B124" s="15" t="s">
        <v>108</v>
      </c>
      <c r="C124" s="14" t="s">
        <v>11</v>
      </c>
      <c r="D124" s="14">
        <v>25.705804824829102</v>
      </c>
      <c r="E124" s="14">
        <f>D124-21.35149</f>
        <v>4.3543148248291033</v>
      </c>
      <c r="F124" s="14">
        <f t="shared" si="180"/>
        <v>4.8890066406888068E-2</v>
      </c>
      <c r="G124" s="14">
        <v>74.540420532226563</v>
      </c>
      <c r="H124" s="14">
        <v>68.429367065429688</v>
      </c>
      <c r="I124" s="14" t="s">
        <v>25</v>
      </c>
      <c r="J124" s="14">
        <v>22.644866943359375</v>
      </c>
      <c r="K124" s="14">
        <f t="shared" si="181"/>
        <v>2.8696569433593737</v>
      </c>
      <c r="L124" s="14">
        <f t="shared" si="178"/>
        <v>0.13681924286559016</v>
      </c>
      <c r="M124" s="14">
        <v>74.673080444335938</v>
      </c>
      <c r="N124" s="14"/>
      <c r="O124" s="13" t="s">
        <v>25</v>
      </c>
    </row>
    <row r="125" spans="2:15" x14ac:dyDescent="0.2">
      <c r="B125" s="15" t="s">
        <v>109</v>
      </c>
      <c r="C125" s="14" t="s">
        <v>11</v>
      </c>
      <c r="D125" s="14">
        <v>25.505605697631836</v>
      </c>
      <c r="E125" s="14">
        <f>D125-22.95798</f>
        <v>2.5476256976318368</v>
      </c>
      <c r="F125" s="14">
        <f t="shared" si="180"/>
        <v>0.17103628201904222</v>
      </c>
      <c r="G125" s="14">
        <v>74.390464782714844</v>
      </c>
      <c r="H125" s="14">
        <v>68.428085327148438</v>
      </c>
      <c r="I125" s="14" t="s">
        <v>25</v>
      </c>
      <c r="J125" s="14">
        <v>22.690437316894531</v>
      </c>
      <c r="K125" s="14">
        <f>J125-20.69505</f>
        <v>1.9953873168945329</v>
      </c>
      <c r="L125" s="14">
        <f t="shared" si="178"/>
        <v>0.25080059625083601</v>
      </c>
      <c r="M125" s="14">
        <v>74.685684204101563</v>
      </c>
      <c r="N125" s="14"/>
      <c r="O125" s="13" t="s">
        <v>25</v>
      </c>
    </row>
    <row r="126" spans="2:15" x14ac:dyDescent="0.2">
      <c r="B126" s="15" t="s">
        <v>109</v>
      </c>
      <c r="C126" s="14" t="s">
        <v>11</v>
      </c>
      <c r="D126" s="14"/>
      <c r="E126" s="14"/>
      <c r="F126" s="14"/>
      <c r="G126" s="14"/>
      <c r="H126" s="14"/>
      <c r="I126" s="14" t="s">
        <v>25</v>
      </c>
      <c r="J126" s="14">
        <v>22.901174545288086</v>
      </c>
      <c r="K126" s="14">
        <f t="shared" ref="K126:K127" si="182">J126-20.69505</f>
        <v>2.2061245452880875</v>
      </c>
      <c r="L126" s="14">
        <f t="shared" si="178"/>
        <v>0.21671568139310504</v>
      </c>
      <c r="M126" s="14">
        <v>74.53656005859375</v>
      </c>
      <c r="N126" s="14"/>
      <c r="O126" s="13" t="s">
        <v>25</v>
      </c>
    </row>
    <row r="127" spans="2:15" x14ac:dyDescent="0.2">
      <c r="B127" s="15" t="s">
        <v>109</v>
      </c>
      <c r="C127" s="14" t="s">
        <v>11</v>
      </c>
      <c r="D127" s="14">
        <v>25.469856262207031</v>
      </c>
      <c r="E127" s="14">
        <f>D127-22.95798</f>
        <v>2.5118762622070321</v>
      </c>
      <c r="F127" s="14">
        <f t="shared" si="180"/>
        <v>0.17532744325766811</v>
      </c>
      <c r="G127" s="14">
        <v>74.390464782714844</v>
      </c>
      <c r="H127" s="14">
        <v>68.428085327148438</v>
      </c>
      <c r="I127" s="14" t="s">
        <v>25</v>
      </c>
      <c r="J127" s="14">
        <v>22.927484512329102</v>
      </c>
      <c r="K127" s="14">
        <f t="shared" si="182"/>
        <v>2.2324345123291032</v>
      </c>
      <c r="L127" s="14">
        <f t="shared" si="178"/>
        <v>0.2127993261717849</v>
      </c>
      <c r="M127" s="14">
        <v>74.53656005859375</v>
      </c>
      <c r="N127" s="14"/>
      <c r="O127" s="13" t="s">
        <v>25</v>
      </c>
    </row>
    <row r="128" spans="2:15" x14ac:dyDescent="0.2">
      <c r="B128" s="15" t="s">
        <v>13</v>
      </c>
      <c r="C128" s="14" t="s">
        <v>11</v>
      </c>
      <c r="D128" s="14">
        <v>25.956647872924805</v>
      </c>
      <c r="E128" s="14">
        <f>D128-25.29903</f>
        <v>0.65761787292480633</v>
      </c>
      <c r="F128" s="14">
        <f t="shared" si="180"/>
        <v>0.63392414646418127</v>
      </c>
      <c r="G128" s="14">
        <v>69.022171020507813</v>
      </c>
      <c r="H128" s="14" t="s">
        <v>24</v>
      </c>
      <c r="I128" s="14" t="s">
        <v>25</v>
      </c>
      <c r="J128" s="14">
        <v>22.884620666503906</v>
      </c>
      <c r="K128" s="14">
        <f>J128-20.30894</f>
        <v>2.5756806665039065</v>
      </c>
      <c r="L128" s="14">
        <f t="shared" si="178"/>
        <v>0.16774240296247947</v>
      </c>
      <c r="M128" s="14">
        <v>74.387435913085938</v>
      </c>
      <c r="N128" s="14"/>
      <c r="O128" s="13" t="s">
        <v>25</v>
      </c>
    </row>
    <row r="129" spans="2:15" x14ac:dyDescent="0.2">
      <c r="B129" s="15" t="s">
        <v>13</v>
      </c>
      <c r="C129" s="14" t="s">
        <v>11</v>
      </c>
      <c r="D129" s="14"/>
      <c r="E129" s="14"/>
      <c r="F129" s="14"/>
      <c r="G129" s="14"/>
      <c r="H129" s="14"/>
      <c r="I129" s="14" t="s">
        <v>25</v>
      </c>
      <c r="J129" s="14">
        <v>22.391035079956055</v>
      </c>
      <c r="K129" s="14">
        <f t="shared" ref="K129:K130" si="183">J129-20.30894</f>
        <v>2.0820950799560549</v>
      </c>
      <c r="L129" s="14">
        <f t="shared" si="178"/>
        <v>0.23617119501467485</v>
      </c>
      <c r="M129" s="14">
        <v>74.53656005859375</v>
      </c>
      <c r="N129" s="14"/>
      <c r="O129" s="13" t="s">
        <v>25</v>
      </c>
    </row>
    <row r="130" spans="2:15" x14ac:dyDescent="0.2">
      <c r="B130" s="15" t="s">
        <v>13</v>
      </c>
      <c r="C130" s="14" t="s">
        <v>11</v>
      </c>
      <c r="D130" s="14">
        <v>25.929899215698242</v>
      </c>
      <c r="E130" s="14">
        <f>D130-25.29903</f>
        <v>0.63086921569824383</v>
      </c>
      <c r="F130" s="14">
        <f t="shared" si="180"/>
        <v>0.64578721489760871</v>
      </c>
      <c r="G130" s="14">
        <v>69.027313232421875</v>
      </c>
      <c r="H130" s="14" t="s">
        <v>24</v>
      </c>
      <c r="I130" s="14" t="s">
        <v>25</v>
      </c>
      <c r="J130" s="14">
        <v>22.398715972900391</v>
      </c>
      <c r="K130" s="14">
        <f t="shared" si="183"/>
        <v>2.0897759729003909</v>
      </c>
      <c r="L130" s="14">
        <f t="shared" si="178"/>
        <v>0.23491716328999926</v>
      </c>
      <c r="M130" s="14">
        <v>74.685684204101563</v>
      </c>
      <c r="N130" s="14"/>
      <c r="O130" s="13" t="s">
        <v>25</v>
      </c>
    </row>
    <row r="131" spans="2:15" x14ac:dyDescent="0.2">
      <c r="B131" s="15" t="s">
        <v>15</v>
      </c>
      <c r="C131" s="14" t="s">
        <v>130</v>
      </c>
      <c r="D131" s="14">
        <v>26.925670623779297</v>
      </c>
      <c r="E131" s="14">
        <f>D131-21.56802</f>
        <v>5.3576506237792962</v>
      </c>
      <c r="F131" s="14">
        <f t="shared" si="180"/>
        <v>2.43885767010435E-2</v>
      </c>
      <c r="G131" s="14">
        <v>76.477447509765625</v>
      </c>
      <c r="H131" s="14" t="s">
        <v>24</v>
      </c>
      <c r="I131" s="14" t="s">
        <v>25</v>
      </c>
      <c r="J131" s="14">
        <v>24.78169059753418</v>
      </c>
      <c r="K131" s="14">
        <f>J131-19.67965</f>
        <v>5.1020405975341809</v>
      </c>
      <c r="L131" s="14">
        <f t="shared" ref="L131:L142" si="184">POWER(2,-K131)</f>
        <v>2.9116069076130281E-2</v>
      </c>
      <c r="M131" s="14">
        <v>75.866973876953125</v>
      </c>
      <c r="N131" s="14"/>
      <c r="O131" s="13" t="s">
        <v>25</v>
      </c>
    </row>
    <row r="132" spans="2:15" x14ac:dyDescent="0.2">
      <c r="B132" s="15" t="s">
        <v>15</v>
      </c>
      <c r="C132" s="14" t="s">
        <v>130</v>
      </c>
      <c r="D132" s="14"/>
      <c r="E132" s="14"/>
      <c r="F132" s="14"/>
      <c r="G132" s="14"/>
      <c r="H132" s="14"/>
      <c r="I132" s="14" t="s">
        <v>25</v>
      </c>
      <c r="J132" s="14">
        <v>24.829622268676758</v>
      </c>
      <c r="K132" s="14">
        <f t="shared" ref="K132:K133" si="185">J132-19.67965</f>
        <v>5.1499722686767591</v>
      </c>
      <c r="L132" s="14">
        <f t="shared" si="184"/>
        <v>2.816461832853899E-2</v>
      </c>
      <c r="M132" s="14">
        <v>75.866973876953125</v>
      </c>
      <c r="N132" s="14"/>
      <c r="O132" s="13" t="s">
        <v>25</v>
      </c>
    </row>
    <row r="133" spans="2:15" x14ac:dyDescent="0.2">
      <c r="B133" s="15" t="s">
        <v>15</v>
      </c>
      <c r="C133" s="14" t="s">
        <v>130</v>
      </c>
      <c r="D133" s="14">
        <v>26.722993850708008</v>
      </c>
      <c r="E133" s="14">
        <f>D133-21.56802</f>
        <v>5.1549738507080072</v>
      </c>
      <c r="F133" s="14">
        <f t="shared" si="180"/>
        <v>2.8067145373667675E-2</v>
      </c>
      <c r="G133" s="14">
        <v>76.477447509765625</v>
      </c>
      <c r="H133" s="14" t="s">
        <v>24</v>
      </c>
      <c r="I133" s="14" t="s">
        <v>25</v>
      </c>
      <c r="J133" s="14">
        <v>24.879531860351563</v>
      </c>
      <c r="K133" s="14">
        <f t="shared" si="185"/>
        <v>5.1998818603515637</v>
      </c>
      <c r="L133" s="14">
        <f t="shared" si="184"/>
        <v>2.7206932937578473E-2</v>
      </c>
      <c r="M133" s="14">
        <v>75.866973876953125</v>
      </c>
      <c r="N133" s="14"/>
      <c r="O133" s="13" t="s">
        <v>25</v>
      </c>
    </row>
    <row r="134" spans="2:15" x14ac:dyDescent="0.2">
      <c r="B134" s="15" t="s">
        <v>108</v>
      </c>
      <c r="C134" s="14" t="s">
        <v>130</v>
      </c>
      <c r="D134" s="14">
        <v>26.931753158569336</v>
      </c>
      <c r="E134" s="14">
        <f>D134-21.35149</f>
        <v>5.5802631585693376</v>
      </c>
      <c r="F134" s="14">
        <f t="shared" si="180"/>
        <v>2.0901305138459031E-2</v>
      </c>
      <c r="G134" s="14">
        <v>76.327812194824219</v>
      </c>
      <c r="H134" s="14" t="s">
        <v>24</v>
      </c>
      <c r="I134" s="14" t="s">
        <v>25</v>
      </c>
      <c r="J134" s="14">
        <v>24.629291534423828</v>
      </c>
      <c r="K134" s="14">
        <f>J134-19.77521</f>
        <v>4.8540815344238268</v>
      </c>
      <c r="L134" s="14">
        <f t="shared" si="184"/>
        <v>3.4576088148984087E-2</v>
      </c>
      <c r="M134" s="14">
        <v>75.717742919921875</v>
      </c>
      <c r="N134" s="14"/>
      <c r="O134" s="13" t="s">
        <v>25</v>
      </c>
    </row>
    <row r="135" spans="2:15" x14ac:dyDescent="0.2">
      <c r="B135" s="15" t="s">
        <v>108</v>
      </c>
      <c r="C135" s="14" t="s">
        <v>130</v>
      </c>
      <c r="D135" s="14"/>
      <c r="E135" s="14"/>
      <c r="F135" s="14"/>
      <c r="G135" s="14"/>
      <c r="H135" s="14"/>
      <c r="I135" s="14" t="s">
        <v>25</v>
      </c>
      <c r="J135" s="14">
        <v>24.658578872680664</v>
      </c>
      <c r="K135" s="14">
        <f t="shared" ref="K135:K136" si="186">J135-19.77521</f>
        <v>4.8833688726806628</v>
      </c>
      <c r="L135" s="14">
        <f t="shared" si="184"/>
        <v>3.3881255055856242E-2</v>
      </c>
      <c r="M135" s="14">
        <v>75.717742919921875</v>
      </c>
      <c r="N135" s="14"/>
      <c r="O135" s="13" t="s">
        <v>25</v>
      </c>
    </row>
    <row r="136" spans="2:15" x14ac:dyDescent="0.2">
      <c r="B136" s="15" t="s">
        <v>108</v>
      </c>
      <c r="C136" s="14" t="s">
        <v>130</v>
      </c>
      <c r="D136" s="14">
        <v>26.953044891357422</v>
      </c>
      <c r="E136" s="14">
        <f>D136-21.35149</f>
        <v>5.6015548913574236</v>
      </c>
      <c r="F136" s="14">
        <f t="shared" si="180"/>
        <v>2.0595102386194754E-2</v>
      </c>
      <c r="G136" s="14">
        <v>76.329025268554688</v>
      </c>
      <c r="H136" s="14" t="s">
        <v>24</v>
      </c>
      <c r="I136" s="14" t="s">
        <v>25</v>
      </c>
      <c r="J136" s="14">
        <v>24.703767776489258</v>
      </c>
      <c r="K136" s="14">
        <f t="shared" si="186"/>
        <v>4.9285577764892565</v>
      </c>
      <c r="L136" s="14">
        <f t="shared" si="184"/>
        <v>3.2836455684613838E-2</v>
      </c>
      <c r="M136" s="14">
        <v>75.717742919921875</v>
      </c>
      <c r="N136" s="14"/>
      <c r="O136" s="13" t="s">
        <v>25</v>
      </c>
    </row>
    <row r="137" spans="2:15" x14ac:dyDescent="0.2">
      <c r="B137" s="15" t="s">
        <v>109</v>
      </c>
      <c r="C137" s="14" t="s">
        <v>130</v>
      </c>
      <c r="D137" s="14">
        <v>27.863746643066406</v>
      </c>
      <c r="E137" s="14">
        <f>D137-22.95798</f>
        <v>4.9057666430664071</v>
      </c>
      <c r="F137" s="14">
        <f t="shared" si="180"/>
        <v>3.3359312269508216E-2</v>
      </c>
      <c r="G137" s="14">
        <v>76.3282470703125</v>
      </c>
      <c r="H137" s="14" t="s">
        <v>24</v>
      </c>
      <c r="I137" s="14" t="s">
        <v>25</v>
      </c>
      <c r="J137" s="14">
        <v>25.40876579284668</v>
      </c>
      <c r="K137" s="14">
        <f>J137-20.69505</f>
        <v>4.7137157928466813</v>
      </c>
      <c r="L137" s="14">
        <f t="shared" si="184"/>
        <v>3.8109228368872074E-2</v>
      </c>
      <c r="M137" s="14">
        <v>75.878700256347656</v>
      </c>
      <c r="N137" s="14"/>
      <c r="O137" s="13" t="s">
        <v>25</v>
      </c>
    </row>
    <row r="138" spans="2:15" x14ac:dyDescent="0.2">
      <c r="B138" s="15" t="s">
        <v>109</v>
      </c>
      <c r="C138" s="14" t="s">
        <v>130</v>
      </c>
      <c r="D138" s="14"/>
      <c r="E138" s="14"/>
      <c r="F138" s="14"/>
      <c r="G138" s="14"/>
      <c r="H138" s="14"/>
      <c r="I138" s="14" t="s">
        <v>25</v>
      </c>
      <c r="J138" s="14">
        <v>25.446754455566406</v>
      </c>
      <c r="K138" s="14">
        <f t="shared" ref="K138:K139" si="187">J138-20.69505</f>
        <v>4.7517044555664079</v>
      </c>
      <c r="L138" s="14">
        <f t="shared" si="184"/>
        <v>3.7118842795881818E-2</v>
      </c>
      <c r="M138" s="14">
        <v>75.729568481445313</v>
      </c>
      <c r="N138" s="14"/>
      <c r="O138" s="13" t="s">
        <v>25</v>
      </c>
    </row>
    <row r="139" spans="2:15" x14ac:dyDescent="0.2">
      <c r="B139" s="15" t="s">
        <v>109</v>
      </c>
      <c r="C139" s="14" t="s">
        <v>130</v>
      </c>
      <c r="D139" s="14">
        <v>27.925083160400391</v>
      </c>
      <c r="E139" s="14">
        <f>D139-22.95798</f>
        <v>4.9671031604003915</v>
      </c>
      <c r="F139" s="14">
        <f t="shared" si="180"/>
        <v>3.1970759767396724E-2</v>
      </c>
      <c r="G139" s="14">
        <v>76.179183959960938</v>
      </c>
      <c r="H139" s="14" t="s">
        <v>24</v>
      </c>
      <c r="I139" s="14" t="s">
        <v>25</v>
      </c>
      <c r="J139" s="14">
        <v>25.478910446166992</v>
      </c>
      <c r="K139" s="14">
        <f t="shared" si="187"/>
        <v>4.7838604461669938</v>
      </c>
      <c r="L139" s="14">
        <f t="shared" si="184"/>
        <v>3.6300659114465145E-2</v>
      </c>
      <c r="M139" s="14">
        <v>75.729568481445313</v>
      </c>
      <c r="N139" s="14"/>
      <c r="O139" s="13" t="s">
        <v>25</v>
      </c>
    </row>
    <row r="140" spans="2:15" x14ac:dyDescent="0.2">
      <c r="B140" s="15" t="s">
        <v>13</v>
      </c>
      <c r="C140" s="14" t="s">
        <v>130</v>
      </c>
      <c r="D140" s="14">
        <v>30.670482635498047</v>
      </c>
      <c r="E140" s="14">
        <f>D140-25.29903</f>
        <v>5.3714526354980485</v>
      </c>
      <c r="F140" s="14">
        <f t="shared" si="180"/>
        <v>2.4156367964621724E-2</v>
      </c>
      <c r="G140" s="14">
        <v>76.325881958007813</v>
      </c>
      <c r="H140" s="14" t="s">
        <v>24</v>
      </c>
      <c r="I140" s="14" t="s">
        <v>25</v>
      </c>
      <c r="J140" s="14">
        <v>24.927556991577148</v>
      </c>
      <c r="K140" s="14">
        <f>J140-20.30894</f>
        <v>4.6186169915771487</v>
      </c>
      <c r="L140" s="14">
        <f t="shared" si="184"/>
        <v>4.070593615079595E-2</v>
      </c>
      <c r="M140" s="14">
        <v>75.729568481445313</v>
      </c>
      <c r="N140" s="14"/>
      <c r="O140" s="13" t="s">
        <v>25</v>
      </c>
    </row>
    <row r="141" spans="2:15" x14ac:dyDescent="0.2">
      <c r="B141" s="15" t="s">
        <v>13</v>
      </c>
      <c r="C141" s="14" t="s">
        <v>130</v>
      </c>
      <c r="D141" s="14"/>
      <c r="E141" s="14"/>
      <c r="F141" s="14"/>
      <c r="G141" s="14"/>
      <c r="H141" s="14"/>
      <c r="I141" s="14" t="s">
        <v>25</v>
      </c>
      <c r="J141" s="14">
        <v>25.179449081420898</v>
      </c>
      <c r="K141" s="14">
        <f t="shared" ref="K141:K142" si="188">J141-20.30894</f>
        <v>4.8705090814208987</v>
      </c>
      <c r="L141" s="14">
        <f t="shared" si="184"/>
        <v>3.4184613367712682E-2</v>
      </c>
      <c r="M141" s="14">
        <v>75.729568481445313</v>
      </c>
      <c r="N141" s="14"/>
      <c r="O141" s="13" t="s">
        <v>25</v>
      </c>
    </row>
    <row r="142" spans="2:15" x14ac:dyDescent="0.2">
      <c r="B142" s="15" t="s">
        <v>13</v>
      </c>
      <c r="C142" s="14" t="s">
        <v>130</v>
      </c>
      <c r="D142" s="14">
        <v>30.550313949584961</v>
      </c>
      <c r="E142" s="14">
        <f>D142-25.29903</f>
        <v>5.2512839495849626</v>
      </c>
      <c r="F142" s="14">
        <f t="shared" si="180"/>
        <v>2.6254636841193564E-2</v>
      </c>
      <c r="G142" s="14">
        <v>76.181678771972656</v>
      </c>
      <c r="H142" s="14" t="s">
        <v>24</v>
      </c>
      <c r="I142" s="14" t="s">
        <v>25</v>
      </c>
      <c r="J142" s="14">
        <v>25.138450622558594</v>
      </c>
      <c r="K142" s="14">
        <f t="shared" si="188"/>
        <v>4.829510622558594</v>
      </c>
      <c r="L142" s="14">
        <f t="shared" si="184"/>
        <v>3.5170005661858746E-2</v>
      </c>
      <c r="M142" s="14">
        <v>75.729568481445313</v>
      </c>
      <c r="N142" s="14"/>
      <c r="O142" s="13" t="s">
        <v>25</v>
      </c>
    </row>
    <row r="143" spans="2:15" x14ac:dyDescent="0.2">
      <c r="B143" s="15" t="s">
        <v>15</v>
      </c>
      <c r="C143" s="14" t="s">
        <v>12</v>
      </c>
      <c r="D143" s="14">
        <v>23.315719604492188</v>
      </c>
      <c r="E143" s="14">
        <f>D143-21.63184</f>
        <v>1.6838796044921871</v>
      </c>
      <c r="F143" s="14">
        <f>POWER(2,-E143)</f>
        <v>0.31124453168031052</v>
      </c>
      <c r="G143" s="14">
        <v>74.539962768554688</v>
      </c>
      <c r="H143" s="14"/>
      <c r="I143" s="14" t="s">
        <v>25</v>
      </c>
      <c r="J143" s="14">
        <v>20.591653823852539</v>
      </c>
      <c r="K143" s="14">
        <f>J143-19.67965</f>
        <v>0.91200382385254031</v>
      </c>
      <c r="L143" s="14">
        <f t="shared" ref="L143:L154" si="189">POWER(2,-K143)</f>
        <v>0.53144642858257973</v>
      </c>
      <c r="M143" s="14">
        <v>73.923141479492188</v>
      </c>
      <c r="N143" s="14"/>
      <c r="O143" s="13" t="s">
        <v>25</v>
      </c>
    </row>
    <row r="144" spans="2:15" x14ac:dyDescent="0.2">
      <c r="B144" s="15" t="s">
        <v>15</v>
      </c>
      <c r="C144" s="14" t="s">
        <v>12</v>
      </c>
      <c r="D144" s="14"/>
      <c r="E144" s="14"/>
      <c r="F144" s="14"/>
      <c r="G144" s="14"/>
      <c r="H144" s="14"/>
      <c r="I144" s="14" t="s">
        <v>25</v>
      </c>
      <c r="J144" s="14">
        <v>20.594526290893555</v>
      </c>
      <c r="K144" s="14">
        <f t="shared" ref="K144:K145" si="190">J144-19.67965</f>
        <v>0.91487629089355593</v>
      </c>
      <c r="L144" s="14">
        <f t="shared" si="189"/>
        <v>0.53038934888808409</v>
      </c>
      <c r="M144" s="14">
        <v>73.773910522460938</v>
      </c>
      <c r="N144" s="14"/>
      <c r="O144" s="13" t="s">
        <v>25</v>
      </c>
    </row>
    <row r="145" spans="2:15" x14ac:dyDescent="0.2">
      <c r="B145" s="15" t="s">
        <v>15</v>
      </c>
      <c r="C145" s="14" t="s">
        <v>12</v>
      </c>
      <c r="D145" s="14">
        <v>23.346109390258789</v>
      </c>
      <c r="E145" s="14">
        <f>D145-21.63184</f>
        <v>1.7142693902587887</v>
      </c>
      <c r="F145" s="14">
        <f t="shared" ref="F145:F152" si="191">POWER(2,-E145)</f>
        <v>0.30475686184125117</v>
      </c>
      <c r="G145" s="14">
        <v>74.539962768554688</v>
      </c>
      <c r="H145" s="14"/>
      <c r="I145" s="14" t="s">
        <v>25</v>
      </c>
      <c r="J145" s="14">
        <v>20.581199645996094</v>
      </c>
      <c r="K145" s="14">
        <f t="shared" si="190"/>
        <v>0.90154964599609499</v>
      </c>
      <c r="L145" s="14">
        <f t="shared" si="189"/>
        <v>0.53531142681015598</v>
      </c>
      <c r="M145" s="14">
        <v>73.923141479492188</v>
      </c>
      <c r="N145" s="14"/>
      <c r="O145" s="13" t="s">
        <v>25</v>
      </c>
    </row>
    <row r="146" spans="2:15" x14ac:dyDescent="0.2">
      <c r="B146" s="15" t="s">
        <v>108</v>
      </c>
      <c r="C146" s="14" t="s">
        <v>12</v>
      </c>
      <c r="D146" s="14">
        <v>23.518653869628906</v>
      </c>
      <c r="E146" s="14">
        <f>D146-21.52259</f>
        <v>1.9960638696289053</v>
      </c>
      <c r="F146" s="14">
        <f t="shared" si="191"/>
        <v>0.25068301072870164</v>
      </c>
      <c r="G146" s="14">
        <v>74.387939453125</v>
      </c>
      <c r="H146" s="14"/>
      <c r="I146" s="14" t="s">
        <v>25</v>
      </c>
      <c r="J146" s="14">
        <v>20.470626831054688</v>
      </c>
      <c r="K146" s="14">
        <f>J146-19.77521</f>
        <v>0.69541683105468621</v>
      </c>
      <c r="L146" s="14">
        <f t="shared" si="189"/>
        <v>0.61753087251164429</v>
      </c>
      <c r="M146" s="14">
        <v>73.475448608398438</v>
      </c>
      <c r="N146" s="14"/>
      <c r="O146" s="13" t="s">
        <v>25</v>
      </c>
    </row>
    <row r="147" spans="2:15" x14ac:dyDescent="0.2">
      <c r="B147" s="15" t="s">
        <v>108</v>
      </c>
      <c r="C147" s="14" t="s">
        <v>12</v>
      </c>
      <c r="D147" s="14"/>
      <c r="E147" s="14"/>
      <c r="F147" s="14"/>
      <c r="G147" s="14"/>
      <c r="H147" s="14"/>
      <c r="I147" s="14" t="s">
        <v>25</v>
      </c>
      <c r="J147" s="14">
        <v>20.493309020996094</v>
      </c>
      <c r="K147" s="14">
        <f t="shared" ref="K147:K148" si="192">J147-19.77521</f>
        <v>0.71809902099609246</v>
      </c>
      <c r="L147" s="14">
        <f t="shared" si="189"/>
        <v>0.60789791640271096</v>
      </c>
      <c r="M147" s="14">
        <v>73.624679565429688</v>
      </c>
      <c r="N147" s="14"/>
      <c r="O147" s="13" t="s">
        <v>25</v>
      </c>
    </row>
    <row r="148" spans="2:15" x14ac:dyDescent="0.2">
      <c r="B148" s="15" t="s">
        <v>108</v>
      </c>
      <c r="C148" s="14" t="s">
        <v>12</v>
      </c>
      <c r="D148" s="14">
        <v>23.481357574462891</v>
      </c>
      <c r="E148" s="14">
        <f>D148-21.52259</f>
        <v>1.9587675744628896</v>
      </c>
      <c r="F148" s="14">
        <f t="shared" si="191"/>
        <v>0.25724811762034455</v>
      </c>
      <c r="G148" s="14">
        <v>74.387962341308594</v>
      </c>
      <c r="H148" s="14"/>
      <c r="I148" s="14" t="s">
        <v>25</v>
      </c>
      <c r="J148" s="14">
        <v>20.543594360351563</v>
      </c>
      <c r="K148" s="14">
        <f t="shared" si="192"/>
        <v>0.76838436035156121</v>
      </c>
      <c r="L148" s="14">
        <f t="shared" si="189"/>
        <v>0.58707455736805281</v>
      </c>
      <c r="M148" s="14">
        <v>73.475448608398438</v>
      </c>
      <c r="N148" s="14"/>
      <c r="O148" s="13" t="s">
        <v>25</v>
      </c>
    </row>
    <row r="149" spans="2:15" x14ac:dyDescent="0.2">
      <c r="B149" s="15" t="s">
        <v>109</v>
      </c>
      <c r="C149" s="14" t="s">
        <v>12</v>
      </c>
      <c r="D149" s="14">
        <v>23.715675354003906</v>
      </c>
      <c r="E149" s="14">
        <f>D149-23.47723</f>
        <v>0.23844535400390754</v>
      </c>
      <c r="F149" s="14">
        <f t="shared" si="191"/>
        <v>0.84765825563646557</v>
      </c>
      <c r="G149" s="14">
        <v>74.091705322265625</v>
      </c>
      <c r="H149" s="14"/>
      <c r="I149" s="14" t="s">
        <v>25</v>
      </c>
      <c r="J149" s="14">
        <v>21.841686248779297</v>
      </c>
      <c r="K149" s="14">
        <f>J149-20.69505</f>
        <v>1.1466362487792985</v>
      </c>
      <c r="L149" s="14">
        <f t="shared" si="189"/>
        <v>0.45167712348858241</v>
      </c>
      <c r="M149" s="14">
        <v>74.088752746582031</v>
      </c>
      <c r="N149" s="14"/>
      <c r="O149" s="13" t="s">
        <v>25</v>
      </c>
    </row>
    <row r="150" spans="2:15" x14ac:dyDescent="0.2">
      <c r="B150" s="15" t="s">
        <v>109</v>
      </c>
      <c r="C150" s="14" t="s">
        <v>12</v>
      </c>
      <c r="D150" s="14"/>
      <c r="E150" s="14"/>
      <c r="F150" s="14"/>
      <c r="G150" s="14"/>
      <c r="H150" s="14"/>
      <c r="I150" s="14" t="s">
        <v>25</v>
      </c>
      <c r="J150" s="14">
        <v>21.834356307983398</v>
      </c>
      <c r="K150" s="14">
        <f t="shared" ref="K150:K151" si="193">J150-20.69505</f>
        <v>1.1393063079834</v>
      </c>
      <c r="L150" s="14">
        <f t="shared" si="189"/>
        <v>0.45397781164086626</v>
      </c>
      <c r="M150" s="14">
        <v>73.939605712890625</v>
      </c>
      <c r="N150" s="14"/>
      <c r="O150" s="13" t="s">
        <v>25</v>
      </c>
    </row>
    <row r="151" spans="2:15" x14ac:dyDescent="0.2">
      <c r="B151" s="15" t="s">
        <v>109</v>
      </c>
      <c r="C151" s="14" t="s">
        <v>12</v>
      </c>
      <c r="D151" s="14">
        <v>23.616012573242188</v>
      </c>
      <c r="E151" s="14">
        <f>D151-23.47723</f>
        <v>0.13878257324218879</v>
      </c>
      <c r="F151" s="14">
        <f t="shared" si="191"/>
        <v>0.90828529394301349</v>
      </c>
      <c r="G151" s="14">
        <v>74.091705322265625</v>
      </c>
      <c r="H151" s="14"/>
      <c r="I151" s="14" t="s">
        <v>25</v>
      </c>
      <c r="J151" s="14">
        <v>21.899921417236328</v>
      </c>
      <c r="K151" s="14">
        <f t="shared" si="193"/>
        <v>1.2048714172363297</v>
      </c>
      <c r="L151" s="14">
        <f t="shared" si="189"/>
        <v>0.43380800576382844</v>
      </c>
      <c r="M151" s="14">
        <v>73.939605712890625</v>
      </c>
      <c r="N151" s="14"/>
      <c r="O151" s="13" t="s">
        <v>25</v>
      </c>
    </row>
    <row r="152" spans="2:15" x14ac:dyDescent="0.2">
      <c r="B152" s="15" t="s">
        <v>13</v>
      </c>
      <c r="C152" s="14" t="s">
        <v>12</v>
      </c>
      <c r="D152" s="14">
        <v>26.574823379516602</v>
      </c>
      <c r="E152" s="14">
        <f>D152-25.57018</f>
        <v>1.004643379516601</v>
      </c>
      <c r="F152" s="14">
        <f t="shared" si="191"/>
        <v>0.49839331427237016</v>
      </c>
      <c r="G152" s="14">
        <v>74.536300659179688</v>
      </c>
      <c r="H152" s="14"/>
      <c r="I152" s="14" t="s">
        <v>25</v>
      </c>
      <c r="J152" s="14">
        <v>21.474899291992188</v>
      </c>
      <c r="K152" s="14">
        <f>J152-20.30894</f>
        <v>1.1659592919921877</v>
      </c>
      <c r="L152" s="14">
        <f t="shared" si="189"/>
        <v>0.44566782301996827</v>
      </c>
      <c r="M152" s="14">
        <v>73.939605712890625</v>
      </c>
      <c r="N152" s="14"/>
      <c r="O152" s="13" t="s">
        <v>25</v>
      </c>
    </row>
    <row r="153" spans="2:15" x14ac:dyDescent="0.2">
      <c r="B153" s="15" t="s">
        <v>13</v>
      </c>
      <c r="C153" s="14" t="s">
        <v>12</v>
      </c>
      <c r="D153" s="14"/>
      <c r="E153" s="14"/>
      <c r="F153" s="14"/>
      <c r="G153" s="14"/>
      <c r="H153" s="14"/>
      <c r="I153" s="14" t="s">
        <v>25</v>
      </c>
      <c r="J153" s="14">
        <v>21.521591186523438</v>
      </c>
      <c r="K153" s="14">
        <f t="shared" ref="K153:K154" si="194">J153-20.30894</f>
        <v>1.2126511865234377</v>
      </c>
      <c r="L153" s="14">
        <f t="shared" si="189"/>
        <v>0.43147498128402884</v>
      </c>
      <c r="M153" s="14">
        <v>73.79046630859375</v>
      </c>
      <c r="N153" s="14"/>
      <c r="O153" s="13" t="s">
        <v>25</v>
      </c>
    </row>
    <row r="154" spans="2:15" ht="13.5" thickBot="1" x14ac:dyDescent="0.25">
      <c r="B154" s="12" t="s">
        <v>13</v>
      </c>
      <c r="C154" s="11" t="s">
        <v>12</v>
      </c>
      <c r="D154" s="11">
        <v>26.304759979248047</v>
      </c>
      <c r="E154" s="11">
        <f>D154-25.57018</f>
        <v>0.7345799792480463</v>
      </c>
      <c r="F154" s="11">
        <f>POWER(2,-E154)</f>
        <v>0.60099297010526787</v>
      </c>
      <c r="G154" s="11">
        <v>74.238990783691406</v>
      </c>
      <c r="H154" s="11"/>
      <c r="I154" s="11" t="s">
        <v>25</v>
      </c>
      <c r="J154" s="11">
        <v>21.552532196044922</v>
      </c>
      <c r="K154" s="11">
        <f t="shared" si="194"/>
        <v>1.2435921960449221</v>
      </c>
      <c r="L154" s="11">
        <f t="shared" si="189"/>
        <v>0.4223198032039463</v>
      </c>
      <c r="M154" s="11">
        <v>73.79046630859375</v>
      </c>
      <c r="N154" s="11"/>
      <c r="O154" s="10" t="s">
        <v>25</v>
      </c>
    </row>
  </sheetData>
  <pageMargins left="0.75" right="0.75" top="1" bottom="1" header="0.5" footer="0.5"/>
  <pageSetup orientation="portrait" horizontalDpi="300" verticalDpi="300"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BE154"/>
  <sheetViews>
    <sheetView workbookViewId="0">
      <selection activeCell="M9" sqref="M9:O154"/>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2" spans="1:57" x14ac:dyDescent="0.2">
      <c r="G2" s="27"/>
      <c r="H2" s="17"/>
      <c r="I2" s="17"/>
      <c r="J2" s="17"/>
      <c r="K2" s="17"/>
      <c r="L2" s="17"/>
      <c r="M2" s="17"/>
      <c r="N2" s="17"/>
      <c r="O2" s="17"/>
      <c r="P2" s="17"/>
      <c r="Q2" s="17"/>
      <c r="R2" s="17"/>
      <c r="S2" s="17"/>
    </row>
    <row r="3" spans="1:57" x14ac:dyDescent="0.2">
      <c r="G3" s="17"/>
      <c r="H3" s="17"/>
      <c r="I3" s="17"/>
      <c r="J3" s="17"/>
      <c r="K3" s="27"/>
      <c r="L3" s="17"/>
      <c r="M3" s="17"/>
      <c r="N3" s="17"/>
      <c r="O3" s="27"/>
      <c r="P3" s="17"/>
      <c r="Q3" s="17"/>
      <c r="R3" s="17"/>
      <c r="S3" s="27"/>
    </row>
    <row r="4" spans="1:57" x14ac:dyDescent="0.2">
      <c r="G4" s="14"/>
      <c r="H4" s="14"/>
      <c r="I4" s="14"/>
      <c r="J4" s="14"/>
      <c r="K4" s="14"/>
      <c r="L4" s="14"/>
      <c r="M4" s="14"/>
      <c r="N4" s="14"/>
      <c r="O4" s="14"/>
      <c r="P4" s="14"/>
      <c r="Q4" s="14"/>
      <c r="R4" s="14"/>
      <c r="S4" s="14"/>
    </row>
    <row r="5" spans="1:57" x14ac:dyDescent="0.2">
      <c r="G5" s="14"/>
      <c r="H5" s="14"/>
      <c r="I5" s="14"/>
      <c r="J5" s="14"/>
      <c r="K5" s="14"/>
      <c r="L5" s="14"/>
      <c r="M5" s="14"/>
      <c r="N5" s="14"/>
      <c r="O5" s="14"/>
      <c r="P5" s="14"/>
      <c r="Q5" s="14"/>
      <c r="R5" s="14"/>
      <c r="S5" s="14"/>
    </row>
    <row r="6" spans="1:57" x14ac:dyDescent="0.2">
      <c r="G6" s="14"/>
      <c r="H6" s="14"/>
      <c r="I6" s="14"/>
      <c r="J6" s="14"/>
      <c r="K6" s="14"/>
      <c r="L6" s="14"/>
      <c r="M6" s="14"/>
      <c r="N6" s="14"/>
      <c r="O6" s="14"/>
      <c r="P6" s="14"/>
      <c r="Q6" s="14"/>
      <c r="R6" s="14"/>
      <c r="S6" s="14"/>
    </row>
    <row r="7" spans="1:57" x14ac:dyDescent="0.2">
      <c r="G7" s="14"/>
      <c r="H7" s="14"/>
      <c r="I7" s="14"/>
      <c r="J7" s="14"/>
      <c r="K7" s="14"/>
      <c r="L7" s="14"/>
      <c r="M7" s="14"/>
      <c r="N7" s="14"/>
      <c r="O7" s="14"/>
      <c r="P7" s="14"/>
      <c r="Q7" s="14"/>
      <c r="R7" s="14"/>
      <c r="S7" s="14"/>
    </row>
    <row r="8" spans="1:57" ht="13.5" thickBot="1" x14ac:dyDescent="0.25">
      <c r="G8" s="14"/>
      <c r="H8" s="14"/>
      <c r="I8" s="14"/>
      <c r="J8" s="14"/>
      <c r="K8" s="14"/>
      <c r="L8" s="14"/>
      <c r="M8" s="14"/>
      <c r="N8" s="14"/>
      <c r="O8" s="14"/>
      <c r="P8" s="14"/>
      <c r="Q8" s="14"/>
      <c r="R8" s="14"/>
      <c r="S8" s="14"/>
    </row>
    <row r="9" spans="1:57" ht="15" x14ac:dyDescent="0.25">
      <c r="A9" s="14"/>
      <c r="B9" s="22"/>
      <c r="C9" s="21"/>
      <c r="D9" s="29" t="s">
        <v>138</v>
      </c>
      <c r="E9" s="21"/>
      <c r="F9" s="21"/>
      <c r="G9" s="21"/>
      <c r="H9" s="21"/>
      <c r="I9" s="21"/>
      <c r="J9" s="21" t="s">
        <v>137</v>
      </c>
      <c r="K9" s="21"/>
      <c r="L9" s="21"/>
      <c r="M9" s="21"/>
      <c r="N9" s="21"/>
      <c r="O9" s="20"/>
      <c r="R9" s="17"/>
      <c r="S9" s="22" t="s">
        <v>143</v>
      </c>
      <c r="T9" s="21"/>
      <c r="U9" s="21"/>
      <c r="V9" s="21"/>
      <c r="W9" s="21"/>
      <c r="X9" s="21"/>
      <c r="Y9" s="21"/>
      <c r="Z9" s="21"/>
      <c r="AA9" s="21"/>
      <c r="AB9" s="21"/>
      <c r="AC9" s="21"/>
      <c r="AD9" s="24"/>
      <c r="AE9" s="24"/>
      <c r="AF9" s="24"/>
      <c r="AG9" s="24"/>
      <c r="AH9" s="24"/>
      <c r="AI9" s="24"/>
      <c r="AJ9" s="24"/>
      <c r="AK9" s="24"/>
      <c r="AL9" s="21"/>
      <c r="AM9" s="21"/>
      <c r="AN9" s="21"/>
      <c r="AO9" s="24"/>
      <c r="AP9" s="24"/>
      <c r="AQ9" s="24"/>
      <c r="AR9" s="24"/>
      <c r="AS9" s="24"/>
      <c r="AT9" s="24"/>
      <c r="AU9" s="24"/>
      <c r="AV9" s="24"/>
      <c r="AW9" s="24"/>
      <c r="AX9" s="24"/>
      <c r="AY9" s="24"/>
      <c r="AZ9" s="24"/>
      <c r="BA9" s="24"/>
      <c r="BB9" s="24"/>
      <c r="BC9" s="24"/>
      <c r="BD9" s="23"/>
    </row>
    <row r="10" spans="1:57" x14ac:dyDescent="0.2">
      <c r="A10" s="18"/>
      <c r="B10" s="18"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142</v>
      </c>
      <c r="W10" s="17" t="s">
        <v>133</v>
      </c>
      <c r="X10" s="17" t="s">
        <v>37</v>
      </c>
      <c r="Y10" s="17" t="s">
        <v>142</v>
      </c>
      <c r="Z10" s="17" t="s">
        <v>133</v>
      </c>
      <c r="AA10" s="17" t="s">
        <v>49</v>
      </c>
      <c r="AB10" s="17" t="s">
        <v>142</v>
      </c>
      <c r="AC10" s="17" t="s">
        <v>133</v>
      </c>
      <c r="AD10" s="17" t="s">
        <v>5</v>
      </c>
      <c r="AE10" s="17" t="s">
        <v>142</v>
      </c>
      <c r="AF10" s="17" t="s">
        <v>133</v>
      </c>
      <c r="AG10" s="17" t="s">
        <v>6</v>
      </c>
      <c r="AH10" s="17" t="s">
        <v>142</v>
      </c>
      <c r="AI10" s="17" t="s">
        <v>133</v>
      </c>
      <c r="AJ10" s="17" t="s">
        <v>7</v>
      </c>
      <c r="AK10" s="17" t="s">
        <v>142</v>
      </c>
      <c r="AL10" s="17" t="s">
        <v>133</v>
      </c>
      <c r="AM10" s="17" t="s">
        <v>8</v>
      </c>
      <c r="AN10" s="17" t="s">
        <v>142</v>
      </c>
      <c r="AO10" s="17" t="s">
        <v>133</v>
      </c>
      <c r="AP10" s="17" t="s">
        <v>9</v>
      </c>
      <c r="AQ10" s="17" t="s">
        <v>142</v>
      </c>
      <c r="AR10" s="17" t="s">
        <v>133</v>
      </c>
      <c r="AS10" s="17" t="s">
        <v>10</v>
      </c>
      <c r="AT10" s="17" t="s">
        <v>142</v>
      </c>
      <c r="AU10" s="17" t="s">
        <v>133</v>
      </c>
      <c r="AV10" s="17" t="s">
        <v>11</v>
      </c>
      <c r="AW10" s="17" t="s">
        <v>142</v>
      </c>
      <c r="AX10" s="17" t="s">
        <v>133</v>
      </c>
      <c r="AY10" s="17" t="s">
        <v>130</v>
      </c>
      <c r="AZ10" s="17" t="s">
        <v>142</v>
      </c>
      <c r="BA10" s="17" t="s">
        <v>133</v>
      </c>
      <c r="BB10" s="17" t="s">
        <v>12</v>
      </c>
      <c r="BC10" s="17" t="s">
        <v>142</v>
      </c>
      <c r="BD10" s="19" t="s">
        <v>133</v>
      </c>
      <c r="BE10" s="16"/>
    </row>
    <row r="11" spans="1:57" x14ac:dyDescent="0.2">
      <c r="A11" s="15"/>
      <c r="B11" s="15" t="s">
        <v>126</v>
      </c>
      <c r="C11" s="14" t="s">
        <v>3</v>
      </c>
      <c r="D11" s="14">
        <v>22.398378372192383</v>
      </c>
      <c r="E11" s="14">
        <f>D11-24.87718</f>
        <v>-2.4788016278076164</v>
      </c>
      <c r="F11" s="14">
        <f>POWER(2,-E11)</f>
        <v>5.5743424236924985</v>
      </c>
      <c r="G11" s="14">
        <v>79.165176391601563</v>
      </c>
      <c r="H11" s="14" t="s">
        <v>24</v>
      </c>
      <c r="I11" s="14" t="s">
        <v>25</v>
      </c>
      <c r="J11" s="14">
        <v>16.7701416015625</v>
      </c>
      <c r="K11" s="14">
        <f>J11-19.36165</f>
        <v>-2.5915083984375009</v>
      </c>
      <c r="L11" s="14">
        <f>POWER(2,-K11)</f>
        <v>6.0272854772639803</v>
      </c>
      <c r="M11" s="14">
        <v>78.706932067871094</v>
      </c>
      <c r="N11" s="14" t="s">
        <v>24</v>
      </c>
      <c r="O11" s="13" t="s">
        <v>25</v>
      </c>
      <c r="R11" s="14"/>
      <c r="S11" s="15"/>
      <c r="T11" s="14" t="s">
        <v>117</v>
      </c>
      <c r="U11" s="14">
        <v>5.5743424236924985</v>
      </c>
      <c r="V11" s="14">
        <f>U11/U11</f>
        <v>1</v>
      </c>
      <c r="W11" s="14">
        <f>AVERAGE(V11:V16)</f>
        <v>1</v>
      </c>
      <c r="X11" s="14">
        <v>0.23656444347339128</v>
      </c>
      <c r="Y11" s="14">
        <f>X11/X11</f>
        <v>1</v>
      </c>
      <c r="Z11" s="14">
        <f>AVERAGE(Y11:Y16)</f>
        <v>1</v>
      </c>
      <c r="AA11" s="14">
        <v>0.14255969280850947</v>
      </c>
      <c r="AB11" s="14">
        <f>AA11/AA11</f>
        <v>1</v>
      </c>
      <c r="AC11" s="14">
        <f>AVERAGE(AB11:AB16)</f>
        <v>1</v>
      </c>
      <c r="AD11" s="14">
        <v>2.3481546118704649E-2</v>
      </c>
      <c r="AE11" s="14">
        <f>AD11/AD11</f>
        <v>1</v>
      </c>
      <c r="AF11" s="14">
        <f>AVERAGE(AE11:AE16)</f>
        <v>1</v>
      </c>
      <c r="AG11" s="14">
        <v>0.35328003756403586</v>
      </c>
      <c r="AH11" s="14">
        <f>AG11/AG11</f>
        <v>1</v>
      </c>
      <c r="AI11" s="14">
        <f>AVERAGE(AH11:AH16)</f>
        <v>1</v>
      </c>
      <c r="AJ11" s="14">
        <v>2.7507139692020677E-2</v>
      </c>
      <c r="AK11" s="14">
        <f>AJ11/AJ11</f>
        <v>1</v>
      </c>
      <c r="AL11" s="14">
        <f>AVERAGE(AK11:AK16)</f>
        <v>1</v>
      </c>
      <c r="AM11" s="14">
        <v>1.0268345466432531</v>
      </c>
      <c r="AN11" s="14">
        <f>AM11/AM11</f>
        <v>1</v>
      </c>
      <c r="AO11" s="14">
        <f>AVERAGE(AN11:AN16)</f>
        <v>1</v>
      </c>
      <c r="AP11" s="14">
        <v>0.19701449930204828</v>
      </c>
      <c r="AQ11" s="14">
        <f>AP11/AP11</f>
        <v>1</v>
      </c>
      <c r="AR11" s="14">
        <f>AVERAGE(AQ11:AQ16)</f>
        <v>1</v>
      </c>
      <c r="AS11" s="14">
        <v>7.1627191982213206E-2</v>
      </c>
      <c r="AT11" s="14">
        <f>AS11/AS11</f>
        <v>1</v>
      </c>
      <c r="AU11" s="14">
        <f>AVERAGE(AT11:AT16)</f>
        <v>1</v>
      </c>
      <c r="AV11" s="14">
        <v>0.25603681298472297</v>
      </c>
      <c r="AW11" s="14">
        <f>AV11/AV11</f>
        <v>1</v>
      </c>
      <c r="AX11" s="14">
        <f>AVERAGE(AW11:AW16)</f>
        <v>1</v>
      </c>
      <c r="AY11" s="14">
        <v>2.1818077662858096E-2</v>
      </c>
      <c r="AZ11" s="14">
        <f>AY11/AY11</f>
        <v>1</v>
      </c>
      <c r="BA11" s="14">
        <f>AVERAGE(AZ11:AZ16)</f>
        <v>1</v>
      </c>
      <c r="BB11" s="14">
        <v>0.19381499111250849</v>
      </c>
      <c r="BC11" s="14">
        <f>BB11/BB11</f>
        <v>1</v>
      </c>
      <c r="BD11" s="13">
        <f>AVERAGE(BC11:BC16)</f>
        <v>1</v>
      </c>
    </row>
    <row r="12" spans="1:57" x14ac:dyDescent="0.2">
      <c r="A12" s="15"/>
      <c r="B12" s="15" t="s">
        <v>126</v>
      </c>
      <c r="C12" s="14" t="s">
        <v>3</v>
      </c>
      <c r="D12" s="14">
        <v>22.421035766601563</v>
      </c>
      <c r="E12" s="14">
        <f t="shared" ref="E12:E13" si="0">D12-24.87718</f>
        <v>-2.4561442333984367</v>
      </c>
      <c r="F12" s="14">
        <f t="shared" ref="F12:F46" si="1">POWER(2,-E12)</f>
        <v>5.4874817377807723</v>
      </c>
      <c r="G12" s="14">
        <v>79.165176391601563</v>
      </c>
      <c r="H12" s="14" t="s">
        <v>24</v>
      </c>
      <c r="I12" s="14" t="s">
        <v>25</v>
      </c>
      <c r="J12" s="14">
        <v>16.701961517333984</v>
      </c>
      <c r="K12" s="14">
        <f t="shared" ref="K12:K13" si="2">J12-19.36165</f>
        <v>-2.6596884826660165</v>
      </c>
      <c r="L12" s="14">
        <f t="shared" ref="L12:L52" si="3">POWER(2,-K12)</f>
        <v>6.3189659099488038</v>
      </c>
      <c r="M12" s="14">
        <v>78.706932067871094</v>
      </c>
      <c r="N12" s="14" t="s">
        <v>24</v>
      </c>
      <c r="O12" s="13" t="s">
        <v>25</v>
      </c>
      <c r="R12" s="14"/>
      <c r="S12" s="15"/>
      <c r="T12" s="14" t="s">
        <v>117</v>
      </c>
      <c r="U12" s="14">
        <v>5.4874817377807723</v>
      </c>
      <c r="V12" s="14">
        <f t="shared" ref="V12:V16" si="4">U12/U12</f>
        <v>1</v>
      </c>
      <c r="W12" s="14">
        <f>STDEV(V11:V16)</f>
        <v>0</v>
      </c>
      <c r="X12" s="14">
        <v>0.26999056326524873</v>
      </c>
      <c r="Y12" s="14">
        <f t="shared" ref="Y12:Y16" si="5">X12/X12</f>
        <v>1</v>
      </c>
      <c r="Z12" s="14">
        <f>STDEV(Y11:Y16)</f>
        <v>0</v>
      </c>
      <c r="AA12" s="14">
        <v>0.12551699669951399</v>
      </c>
      <c r="AB12" s="14">
        <f t="shared" ref="AB12:AB16" si="6">AA12/AA12</f>
        <v>1</v>
      </c>
      <c r="AC12" s="14">
        <f>STDEV(AB11:AB16)</f>
        <v>0</v>
      </c>
      <c r="AD12" s="14">
        <v>2.1890984488918776E-2</v>
      </c>
      <c r="AE12" s="14">
        <f t="shared" ref="AE12:AE16" si="7">AD12/AD12</f>
        <v>1</v>
      </c>
      <c r="AF12" s="14">
        <f>STDEV(AE11:AE16)</f>
        <v>0</v>
      </c>
      <c r="AG12" s="14">
        <v>0.25735163108280529</v>
      </c>
      <c r="AH12" s="14">
        <f t="shared" ref="AH12:AH16" si="8">AG12/AG12</f>
        <v>1</v>
      </c>
      <c r="AI12" s="14">
        <f>STDEV(AH11:AH16)</f>
        <v>0</v>
      </c>
      <c r="AJ12" s="14">
        <v>1.0236344670800417E-2</v>
      </c>
      <c r="AK12" s="14">
        <f t="shared" ref="AK12:AK16" si="9">AJ12/AJ12</f>
        <v>1</v>
      </c>
      <c r="AL12" s="14">
        <f>STDEV(AK11:AK16)</f>
        <v>0</v>
      </c>
      <c r="AM12" s="14">
        <v>1.0433640309910395</v>
      </c>
      <c r="AN12" s="14">
        <f t="shared" ref="AN12:AN16" si="10">AM12/AM12</f>
        <v>1</v>
      </c>
      <c r="AO12" s="14">
        <f>STDEV(AN11:AN16)</f>
        <v>0</v>
      </c>
      <c r="AP12" s="14">
        <v>0.18933412797325172</v>
      </c>
      <c r="AQ12" s="14">
        <f t="shared" ref="AQ12:AQ16" si="11">AP12/AP12</f>
        <v>1</v>
      </c>
      <c r="AR12" s="14">
        <f>STDEV(AQ11:AQ16)</f>
        <v>0</v>
      </c>
      <c r="AS12" s="14">
        <v>6.7350998074762594E-2</v>
      </c>
      <c r="AT12" s="14">
        <f t="shared" ref="AT12:AT16" si="12">AS12/AS12</f>
        <v>1</v>
      </c>
      <c r="AU12" s="14">
        <f>STDEV(AT11:AT16)</f>
        <v>0</v>
      </c>
      <c r="AV12" s="14">
        <v>0.22856151236870867</v>
      </c>
      <c r="AW12" s="14">
        <f t="shared" ref="AW12:AW16" si="13">AV12/AV12</f>
        <v>1</v>
      </c>
      <c r="AX12" s="14">
        <f>STDEV(AW11:AW16)</f>
        <v>0</v>
      </c>
      <c r="AY12" s="14">
        <v>2.1958222656512382E-2</v>
      </c>
      <c r="AZ12" s="14">
        <f t="shared" ref="AZ12:AZ16" si="14">AY12/AY12</f>
        <v>1</v>
      </c>
      <c r="BA12" s="14">
        <f>STDEV(AZ11:AZ16)</f>
        <v>0</v>
      </c>
      <c r="BB12" s="14">
        <v>0.18843998685929458</v>
      </c>
      <c r="BC12" s="14">
        <f t="shared" ref="BC12:BC16" si="15">BB12/BB12</f>
        <v>1</v>
      </c>
      <c r="BD12" s="13">
        <f>STDEV(BC11:BC16)</f>
        <v>0</v>
      </c>
    </row>
    <row r="13" spans="1:57" x14ac:dyDescent="0.2">
      <c r="A13" s="15"/>
      <c r="B13" s="15" t="s">
        <v>126</v>
      </c>
      <c r="C13" s="14" t="s">
        <v>3</v>
      </c>
      <c r="D13" s="14">
        <v>22.377870559692383</v>
      </c>
      <c r="E13" s="14">
        <f t="shared" si="0"/>
        <v>-2.4993094403076164</v>
      </c>
      <c r="F13" s="14">
        <f t="shared" si="1"/>
        <v>5.654147190375812</v>
      </c>
      <c r="G13" s="14">
        <v>79.012405395507813</v>
      </c>
      <c r="H13" s="14" t="s">
        <v>24</v>
      </c>
      <c r="I13" s="14" t="s">
        <v>25</v>
      </c>
      <c r="J13" s="14">
        <v>16.67750358581543</v>
      </c>
      <c r="K13" s="14">
        <f t="shared" si="2"/>
        <v>-2.6841464141845712</v>
      </c>
      <c r="L13" s="14">
        <f t="shared" si="3"/>
        <v>6.4270041956303503</v>
      </c>
      <c r="M13" s="14">
        <v>78.556404113769531</v>
      </c>
      <c r="N13" s="14" t="s">
        <v>24</v>
      </c>
      <c r="O13" s="13" t="s">
        <v>25</v>
      </c>
      <c r="R13" s="14"/>
      <c r="S13" s="15"/>
      <c r="T13" s="14" t="s">
        <v>117</v>
      </c>
      <c r="U13" s="14">
        <v>5.654147190375812</v>
      </c>
      <c r="V13" s="14">
        <f t="shared" si="4"/>
        <v>1</v>
      </c>
      <c r="W13" s="14"/>
      <c r="X13" s="14">
        <v>0.23876357832051373</v>
      </c>
      <c r="Y13" s="14">
        <f t="shared" si="5"/>
        <v>1</v>
      </c>
      <c r="Z13" s="14"/>
      <c r="AA13" s="14">
        <v>0.13025545679795927</v>
      </c>
      <c r="AB13" s="14">
        <f t="shared" si="6"/>
        <v>1</v>
      </c>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3"/>
    </row>
    <row r="14" spans="1:57" x14ac:dyDescent="0.2">
      <c r="A14" s="15"/>
      <c r="B14" s="15" t="s">
        <v>127</v>
      </c>
      <c r="C14" s="14" t="s">
        <v>3</v>
      </c>
      <c r="D14" s="14">
        <v>21.409238815307617</v>
      </c>
      <c r="E14" s="14">
        <f>D14-23.74865</f>
        <v>-2.3394111846923842</v>
      </c>
      <c r="F14" s="14">
        <f t="shared" si="1"/>
        <v>5.0609603958459788</v>
      </c>
      <c r="G14" s="14">
        <v>78.863327026367188</v>
      </c>
      <c r="H14" s="14" t="s">
        <v>24</v>
      </c>
      <c r="I14" s="14" t="s">
        <v>25</v>
      </c>
      <c r="J14" s="14">
        <v>16.520179748535156</v>
      </c>
      <c r="K14" s="14">
        <f>J14-19.12253</f>
        <v>-2.6023502514648449</v>
      </c>
      <c r="L14" s="14">
        <f t="shared" si="3"/>
        <v>6.0727511500582665</v>
      </c>
      <c r="M14" s="14">
        <v>78.556404113769531</v>
      </c>
      <c r="N14" s="14" t="s">
        <v>24</v>
      </c>
      <c r="O14" s="13" t="s">
        <v>25</v>
      </c>
      <c r="R14" s="14"/>
      <c r="S14" s="15"/>
      <c r="T14" s="14" t="s">
        <v>117</v>
      </c>
      <c r="U14" s="14">
        <v>6.0272854772639803</v>
      </c>
      <c r="V14" s="14">
        <f t="shared" si="4"/>
        <v>1</v>
      </c>
      <c r="W14" s="14"/>
      <c r="X14" s="14">
        <v>0.13188287690904812</v>
      </c>
      <c r="Y14" s="14">
        <f t="shared" si="5"/>
        <v>1</v>
      </c>
      <c r="Z14" s="14"/>
      <c r="AA14" s="14">
        <v>0.16489522149541452</v>
      </c>
      <c r="AB14" s="14">
        <f t="shared" si="6"/>
        <v>1</v>
      </c>
      <c r="AC14" s="14"/>
      <c r="AD14" s="14">
        <v>2.00462705981608E-2</v>
      </c>
      <c r="AE14" s="14">
        <f t="shared" si="7"/>
        <v>1</v>
      </c>
      <c r="AF14" s="14"/>
      <c r="AG14" s="14">
        <v>1.3580384465035379E-2</v>
      </c>
      <c r="AH14" s="14">
        <f t="shared" si="8"/>
        <v>1</v>
      </c>
      <c r="AI14" s="14"/>
      <c r="AJ14" s="14">
        <v>1.6100153899491751E-2</v>
      </c>
      <c r="AK14" s="14">
        <f t="shared" si="9"/>
        <v>1</v>
      </c>
      <c r="AL14" s="14"/>
      <c r="AM14" s="14">
        <v>7.8831330270592942E-2</v>
      </c>
      <c r="AN14" s="14">
        <f t="shared" si="10"/>
        <v>1</v>
      </c>
      <c r="AO14" s="14"/>
      <c r="AP14" s="14">
        <v>0.15322501345301814</v>
      </c>
      <c r="AQ14" s="14">
        <f t="shared" si="11"/>
        <v>1</v>
      </c>
      <c r="AR14" s="14"/>
      <c r="AS14" s="14">
        <v>0.28523207128196365</v>
      </c>
      <c r="AT14" s="14">
        <f t="shared" si="12"/>
        <v>1</v>
      </c>
      <c r="AU14" s="14"/>
      <c r="AV14" s="14">
        <v>0.62059802684168264</v>
      </c>
      <c r="AW14" s="14">
        <f t="shared" si="13"/>
        <v>1</v>
      </c>
      <c r="AX14" s="14"/>
      <c r="AY14" s="14">
        <v>0.13265195393451931</v>
      </c>
      <c r="AZ14" s="14">
        <f t="shared" si="14"/>
        <v>1</v>
      </c>
      <c r="BA14" s="14"/>
      <c r="BB14" s="14">
        <v>0.41665047872526029</v>
      </c>
      <c r="BC14" s="14">
        <f t="shared" si="15"/>
        <v>1</v>
      </c>
      <c r="BD14" s="13"/>
    </row>
    <row r="15" spans="1:57" x14ac:dyDescent="0.2">
      <c r="A15" s="15"/>
      <c r="B15" s="15" t="s">
        <v>127</v>
      </c>
      <c r="C15" s="14" t="s">
        <v>3</v>
      </c>
      <c r="D15" s="14">
        <v>21.320817947387695</v>
      </c>
      <c r="E15" s="14">
        <f t="shared" ref="E15:E16" si="16">D15-23.74865</f>
        <v>-2.4278320526123061</v>
      </c>
      <c r="F15" s="14">
        <f t="shared" si="1"/>
        <v>5.3808424016104768</v>
      </c>
      <c r="G15" s="14">
        <v>79.012344360351563</v>
      </c>
      <c r="H15" s="14" t="s">
        <v>24</v>
      </c>
      <c r="I15" s="14" t="s">
        <v>25</v>
      </c>
      <c r="J15" s="14">
        <v>16.496297836303711</v>
      </c>
      <c r="K15" s="14">
        <f t="shared" ref="K15:K16" si="17">J15-19.12253</f>
        <v>-2.6262321636962902</v>
      </c>
      <c r="L15" s="14">
        <f t="shared" si="3"/>
        <v>6.1741141810482363</v>
      </c>
      <c r="M15" s="14">
        <v>78.556655883789063</v>
      </c>
      <c r="N15" s="14" t="s">
        <v>24</v>
      </c>
      <c r="O15" s="13" t="s">
        <v>25</v>
      </c>
      <c r="R15" s="14"/>
      <c r="S15" s="15"/>
      <c r="T15" s="14" t="s">
        <v>117</v>
      </c>
      <c r="U15" s="14">
        <v>6.3189659099488038</v>
      </c>
      <c r="V15" s="14">
        <f t="shared" si="4"/>
        <v>1</v>
      </c>
      <c r="W15" s="14"/>
      <c r="X15" s="14">
        <v>0.1307075616625635</v>
      </c>
      <c r="Y15" s="14">
        <f t="shared" si="5"/>
        <v>1</v>
      </c>
      <c r="Z15" s="14"/>
      <c r="AA15" s="14">
        <v>0.16369384155807323</v>
      </c>
      <c r="AB15" s="14">
        <f t="shared" si="6"/>
        <v>1</v>
      </c>
      <c r="AC15" s="14"/>
      <c r="AD15" s="14">
        <v>1.9676825243024922E-2</v>
      </c>
      <c r="AE15" s="14">
        <f t="shared" si="7"/>
        <v>1</v>
      </c>
      <c r="AF15" s="14"/>
      <c r="AG15" s="14">
        <v>1.4261528842614018E-2</v>
      </c>
      <c r="AH15" s="14">
        <f t="shared" si="8"/>
        <v>1</v>
      </c>
      <c r="AI15" s="14"/>
      <c r="AJ15" s="14">
        <v>1.5579801641320275E-2</v>
      </c>
      <c r="AK15" s="14">
        <f t="shared" si="9"/>
        <v>1</v>
      </c>
      <c r="AL15" s="14"/>
      <c r="AM15" s="14">
        <v>7.2772896338905116E-2</v>
      </c>
      <c r="AN15" s="14">
        <f t="shared" si="10"/>
        <v>1</v>
      </c>
      <c r="AO15" s="14"/>
      <c r="AP15" s="14">
        <v>0.15807278077133893</v>
      </c>
      <c r="AQ15" s="14">
        <f t="shared" si="11"/>
        <v>1</v>
      </c>
      <c r="AR15" s="14"/>
      <c r="AS15" s="14">
        <v>0.28343223001568452</v>
      </c>
      <c r="AT15" s="14">
        <f t="shared" si="12"/>
        <v>1</v>
      </c>
      <c r="AU15" s="14"/>
      <c r="AV15" s="14">
        <v>0.60961421833603036</v>
      </c>
      <c r="AW15" s="14">
        <f t="shared" si="13"/>
        <v>1</v>
      </c>
      <c r="AX15" s="14"/>
      <c r="AY15" s="14">
        <v>0.15510213145029567</v>
      </c>
      <c r="AZ15" s="14">
        <f t="shared" si="14"/>
        <v>1</v>
      </c>
      <c r="BA15" s="14"/>
      <c r="BB15" s="14">
        <v>0.48351263671868966</v>
      </c>
      <c r="BC15" s="14">
        <f t="shared" si="15"/>
        <v>1</v>
      </c>
      <c r="BD15" s="13"/>
    </row>
    <row r="16" spans="1:57" x14ac:dyDescent="0.2">
      <c r="A16" s="15"/>
      <c r="B16" s="15" t="s">
        <v>127</v>
      </c>
      <c r="C16" s="14" t="s">
        <v>3</v>
      </c>
      <c r="D16" s="14">
        <v>21.340721130371094</v>
      </c>
      <c r="E16" s="14">
        <f t="shared" si="16"/>
        <v>-2.4079288696289076</v>
      </c>
      <c r="F16" s="14">
        <f t="shared" si="1"/>
        <v>5.3071188947236889</v>
      </c>
      <c r="G16" s="14">
        <v>79.012344360351563</v>
      </c>
      <c r="H16" s="14" t="s">
        <v>24</v>
      </c>
      <c r="I16" s="14" t="s">
        <v>25</v>
      </c>
      <c r="J16" s="14">
        <v>16.469976425170898</v>
      </c>
      <c r="K16" s="14">
        <f t="shared" si="17"/>
        <v>-2.6525535748291027</v>
      </c>
      <c r="L16" s="14">
        <f t="shared" si="3"/>
        <v>6.287792351975618</v>
      </c>
      <c r="M16" s="14">
        <v>78.556655883789063</v>
      </c>
      <c r="N16" s="14" t="s">
        <v>24</v>
      </c>
      <c r="O16" s="13" t="s">
        <v>25</v>
      </c>
      <c r="R16" s="14"/>
      <c r="S16" s="15"/>
      <c r="T16" s="14" t="s">
        <v>117</v>
      </c>
      <c r="U16" s="14">
        <v>6.4270041956303503</v>
      </c>
      <c r="V16" s="14">
        <f t="shared" si="4"/>
        <v>1</v>
      </c>
      <c r="W16" s="14"/>
      <c r="X16" s="14">
        <v>0.1284274760132825</v>
      </c>
      <c r="Y16" s="14">
        <f t="shared" si="5"/>
        <v>1</v>
      </c>
      <c r="Z16" s="14"/>
      <c r="AA16" s="14">
        <v>0.16606369915321872</v>
      </c>
      <c r="AB16" s="14">
        <f t="shared" si="6"/>
        <v>1</v>
      </c>
      <c r="AC16" s="14"/>
      <c r="AD16" s="14">
        <v>1.9914720984226548E-2</v>
      </c>
      <c r="AE16" s="14">
        <f t="shared" si="7"/>
        <v>1</v>
      </c>
      <c r="AF16" s="14"/>
      <c r="AG16" s="14">
        <v>1.3241786539973101E-2</v>
      </c>
      <c r="AH16" s="14">
        <f t="shared" si="8"/>
        <v>1</v>
      </c>
      <c r="AI16" s="14"/>
      <c r="AJ16" s="14">
        <v>1.6660050716474868E-2</v>
      </c>
      <c r="AK16" s="14">
        <f t="shared" si="9"/>
        <v>1</v>
      </c>
      <c r="AL16" s="14"/>
      <c r="AM16" s="14">
        <v>7.8404455410457041E-2</v>
      </c>
      <c r="AN16" s="14">
        <f t="shared" si="10"/>
        <v>1</v>
      </c>
      <c r="AO16" s="14"/>
      <c r="AP16" s="14">
        <v>0.15716464799858532</v>
      </c>
      <c r="AQ16" s="14">
        <f t="shared" si="11"/>
        <v>1</v>
      </c>
      <c r="AR16" s="14"/>
      <c r="AS16" s="14">
        <v>0.28454996422453782</v>
      </c>
      <c r="AT16" s="14">
        <f t="shared" si="12"/>
        <v>1</v>
      </c>
      <c r="AU16" s="14"/>
      <c r="AV16" s="14">
        <v>0.62640859600798093</v>
      </c>
      <c r="AW16" s="14">
        <f t="shared" si="13"/>
        <v>1</v>
      </c>
      <c r="AX16" s="14"/>
      <c r="AY16" s="14">
        <v>0.15437058044811022</v>
      </c>
      <c r="AZ16" s="14">
        <f t="shared" si="14"/>
        <v>1</v>
      </c>
      <c r="BA16" s="14"/>
      <c r="BB16" s="14">
        <v>0.48352925722251322</v>
      </c>
      <c r="BC16" s="14">
        <f t="shared" si="15"/>
        <v>1</v>
      </c>
      <c r="BD16" s="13"/>
    </row>
    <row r="17" spans="1:56" x14ac:dyDescent="0.2">
      <c r="A17" s="15"/>
      <c r="B17" s="15" t="s">
        <v>128</v>
      </c>
      <c r="C17" s="14" t="s">
        <v>3</v>
      </c>
      <c r="D17" s="14">
        <v>26.250831604003906</v>
      </c>
      <c r="E17" s="14">
        <f>D17-29.33195</f>
        <v>-3.0811183959960928</v>
      </c>
      <c r="F17" s="14">
        <f t="shared" si="1"/>
        <v>8.4627021793059765</v>
      </c>
      <c r="G17" s="14">
        <v>78.862747192382813</v>
      </c>
      <c r="H17" s="14" t="s">
        <v>24</v>
      </c>
      <c r="I17" s="14" t="s">
        <v>25</v>
      </c>
      <c r="J17" s="14">
        <v>20.215290069580078</v>
      </c>
      <c r="K17" s="14">
        <f>J17-23.4265</f>
        <v>-3.2112099304199226</v>
      </c>
      <c r="L17" s="14">
        <f t="shared" si="3"/>
        <v>9.2612692699764345</v>
      </c>
      <c r="M17" s="14">
        <v>78.556076049804688</v>
      </c>
      <c r="N17" s="14" t="s">
        <v>24</v>
      </c>
      <c r="O17" s="13" t="s">
        <v>25</v>
      </c>
      <c r="R17" s="14"/>
      <c r="S17" s="15"/>
      <c r="T17" s="14" t="s">
        <v>4</v>
      </c>
      <c r="U17" s="14">
        <v>5.0609603958459788</v>
      </c>
      <c r="V17" s="14">
        <f>U17/U11</f>
        <v>0.90790267464293117</v>
      </c>
      <c r="W17" s="14">
        <f t="shared" ref="W17" si="18">AVERAGE(V17:V22)</f>
        <v>0.9650088518397465</v>
      </c>
      <c r="X17" s="14">
        <v>0.22834180408595095</v>
      </c>
      <c r="Y17" s="14">
        <f>X17/X11</f>
        <v>0.96524144006296864</v>
      </c>
      <c r="Z17" s="14">
        <f t="shared" ref="Z17" si="19">AVERAGE(Y17:Y22)</f>
        <v>0.95043489602791986</v>
      </c>
      <c r="AA17" s="14">
        <v>0.10737611037497337</v>
      </c>
      <c r="AB17" s="14">
        <f>AA17/AA11</f>
        <v>0.75320105044841978</v>
      </c>
      <c r="AC17" s="14">
        <f t="shared" ref="AC17" si="20">AVERAGE(AB17:AB22)</f>
        <v>1.0291156477972572</v>
      </c>
      <c r="AD17" s="14">
        <v>1.0176651622826688E-2</v>
      </c>
      <c r="AE17" s="14">
        <f>AD17/AD11</f>
        <v>0.43338933353797737</v>
      </c>
      <c r="AF17" s="14">
        <f>AVERAGE(AE17:AE22)</f>
        <v>0.7812572992606055</v>
      </c>
      <c r="AG17" s="14">
        <v>0.18278404294830886</v>
      </c>
      <c r="AH17" s="14">
        <f>AG17/AG11</f>
        <v>0.51739137090410114</v>
      </c>
      <c r="AI17" s="14">
        <f>AVERAGE(AH17:AH22)</f>
        <v>1.125395976825702</v>
      </c>
      <c r="AJ17" s="14">
        <v>5.7080768516269576E-3</v>
      </c>
      <c r="AK17" s="14">
        <f>AJ17/AJ11</f>
        <v>0.20751255548692207</v>
      </c>
      <c r="AL17" s="14">
        <f>AVERAGE(AK17:AK22)</f>
        <v>0.82419644040287943</v>
      </c>
      <c r="AM17" s="14">
        <v>0.61984635002187016</v>
      </c>
      <c r="AN17" s="14">
        <f>AM17/AM11</f>
        <v>0.60364773667594529</v>
      </c>
      <c r="AO17" s="14">
        <f>AVERAGE(AN17:AN22)</f>
        <v>1.2001096742037167</v>
      </c>
      <c r="AP17" s="14">
        <v>9.175324575386487E-2</v>
      </c>
      <c r="AQ17" s="14">
        <f>AP17/AP11</f>
        <v>0.46571823941341228</v>
      </c>
      <c r="AR17" s="14">
        <f>AVERAGE(AQ17:AQ22)</f>
        <v>1.1993289377518914</v>
      </c>
      <c r="AS17" s="14">
        <v>6.0370549511161858E-2</v>
      </c>
      <c r="AT17" s="14">
        <f>AS17/AS11</f>
        <v>0.84284400714959407</v>
      </c>
      <c r="AU17" s="14">
        <f>AVERAGE(AT17:AT22)</f>
        <v>0.95639046361575608</v>
      </c>
      <c r="AV17" s="14">
        <v>0.19527257116065405</v>
      </c>
      <c r="AW17" s="14">
        <f>AV17/AV11</f>
        <v>0.76267380805238127</v>
      </c>
      <c r="AX17" s="14">
        <f>AVERAGE(AW17:AW22)</f>
        <v>0.83278909802795908</v>
      </c>
      <c r="AY17" s="14">
        <v>1.8788726523093879E-2</v>
      </c>
      <c r="AZ17" s="14">
        <f>AY17/AY11</f>
        <v>0.86115407660679388</v>
      </c>
      <c r="BA17" s="14">
        <f>AVERAGE(AZ17:AZ22)</f>
        <v>1.1871155891042378</v>
      </c>
      <c r="BB17" s="14">
        <v>0.13591562264528617</v>
      </c>
      <c r="BC17" s="14">
        <f>BB17/BB11</f>
        <v>0.70126475699904933</v>
      </c>
      <c r="BD17" s="13">
        <f>AVERAGE(BC17:BC22)</f>
        <v>1.16408139670321</v>
      </c>
    </row>
    <row r="18" spans="1:56" x14ac:dyDescent="0.2">
      <c r="A18" s="15"/>
      <c r="B18" s="15" t="s">
        <v>128</v>
      </c>
      <c r="C18" s="14" t="s">
        <v>3</v>
      </c>
      <c r="D18" s="14">
        <v>26.134817123413086</v>
      </c>
      <c r="E18" s="14">
        <f t="shared" ref="E18:E19" si="21">D18-29.33195</f>
        <v>-3.1971328765869131</v>
      </c>
      <c r="F18" s="14">
        <f t="shared" si="1"/>
        <v>9.1713421553442913</v>
      </c>
      <c r="G18" s="14">
        <v>79.0118408203125</v>
      </c>
      <c r="H18" s="14" t="s">
        <v>24</v>
      </c>
      <c r="I18" s="14" t="s">
        <v>25</v>
      </c>
      <c r="J18" s="14">
        <v>20.136171340942383</v>
      </c>
      <c r="K18" s="14">
        <f t="shared" ref="K18:K19" si="22">J18-23.4265</f>
        <v>-3.290328659057618</v>
      </c>
      <c r="L18" s="14">
        <f t="shared" si="3"/>
        <v>9.7833507040031975</v>
      </c>
      <c r="M18" s="14">
        <v>78.556076049804688</v>
      </c>
      <c r="N18" s="14" t="s">
        <v>24</v>
      </c>
      <c r="O18" s="13" t="s">
        <v>25</v>
      </c>
      <c r="R18" s="14"/>
      <c r="S18" s="15"/>
      <c r="T18" s="14" t="s">
        <v>4</v>
      </c>
      <c r="U18" s="14">
        <v>5.3808424016104768</v>
      </c>
      <c r="V18" s="14">
        <f t="shared" ref="V18:V22" si="23">U18/U12</f>
        <v>0.98056679889500242</v>
      </c>
      <c r="W18" s="14">
        <f t="shared" ref="W18" si="24">STDEV(V17:V22)</f>
        <v>3.5586062490208958E-2</v>
      </c>
      <c r="X18" s="14"/>
      <c r="Y18" s="14">
        <f t="shared" ref="Y18:Y22" si="25">X18/X12</f>
        <v>0</v>
      </c>
      <c r="Z18" s="14">
        <f t="shared" ref="Z18" si="26">STDEV(Y17:Y22)</f>
        <v>0.48879663871282791</v>
      </c>
      <c r="AA18" s="14">
        <v>0.11685137400747579</v>
      </c>
      <c r="AB18" s="14">
        <f t="shared" ref="AB18:AB22" si="27">AA18/AA12</f>
        <v>0.93096056374911851</v>
      </c>
      <c r="AC18" s="14">
        <f t="shared" ref="AC18" si="28">STDEV(AB17:AB22)</f>
        <v>0.21146878502662111</v>
      </c>
      <c r="AD18" s="14">
        <v>9.0324878486329717E-3</v>
      </c>
      <c r="AE18" s="14">
        <f t="shared" ref="AE18:AE22" si="29">AD18/AD12</f>
        <v>0.41261222642614453</v>
      </c>
      <c r="AF18" s="14">
        <f>STDEV(AE17:AE22)</f>
        <v>0.3286193635973263</v>
      </c>
      <c r="AG18" s="14">
        <v>0.19009061332967112</v>
      </c>
      <c r="AH18" s="14">
        <f t="shared" ref="AH18:AH22" si="30">AG18/AG12</f>
        <v>0.73864157196076863</v>
      </c>
      <c r="AI18" s="14">
        <f>STDEV(AH17:AH22)</f>
        <v>0.4636652859268639</v>
      </c>
      <c r="AJ18" s="14">
        <v>5.4184062846583557E-3</v>
      </c>
      <c r="AK18" s="14">
        <f t="shared" ref="AK18:AK22" si="31">AJ18/AJ12</f>
        <v>0.52933019148081017</v>
      </c>
      <c r="AL18" s="14">
        <f>STDEV(AK17:AK22)</f>
        <v>0.43327020279894252</v>
      </c>
      <c r="AM18" s="14">
        <v>0.62863556804389598</v>
      </c>
      <c r="AN18" s="14">
        <f t="shared" ref="AN18:AN22" si="32">AM18/AM12</f>
        <v>0.60250837614824271</v>
      </c>
      <c r="AO18" s="14">
        <f>STDEV(AN17:AN22)</f>
        <v>0.55475275520175027</v>
      </c>
      <c r="AP18" s="14">
        <v>9.2801068170141693E-2</v>
      </c>
      <c r="AQ18" s="14">
        <f t="shared" ref="AQ18:AQ22" si="33">AP18/AP12</f>
        <v>0.49014442965745836</v>
      </c>
      <c r="AR18" s="14">
        <f>STDEV(AQ17:AQ22)</f>
        <v>0.65984516298436247</v>
      </c>
      <c r="AS18" s="14">
        <v>5.6831264766505518E-2</v>
      </c>
      <c r="AT18" s="14">
        <f t="shared" ref="AT18:AT22" si="34">AS18/AS12</f>
        <v>0.84380731378947482</v>
      </c>
      <c r="AU18" s="14">
        <f>STDEV(AT17:AT22)</f>
        <v>0.10416692604697075</v>
      </c>
      <c r="AV18" s="14">
        <v>0.17305150880780576</v>
      </c>
      <c r="AW18" s="14">
        <f t="shared" ref="AW18:AW22" si="35">AV18/AV12</f>
        <v>0.75713319803661516</v>
      </c>
      <c r="AX18" s="14">
        <f>STDEV(AW17:AW22)</f>
        <v>8.2304007050476871E-2</v>
      </c>
      <c r="AY18" s="14">
        <v>1.764027931656148E-2</v>
      </c>
      <c r="AZ18" s="14">
        <f t="shared" ref="AZ18:AZ22" si="36">AY18/AY12</f>
        <v>0.80335642790878237</v>
      </c>
      <c r="BA18" s="14">
        <f>STDEV(AZ17:AZ22)</f>
        <v>0.32880012163573252</v>
      </c>
      <c r="BB18" s="14">
        <v>0.13140051293611407</v>
      </c>
      <c r="BC18" s="14">
        <f t="shared" ref="BC18:BC22" si="37">BB18/BB12</f>
        <v>0.69730695234143136</v>
      </c>
      <c r="BD18" s="13">
        <f>STDEV(BC17:BC22)</f>
        <v>0.43395888034746077</v>
      </c>
    </row>
    <row r="19" spans="1:56" x14ac:dyDescent="0.2">
      <c r="A19" s="15"/>
      <c r="B19" s="15" t="s">
        <v>128</v>
      </c>
      <c r="C19" s="14" t="s">
        <v>3</v>
      </c>
      <c r="D19" s="14">
        <v>26.146684646606445</v>
      </c>
      <c r="E19" s="14">
        <f t="shared" si="21"/>
        <v>-3.1852653533935538</v>
      </c>
      <c r="F19" s="14">
        <f t="shared" si="1"/>
        <v>9.0962086882087867</v>
      </c>
      <c r="G19" s="14">
        <v>79.010078430175781</v>
      </c>
      <c r="H19" s="14" t="s">
        <v>24</v>
      </c>
      <c r="I19" s="14" t="s">
        <v>25</v>
      </c>
      <c r="J19" s="14">
        <v>20.108196258544922</v>
      </c>
      <c r="K19" s="14">
        <f t="shared" si="22"/>
        <v>-3.3183037414550789</v>
      </c>
      <c r="L19" s="14">
        <f t="shared" si="3"/>
        <v>9.9749094259666187</v>
      </c>
      <c r="M19" s="14">
        <v>78.704116821289063</v>
      </c>
      <c r="N19" s="14" t="s">
        <v>24</v>
      </c>
      <c r="O19" s="13" t="s">
        <v>25</v>
      </c>
      <c r="R19" s="14"/>
      <c r="S19" s="15"/>
      <c r="T19" s="14" t="s">
        <v>4</v>
      </c>
      <c r="U19" s="14">
        <v>5.3071188947236889</v>
      </c>
      <c r="V19" s="14">
        <f t="shared" si="23"/>
        <v>0.93862411359880826</v>
      </c>
      <c r="W19" s="14"/>
      <c r="X19" s="14">
        <v>0.22741238671571312</v>
      </c>
      <c r="Y19" s="14">
        <f t="shared" si="25"/>
        <v>0.95245844577868199</v>
      </c>
      <c r="Z19" s="14"/>
      <c r="AA19" s="14">
        <v>0.11070712400390635</v>
      </c>
      <c r="AB19" s="14">
        <f t="shared" si="27"/>
        <v>0.84992311819707822</v>
      </c>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3"/>
    </row>
    <row r="20" spans="1:56" x14ac:dyDescent="0.2">
      <c r="A20" s="15"/>
      <c r="B20" s="15" t="s">
        <v>129</v>
      </c>
      <c r="C20" s="14" t="s">
        <v>3</v>
      </c>
      <c r="D20" s="14">
        <v>25.293249130249023</v>
      </c>
      <c r="E20" s="14">
        <f>D20-27.97422</f>
        <v>-2.6809708697509755</v>
      </c>
      <c r="F20" s="14">
        <f t="shared" si="1"/>
        <v>6.4128731480391936</v>
      </c>
      <c r="G20" s="14">
        <v>79.010078430175781</v>
      </c>
      <c r="H20" s="14" t="s">
        <v>24</v>
      </c>
      <c r="I20" s="14" t="s">
        <v>25</v>
      </c>
      <c r="J20" s="14">
        <v>16.938941955566406</v>
      </c>
      <c r="K20" s="14">
        <f>J20-20.01096</f>
        <v>-3.0720180444335945</v>
      </c>
      <c r="L20" s="14">
        <f t="shared" si="3"/>
        <v>8.4094884532856948</v>
      </c>
      <c r="M20" s="14">
        <v>78.554977416992188</v>
      </c>
      <c r="N20" s="14" t="s">
        <v>24</v>
      </c>
      <c r="O20" s="13" t="s">
        <v>25</v>
      </c>
      <c r="R20" s="14"/>
      <c r="S20" s="15"/>
      <c r="T20" s="14" t="s">
        <v>4</v>
      </c>
      <c r="U20" s="14">
        <v>6.0727511500582665</v>
      </c>
      <c r="V20" s="14">
        <f t="shared" si="23"/>
        <v>1.0075433083376906</v>
      </c>
      <c r="W20" s="14"/>
      <c r="X20" s="14">
        <v>0.16606946315366153</v>
      </c>
      <c r="Y20" s="14">
        <f t="shared" si="25"/>
        <v>1.2592192940118365</v>
      </c>
      <c r="Z20" s="14"/>
      <c r="AA20" s="14">
        <v>0.19252649538901112</v>
      </c>
      <c r="AB20" s="14">
        <f t="shared" si="27"/>
        <v>1.1675686756900046</v>
      </c>
      <c r="AC20" s="14"/>
      <c r="AD20" s="14">
        <v>2.1372062368686294E-2</v>
      </c>
      <c r="AE20" s="14">
        <f t="shared" si="29"/>
        <v>1.0661365795714208</v>
      </c>
      <c r="AF20" s="14"/>
      <c r="AG20" s="14">
        <v>2.0134137528266496E-2</v>
      </c>
      <c r="AH20" s="14">
        <f t="shared" si="30"/>
        <v>1.4825896556982374</v>
      </c>
      <c r="AI20" s="14"/>
      <c r="AJ20" s="14">
        <v>1.8182239085906646E-2</v>
      </c>
      <c r="AK20" s="14">
        <f t="shared" si="31"/>
        <v>1.1293208250935181</v>
      </c>
      <c r="AL20" s="14"/>
      <c r="AM20" s="14">
        <v>0.12056536266526993</v>
      </c>
      <c r="AN20" s="14">
        <f t="shared" si="32"/>
        <v>1.5294092114318329</v>
      </c>
      <c r="AO20" s="14"/>
      <c r="AP20" s="14">
        <v>0.26746068326480665</v>
      </c>
      <c r="AQ20" s="14">
        <f t="shared" si="33"/>
        <v>1.7455419140610189</v>
      </c>
      <c r="AR20" s="14"/>
      <c r="AS20" s="14">
        <v>0.29107278942206682</v>
      </c>
      <c r="AT20" s="14">
        <f t="shared" si="34"/>
        <v>1.0204770736819753</v>
      </c>
      <c r="AU20" s="14"/>
      <c r="AV20" s="14">
        <v>0.56054855408192661</v>
      </c>
      <c r="AW20" s="14">
        <f t="shared" si="35"/>
        <v>0.90323934308112952</v>
      </c>
      <c r="AX20" s="14"/>
      <c r="AY20" s="14">
        <v>0.20009627684440079</v>
      </c>
      <c r="AZ20" s="14">
        <f t="shared" si="36"/>
        <v>1.5084306782482364</v>
      </c>
      <c r="BA20" s="14"/>
      <c r="BB20" s="14">
        <v>0.67571837696894566</v>
      </c>
      <c r="BC20" s="14">
        <f t="shared" si="37"/>
        <v>1.621787112872886</v>
      </c>
      <c r="BD20" s="13"/>
    </row>
    <row r="21" spans="1:56" x14ac:dyDescent="0.2">
      <c r="A21" s="15"/>
      <c r="B21" s="15" t="s">
        <v>129</v>
      </c>
      <c r="C21" s="14" t="s">
        <v>3</v>
      </c>
      <c r="D21" s="14">
        <v>25.205394744873047</v>
      </c>
      <c r="E21" s="14">
        <f t="shared" ref="E21:E22" si="38">D21-27.97422</f>
        <v>-2.7688252551269521</v>
      </c>
      <c r="F21" s="14">
        <f t="shared" si="1"/>
        <v>6.815527187258593</v>
      </c>
      <c r="G21" s="14">
        <v>78.86376953125</v>
      </c>
      <c r="H21" s="14" t="s">
        <v>24</v>
      </c>
      <c r="I21" s="14" t="s">
        <v>25</v>
      </c>
      <c r="J21" s="14">
        <v>16.915390014648438</v>
      </c>
      <c r="K21" s="14">
        <f t="shared" ref="K21:K22" si="39">J21-20.01096</f>
        <v>-3.0955699853515632</v>
      </c>
      <c r="L21" s="14">
        <f t="shared" si="3"/>
        <v>8.5478997335355764</v>
      </c>
      <c r="M21" s="14">
        <v>78.556350708007813</v>
      </c>
      <c r="N21" s="14" t="s">
        <v>24</v>
      </c>
      <c r="O21" s="13" t="s">
        <v>25</v>
      </c>
      <c r="R21" s="14"/>
      <c r="S21" s="15"/>
      <c r="T21" s="14" t="s">
        <v>4</v>
      </c>
      <c r="U21" s="14">
        <v>6.1741141810482363</v>
      </c>
      <c r="V21" s="14">
        <f t="shared" si="23"/>
        <v>0.97707667188510894</v>
      </c>
      <c r="W21" s="14"/>
      <c r="X21" s="14">
        <v>0.16297029268389518</v>
      </c>
      <c r="Y21" s="14">
        <f t="shared" si="25"/>
        <v>1.2468314044800377</v>
      </c>
      <c r="Z21" s="14"/>
      <c r="AA21" s="14">
        <v>0.19977274466921632</v>
      </c>
      <c r="AB21" s="14">
        <f t="shared" si="27"/>
        <v>1.2204047676304517</v>
      </c>
      <c r="AC21" s="14"/>
      <c r="AD21" s="14">
        <v>1.9240410767206794E-2</v>
      </c>
      <c r="AE21" s="14">
        <f t="shared" si="29"/>
        <v>0.97782088978135184</v>
      </c>
      <c r="AF21" s="14"/>
      <c r="AG21" s="14">
        <v>1.9594770019015502E-2</v>
      </c>
      <c r="AH21" s="14">
        <f t="shared" si="30"/>
        <v>1.3739599895114714</v>
      </c>
      <c r="AI21" s="14"/>
      <c r="AJ21" s="14">
        <v>1.8464550151123204E-2</v>
      </c>
      <c r="AK21" s="14">
        <f t="shared" si="31"/>
        <v>1.1851595146212957</v>
      </c>
      <c r="AL21" s="14"/>
      <c r="AM21" s="14">
        <v>0.12853231915715138</v>
      </c>
      <c r="AN21" s="14">
        <f t="shared" si="32"/>
        <v>1.7662114004446559</v>
      </c>
      <c r="AO21" s="14"/>
      <c r="AP21" s="14">
        <v>0.26192997790815992</v>
      </c>
      <c r="AQ21" s="14">
        <f t="shared" si="33"/>
        <v>1.6570213836312286</v>
      </c>
      <c r="AR21" s="14"/>
      <c r="AS21" s="14">
        <v>0.29894178184575115</v>
      </c>
      <c r="AT21" s="14">
        <f t="shared" si="34"/>
        <v>1.054720494663604</v>
      </c>
      <c r="AU21" s="14"/>
      <c r="AV21" s="14">
        <v>0.57074338241621458</v>
      </c>
      <c r="AW21" s="14">
        <f t="shared" si="35"/>
        <v>0.93623699259194526</v>
      </c>
      <c r="AX21" s="14"/>
      <c r="AY21" s="14">
        <v>0.21595592446941073</v>
      </c>
      <c r="AZ21" s="14">
        <f t="shared" si="36"/>
        <v>1.3923465941447515</v>
      </c>
      <c r="BA21" s="14"/>
      <c r="BB21" s="14">
        <v>0.68351640786448242</v>
      </c>
      <c r="BC21" s="14">
        <f t="shared" si="37"/>
        <v>1.4136474539798969</v>
      </c>
      <c r="BD21" s="13"/>
    </row>
    <row r="22" spans="1:56" x14ac:dyDescent="0.2">
      <c r="A22" s="15"/>
      <c r="B22" s="15" t="s">
        <v>129</v>
      </c>
      <c r="C22" s="14" t="s">
        <v>3</v>
      </c>
      <c r="D22" s="14">
        <v>25.270553588867188</v>
      </c>
      <c r="E22" s="14">
        <f t="shared" si="38"/>
        <v>-2.7036664111328115</v>
      </c>
      <c r="F22" s="14">
        <f t="shared" si="1"/>
        <v>6.5145539949435802</v>
      </c>
      <c r="G22" s="14">
        <v>79.012840270996094</v>
      </c>
      <c r="H22" s="14" t="s">
        <v>24</v>
      </c>
      <c r="I22" s="14" t="s">
        <v>25</v>
      </c>
      <c r="J22" s="14">
        <v>16.927364349365234</v>
      </c>
      <c r="K22" s="14">
        <f t="shared" si="39"/>
        <v>-3.0835956506347664</v>
      </c>
      <c r="L22" s="14">
        <f t="shared" si="3"/>
        <v>8.4772459857482865</v>
      </c>
      <c r="M22" s="14">
        <v>78.556350708007813</v>
      </c>
      <c r="N22" s="14" t="s">
        <v>24</v>
      </c>
      <c r="O22" s="13" t="s">
        <v>25</v>
      </c>
      <c r="R22" s="14"/>
      <c r="S22" s="15"/>
      <c r="T22" s="14" t="s">
        <v>4</v>
      </c>
      <c r="U22" s="14">
        <v>6.287792351975618</v>
      </c>
      <c r="V22" s="14">
        <f t="shared" si="23"/>
        <v>0.97833954367893816</v>
      </c>
      <c r="W22" s="14"/>
      <c r="X22" s="14">
        <v>0.16424060681263575</v>
      </c>
      <c r="Y22" s="14">
        <f t="shared" si="25"/>
        <v>1.2788587918339944</v>
      </c>
      <c r="Z22" s="14"/>
      <c r="AA22" s="14">
        <v>0.20801731987145272</v>
      </c>
      <c r="AB22" s="14">
        <f t="shared" si="27"/>
        <v>1.2526357110684707</v>
      </c>
      <c r="AC22" s="14"/>
      <c r="AD22" s="14">
        <v>2.0239877933634548E-2</v>
      </c>
      <c r="AE22" s="14">
        <f t="shared" si="29"/>
        <v>1.0163274669861326</v>
      </c>
      <c r="AF22" s="14"/>
      <c r="AG22" s="14">
        <v>2.0053325731058617E-2</v>
      </c>
      <c r="AH22" s="14">
        <f t="shared" si="30"/>
        <v>1.514397296053932</v>
      </c>
      <c r="AI22" s="14"/>
      <c r="AJ22" s="14">
        <v>1.7820575110768282E-2</v>
      </c>
      <c r="AK22" s="14">
        <f t="shared" si="31"/>
        <v>1.0696591153318513</v>
      </c>
      <c r="AL22" s="14"/>
      <c r="AM22" s="14">
        <v>0.11751037471418962</v>
      </c>
      <c r="AN22" s="14">
        <f t="shared" si="32"/>
        <v>1.4987716463179068</v>
      </c>
      <c r="AO22" s="14"/>
      <c r="AP22" s="14">
        <v>0.25747006878724699</v>
      </c>
      <c r="AQ22" s="14">
        <f t="shared" si="33"/>
        <v>1.6382187219963396</v>
      </c>
      <c r="AR22" s="14"/>
      <c r="AS22" s="14">
        <v>0.29027039416869882</v>
      </c>
      <c r="AT22" s="14">
        <f t="shared" si="34"/>
        <v>1.0201034287941326</v>
      </c>
      <c r="AU22" s="14"/>
      <c r="AV22" s="14">
        <v>0.50404728662605613</v>
      </c>
      <c r="AW22" s="14">
        <f t="shared" si="35"/>
        <v>0.80466214837772465</v>
      </c>
      <c r="AX22" s="14"/>
      <c r="AY22" s="14">
        <v>0.21153248871106967</v>
      </c>
      <c r="AZ22" s="14">
        <f t="shared" si="36"/>
        <v>1.3702901686126245</v>
      </c>
      <c r="BA22" s="14"/>
      <c r="BB22" s="14">
        <v>0.67036530422455387</v>
      </c>
      <c r="BC22" s="14">
        <f t="shared" si="37"/>
        <v>1.3864007073227864</v>
      </c>
      <c r="BD22" s="13"/>
    </row>
    <row r="23" spans="1:56" x14ac:dyDescent="0.2">
      <c r="A23" s="15"/>
      <c r="B23" s="15" t="s">
        <v>126</v>
      </c>
      <c r="C23" s="14" t="s">
        <v>37</v>
      </c>
      <c r="D23" s="14">
        <v>26.956874847412109</v>
      </c>
      <c r="E23" s="14">
        <f>D23-24.87718</f>
        <v>2.0796948474121102</v>
      </c>
      <c r="F23" s="14">
        <f t="shared" si="1"/>
        <v>0.23656444347339128</v>
      </c>
      <c r="G23" s="14">
        <v>77.972282409667969</v>
      </c>
      <c r="H23" s="14" t="s">
        <v>24</v>
      </c>
      <c r="I23" s="14" t="s">
        <v>25</v>
      </c>
      <c r="J23" s="14">
        <v>22.284320831298828</v>
      </c>
      <c r="K23" s="14">
        <f>J23-19.36165</f>
        <v>2.9226708312988272</v>
      </c>
      <c r="L23" s="14">
        <f t="shared" si="3"/>
        <v>0.13188287690904812</v>
      </c>
      <c r="M23" s="14">
        <v>77.66278076171875</v>
      </c>
      <c r="N23" s="14" t="s">
        <v>24</v>
      </c>
      <c r="O23" s="13" t="s">
        <v>25</v>
      </c>
      <c r="R23" s="14"/>
      <c r="S23" s="15"/>
      <c r="T23" s="14" t="s">
        <v>118</v>
      </c>
      <c r="U23" s="14">
        <v>8.4627021793059765</v>
      </c>
      <c r="V23" s="14">
        <f>U23/U11</f>
        <v>1.5181525525481085</v>
      </c>
      <c r="W23" s="14">
        <f t="shared" ref="W23" si="40">AVERAGE(V23:V28)</f>
        <v>1.5725134936210063</v>
      </c>
      <c r="X23" s="14">
        <v>0.37758721561537512</v>
      </c>
      <c r="Y23" s="14">
        <f>X23/X11</f>
        <v>1.5961283533205448</v>
      </c>
      <c r="Z23" s="14">
        <f t="shared" ref="Z23" si="41">AVERAGE(Y23:Y28)</f>
        <v>1.7097944856249025</v>
      </c>
      <c r="AA23" s="14">
        <v>0.10054358011646404</v>
      </c>
      <c r="AB23" s="14">
        <f>AA23/AA11</f>
        <v>0.70527354636992134</v>
      </c>
      <c r="AC23" s="14">
        <f t="shared" ref="AC23" si="42">AVERAGE(AB23:AB28)</f>
        <v>1.1215188800061293</v>
      </c>
      <c r="AD23" s="14">
        <v>7.7289849832719956E-2</v>
      </c>
      <c r="AE23" s="14">
        <f>AD23/AD11</f>
        <v>3.291514512800898</v>
      </c>
      <c r="AF23" s="14">
        <f>AVERAGE(AE23:AE28)</f>
        <v>2.1333786772430821</v>
      </c>
      <c r="AG23" s="14">
        <v>0.61375872281332922</v>
      </c>
      <c r="AH23" s="14">
        <f>AG23/AG11</f>
        <v>1.7373150406271647</v>
      </c>
      <c r="AI23" s="14">
        <f>AVERAGE(AH23:AH28)</f>
        <v>2.9018373196880933</v>
      </c>
      <c r="AJ23" s="14">
        <v>8.3285514205234196E-2</v>
      </c>
      <c r="AK23" s="14">
        <f>AJ23/AJ11</f>
        <v>3.0277780655396103</v>
      </c>
      <c r="AL23" s="14">
        <f>AVERAGE(AK23:AK28)</f>
        <v>3.7602467772252908</v>
      </c>
      <c r="AM23" s="14">
        <v>2.978773669368505</v>
      </c>
      <c r="AN23" s="14">
        <f>AM23/AM11</f>
        <v>2.9009285664435307</v>
      </c>
      <c r="AO23" s="14">
        <f>AVERAGE(AN23:AN28)</f>
        <v>3.1660940928009595</v>
      </c>
      <c r="AP23" s="14">
        <v>0.53597665316928678</v>
      </c>
      <c r="AQ23" s="14">
        <f>AP23/AP11</f>
        <v>2.7204934411835668</v>
      </c>
      <c r="AR23" s="14">
        <f>AVERAGE(AQ23:AQ28)</f>
        <v>2.6642424340682815</v>
      </c>
      <c r="AS23" s="14">
        <v>0.15491275064697049</v>
      </c>
      <c r="AT23" s="14">
        <f>AS23/AS11</f>
        <v>2.1627645362035013</v>
      </c>
      <c r="AU23" s="14">
        <f>AVERAGE(AT23:AT28)</f>
        <v>1.6186020271700163</v>
      </c>
      <c r="AV23" s="14">
        <v>5.2278044786221907</v>
      </c>
      <c r="AW23" s="14">
        <f>AV23/AV11</f>
        <v>20.418175096305855</v>
      </c>
      <c r="AX23" s="14">
        <f>AVERAGE(AW23:AW28)</f>
        <v>10.449421862151228</v>
      </c>
      <c r="AY23" s="14">
        <v>0.10389510473596952</v>
      </c>
      <c r="AZ23" s="14">
        <f>AY23/AY11</f>
        <v>4.7618816992678905</v>
      </c>
      <c r="BA23" s="14">
        <f>AVERAGE(AZ23:AZ28)</f>
        <v>2.4783168853022621</v>
      </c>
      <c r="BB23" s="14">
        <v>0.43370393053175471</v>
      </c>
      <c r="BC23" s="14">
        <f>BB23/BB11</f>
        <v>2.2377212827669872</v>
      </c>
      <c r="BD23" s="13">
        <f>AVERAGE(BC23:BC28)</f>
        <v>5.2171889568691272</v>
      </c>
    </row>
    <row r="24" spans="1:56" x14ac:dyDescent="0.2">
      <c r="A24" s="15"/>
      <c r="B24" s="15" t="s">
        <v>126</v>
      </c>
      <c r="C24" s="14" t="s">
        <v>37</v>
      </c>
      <c r="D24" s="14">
        <v>26.766199111938477</v>
      </c>
      <c r="E24" s="14">
        <f t="shared" ref="E24:E25" si="43">D24-24.87718</f>
        <v>1.8890191119384774</v>
      </c>
      <c r="F24" s="14">
        <f t="shared" si="1"/>
        <v>0.26999056326524873</v>
      </c>
      <c r="G24" s="14">
        <v>77.972282409667969</v>
      </c>
      <c r="H24" s="14" t="s">
        <v>24</v>
      </c>
      <c r="I24" s="14" t="s">
        <v>25</v>
      </c>
      <c r="J24" s="14">
        <v>22.297235488891602</v>
      </c>
      <c r="K24" s="14">
        <f t="shared" ref="K24:K25" si="44">J24-19.36165</f>
        <v>2.9355854888916006</v>
      </c>
      <c r="L24" s="14">
        <f t="shared" si="3"/>
        <v>0.1307075616625635</v>
      </c>
      <c r="M24" s="14">
        <v>77.51361083984375</v>
      </c>
      <c r="N24" s="14" t="s">
        <v>24</v>
      </c>
      <c r="O24" s="13" t="s">
        <v>25</v>
      </c>
      <c r="R24" s="14"/>
      <c r="S24" s="15"/>
      <c r="T24" s="14" t="s">
        <v>118</v>
      </c>
      <c r="U24" s="14">
        <v>9.1713421553442913</v>
      </c>
      <c r="V24" s="14">
        <f t="shared" ref="V24:V28" si="45">U24/U12</f>
        <v>1.6713207612520151</v>
      </c>
      <c r="W24" s="14">
        <f t="shared" ref="W24" si="46">STDEV(V23:V28)</f>
        <v>5.7154805552137838E-2</v>
      </c>
      <c r="X24" s="14">
        <v>0.24965002849342144</v>
      </c>
      <c r="Y24" s="14">
        <f t="shared" ref="Y24:Y28" si="47">X24/X12</f>
        <v>0.92466205290351577</v>
      </c>
      <c r="Z24" s="14">
        <f t="shared" ref="Z24" si="48">STDEV(Y23:Y28)</f>
        <v>0.46841780648316084</v>
      </c>
      <c r="AA24" s="14">
        <v>0.14969285728712847</v>
      </c>
      <c r="AB24" s="14">
        <f t="shared" ref="AB24:AB28" si="49">AA24/AA12</f>
        <v>1.1926102537769538</v>
      </c>
      <c r="AC24" s="14">
        <f t="shared" ref="AC24" si="50">STDEV(AB23:AB28)</f>
        <v>0.24003454115292408</v>
      </c>
      <c r="AD24" s="14">
        <v>6.4274639140361522E-2</v>
      </c>
      <c r="AE24" s="14">
        <f t="shared" ref="AE24:AE28" si="51">AD24/AD12</f>
        <v>2.9361237349968143</v>
      </c>
      <c r="AF24" s="14">
        <f>STDEV(AE23:AE28)</f>
        <v>0.90392852422166348</v>
      </c>
      <c r="AG24" s="14">
        <v>0.56573240861096907</v>
      </c>
      <c r="AH24" s="14">
        <f t="shared" ref="AH24:AH28" si="52">AG24/AG12</f>
        <v>2.1982856927335321</v>
      </c>
      <c r="AI24" s="14">
        <f>STDEV(AH23:AH28)</f>
        <v>0.88812366874307891</v>
      </c>
      <c r="AJ24" s="14">
        <v>0.12601099363281559</v>
      </c>
      <c r="AK24" s="14">
        <f t="shared" ref="AK24:AK28" si="53">AJ24/AJ12</f>
        <v>12.310155400713207</v>
      </c>
      <c r="AL24" s="14">
        <f>STDEV(AK23:AK28)</f>
        <v>4.8479382286693475</v>
      </c>
      <c r="AM24" s="14">
        <v>2.9488453867072462</v>
      </c>
      <c r="AN24" s="14">
        <f t="shared" ref="AN24:AN28" si="54">AM24/AM12</f>
        <v>2.8262862233292485</v>
      </c>
      <c r="AO24" s="14">
        <f>STDEV(AN23:AN28)</f>
        <v>0.3169022418910733</v>
      </c>
      <c r="AP24" s="14">
        <v>0.65644818733279897</v>
      </c>
      <c r="AQ24" s="14">
        <f t="shared" ref="AQ24:AQ28" si="55">AP24/AP12</f>
        <v>3.4671413672739395</v>
      </c>
      <c r="AR24" s="14">
        <f>STDEV(AQ23:AQ28)</f>
        <v>0.47431511599742165</v>
      </c>
      <c r="AS24" s="14">
        <v>0.11792867491706348</v>
      </c>
      <c r="AT24" s="14">
        <f t="shared" ref="AT24:AT28" si="56">AS24/AS12</f>
        <v>1.750956604773064</v>
      </c>
      <c r="AU24" s="14">
        <f>STDEV(AT23:AT28)</f>
        <v>0.42570593330117396</v>
      </c>
      <c r="AV24" s="14">
        <v>5.220793969417044</v>
      </c>
      <c r="AW24" s="14">
        <f t="shared" ref="AW24:AW28" si="57">AV24/AV12</f>
        <v>22.841964577986399</v>
      </c>
      <c r="AX24" s="14">
        <f>STDEV(AW23:AW28)</f>
        <v>10.243156790323892</v>
      </c>
      <c r="AY24" s="14">
        <v>0.13952721347172015</v>
      </c>
      <c r="AZ24" s="14">
        <f t="shared" ref="AZ24:AZ28" si="58">AY24/AY12</f>
        <v>6.354212526865834</v>
      </c>
      <c r="BA24" s="14">
        <f>STDEV(AZ23:AZ28)</f>
        <v>2.8676009511745062</v>
      </c>
      <c r="BB24" s="14">
        <v>0.39595910018003017</v>
      </c>
      <c r="BC24" s="14">
        <f t="shared" ref="BC24:BC28" si="59">BB24/BB12</f>
        <v>2.1012477594561028</v>
      </c>
      <c r="BD24" s="13">
        <f>STDEV(BC23:BC28)</f>
        <v>2.8202407606060222</v>
      </c>
    </row>
    <row r="25" spans="1:56" x14ac:dyDescent="0.2">
      <c r="A25" s="15"/>
      <c r="B25" s="15" t="s">
        <v>126</v>
      </c>
      <c r="C25" s="14" t="s">
        <v>37</v>
      </c>
      <c r="D25" s="14">
        <v>26.943525314331055</v>
      </c>
      <c r="E25" s="14">
        <f t="shared" si="43"/>
        <v>2.0663453143310555</v>
      </c>
      <c r="F25" s="14">
        <f t="shared" si="1"/>
        <v>0.23876357832051373</v>
      </c>
      <c r="G25" s="14">
        <v>77.819725036621094</v>
      </c>
      <c r="H25" s="14" t="s">
        <v>24</v>
      </c>
      <c r="I25" s="14" t="s">
        <v>25</v>
      </c>
      <c r="J25" s="14">
        <v>22.322624206542969</v>
      </c>
      <c r="K25" s="14">
        <f t="shared" si="44"/>
        <v>2.9609742065429678</v>
      </c>
      <c r="L25" s="14">
        <f t="shared" si="3"/>
        <v>0.1284274760132825</v>
      </c>
      <c r="M25" s="14">
        <v>77.512481689453125</v>
      </c>
      <c r="N25" s="14" t="s">
        <v>24</v>
      </c>
      <c r="O25" s="13" t="s">
        <v>25</v>
      </c>
      <c r="R25" s="14"/>
      <c r="S25" s="15"/>
      <c r="T25" s="14" t="s">
        <v>118</v>
      </c>
      <c r="U25" s="14">
        <v>9.0962086882087867</v>
      </c>
      <c r="V25" s="14">
        <f t="shared" si="45"/>
        <v>1.608767579254369</v>
      </c>
      <c r="W25" s="14"/>
      <c r="X25" s="14">
        <v>0.35553819992672797</v>
      </c>
      <c r="Y25" s="14">
        <f t="shared" si="47"/>
        <v>1.4890805474922864</v>
      </c>
      <c r="Z25" s="14"/>
      <c r="AA25" s="14">
        <v>0.12836647566283343</v>
      </c>
      <c r="AB25" s="14">
        <f t="shared" si="49"/>
        <v>0.98549787332091687</v>
      </c>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3"/>
    </row>
    <row r="26" spans="1:56" x14ac:dyDescent="0.2">
      <c r="A26" s="15"/>
      <c r="B26" s="15" t="s">
        <v>127</v>
      </c>
      <c r="C26" s="14" t="s">
        <v>37</v>
      </c>
      <c r="D26" s="14">
        <v>25.879383087158203</v>
      </c>
      <c r="E26" s="14">
        <f>D26-23.74865</f>
        <v>2.1307330871582018</v>
      </c>
      <c r="F26" s="14">
        <f t="shared" si="1"/>
        <v>0.22834180408595095</v>
      </c>
      <c r="G26" s="14">
        <v>77.819725036621094</v>
      </c>
      <c r="H26" s="14" t="s">
        <v>24</v>
      </c>
      <c r="I26" s="14" t="s">
        <v>25</v>
      </c>
      <c r="J26" s="14">
        <v>21.712671279907227</v>
      </c>
      <c r="K26" s="14">
        <f>J26-19.12253</f>
        <v>2.5901412799072254</v>
      </c>
      <c r="L26" s="14">
        <f t="shared" si="3"/>
        <v>0.16606946315366153</v>
      </c>
      <c r="M26" s="14">
        <v>77.363349914550781</v>
      </c>
      <c r="N26" s="14" t="s">
        <v>24</v>
      </c>
      <c r="O26" s="13" t="s">
        <v>25</v>
      </c>
      <c r="R26" s="14"/>
      <c r="S26" s="15"/>
      <c r="T26" s="14" t="s">
        <v>118</v>
      </c>
      <c r="U26" s="14">
        <v>9.2612692699764345</v>
      </c>
      <c r="V26" s="14">
        <f t="shared" si="45"/>
        <v>1.5365572619567516</v>
      </c>
      <c r="W26" s="14"/>
      <c r="X26" s="14">
        <v>0.27366508853276811</v>
      </c>
      <c r="Y26" s="14">
        <f t="shared" si="47"/>
        <v>2.0750615617939459</v>
      </c>
      <c r="Z26" s="14"/>
      <c r="AA26" s="14">
        <v>0.19753507145503377</v>
      </c>
      <c r="AB26" s="14">
        <f t="shared" si="49"/>
        <v>1.1979429704730826</v>
      </c>
      <c r="AC26" s="14"/>
      <c r="AD26" s="14">
        <v>3.0157376176315871E-2</v>
      </c>
      <c r="AE26" s="14">
        <f t="shared" si="51"/>
        <v>1.5043883613485065</v>
      </c>
      <c r="AF26" s="14"/>
      <c r="AG26" s="14">
        <v>4.4429990002829753E-2</v>
      </c>
      <c r="AH26" s="14">
        <f t="shared" si="52"/>
        <v>3.2716297625609236</v>
      </c>
      <c r="AI26" s="14"/>
      <c r="AJ26" s="14">
        <v>1.8950277997463127E-2</v>
      </c>
      <c r="AK26" s="14">
        <f t="shared" si="53"/>
        <v>1.1770246493147714</v>
      </c>
      <c r="AL26" s="14"/>
      <c r="AM26" s="14">
        <v>0.24704762882214737</v>
      </c>
      <c r="AN26" s="14">
        <f t="shared" si="54"/>
        <v>3.1338761882381356</v>
      </c>
      <c r="AO26" s="14"/>
      <c r="AP26" s="14">
        <v>0.3552444880323784</v>
      </c>
      <c r="AQ26" s="14">
        <f t="shared" si="55"/>
        <v>2.3184497101793595</v>
      </c>
      <c r="AR26" s="14"/>
      <c r="AS26" s="14">
        <v>0.35818396895144927</v>
      </c>
      <c r="AT26" s="14">
        <f t="shared" si="56"/>
        <v>1.2557633064949756</v>
      </c>
      <c r="AU26" s="14"/>
      <c r="AV26" s="14">
        <v>1.744079722290808</v>
      </c>
      <c r="AW26" s="14">
        <f t="shared" si="57"/>
        <v>2.8103210884615502</v>
      </c>
      <c r="AX26" s="14"/>
      <c r="AY26" s="14">
        <v>6.4929075748276874E-2</v>
      </c>
      <c r="AZ26" s="14">
        <f t="shared" si="58"/>
        <v>0.48946942598619897</v>
      </c>
      <c r="BA26" s="14"/>
      <c r="BB26" s="14">
        <v>3.3325933639824097</v>
      </c>
      <c r="BC26" s="14">
        <f t="shared" si="59"/>
        <v>7.9985348251091892</v>
      </c>
      <c r="BD26" s="13"/>
    </row>
    <row r="27" spans="1:56" x14ac:dyDescent="0.2">
      <c r="A27" s="15"/>
      <c r="B27" s="15" t="s">
        <v>127</v>
      </c>
      <c r="C27" s="14" t="s">
        <v>37</v>
      </c>
      <c r="D27" s="14" t="s">
        <v>119</v>
      </c>
      <c r="E27" s="14"/>
      <c r="F27" s="14"/>
      <c r="G27" s="14">
        <v>71.856361389160156</v>
      </c>
      <c r="H27" s="14">
        <v>87.360977172851563</v>
      </c>
      <c r="I27" s="14" t="s">
        <v>146</v>
      </c>
      <c r="J27" s="14">
        <v>21.739849090576172</v>
      </c>
      <c r="K27" s="14">
        <f t="shared" ref="K27:K28" si="60">J27-19.12253</f>
        <v>2.6173190905761707</v>
      </c>
      <c r="L27" s="14">
        <f t="shared" si="3"/>
        <v>0.16297029268389518</v>
      </c>
      <c r="M27" s="14">
        <v>77.512733459472656</v>
      </c>
      <c r="N27" s="14" t="s">
        <v>24</v>
      </c>
      <c r="O27" s="13" t="s">
        <v>25</v>
      </c>
      <c r="R27" s="14"/>
      <c r="S27" s="15"/>
      <c r="T27" s="14" t="s">
        <v>118</v>
      </c>
      <c r="U27" s="14">
        <v>9.7833507040031975</v>
      </c>
      <c r="V27" s="14">
        <f t="shared" si="45"/>
        <v>1.5482518569375321</v>
      </c>
      <c r="W27" s="14"/>
      <c r="X27" s="14">
        <v>0.26964771340964905</v>
      </c>
      <c r="Y27" s="14">
        <f t="shared" si="47"/>
        <v>2.0629848034788942</v>
      </c>
      <c r="Z27" s="14"/>
      <c r="AA27" s="14">
        <v>0.20985112613281579</v>
      </c>
      <c r="AB27" s="14">
        <f t="shared" si="49"/>
        <v>1.2819732504009167</v>
      </c>
      <c r="AC27" s="14"/>
      <c r="AD27" s="14">
        <v>2.8754907873098964E-2</v>
      </c>
      <c r="AE27" s="14">
        <f t="shared" si="51"/>
        <v>1.4613591124560126</v>
      </c>
      <c r="AF27" s="14"/>
      <c r="AG27" s="14">
        <v>4.9934357546058988E-2</v>
      </c>
      <c r="AH27" s="14">
        <f t="shared" si="52"/>
        <v>3.5013327180500546</v>
      </c>
      <c r="AI27" s="14"/>
      <c r="AJ27" s="14">
        <v>1.7458377990512582E-2</v>
      </c>
      <c r="AK27" s="14">
        <f t="shared" si="53"/>
        <v>1.1205776807972962</v>
      </c>
      <c r="AL27" s="14"/>
      <c r="AM27" s="14">
        <v>0.25920005394383239</v>
      </c>
      <c r="AN27" s="14">
        <f t="shared" si="54"/>
        <v>3.5617663578584469</v>
      </c>
      <c r="AO27" s="14"/>
      <c r="AP27" s="14">
        <v>0.37751328468346634</v>
      </c>
      <c r="AQ27" s="14">
        <f t="shared" si="55"/>
        <v>2.3882244801498134</v>
      </c>
      <c r="AR27" s="14"/>
      <c r="AS27" s="14"/>
      <c r="AT27" s="14"/>
      <c r="AU27" s="14"/>
      <c r="AV27" s="14">
        <v>1.8384902356178321</v>
      </c>
      <c r="AW27" s="14">
        <f t="shared" si="57"/>
        <v>3.0158257145577649</v>
      </c>
      <c r="AX27" s="14"/>
      <c r="AY27" s="14">
        <v>5.5168946580811451E-2</v>
      </c>
      <c r="AZ27" s="14">
        <f t="shared" si="58"/>
        <v>0.3556943161576796</v>
      </c>
      <c r="BA27" s="14"/>
      <c r="BB27" s="14">
        <v>3.3362081879373529</v>
      </c>
      <c r="BC27" s="14">
        <f t="shared" si="59"/>
        <v>6.8999400110371409</v>
      </c>
      <c r="BD27" s="13"/>
    </row>
    <row r="28" spans="1:56" x14ac:dyDescent="0.2">
      <c r="A28" s="15"/>
      <c r="B28" s="15" t="s">
        <v>127</v>
      </c>
      <c r="C28" s="14" t="s">
        <v>37</v>
      </c>
      <c r="D28" s="14">
        <v>25.88526725769043</v>
      </c>
      <c r="E28" s="14">
        <f t="shared" ref="E28" si="61">D28-23.74865</f>
        <v>2.1366172576904283</v>
      </c>
      <c r="F28" s="14">
        <f t="shared" si="1"/>
        <v>0.22741238671571312</v>
      </c>
      <c r="G28" s="14">
        <v>77.819679260253906</v>
      </c>
      <c r="H28" s="14" t="s">
        <v>24</v>
      </c>
      <c r="I28" s="14" t="s">
        <v>25</v>
      </c>
      <c r="J28" s="14">
        <v>21.728647232055664</v>
      </c>
      <c r="K28" s="14">
        <f t="shared" si="60"/>
        <v>2.6061172320556629</v>
      </c>
      <c r="L28" s="14">
        <f t="shared" si="3"/>
        <v>0.16424060681263575</v>
      </c>
      <c r="M28" s="14">
        <v>77.512733459472656</v>
      </c>
      <c r="N28" s="14" t="s">
        <v>24</v>
      </c>
      <c r="O28" s="13" t="s">
        <v>25</v>
      </c>
      <c r="R28" s="14"/>
      <c r="S28" s="15"/>
      <c r="T28" s="14" t="s">
        <v>118</v>
      </c>
      <c r="U28" s="14">
        <v>9.9749094259666187</v>
      </c>
      <c r="V28" s="14">
        <f t="shared" si="45"/>
        <v>1.5520309497772617</v>
      </c>
      <c r="W28" s="14"/>
      <c r="X28" s="14">
        <v>0.27109108569871643</v>
      </c>
      <c r="Y28" s="14">
        <f t="shared" si="47"/>
        <v>2.1108495947602295</v>
      </c>
      <c r="Z28" s="14"/>
      <c r="AA28" s="14">
        <v>0.22681235530888938</v>
      </c>
      <c r="AB28" s="14">
        <f t="shared" si="49"/>
        <v>1.3658153856949851</v>
      </c>
      <c r="AC28" s="14"/>
      <c r="AD28" s="14">
        <v>2.9344494008890717E-2</v>
      </c>
      <c r="AE28" s="14">
        <f t="shared" si="51"/>
        <v>1.4735076646131784</v>
      </c>
      <c r="AF28" s="14"/>
      <c r="AG28" s="14">
        <v>5.0327043575965853E-2</v>
      </c>
      <c r="AH28" s="14">
        <f t="shared" si="52"/>
        <v>3.8006233844687913</v>
      </c>
      <c r="AI28" s="14"/>
      <c r="AJ28" s="14">
        <v>1.9420589295525609E-2</v>
      </c>
      <c r="AK28" s="14">
        <f t="shared" si="53"/>
        <v>1.1656980897615687</v>
      </c>
      <c r="AL28" s="14"/>
      <c r="AM28" s="14">
        <v>0.26717205156098278</v>
      </c>
      <c r="AN28" s="14">
        <f t="shared" si="54"/>
        <v>3.4076131281354356</v>
      </c>
      <c r="AO28" s="14"/>
      <c r="AP28" s="14">
        <v>0.38142338268404902</v>
      </c>
      <c r="AQ28" s="14">
        <f t="shared" si="55"/>
        <v>2.4269031715547271</v>
      </c>
      <c r="AR28" s="14"/>
      <c r="AS28" s="14">
        <v>0.37131598111263842</v>
      </c>
      <c r="AT28" s="14">
        <f t="shared" si="56"/>
        <v>1.304923661208524</v>
      </c>
      <c r="AU28" s="14"/>
      <c r="AV28" s="14">
        <v>1.9799665933279795</v>
      </c>
      <c r="AW28" s="14">
        <f t="shared" si="57"/>
        <v>3.1608228334445672</v>
      </c>
      <c r="AX28" s="14"/>
      <c r="AY28" s="14">
        <v>6.6429745139716695E-2</v>
      </c>
      <c r="AZ28" s="14">
        <f t="shared" si="58"/>
        <v>0.43032645823370624</v>
      </c>
      <c r="BA28" s="14"/>
      <c r="BB28" s="14">
        <v>3.3114505561543877</v>
      </c>
      <c r="BC28" s="14">
        <f t="shared" si="59"/>
        <v>6.8485009059762145</v>
      </c>
      <c r="BD28" s="13"/>
    </row>
    <row r="29" spans="1:56" x14ac:dyDescent="0.2">
      <c r="A29" s="15"/>
      <c r="B29" s="15" t="s">
        <v>128</v>
      </c>
      <c r="C29" s="14" t="s">
        <v>37</v>
      </c>
      <c r="D29" s="14">
        <v>30.737068176269531</v>
      </c>
      <c r="E29" s="14">
        <f>D29-29.33195</f>
        <v>1.4051181762695322</v>
      </c>
      <c r="F29" s="14">
        <f t="shared" si="1"/>
        <v>0.37758721561537512</v>
      </c>
      <c r="G29" s="14">
        <v>77.968185424804688</v>
      </c>
      <c r="H29" s="14" t="s">
        <v>24</v>
      </c>
      <c r="I29" s="14" t="s">
        <v>25</v>
      </c>
      <c r="J29" s="14">
        <v>25.296016693115234</v>
      </c>
      <c r="K29" s="14">
        <f>J29-23.4265</f>
        <v>1.8695166931152336</v>
      </c>
      <c r="L29" s="14">
        <f t="shared" si="3"/>
        <v>0.27366508853276811</v>
      </c>
      <c r="M29" s="14">
        <v>77.363059997558594</v>
      </c>
      <c r="N29" s="14" t="s">
        <v>24</v>
      </c>
      <c r="O29" s="13" t="s">
        <v>25</v>
      </c>
      <c r="R29" s="14"/>
      <c r="S29" s="15"/>
      <c r="T29" s="14" t="s">
        <v>16</v>
      </c>
      <c r="U29" s="14">
        <v>6.4128731480391936</v>
      </c>
      <c r="V29" s="14">
        <f>U29/U11</f>
        <v>1.1504268415199446</v>
      </c>
      <c r="W29" s="14">
        <f t="shared" ref="W29" si="62">AVERAGE(V29:V34)</f>
        <v>1.2685985045787653</v>
      </c>
      <c r="X29" s="14">
        <v>0.32081328371468304</v>
      </c>
      <c r="Y29" s="14">
        <f>X29/X11</f>
        <v>1.3561348400642805</v>
      </c>
      <c r="Z29" s="14">
        <f t="shared" ref="Z29" si="63">AVERAGE(Y29:Y34)</f>
        <v>1.5720543602921691</v>
      </c>
      <c r="AA29" s="14">
        <v>0.13558121275630303</v>
      </c>
      <c r="AB29" s="14">
        <f>AA29/AA11</f>
        <v>0.95104871570128768</v>
      </c>
      <c r="AC29" s="14">
        <f t="shared" ref="AC29" si="64">AVERAGE(AB29:AB34)</f>
        <v>1.2283636311008499</v>
      </c>
      <c r="AD29" s="14">
        <v>4.7534002105334712E-2</v>
      </c>
      <c r="AE29" s="14">
        <f>AD29/AD11</f>
        <v>2.0243131293416257</v>
      </c>
      <c r="AF29" s="14">
        <f>AVERAGE(AE29:AE34)</f>
        <v>1.6780118956442678</v>
      </c>
      <c r="AG29" s="14">
        <v>0.43798213811216968</v>
      </c>
      <c r="AH29" s="14">
        <f>AG29/AG11</f>
        <v>1.2397590906414593</v>
      </c>
      <c r="AI29" s="14">
        <f>AVERAGE(AH29:AH34)</f>
        <v>2.2984579043941067</v>
      </c>
      <c r="AJ29" s="14">
        <v>5.5101563575490765E-2</v>
      </c>
      <c r="AK29" s="14">
        <f>AJ29/AJ11</f>
        <v>2.0031731467694089</v>
      </c>
      <c r="AL29" s="14">
        <f>AVERAGE(AK29:AK34)</f>
        <v>1.6284628700005057</v>
      </c>
      <c r="AM29" s="14">
        <v>1.9938482903261443</v>
      </c>
      <c r="AN29" s="14">
        <f>AM29/AM11</f>
        <v>1.9417425103626309</v>
      </c>
      <c r="AO29" s="14">
        <f>AVERAGE(AN29:AN34)</f>
        <v>2.4506756495232596</v>
      </c>
      <c r="AP29" s="14">
        <v>0.33565769617735974</v>
      </c>
      <c r="AQ29" s="14">
        <f>AP29/AP11</f>
        <v>1.7037207787572721</v>
      </c>
      <c r="AR29" s="14">
        <f>AVERAGE(AQ29:AQ34)</f>
        <v>1.8182116112875391</v>
      </c>
      <c r="AS29" s="14">
        <v>9.3477275490625913E-2</v>
      </c>
      <c r="AT29" s="14">
        <f>AS29/AS11</f>
        <v>1.3050529122213617</v>
      </c>
      <c r="AU29" s="14">
        <f>AVERAGE(AT29:AT34)</f>
        <v>1.4203998501699393</v>
      </c>
      <c r="AV29" s="14">
        <v>1.905895807903887</v>
      </c>
      <c r="AW29" s="14">
        <f>AV29/AV11</f>
        <v>7.4438350707701035</v>
      </c>
      <c r="AX29" s="14">
        <f>AVERAGE(AW29:AW34)</f>
        <v>3.7872170682347388</v>
      </c>
      <c r="AY29" s="14">
        <v>6.8392761635870061E-2</v>
      </c>
      <c r="AZ29" s="14">
        <f>AY29/AY11</f>
        <v>3.1346832059498149</v>
      </c>
      <c r="BA29" s="14">
        <f>AVERAGE(AZ29:AZ34)</f>
        <v>1.5198335657305964</v>
      </c>
      <c r="BB29" s="14">
        <v>0.41942139484280855</v>
      </c>
      <c r="BC29" s="14">
        <f>BB29/BB11</f>
        <v>2.1640296884947192</v>
      </c>
      <c r="BD29" s="13">
        <f>AVERAGE(BC29:BC34)</f>
        <v>3.8826192599842329</v>
      </c>
    </row>
    <row r="30" spans="1:56" x14ac:dyDescent="0.2">
      <c r="A30" s="15"/>
      <c r="B30" s="15" t="s">
        <v>128</v>
      </c>
      <c r="C30" s="14" t="s">
        <v>37</v>
      </c>
      <c r="D30" s="14">
        <v>31.33397102355957</v>
      </c>
      <c r="E30" s="14">
        <f t="shared" ref="E30:E31" si="65">D30-29.33195</f>
        <v>2.0020210235595712</v>
      </c>
      <c r="F30" s="14">
        <f t="shared" si="1"/>
        <v>0.24965002849342144</v>
      </c>
      <c r="G30" s="14">
        <v>77.968185424804688</v>
      </c>
      <c r="H30" s="14" t="s">
        <v>24</v>
      </c>
      <c r="I30" s="14" t="s">
        <v>25</v>
      </c>
      <c r="J30" s="14">
        <v>25.317352294921875</v>
      </c>
      <c r="K30" s="14">
        <f t="shared" ref="K30:K31" si="66">J30-23.4265</f>
        <v>1.8908522949218742</v>
      </c>
      <c r="L30" s="14">
        <f t="shared" si="3"/>
        <v>0.26964771340964905</v>
      </c>
      <c r="M30" s="14">
        <v>77.363059997558594</v>
      </c>
      <c r="N30" s="14" t="s">
        <v>24</v>
      </c>
      <c r="O30" s="13" t="s">
        <v>25</v>
      </c>
      <c r="R30" s="14"/>
      <c r="S30" s="15"/>
      <c r="T30" s="14" t="s">
        <v>16</v>
      </c>
      <c r="U30" s="14">
        <v>6.815527187258593</v>
      </c>
      <c r="V30" s="14">
        <f t="shared" ref="V30:V34" si="67">U30/U12</f>
        <v>1.2420136435870681</v>
      </c>
      <c r="W30" s="14">
        <f t="shared" ref="W30" si="68">STDEV(V29:V34)</f>
        <v>0.10381087201799355</v>
      </c>
      <c r="X30" s="14">
        <v>0.36479072257971079</v>
      </c>
      <c r="Y30" s="14">
        <f t="shared" ref="Y30:Y34" si="69">X30/X12</f>
        <v>1.351123973252824</v>
      </c>
      <c r="Z30" s="14">
        <f t="shared" ref="Z30" si="70">STDEV(Y29:Y34)</f>
        <v>0.2018846444988239</v>
      </c>
      <c r="AA30" s="14">
        <v>0.14815565264074673</v>
      </c>
      <c r="AB30" s="14">
        <f t="shared" ref="AB30:AB34" si="71">AA30/AA12</f>
        <v>1.1803632698082267</v>
      </c>
      <c r="AC30" s="14">
        <f t="shared" ref="AC30" si="72">STDEV(AB29:AB34)</f>
        <v>0.20040220363253872</v>
      </c>
      <c r="AD30" s="14">
        <v>3.6690088520914807E-2</v>
      </c>
      <c r="AE30" s="14">
        <f t="shared" ref="AE30:AE34" si="73">AD30/AD12</f>
        <v>1.6760364770020892</v>
      </c>
      <c r="AF30" s="14">
        <f>STDEV(AE29:AE34)</f>
        <v>0.19998819875134516</v>
      </c>
      <c r="AG30" s="14">
        <v>0.49861348478912743</v>
      </c>
      <c r="AH30" s="14">
        <f t="shared" ref="AH30:AH34" si="74">AG30/AG12</f>
        <v>1.937479403923785</v>
      </c>
      <c r="AI30" s="14">
        <f>STDEV(AH29:AH34)</f>
        <v>0.70100567619101462</v>
      </c>
      <c r="AJ30" s="14">
        <v>3.293922417900038E-2</v>
      </c>
      <c r="AK30" s="14">
        <f t="shared" ref="AK30:AK34" si="75">AJ30/AJ12</f>
        <v>3.2178697805048357</v>
      </c>
      <c r="AL30" s="14">
        <f>STDEV(AK29:AK34)</f>
        <v>0.99463235382680448</v>
      </c>
      <c r="AM30" s="14">
        <v>2.6820564584800133</v>
      </c>
      <c r="AN30" s="14">
        <f t="shared" ref="AN30:AN34" si="76">AM30/AM12</f>
        <v>2.5705855088108236</v>
      </c>
      <c r="AO30" s="14">
        <f>STDEV(AN29:AN34)</f>
        <v>0.29660893655730819</v>
      </c>
      <c r="AP30" s="14">
        <v>0.3280980694330804</v>
      </c>
      <c r="AQ30" s="14">
        <f t="shared" ref="AQ30:AQ34" si="77">AP30/AP12</f>
        <v>1.7329050654799678</v>
      </c>
      <c r="AR30" s="14">
        <f>STDEV(AQ29:AQ34)</f>
        <v>0.10930844172029684</v>
      </c>
      <c r="AS30" s="14">
        <v>9.0607285190355644E-2</v>
      </c>
      <c r="AT30" s="14">
        <f t="shared" ref="AT30:AT34" si="78">AS30/AS12</f>
        <v>1.3452998141137795</v>
      </c>
      <c r="AU30" s="14">
        <f>STDEV(AT29:AT34)</f>
        <v>8.9173003035618814E-2</v>
      </c>
      <c r="AV30" s="14">
        <v>1.8840050595504849</v>
      </c>
      <c r="AW30" s="14">
        <f t="shared" ref="AW30:AW34" si="79">AV30/AV12</f>
        <v>8.2428797395742794</v>
      </c>
      <c r="AX30" s="14">
        <f>STDEV(AW29:AW34)</f>
        <v>3.713713002249825</v>
      </c>
      <c r="AY30" s="14">
        <v>6.4285268790538558E-2</v>
      </c>
      <c r="AZ30" s="14">
        <f t="shared" ref="AZ30:AZ34" si="80">AY30/AY12</f>
        <v>2.9276171298624116</v>
      </c>
      <c r="BA30" s="14">
        <f>STDEV(AZ29:AZ34)</f>
        <v>1.3820129280111924</v>
      </c>
      <c r="BB30" s="14">
        <v>0.42337580250074397</v>
      </c>
      <c r="BC30" s="14">
        <f t="shared" ref="BC30:BC34" si="81">BB30/BB12</f>
        <v>2.2467407770351446</v>
      </c>
      <c r="BD30" s="13">
        <f>STDEV(BC29:BC34)</f>
        <v>1.5726681696248894</v>
      </c>
    </row>
    <row r="31" spans="1:56" x14ac:dyDescent="0.2">
      <c r="A31" s="15"/>
      <c r="B31" s="15" t="s">
        <v>128</v>
      </c>
      <c r="C31" s="14" t="s">
        <v>37</v>
      </c>
      <c r="D31" s="14">
        <v>30.823873519897461</v>
      </c>
      <c r="E31" s="14">
        <f t="shared" si="65"/>
        <v>1.4919235198974619</v>
      </c>
      <c r="F31" s="14">
        <f t="shared" si="1"/>
        <v>0.35553819992672797</v>
      </c>
      <c r="G31" s="14">
        <v>77.966468811035156</v>
      </c>
      <c r="H31" s="14" t="s">
        <v>24</v>
      </c>
      <c r="I31" s="14" t="s">
        <v>25</v>
      </c>
      <c r="J31" s="14">
        <v>25.309650421142578</v>
      </c>
      <c r="K31" s="14">
        <f t="shared" si="66"/>
        <v>1.8831504211425774</v>
      </c>
      <c r="L31" s="14">
        <f t="shared" si="3"/>
        <v>0.27109108569871643</v>
      </c>
      <c r="M31" s="14">
        <v>77.511032104492188</v>
      </c>
      <c r="N31" s="14" t="s">
        <v>24</v>
      </c>
      <c r="O31" s="13" t="s">
        <v>25</v>
      </c>
      <c r="R31" s="14"/>
      <c r="S31" s="15"/>
      <c r="T31" s="14" t="s">
        <v>16</v>
      </c>
      <c r="U31" s="14">
        <v>6.5145539949435802</v>
      </c>
      <c r="V31" s="14">
        <f t="shared" si="67"/>
        <v>1.1521726929982132</v>
      </c>
      <c r="W31" s="14"/>
      <c r="X31" s="14">
        <v>0.3507835275891551</v>
      </c>
      <c r="Y31" s="14">
        <f t="shared" si="69"/>
        <v>1.4691668220781435</v>
      </c>
      <c r="Z31" s="14"/>
      <c r="AA31" s="14">
        <v>0.13649955073777631</v>
      </c>
      <c r="AB31" s="14">
        <f t="shared" si="71"/>
        <v>1.0479372925581332</v>
      </c>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3"/>
    </row>
    <row r="32" spans="1:56" x14ac:dyDescent="0.2">
      <c r="A32" s="15"/>
      <c r="B32" s="15" t="s">
        <v>129</v>
      </c>
      <c r="C32" s="14" t="s">
        <v>37</v>
      </c>
      <c r="D32" s="14">
        <v>29.614414215087891</v>
      </c>
      <c r="E32" s="14">
        <f>D32-27.97422</f>
        <v>1.6401942150878916</v>
      </c>
      <c r="F32" s="14">
        <f t="shared" si="1"/>
        <v>0.32081328371468304</v>
      </c>
      <c r="G32" s="14">
        <v>77.966468811035156</v>
      </c>
      <c r="H32" s="14" t="s">
        <v>24</v>
      </c>
      <c r="I32" s="14" t="s">
        <v>25</v>
      </c>
      <c r="J32" s="14">
        <v>22.141441345214844</v>
      </c>
      <c r="K32" s="14">
        <f>J32-20.01096</f>
        <v>2.130481345214843</v>
      </c>
      <c r="L32" s="14">
        <f t="shared" si="3"/>
        <v>0.22838165188705711</v>
      </c>
      <c r="M32" s="14">
        <v>77.511032104492188</v>
      </c>
      <c r="N32" s="14" t="s">
        <v>24</v>
      </c>
      <c r="O32" s="13" t="s">
        <v>25</v>
      </c>
      <c r="R32" s="14"/>
      <c r="S32" s="15"/>
      <c r="T32" s="14" t="s">
        <v>16</v>
      </c>
      <c r="U32" s="14">
        <v>8.4094884532856948</v>
      </c>
      <c r="V32" s="14">
        <f t="shared" si="67"/>
        <v>1.3952364600959783</v>
      </c>
      <c r="W32" s="14"/>
      <c r="X32" s="14">
        <v>0.22838165188705711</v>
      </c>
      <c r="Y32" s="14">
        <f t="shared" si="69"/>
        <v>1.7317005606767171</v>
      </c>
      <c r="Z32" s="14"/>
      <c r="AA32" s="14">
        <v>0.23813127563735895</v>
      </c>
      <c r="AB32" s="14">
        <f t="shared" si="71"/>
        <v>1.4441369099587946</v>
      </c>
      <c r="AC32" s="14"/>
      <c r="AD32" s="14">
        <v>3.118457251993384E-2</v>
      </c>
      <c r="AE32" s="14">
        <f t="shared" si="73"/>
        <v>1.5556296303211108</v>
      </c>
      <c r="AF32" s="14"/>
      <c r="AG32" s="14">
        <v>3.7764679558775528E-2</v>
      </c>
      <c r="AH32" s="14">
        <f t="shared" si="74"/>
        <v>2.7808255102059913</v>
      </c>
      <c r="AI32" s="14"/>
      <c r="AJ32" s="14">
        <v>1.572440231727441E-2</v>
      </c>
      <c r="AK32" s="14">
        <f t="shared" si="75"/>
        <v>0.9766616154998865</v>
      </c>
      <c r="AL32" s="14"/>
      <c r="AM32" s="14">
        <v>0.20059707674906901</v>
      </c>
      <c r="AN32" s="14">
        <f t="shared" si="76"/>
        <v>2.5446364543197273</v>
      </c>
      <c r="AO32" s="14"/>
      <c r="AP32" s="14">
        <v>0.29800212447043595</v>
      </c>
      <c r="AQ32" s="14">
        <f t="shared" si="77"/>
        <v>1.9448660356085357</v>
      </c>
      <c r="AR32" s="14"/>
      <c r="AS32" s="14">
        <v>0.42176917905859407</v>
      </c>
      <c r="AT32" s="14">
        <f t="shared" si="78"/>
        <v>1.4786877827692029</v>
      </c>
      <c r="AU32" s="14"/>
      <c r="AV32" s="14">
        <v>0.66099589439315598</v>
      </c>
      <c r="AW32" s="14">
        <f t="shared" si="79"/>
        <v>1.0650950628332871</v>
      </c>
      <c r="AX32" s="14"/>
      <c r="AY32" s="14">
        <v>7.544203620326137E-2</v>
      </c>
      <c r="AZ32" s="14">
        <f t="shared" si="80"/>
        <v>0.56872163557049193</v>
      </c>
      <c r="BA32" s="14"/>
      <c r="BB32" s="14">
        <v>2.3271318992275076</v>
      </c>
      <c r="BC32" s="14">
        <f t="shared" si="81"/>
        <v>5.5853335542715659</v>
      </c>
      <c r="BD32" s="13"/>
    </row>
    <row r="33" spans="1:56" x14ac:dyDescent="0.2">
      <c r="A33" s="15"/>
      <c r="B33" s="15" t="s">
        <v>129</v>
      </c>
      <c r="C33" s="14" t="s">
        <v>37</v>
      </c>
      <c r="D33" s="14">
        <v>29.429079055786133</v>
      </c>
      <c r="E33" s="14">
        <f t="shared" ref="E33:E34" si="82">D33-27.97422</f>
        <v>1.4548590557861338</v>
      </c>
      <c r="F33" s="14">
        <f t="shared" si="1"/>
        <v>0.36479072257971079</v>
      </c>
      <c r="G33" s="14">
        <v>77.820297241210938</v>
      </c>
      <c r="H33" s="14" t="s">
        <v>24</v>
      </c>
      <c r="I33" s="14" t="s">
        <v>25</v>
      </c>
      <c r="J33" s="14">
        <v>22.125238418579102</v>
      </c>
      <c r="K33" s="14">
        <f t="shared" ref="K33:K34" si="83">J33-20.01096</f>
        <v>2.1142784185791008</v>
      </c>
      <c r="L33" s="14">
        <f t="shared" si="3"/>
        <v>0.23096106677682063</v>
      </c>
      <c r="M33" s="14">
        <v>77.363365173339844</v>
      </c>
      <c r="N33" s="14" t="s">
        <v>24</v>
      </c>
      <c r="O33" s="13" t="s">
        <v>25</v>
      </c>
      <c r="R33" s="14"/>
      <c r="S33" s="15"/>
      <c r="T33" s="14" t="s">
        <v>16</v>
      </c>
      <c r="U33" s="14">
        <v>8.5478997335355764</v>
      </c>
      <c r="V33" s="14">
        <f t="shared" si="67"/>
        <v>1.352737117963789</v>
      </c>
      <c r="W33" s="14"/>
      <c r="X33" s="14">
        <v>0.23096106677682063</v>
      </c>
      <c r="Y33" s="14">
        <f t="shared" si="69"/>
        <v>1.7670061612278638</v>
      </c>
      <c r="Z33" s="14"/>
      <c r="AA33" s="14">
        <v>0.22725038651540905</v>
      </c>
      <c r="AB33" s="14">
        <f t="shared" si="71"/>
        <v>1.3882647285468466</v>
      </c>
      <c r="AC33" s="14"/>
      <c r="AD33" s="14">
        <v>3.0540608329151165E-2</v>
      </c>
      <c r="AE33" s="14">
        <f t="shared" si="73"/>
        <v>1.5521105641763657</v>
      </c>
      <c r="AF33" s="14"/>
      <c r="AG33" s="14">
        <v>3.7383471636253433E-2</v>
      </c>
      <c r="AH33" s="14">
        <f t="shared" si="74"/>
        <v>2.6212807931608375</v>
      </c>
      <c r="AI33" s="14"/>
      <c r="AJ33" s="14">
        <v>1.5897164014871117E-2</v>
      </c>
      <c r="AK33" s="14">
        <f t="shared" si="75"/>
        <v>1.0203701164403238</v>
      </c>
      <c r="AL33" s="14"/>
      <c r="AM33" s="14">
        <v>0.19740137216769874</v>
      </c>
      <c r="AN33" s="14">
        <f t="shared" si="76"/>
        <v>2.7125672070051441</v>
      </c>
      <c r="AO33" s="14"/>
      <c r="AP33" s="14">
        <v>0.28277008178495033</v>
      </c>
      <c r="AQ33" s="14">
        <f t="shared" si="77"/>
        <v>1.788860045386264</v>
      </c>
      <c r="AR33" s="14"/>
      <c r="AS33" s="14">
        <v>0.42673808584800232</v>
      </c>
      <c r="AT33" s="14">
        <f t="shared" si="78"/>
        <v>1.5056088922011006</v>
      </c>
      <c r="AU33" s="14"/>
      <c r="AV33" s="14">
        <v>0.69922420439494415</v>
      </c>
      <c r="AW33" s="14">
        <f t="shared" si="79"/>
        <v>1.14699458011906</v>
      </c>
      <c r="AX33" s="14"/>
      <c r="AY33" s="14">
        <v>7.447098842712134E-2</v>
      </c>
      <c r="AZ33" s="14">
        <f t="shared" si="80"/>
        <v>0.48014161849855985</v>
      </c>
      <c r="BA33" s="14"/>
      <c r="BB33" s="14">
        <v>2.273016095013896</v>
      </c>
      <c r="BC33" s="14">
        <f t="shared" si="81"/>
        <v>4.7010479611029261</v>
      </c>
      <c r="BD33" s="13"/>
    </row>
    <row r="34" spans="1:56" ht="13.5" thickBot="1" x14ac:dyDescent="0.25">
      <c r="A34" s="15"/>
      <c r="B34" s="15" t="s">
        <v>129</v>
      </c>
      <c r="C34" s="14" t="s">
        <v>37</v>
      </c>
      <c r="D34" s="14">
        <v>29.485567092895508</v>
      </c>
      <c r="E34" s="14">
        <f t="shared" si="82"/>
        <v>1.5113470928955088</v>
      </c>
      <c r="F34" s="14">
        <f t="shared" si="1"/>
        <v>0.3507835275891551</v>
      </c>
      <c r="G34" s="14">
        <v>77.820297241210938</v>
      </c>
      <c r="H34" s="14" t="s">
        <v>24</v>
      </c>
      <c r="I34" s="14" t="s">
        <v>25</v>
      </c>
      <c r="J34" s="14">
        <v>22.158660888671875</v>
      </c>
      <c r="K34" s="14">
        <f t="shared" si="83"/>
        <v>2.1477008886718743</v>
      </c>
      <c r="L34" s="14">
        <f t="shared" si="3"/>
        <v>0.22567196517210003</v>
      </c>
      <c r="M34" s="14">
        <v>77.363365173339844</v>
      </c>
      <c r="N34" s="14" t="s">
        <v>24</v>
      </c>
      <c r="O34" s="13" t="s">
        <v>25</v>
      </c>
      <c r="R34" s="14"/>
      <c r="S34" s="12"/>
      <c r="T34" s="11" t="s">
        <v>16</v>
      </c>
      <c r="U34" s="11">
        <v>8.4772459857482865</v>
      </c>
      <c r="V34" s="11">
        <f t="shared" si="67"/>
        <v>1.3190042713075982</v>
      </c>
      <c r="W34" s="11"/>
      <c r="X34" s="11">
        <v>0.22567196517210003</v>
      </c>
      <c r="Y34" s="11">
        <f t="shared" si="69"/>
        <v>1.757193804453185</v>
      </c>
      <c r="Z34" s="11"/>
      <c r="AA34" s="11">
        <v>0.22558605532140788</v>
      </c>
      <c r="AB34" s="11">
        <f t="shared" si="71"/>
        <v>1.3584308700318113</v>
      </c>
      <c r="AC34" s="11"/>
      <c r="AD34" s="11">
        <v>3.1504484730532509E-2</v>
      </c>
      <c r="AE34" s="11">
        <f t="shared" si="73"/>
        <v>1.5819696773801466</v>
      </c>
      <c r="AF34" s="11"/>
      <c r="AG34" s="11">
        <v>3.8572592238458145E-2</v>
      </c>
      <c r="AH34" s="11">
        <f t="shared" si="74"/>
        <v>2.9129447240384603</v>
      </c>
      <c r="AI34" s="11"/>
      <c r="AJ34" s="11">
        <v>1.5397880122708346E-2</v>
      </c>
      <c r="AK34" s="11">
        <f t="shared" si="75"/>
        <v>0.924239690788073</v>
      </c>
      <c r="AL34" s="11"/>
      <c r="AM34" s="11">
        <v>0.1947446374180179</v>
      </c>
      <c r="AN34" s="11">
        <f t="shared" si="76"/>
        <v>2.4838465671179728</v>
      </c>
      <c r="AO34" s="11"/>
      <c r="AP34" s="11">
        <v>0.30186710301966158</v>
      </c>
      <c r="AQ34" s="11">
        <f t="shared" si="77"/>
        <v>1.9207061312056561</v>
      </c>
      <c r="AR34" s="11"/>
      <c r="AS34" s="11">
        <v>0.41753434719269766</v>
      </c>
      <c r="AT34" s="11">
        <f t="shared" si="78"/>
        <v>1.4673498495442514</v>
      </c>
      <c r="AU34" s="11"/>
      <c r="AV34" s="11">
        <v>0.64976166464092144</v>
      </c>
      <c r="AW34" s="11">
        <f t="shared" si="79"/>
        <v>1.0372808878769648</v>
      </c>
      <c r="AX34" s="11"/>
      <c r="AY34" s="11">
        <v>7.5333497600325927E-2</v>
      </c>
      <c r="AZ34" s="11">
        <f t="shared" si="80"/>
        <v>0.48800423877170274</v>
      </c>
      <c r="BA34" s="11"/>
      <c r="BB34" s="11">
        <v>2.2802970536769283</v>
      </c>
      <c r="BC34" s="11">
        <f t="shared" si="81"/>
        <v>4.715944319016808</v>
      </c>
      <c r="BD34" s="10"/>
    </row>
    <row r="35" spans="1:56" x14ac:dyDescent="0.2">
      <c r="A35" s="15"/>
      <c r="B35" s="15" t="s">
        <v>126</v>
      </c>
      <c r="C35" s="14" t="s">
        <v>49</v>
      </c>
      <c r="D35" s="14">
        <v>27.687541961669922</v>
      </c>
      <c r="E35" s="14">
        <f>D35-24.87718</f>
        <v>2.8103619616699227</v>
      </c>
      <c r="F35" s="14">
        <f t="shared" si="1"/>
        <v>0.14255969280850947</v>
      </c>
      <c r="G35" s="14">
        <v>76.779388427734375</v>
      </c>
      <c r="H35" s="14" t="s">
        <v>24</v>
      </c>
      <c r="I35" s="14" t="s">
        <v>25</v>
      </c>
      <c r="J35" s="14">
        <v>21.962028503417969</v>
      </c>
      <c r="K35" s="14">
        <f>J35-19.36165</f>
        <v>2.6003785034179678</v>
      </c>
      <c r="L35" s="14">
        <f t="shared" si="3"/>
        <v>0.16489522149541452</v>
      </c>
      <c r="M35" s="14">
        <v>76.320297241210938</v>
      </c>
      <c r="N35" s="14" t="s">
        <v>24</v>
      </c>
      <c r="O35" s="13" t="s">
        <v>25</v>
      </c>
      <c r="R35" s="14"/>
      <c r="S35" s="14"/>
      <c r="T35" s="14"/>
      <c r="U35" s="14"/>
      <c r="V35" s="14"/>
      <c r="W35" s="14"/>
      <c r="X35" s="14"/>
      <c r="AA35" s="14"/>
      <c r="AB35" s="14"/>
      <c r="AC35" s="14"/>
      <c r="AD35" s="14"/>
      <c r="AE35" s="14"/>
      <c r="AF35" s="14"/>
      <c r="AG35" s="14"/>
      <c r="AH35" s="14"/>
      <c r="AI35" s="14"/>
      <c r="AJ35" s="14"/>
      <c r="AK35" s="14"/>
    </row>
    <row r="36" spans="1:56" x14ac:dyDescent="0.2">
      <c r="A36" s="15"/>
      <c r="B36" s="15" t="s">
        <v>126</v>
      </c>
      <c r="C36" s="14" t="s">
        <v>49</v>
      </c>
      <c r="D36" s="14">
        <v>27.871225357055664</v>
      </c>
      <c r="E36" s="14">
        <f t="shared" ref="E36:E37" si="84">D36-24.87718</f>
        <v>2.9940453570556649</v>
      </c>
      <c r="F36" s="14">
        <f t="shared" si="1"/>
        <v>0.12551699669951399</v>
      </c>
      <c r="G36" s="14">
        <v>76.779388427734375</v>
      </c>
      <c r="H36" s="14" t="s">
        <v>24</v>
      </c>
      <c r="I36" s="14" t="s">
        <v>25</v>
      </c>
      <c r="J36" s="14">
        <v>21.972578048706055</v>
      </c>
      <c r="K36" s="14">
        <f t="shared" ref="K36:K37" si="85">J36-19.36165</f>
        <v>2.6109280487060538</v>
      </c>
      <c r="L36" s="14">
        <f t="shared" si="3"/>
        <v>0.16369384155807323</v>
      </c>
      <c r="M36" s="14">
        <v>76.320297241210938</v>
      </c>
      <c r="N36" s="14" t="s">
        <v>24</v>
      </c>
      <c r="O36" s="13" t="s">
        <v>25</v>
      </c>
      <c r="R36" s="14"/>
      <c r="S36" s="14"/>
      <c r="T36" s="14"/>
      <c r="U36" s="14"/>
      <c r="V36" s="14"/>
      <c r="W36" s="14"/>
      <c r="X36" s="14"/>
      <c r="AA36" s="14"/>
      <c r="AB36" s="14"/>
      <c r="AC36" s="14"/>
      <c r="AD36" s="14"/>
      <c r="AE36" s="14"/>
      <c r="AF36" s="14"/>
      <c r="AG36" s="14"/>
      <c r="AH36" s="14"/>
      <c r="AI36" s="14"/>
      <c r="AJ36" s="14"/>
      <c r="AK36" s="14"/>
    </row>
    <row r="37" spans="1:56" x14ac:dyDescent="0.2">
      <c r="A37" s="15"/>
      <c r="B37" s="15" t="s">
        <v>126</v>
      </c>
      <c r="C37" s="14" t="s">
        <v>49</v>
      </c>
      <c r="D37" s="14">
        <v>27.817764282226563</v>
      </c>
      <c r="E37" s="14">
        <f t="shared" si="84"/>
        <v>2.9405842822265633</v>
      </c>
      <c r="F37" s="14">
        <f t="shared" si="1"/>
        <v>0.13025545679795927</v>
      </c>
      <c r="G37" s="14">
        <v>76.776130676269531</v>
      </c>
      <c r="H37" s="14" t="s">
        <v>24</v>
      </c>
      <c r="I37" s="14" t="s">
        <v>25</v>
      </c>
      <c r="J37" s="14">
        <v>21.951841354370117</v>
      </c>
      <c r="K37" s="14">
        <f t="shared" si="85"/>
        <v>2.5901913543701163</v>
      </c>
      <c r="L37" s="14">
        <f t="shared" si="3"/>
        <v>0.16606369915321872</v>
      </c>
      <c r="M37" s="14">
        <v>76.319427490234375</v>
      </c>
      <c r="N37" s="14" t="s">
        <v>24</v>
      </c>
      <c r="O37" s="13" t="s">
        <v>25</v>
      </c>
      <c r="R37" s="14"/>
      <c r="S37" s="14"/>
      <c r="T37" s="14"/>
      <c r="U37" s="14"/>
      <c r="V37" s="14"/>
      <c r="W37" s="14"/>
      <c r="X37" s="14"/>
      <c r="AA37" s="14"/>
      <c r="AB37" s="14"/>
      <c r="AC37" s="14"/>
      <c r="AD37" s="14"/>
      <c r="AE37" s="14"/>
      <c r="AF37" s="14"/>
      <c r="AG37" s="14"/>
      <c r="AH37" s="14"/>
      <c r="AI37" s="14"/>
      <c r="AJ37" s="14"/>
      <c r="AK37" s="14"/>
    </row>
    <row r="38" spans="1:56" x14ac:dyDescent="0.2">
      <c r="A38" s="15"/>
      <c r="B38" s="15" t="s">
        <v>127</v>
      </c>
      <c r="C38" s="14" t="s">
        <v>49</v>
      </c>
      <c r="D38" s="14">
        <v>26.967905044555664</v>
      </c>
      <c r="E38" s="14">
        <f>D38-23.74865</f>
        <v>3.2192550445556627</v>
      </c>
      <c r="F38" s="14">
        <f t="shared" si="1"/>
        <v>0.10737611037497337</v>
      </c>
      <c r="G38" s="14">
        <v>76.776130676269531</v>
      </c>
      <c r="H38" s="14" t="s">
        <v>24</v>
      </c>
      <c r="I38" s="14" t="s">
        <v>25</v>
      </c>
      <c r="J38" s="14">
        <v>21.499401092529297</v>
      </c>
      <c r="K38" s="14">
        <f>J38-19.12253</f>
        <v>2.3768710925292957</v>
      </c>
      <c r="L38" s="14">
        <f t="shared" si="3"/>
        <v>0.19252649538901112</v>
      </c>
      <c r="M38" s="14">
        <v>76.170295715332031</v>
      </c>
      <c r="N38" s="14" t="s">
        <v>24</v>
      </c>
      <c r="O38" s="13" t="s">
        <v>25</v>
      </c>
      <c r="R38" s="14"/>
      <c r="S38" s="14"/>
      <c r="T38" s="14"/>
      <c r="U38" s="14"/>
      <c r="V38" s="14"/>
      <c r="W38" s="14"/>
      <c r="X38" s="14"/>
      <c r="AA38" s="14"/>
      <c r="AB38" s="14"/>
      <c r="AC38" s="14"/>
      <c r="AD38" s="14"/>
      <c r="AE38" s="14"/>
      <c r="AF38" s="14"/>
      <c r="AG38" s="14"/>
      <c r="AH38" s="14"/>
      <c r="AI38" s="14"/>
      <c r="AJ38" s="14"/>
      <c r="AK38" s="14"/>
    </row>
    <row r="39" spans="1:56" x14ac:dyDescent="0.2">
      <c r="A39" s="15"/>
      <c r="B39" s="15" t="s">
        <v>127</v>
      </c>
      <c r="C39" s="14" t="s">
        <v>49</v>
      </c>
      <c r="D39" s="14">
        <v>26.845903396606445</v>
      </c>
      <c r="E39" s="14">
        <f t="shared" ref="E39:E40" si="86">D39-23.74865</f>
        <v>3.0972533966064439</v>
      </c>
      <c r="F39" s="14">
        <f t="shared" si="1"/>
        <v>0.11685137400747579</v>
      </c>
      <c r="G39" s="14">
        <v>76.776092529296875</v>
      </c>
      <c r="H39" s="14" t="s">
        <v>24</v>
      </c>
      <c r="I39" s="14" t="s">
        <v>25</v>
      </c>
      <c r="J39" s="14">
        <v>21.446098327636719</v>
      </c>
      <c r="K39" s="14">
        <f t="shared" ref="K39:K40" si="87">J39-19.12253</f>
        <v>2.3235683276367176</v>
      </c>
      <c r="L39" s="14">
        <f t="shared" si="3"/>
        <v>0.19977274466921632</v>
      </c>
      <c r="M39" s="14">
        <v>76.319686889648438</v>
      </c>
      <c r="N39" s="14" t="s">
        <v>24</v>
      </c>
      <c r="O39" s="13" t="s">
        <v>25</v>
      </c>
      <c r="R39" s="14"/>
      <c r="S39" s="14"/>
      <c r="T39" s="14"/>
      <c r="U39" s="14"/>
      <c r="V39" s="14"/>
      <c r="W39" s="14"/>
      <c r="X39" s="14"/>
      <c r="AA39" s="14"/>
      <c r="AB39" s="14"/>
      <c r="AC39" s="14"/>
      <c r="AD39" s="14"/>
      <c r="AE39" s="14"/>
      <c r="AF39" s="14"/>
      <c r="AG39" s="14"/>
      <c r="AH39" s="14"/>
      <c r="AI39" s="14"/>
      <c r="AJ39" s="14"/>
      <c r="AK39" s="14"/>
    </row>
    <row r="40" spans="1:56" x14ac:dyDescent="0.2">
      <c r="A40" s="15"/>
      <c r="B40" s="15" t="s">
        <v>127</v>
      </c>
      <c r="C40" s="14" t="s">
        <v>49</v>
      </c>
      <c r="D40" s="14">
        <v>26.923830032348633</v>
      </c>
      <c r="E40" s="14">
        <f t="shared" si="86"/>
        <v>3.1751800323486314</v>
      </c>
      <c r="F40" s="14">
        <f t="shared" si="1"/>
        <v>0.11070712400390635</v>
      </c>
      <c r="G40" s="14">
        <v>76.776092529296875</v>
      </c>
      <c r="H40" s="14" t="s">
        <v>24</v>
      </c>
      <c r="I40" s="14" t="s">
        <v>25</v>
      </c>
      <c r="J40" s="14">
        <v>21.387754440307617</v>
      </c>
      <c r="K40" s="14">
        <f t="shared" si="87"/>
        <v>2.265224440307616</v>
      </c>
      <c r="L40" s="14">
        <f t="shared" si="3"/>
        <v>0.20801731987145272</v>
      </c>
      <c r="M40" s="14">
        <v>76.319686889648438</v>
      </c>
      <c r="N40" s="14" t="s">
        <v>24</v>
      </c>
      <c r="O40" s="13" t="s">
        <v>25</v>
      </c>
      <c r="R40" s="14"/>
      <c r="S40" s="14"/>
      <c r="T40" s="14"/>
      <c r="U40" s="14"/>
      <c r="V40" s="14"/>
      <c r="W40" s="14"/>
      <c r="X40" s="14"/>
      <c r="AA40" s="14"/>
      <c r="AB40" s="14"/>
      <c r="AC40" s="14"/>
      <c r="AD40" s="14"/>
      <c r="AE40" s="14"/>
      <c r="AF40" s="14"/>
      <c r="AG40" s="14"/>
      <c r="AH40" s="14"/>
      <c r="AI40" s="14"/>
      <c r="AJ40" s="14"/>
      <c r="AK40" s="14"/>
    </row>
    <row r="41" spans="1:56" x14ac:dyDescent="0.2">
      <c r="A41" s="15"/>
      <c r="B41" s="15" t="s">
        <v>128</v>
      </c>
      <c r="C41" s="14" t="s">
        <v>49</v>
      </c>
      <c r="D41" s="14">
        <v>32.64605712890625</v>
      </c>
      <c r="E41" s="14">
        <f>D41-29.33195</f>
        <v>3.3141071289062509</v>
      </c>
      <c r="F41" s="14">
        <f t="shared" si="1"/>
        <v>0.10054358011646404</v>
      </c>
      <c r="G41" s="14">
        <v>76.775428771972656</v>
      </c>
      <c r="H41" s="14" t="s">
        <v>24</v>
      </c>
      <c r="I41" s="14" t="s">
        <v>25</v>
      </c>
      <c r="J41" s="14">
        <v>25.766319274902344</v>
      </c>
      <c r="K41" s="14">
        <f>J41-23.4265</f>
        <v>2.339819274902343</v>
      </c>
      <c r="L41" s="14">
        <f t="shared" si="3"/>
        <v>0.19753507145503377</v>
      </c>
      <c r="M41" s="14">
        <v>76.1700439453125</v>
      </c>
      <c r="N41" s="14" t="s">
        <v>24</v>
      </c>
      <c r="O41" s="13" t="s">
        <v>25</v>
      </c>
      <c r="R41" s="14"/>
      <c r="S41" s="14"/>
      <c r="T41" s="14"/>
      <c r="U41" s="14"/>
      <c r="V41" s="14"/>
      <c r="W41" s="14"/>
      <c r="X41" s="14"/>
      <c r="AA41" s="14"/>
      <c r="AB41" s="14"/>
      <c r="AC41" s="14"/>
      <c r="AD41" s="14"/>
      <c r="AE41" s="14"/>
      <c r="AF41" s="14"/>
      <c r="AG41" s="14"/>
      <c r="AH41" s="14"/>
      <c r="AI41" s="14"/>
      <c r="AJ41" s="14"/>
      <c r="AK41" s="14"/>
    </row>
    <row r="42" spans="1:56" x14ac:dyDescent="0.2">
      <c r="A42" s="15"/>
      <c r="B42" s="15" t="s">
        <v>128</v>
      </c>
      <c r="C42" s="14" t="s">
        <v>49</v>
      </c>
      <c r="D42" s="14">
        <v>32.071872711181641</v>
      </c>
      <c r="E42" s="14">
        <f t="shared" ref="E42:E43" si="88">D42-29.33195</f>
        <v>2.7399227111816415</v>
      </c>
      <c r="F42" s="14">
        <f t="shared" si="1"/>
        <v>0.14969285728712847</v>
      </c>
      <c r="G42" s="14">
        <v>76.775428771972656</v>
      </c>
      <c r="H42" s="14" t="s">
        <v>24</v>
      </c>
      <c r="I42" s="14" t="s">
        <v>25</v>
      </c>
      <c r="J42" s="14">
        <v>25.679061889648438</v>
      </c>
      <c r="K42" s="14">
        <f t="shared" ref="K42:K43" si="89">J42-23.4265</f>
        <v>2.2525618896484367</v>
      </c>
      <c r="L42" s="14">
        <f t="shared" si="3"/>
        <v>0.20985112613281579</v>
      </c>
      <c r="M42" s="14">
        <v>76.319168090820313</v>
      </c>
      <c r="N42" s="14" t="s">
        <v>24</v>
      </c>
      <c r="O42" s="13" t="s">
        <v>25</v>
      </c>
      <c r="R42" s="14"/>
      <c r="S42" s="14"/>
      <c r="T42" s="14"/>
      <c r="U42" s="14"/>
      <c r="V42" s="14"/>
      <c r="W42" s="14"/>
      <c r="X42" s="14"/>
      <c r="AA42" s="14"/>
      <c r="AB42" s="14"/>
      <c r="AC42" s="14"/>
      <c r="AD42" s="14"/>
      <c r="AE42" s="14"/>
      <c r="AF42" s="14"/>
      <c r="AG42" s="14"/>
      <c r="AH42" s="14"/>
      <c r="AI42" s="14"/>
      <c r="AJ42" s="14"/>
      <c r="AK42" s="14"/>
    </row>
    <row r="43" spans="1:56" x14ac:dyDescent="0.2">
      <c r="A43" s="15"/>
      <c r="B43" s="15" t="s">
        <v>128</v>
      </c>
      <c r="C43" s="14" t="s">
        <v>49</v>
      </c>
      <c r="D43" s="14">
        <v>32.293609619140625</v>
      </c>
      <c r="E43" s="14">
        <f t="shared" si="88"/>
        <v>2.9616596191406259</v>
      </c>
      <c r="F43" s="14">
        <f t="shared" si="1"/>
        <v>0.12836647566283343</v>
      </c>
      <c r="G43" s="14">
        <v>76.922859191894531</v>
      </c>
      <c r="H43" s="14" t="s">
        <v>24</v>
      </c>
      <c r="I43" s="14" t="s">
        <v>25</v>
      </c>
      <c r="J43" s="14">
        <v>25.566928863525391</v>
      </c>
      <c r="K43" s="14">
        <f t="shared" si="89"/>
        <v>2.1404288635253899</v>
      </c>
      <c r="L43" s="14">
        <f t="shared" si="3"/>
        <v>0.22681235530888938</v>
      </c>
      <c r="M43" s="14">
        <v>76.168807983398438</v>
      </c>
      <c r="N43" s="14" t="s">
        <v>24</v>
      </c>
      <c r="O43" s="13" t="s">
        <v>25</v>
      </c>
      <c r="R43" s="14"/>
      <c r="S43" s="14"/>
      <c r="T43" s="14"/>
      <c r="U43" s="14"/>
      <c r="V43" s="14"/>
      <c r="W43" s="14"/>
      <c r="X43" s="14"/>
      <c r="AA43" s="14"/>
      <c r="AB43" s="14"/>
      <c r="AC43" s="14"/>
      <c r="AD43" s="14"/>
      <c r="AE43" s="14"/>
      <c r="AF43" s="14"/>
      <c r="AG43" s="14"/>
      <c r="AH43" s="14"/>
      <c r="AI43" s="14"/>
      <c r="AJ43" s="14"/>
      <c r="AK43" s="14"/>
    </row>
    <row r="44" spans="1:56" x14ac:dyDescent="0.2">
      <c r="A44" s="15"/>
      <c r="B44" s="15" t="s">
        <v>129</v>
      </c>
      <c r="C44" s="14" t="s">
        <v>49</v>
      </c>
      <c r="D44" s="14">
        <v>30.856990814208984</v>
      </c>
      <c r="E44" s="14">
        <f>D44-27.97422</f>
        <v>2.8827708142089854</v>
      </c>
      <c r="F44" s="14">
        <f t="shared" si="1"/>
        <v>0.13558121275630303</v>
      </c>
      <c r="G44" s="14">
        <v>76.624687194824219</v>
      </c>
      <c r="H44" s="14" t="s">
        <v>24</v>
      </c>
      <c r="I44" s="14" t="s">
        <v>25</v>
      </c>
      <c r="J44" s="14">
        <v>22.081130981445313</v>
      </c>
      <c r="K44" s="14">
        <f>J44-20.01096</f>
        <v>2.0701709814453118</v>
      </c>
      <c r="L44" s="14">
        <f t="shared" si="3"/>
        <v>0.23813127563735895</v>
      </c>
      <c r="M44" s="14">
        <v>76.168807983398438</v>
      </c>
      <c r="N44" s="14" t="s">
        <v>24</v>
      </c>
      <c r="O44" s="13" t="s">
        <v>25</v>
      </c>
      <c r="R44" s="14"/>
      <c r="S44" s="14"/>
      <c r="T44" s="14"/>
      <c r="U44" s="14"/>
      <c r="V44" s="14"/>
      <c r="W44" s="14"/>
      <c r="X44" s="14"/>
      <c r="AA44" s="14"/>
      <c r="AB44" s="14"/>
      <c r="AC44" s="14"/>
      <c r="AD44" s="14"/>
      <c r="AE44" s="14"/>
      <c r="AF44" s="14"/>
      <c r="AG44" s="14"/>
      <c r="AH44" s="14"/>
      <c r="AI44" s="14"/>
      <c r="AJ44" s="14"/>
      <c r="AK44" s="14"/>
    </row>
    <row r="45" spans="1:56" x14ac:dyDescent="0.2">
      <c r="A45" s="15"/>
      <c r="B45" s="15" t="s">
        <v>129</v>
      </c>
      <c r="C45" s="14" t="s">
        <v>49</v>
      </c>
      <c r="D45" s="14">
        <v>30.729034423828125</v>
      </c>
      <c r="E45" s="14">
        <f t="shared" ref="E45:E46" si="90">D45-27.97422</f>
        <v>2.754814423828126</v>
      </c>
      <c r="F45" s="14">
        <f t="shared" si="1"/>
        <v>0.14815565264074673</v>
      </c>
      <c r="G45" s="14">
        <v>76.776824951171875</v>
      </c>
      <c r="H45" s="14" t="s">
        <v>24</v>
      </c>
      <c r="I45" s="14" t="s">
        <v>25</v>
      </c>
      <c r="J45" s="14">
        <v>22.148605346679688</v>
      </c>
      <c r="K45" s="14">
        <f t="shared" ref="K45:K46" si="91">J45-20.01096</f>
        <v>2.1376453466796868</v>
      </c>
      <c r="L45" s="14">
        <f t="shared" si="3"/>
        <v>0.22725038651540905</v>
      </c>
      <c r="M45" s="14">
        <v>76.170379638671875</v>
      </c>
      <c r="N45" s="14" t="s">
        <v>24</v>
      </c>
      <c r="O45" s="13" t="s">
        <v>25</v>
      </c>
      <c r="R45" s="14"/>
      <c r="S45" s="14"/>
      <c r="T45" s="14"/>
      <c r="U45" s="14"/>
      <c r="V45" s="14"/>
      <c r="W45" s="14"/>
      <c r="X45" s="14"/>
      <c r="AA45" s="14"/>
      <c r="AB45" s="14"/>
      <c r="AC45" s="14"/>
      <c r="AD45" s="14"/>
      <c r="AE45" s="14"/>
      <c r="AF45" s="14"/>
      <c r="AG45" s="14"/>
      <c r="AH45" s="14"/>
      <c r="AI45" s="14"/>
      <c r="AJ45" s="14"/>
      <c r="AK45" s="14"/>
    </row>
    <row r="46" spans="1:56" x14ac:dyDescent="0.2">
      <c r="A46" s="15"/>
      <c r="B46" s="15" t="s">
        <v>129</v>
      </c>
      <c r="C46" s="14" t="s">
        <v>49</v>
      </c>
      <c r="D46" s="14">
        <v>30.847251892089844</v>
      </c>
      <c r="E46" s="14">
        <f t="shared" si="90"/>
        <v>2.8730318920898448</v>
      </c>
      <c r="F46" s="14">
        <f t="shared" si="1"/>
        <v>0.13649955073777631</v>
      </c>
      <c r="G46" s="14">
        <v>76.627754211425781</v>
      </c>
      <c r="H46" s="14" t="s">
        <v>24</v>
      </c>
      <c r="I46" s="14" t="s">
        <v>25</v>
      </c>
      <c r="J46" s="14">
        <v>22.159210205078125</v>
      </c>
      <c r="K46" s="14">
        <f t="shared" si="91"/>
        <v>2.1482502050781243</v>
      </c>
      <c r="L46" s="14">
        <f t="shared" si="3"/>
        <v>0.22558605532140788</v>
      </c>
      <c r="M46" s="14">
        <v>76.170379638671875</v>
      </c>
      <c r="N46" s="14" t="s">
        <v>24</v>
      </c>
      <c r="O46" s="13" t="s">
        <v>25</v>
      </c>
      <c r="R46" s="14"/>
      <c r="S46" s="14"/>
      <c r="T46" s="14"/>
      <c r="U46" s="14"/>
      <c r="V46" s="14"/>
      <c r="W46" s="14"/>
      <c r="X46" s="14"/>
      <c r="AA46" s="14"/>
      <c r="AB46" s="14"/>
      <c r="AC46" s="14"/>
      <c r="AD46" s="14"/>
      <c r="AE46" s="14"/>
      <c r="AF46" s="14"/>
      <c r="AG46" s="14"/>
      <c r="AH46" s="14"/>
      <c r="AI46" s="14"/>
      <c r="AJ46" s="14"/>
      <c r="AK46" s="14"/>
    </row>
    <row r="47" spans="1:56" x14ac:dyDescent="0.2">
      <c r="B47" s="15" t="s">
        <v>126</v>
      </c>
      <c r="C47" s="14" t="s">
        <v>5</v>
      </c>
      <c r="D47" s="14">
        <v>29.903598785400391</v>
      </c>
      <c r="E47" s="14">
        <f>D47-24.49127</f>
        <v>5.4123287854003905</v>
      </c>
      <c r="F47" s="14">
        <f>POWER(2,-E47)</f>
        <v>2.3481546118704649E-2</v>
      </c>
      <c r="G47" s="14">
        <v>77.807708740234375</v>
      </c>
      <c r="H47" s="14" t="s">
        <v>24</v>
      </c>
      <c r="I47" s="14" t="s">
        <v>25</v>
      </c>
      <c r="J47" s="14">
        <v>24.941322326660156</v>
      </c>
      <c r="K47" s="14">
        <f>J47-19.3008</f>
        <v>5.6405223266601574</v>
      </c>
      <c r="L47" s="14">
        <f t="shared" si="3"/>
        <v>2.00462705981608E-2</v>
      </c>
      <c r="M47" s="14">
        <v>77.5185546875</v>
      </c>
      <c r="N47" s="14" t="s">
        <v>24</v>
      </c>
      <c r="O47" s="13" t="s">
        <v>25</v>
      </c>
      <c r="R47" s="14"/>
      <c r="S47" s="14"/>
      <c r="T47" s="14"/>
      <c r="U47" s="14"/>
      <c r="V47" s="14"/>
      <c r="W47" s="14"/>
      <c r="X47" s="14"/>
    </row>
    <row r="48" spans="1:56" x14ac:dyDescent="0.2">
      <c r="B48" s="15" t="s">
        <v>126</v>
      </c>
      <c r="C48" s="14" t="s">
        <v>5</v>
      </c>
      <c r="D48" s="14">
        <v>30.004789352416992</v>
      </c>
      <c r="E48" s="14">
        <f>D48-24.49127</f>
        <v>5.5135193524169921</v>
      </c>
      <c r="F48" s="14">
        <f t="shared" ref="F48:F69" si="92">POWER(2,-E48)</f>
        <v>2.1890984488918776E-2</v>
      </c>
      <c r="G48" s="14">
        <v>77.807708740234375</v>
      </c>
      <c r="H48" s="14" t="s">
        <v>24</v>
      </c>
      <c r="I48" s="14" t="s">
        <v>25</v>
      </c>
      <c r="J48" s="14">
        <v>24.968158721923828</v>
      </c>
      <c r="K48" s="14">
        <f t="shared" ref="K48:K49" si="93">J48-19.3008</f>
        <v>5.6673587219238293</v>
      </c>
      <c r="L48" s="14">
        <f t="shared" si="3"/>
        <v>1.9676825243024922E-2</v>
      </c>
      <c r="M48" s="14">
        <v>77.220390319824219</v>
      </c>
      <c r="N48" s="14" t="s">
        <v>24</v>
      </c>
      <c r="O48" s="13" t="s">
        <v>25</v>
      </c>
      <c r="R48" s="14"/>
      <c r="S48" s="14"/>
      <c r="T48" s="14"/>
      <c r="U48" s="14"/>
      <c r="V48" s="14"/>
      <c r="W48" s="14"/>
      <c r="X48" s="14"/>
    </row>
    <row r="49" spans="1:24" x14ac:dyDescent="0.2">
      <c r="B49" s="15" t="s">
        <v>126</v>
      </c>
      <c r="C49" s="14" t="s">
        <v>5</v>
      </c>
      <c r="D49" s="14"/>
      <c r="E49" s="14"/>
      <c r="F49" s="14"/>
      <c r="G49" s="14"/>
      <c r="H49" s="14"/>
      <c r="I49" s="14"/>
      <c r="J49" s="14">
        <v>24.950820922851563</v>
      </c>
      <c r="K49" s="14">
        <f t="shared" si="93"/>
        <v>5.6500209228515637</v>
      </c>
      <c r="L49" s="14">
        <f t="shared" si="3"/>
        <v>1.9914720984226548E-2</v>
      </c>
      <c r="M49" s="14">
        <v>77.369476318359375</v>
      </c>
      <c r="N49" s="14"/>
      <c r="O49" s="13" t="s">
        <v>25</v>
      </c>
      <c r="R49" s="14"/>
      <c r="S49" s="14"/>
      <c r="T49" s="14"/>
      <c r="U49" s="14"/>
      <c r="V49" s="14"/>
      <c r="W49" s="14"/>
      <c r="X49" s="14"/>
    </row>
    <row r="50" spans="1:24" x14ac:dyDescent="0.2">
      <c r="B50" s="15" t="s">
        <v>127</v>
      </c>
      <c r="C50" s="14" t="s">
        <v>5</v>
      </c>
      <c r="D50" s="14">
        <v>29.689533233642578</v>
      </c>
      <c r="E50" s="14">
        <f>D50-23.07094</f>
        <v>6.6185932336425779</v>
      </c>
      <c r="F50" s="14">
        <f t="shared" si="92"/>
        <v>1.0176651622826688E-2</v>
      </c>
      <c r="G50" s="14">
        <v>77.359939575195313</v>
      </c>
      <c r="H50" s="14" t="s">
        <v>24</v>
      </c>
      <c r="I50" s="14" t="s">
        <v>25</v>
      </c>
      <c r="J50" s="14">
        <v>24.718090057373047</v>
      </c>
      <c r="K50" s="14">
        <f>J50-19.16996</f>
        <v>5.5481300573730472</v>
      </c>
      <c r="L50" s="14">
        <f t="shared" si="3"/>
        <v>2.1372062368686294E-2</v>
      </c>
      <c r="M50" s="14">
        <v>77.220390319824219</v>
      </c>
      <c r="N50" s="14" t="s">
        <v>24</v>
      </c>
      <c r="O50" s="13" t="s">
        <v>25</v>
      </c>
      <c r="R50" s="14"/>
      <c r="S50" s="14"/>
      <c r="T50" s="14"/>
      <c r="U50" s="14"/>
      <c r="V50" s="14"/>
      <c r="W50" s="14"/>
      <c r="X50" s="14"/>
    </row>
    <row r="51" spans="1:24" x14ac:dyDescent="0.2">
      <c r="B51" s="15" t="s">
        <v>127</v>
      </c>
      <c r="C51" s="14" t="s">
        <v>5</v>
      </c>
      <c r="D51" s="14">
        <v>29.861600875854492</v>
      </c>
      <c r="E51" s="14">
        <f>D51-23.07094</f>
        <v>6.790660875854492</v>
      </c>
      <c r="F51" s="14">
        <f t="shared" si="92"/>
        <v>9.0324878486329717E-3</v>
      </c>
      <c r="G51" s="14">
        <v>77.510414123535156</v>
      </c>
      <c r="H51" s="14" t="s">
        <v>24</v>
      </c>
      <c r="I51" s="14" t="s">
        <v>25</v>
      </c>
      <c r="J51" s="14">
        <v>24.86967658996582</v>
      </c>
      <c r="K51" s="14">
        <f t="shared" ref="K51:K52" si="94">J51-19.16996</f>
        <v>5.6997165899658206</v>
      </c>
      <c r="L51" s="14">
        <f t="shared" si="3"/>
        <v>1.9240410767206794E-2</v>
      </c>
      <c r="M51" s="14">
        <v>77.071311950683594</v>
      </c>
      <c r="N51" s="14" t="s">
        <v>24</v>
      </c>
      <c r="O51" s="13" t="s">
        <v>25</v>
      </c>
      <c r="R51" s="14"/>
      <c r="S51" s="14"/>
      <c r="T51" s="14"/>
      <c r="U51" s="14"/>
      <c r="V51" s="14"/>
      <c r="W51" s="14"/>
      <c r="X51" s="14"/>
    </row>
    <row r="52" spans="1:24" x14ac:dyDescent="0.2">
      <c r="B52" s="15" t="s">
        <v>127</v>
      </c>
      <c r="C52" s="14" t="s">
        <v>5</v>
      </c>
      <c r="D52" s="14"/>
      <c r="E52" s="14"/>
      <c r="F52" s="14"/>
      <c r="G52" s="14"/>
      <c r="H52" s="14"/>
      <c r="I52" s="14"/>
      <c r="J52" s="14">
        <v>24.796615600585938</v>
      </c>
      <c r="K52" s="14">
        <f t="shared" si="94"/>
        <v>5.6266556005859378</v>
      </c>
      <c r="L52" s="14">
        <f t="shared" si="3"/>
        <v>2.0239877933634548E-2</v>
      </c>
      <c r="M52" s="14">
        <v>77.071311950683594</v>
      </c>
      <c r="N52" s="14"/>
      <c r="O52" s="13" t="s">
        <v>25</v>
      </c>
      <c r="R52" s="14"/>
      <c r="S52" s="14"/>
      <c r="T52" s="14"/>
      <c r="U52" s="14"/>
      <c r="V52" s="14"/>
      <c r="W52" s="14"/>
      <c r="X52" s="14"/>
    </row>
    <row r="53" spans="1:24" x14ac:dyDescent="0.2">
      <c r="B53" s="15" t="s">
        <v>128</v>
      </c>
      <c r="C53" s="14" t="s">
        <v>5</v>
      </c>
      <c r="D53" s="14">
        <v>32.1549072265625</v>
      </c>
      <c r="E53" s="14">
        <f>D53-28.46133</f>
        <v>3.6935772265624998</v>
      </c>
      <c r="F53" s="14">
        <f t="shared" si="92"/>
        <v>7.7289849832719956E-2</v>
      </c>
      <c r="G53" s="14">
        <v>77.660690307617188</v>
      </c>
      <c r="H53" s="14" t="s">
        <v>24</v>
      </c>
      <c r="I53" s="14" t="s">
        <v>25</v>
      </c>
      <c r="J53" s="14">
        <v>28.164705276489258</v>
      </c>
      <c r="K53" s="14">
        <f>J53-23.11336</f>
        <v>5.0513452764892577</v>
      </c>
      <c r="L53" s="14">
        <f>POWER(2,-K53)</f>
        <v>3.0157376176315871E-2</v>
      </c>
      <c r="M53" s="14">
        <v>77.677444458007813</v>
      </c>
      <c r="N53" s="14" t="s">
        <v>24</v>
      </c>
      <c r="O53" s="13" t="s">
        <v>25</v>
      </c>
      <c r="R53" s="14"/>
      <c r="S53" s="14"/>
      <c r="T53" s="14"/>
      <c r="U53" s="14"/>
      <c r="V53" s="14"/>
      <c r="W53" s="14"/>
      <c r="X53" s="14"/>
    </row>
    <row r="54" spans="1:24" x14ac:dyDescent="0.2">
      <c r="B54" s="15" t="s">
        <v>128</v>
      </c>
      <c r="C54" s="14" t="s">
        <v>5</v>
      </c>
      <c r="D54" s="14">
        <v>32.420936584472656</v>
      </c>
      <c r="E54" s="14">
        <f>D54-28.46133</f>
        <v>3.959606584472656</v>
      </c>
      <c r="F54" s="14">
        <f t="shared" si="92"/>
        <v>6.4274639140361522E-2</v>
      </c>
      <c r="G54" s="14">
        <v>76.914772033691406</v>
      </c>
      <c r="H54" s="14" t="s">
        <v>24</v>
      </c>
      <c r="I54" s="14" t="s">
        <v>25</v>
      </c>
      <c r="J54" s="14">
        <v>28.233407974243164</v>
      </c>
      <c r="K54" s="14">
        <f t="shared" ref="K54:K55" si="95">J54-23.11336</f>
        <v>5.1200479742431639</v>
      </c>
      <c r="L54" s="14">
        <f t="shared" ref="L54:L58" si="96">POWER(2,-K54)</f>
        <v>2.8754907873098964E-2</v>
      </c>
      <c r="M54" s="14">
        <v>77.677444458007813</v>
      </c>
      <c r="N54" s="14" t="s">
        <v>24</v>
      </c>
      <c r="O54" s="13" t="s">
        <v>25</v>
      </c>
      <c r="R54" s="14"/>
      <c r="S54" s="14"/>
      <c r="T54" s="14"/>
      <c r="U54" s="14"/>
      <c r="V54" s="14"/>
      <c r="W54" s="14"/>
      <c r="X54" s="14"/>
    </row>
    <row r="55" spans="1:24" x14ac:dyDescent="0.2">
      <c r="B55" s="15" t="s">
        <v>128</v>
      </c>
      <c r="C55" s="14" t="s">
        <v>5</v>
      </c>
      <c r="D55" s="14"/>
      <c r="E55" s="14"/>
      <c r="F55" s="14"/>
      <c r="G55" s="14"/>
      <c r="H55" s="14"/>
      <c r="I55" s="14"/>
      <c r="J55" s="14">
        <v>28.204126358032227</v>
      </c>
      <c r="K55" s="14">
        <f t="shared" si="95"/>
        <v>5.0907663580322264</v>
      </c>
      <c r="L55" s="14">
        <f t="shared" si="96"/>
        <v>2.9344494008890717E-2</v>
      </c>
      <c r="M55" s="14">
        <v>77.528457641601563</v>
      </c>
      <c r="N55" s="14"/>
      <c r="O55" s="13" t="s">
        <v>25</v>
      </c>
      <c r="R55" s="14"/>
      <c r="S55" s="14"/>
      <c r="T55" s="14"/>
      <c r="U55" s="14"/>
      <c r="V55" s="14"/>
      <c r="W55" s="14"/>
      <c r="X55" s="14"/>
    </row>
    <row r="56" spans="1:24" x14ac:dyDescent="0.2">
      <c r="B56" s="15" t="s">
        <v>129</v>
      </c>
      <c r="C56" s="14" t="s">
        <v>5</v>
      </c>
      <c r="D56" s="14">
        <v>32.201286315917969</v>
      </c>
      <c r="E56" s="14">
        <f>D56-27.80639</f>
        <v>4.3948963159179684</v>
      </c>
      <c r="F56" s="14">
        <f t="shared" si="92"/>
        <v>4.7534002105334712E-2</v>
      </c>
      <c r="G56" s="14">
        <v>77.80450439453125</v>
      </c>
      <c r="H56" s="14" t="s">
        <v>24</v>
      </c>
      <c r="I56" s="14" t="s">
        <v>25</v>
      </c>
      <c r="J56" s="14">
        <v>24.818393707275391</v>
      </c>
      <c r="K56" s="14">
        <f>J56-19.81537</f>
        <v>5.0030237072753891</v>
      </c>
      <c r="L56" s="14">
        <f t="shared" si="96"/>
        <v>3.118457251993384E-2</v>
      </c>
      <c r="M56" s="14">
        <v>77.528457641601563</v>
      </c>
      <c r="N56" s="14" t="s">
        <v>24</v>
      </c>
      <c r="O56" s="13" t="s">
        <v>25</v>
      </c>
      <c r="R56" s="14"/>
      <c r="S56" s="14"/>
      <c r="T56" s="14"/>
      <c r="U56" s="14"/>
      <c r="V56" s="14"/>
      <c r="W56" s="14"/>
      <c r="X56" s="14"/>
    </row>
    <row r="57" spans="1:24" x14ac:dyDescent="0.2">
      <c r="B57" s="15" t="s">
        <v>129</v>
      </c>
      <c r="C57" s="14" t="s">
        <v>5</v>
      </c>
      <c r="D57" s="14">
        <v>32.574855804443359</v>
      </c>
      <c r="E57" s="14">
        <f>D57-27.80639</f>
        <v>4.768465804443359</v>
      </c>
      <c r="F57" s="14">
        <f t="shared" si="92"/>
        <v>3.6690088520914807E-2</v>
      </c>
      <c r="G57" s="14">
        <v>77.658035278320313</v>
      </c>
      <c r="H57" s="14" t="s">
        <v>24</v>
      </c>
      <c r="I57" s="14" t="s">
        <v>25</v>
      </c>
      <c r="J57" s="14">
        <v>24.84849739074707</v>
      </c>
      <c r="K57" s="14">
        <f t="shared" ref="K57:K58" si="97">J57-19.81537</f>
        <v>5.0331273907470688</v>
      </c>
      <c r="L57" s="14">
        <f t="shared" si="96"/>
        <v>3.0540608329151165E-2</v>
      </c>
      <c r="M57" s="14">
        <v>77.528457641601563</v>
      </c>
      <c r="N57" s="14" t="s">
        <v>24</v>
      </c>
      <c r="O57" s="13" t="s">
        <v>25</v>
      </c>
      <c r="R57" s="14"/>
      <c r="S57" s="14"/>
      <c r="T57" s="14"/>
      <c r="U57" s="14"/>
      <c r="V57" s="14"/>
      <c r="W57" s="14"/>
      <c r="X57" s="14"/>
    </row>
    <row r="58" spans="1:24" x14ac:dyDescent="0.2">
      <c r="B58" s="15" t="s">
        <v>129</v>
      </c>
      <c r="C58" s="14" t="s">
        <v>5</v>
      </c>
      <c r="D58" s="14"/>
      <c r="E58" s="14"/>
      <c r="F58" s="14"/>
      <c r="G58" s="14"/>
      <c r="H58" s="14"/>
      <c r="I58" s="14"/>
      <c r="J58" s="14">
        <v>24.803668975830078</v>
      </c>
      <c r="K58" s="14">
        <f t="shared" si="97"/>
        <v>4.9882989758300766</v>
      </c>
      <c r="L58" s="14">
        <f t="shared" si="96"/>
        <v>3.1504484730532509E-2</v>
      </c>
      <c r="M58" s="14">
        <v>77.528457641601563</v>
      </c>
      <c r="N58" s="14"/>
      <c r="O58" s="13" t="s">
        <v>25</v>
      </c>
      <c r="R58" s="14"/>
      <c r="S58" s="14"/>
      <c r="T58" s="14"/>
      <c r="U58" s="14"/>
      <c r="V58" s="14"/>
      <c r="W58" s="14"/>
      <c r="X58" s="14"/>
    </row>
    <row r="59" spans="1:24" x14ac:dyDescent="0.2">
      <c r="B59" s="15" t="s">
        <v>126</v>
      </c>
      <c r="C59" s="14" t="s">
        <v>6</v>
      </c>
      <c r="D59" s="14">
        <v>25.992385864257813</v>
      </c>
      <c r="E59" s="14">
        <f>D59-24.49127</f>
        <v>1.5011158642578124</v>
      </c>
      <c r="F59" s="14">
        <f t="shared" si="92"/>
        <v>0.35328003756403586</v>
      </c>
      <c r="G59" s="14">
        <v>74.375953674316406</v>
      </c>
      <c r="H59" s="14" t="s">
        <v>24</v>
      </c>
      <c r="I59" s="14" t="s">
        <v>25</v>
      </c>
      <c r="J59" s="14">
        <v>25.503131866455078</v>
      </c>
      <c r="K59" s="14">
        <f>J59-19.3008</f>
        <v>6.2023318664550793</v>
      </c>
      <c r="L59" s="14">
        <f t="shared" ref="L59:L70" si="98">POWER(2,-K59)</f>
        <v>1.3580384465035379E-2</v>
      </c>
      <c r="M59" s="14">
        <v>73.940559387207031</v>
      </c>
      <c r="N59" s="14" t="s">
        <v>24</v>
      </c>
      <c r="O59" s="13" t="s">
        <v>25</v>
      </c>
      <c r="R59" s="14"/>
      <c r="S59" s="14"/>
      <c r="T59" s="14"/>
      <c r="U59" s="14"/>
      <c r="V59" s="14"/>
      <c r="W59" s="14"/>
      <c r="X59" s="14"/>
    </row>
    <row r="60" spans="1:24" x14ac:dyDescent="0.2">
      <c r="B60" s="15" t="s">
        <v>126</v>
      </c>
      <c r="C60" s="14" t="s">
        <v>6</v>
      </c>
      <c r="D60" s="14">
        <v>26.449457168579102</v>
      </c>
      <c r="E60" s="14">
        <f>D60-24.49127</f>
        <v>1.9581871685791015</v>
      </c>
      <c r="F60" s="14">
        <f t="shared" si="92"/>
        <v>0.25735163108280529</v>
      </c>
      <c r="G60" s="14">
        <v>74.375953674316406</v>
      </c>
      <c r="H60" s="14" t="s">
        <v>24</v>
      </c>
      <c r="I60" s="14" t="s">
        <v>25</v>
      </c>
      <c r="J60" s="14">
        <v>25.432527542114258</v>
      </c>
      <c r="K60" s="14">
        <f t="shared" ref="K60:K61" si="99">J60-19.3008</f>
        <v>6.131727542114259</v>
      </c>
      <c r="L60" s="14">
        <f t="shared" si="98"/>
        <v>1.4261528842614018E-2</v>
      </c>
      <c r="M60" s="14">
        <v>73.940559387207031</v>
      </c>
      <c r="N60" s="14" t="s">
        <v>24</v>
      </c>
      <c r="O60" s="13" t="s">
        <v>25</v>
      </c>
      <c r="R60" s="14"/>
      <c r="S60" s="14"/>
      <c r="T60" s="14"/>
      <c r="U60" s="14"/>
      <c r="V60" s="14"/>
      <c r="W60" s="14"/>
      <c r="X60" s="14"/>
    </row>
    <row r="61" spans="1:24" x14ac:dyDescent="0.2">
      <c r="B61" s="15" t="s">
        <v>126</v>
      </c>
      <c r="C61" s="14" t="s">
        <v>6</v>
      </c>
      <c r="D61" s="14"/>
      <c r="E61" s="14"/>
      <c r="F61" s="14"/>
      <c r="G61" s="14"/>
      <c r="H61" s="14"/>
      <c r="I61" s="14"/>
      <c r="J61" s="14">
        <v>25.539558410644531</v>
      </c>
      <c r="K61" s="14">
        <f t="shared" si="99"/>
        <v>6.2387584106445324</v>
      </c>
      <c r="L61" s="14">
        <f t="shared" si="98"/>
        <v>1.3241786539973101E-2</v>
      </c>
      <c r="M61" s="14">
        <v>73.791473388671875</v>
      </c>
      <c r="N61" s="14"/>
      <c r="O61" s="13" t="s">
        <v>25</v>
      </c>
      <c r="R61" s="14"/>
      <c r="S61" s="14"/>
      <c r="T61" s="14"/>
      <c r="U61" s="14"/>
      <c r="V61" s="14"/>
      <c r="W61" s="14"/>
      <c r="X61" s="14"/>
    </row>
    <row r="62" spans="1:24" x14ac:dyDescent="0.2">
      <c r="B62" s="15" t="s">
        <v>127</v>
      </c>
      <c r="C62" s="14" t="s">
        <v>6</v>
      </c>
      <c r="D62" s="14">
        <v>25.522727966308594</v>
      </c>
      <c r="E62" s="14">
        <f>D62-23.07094</f>
        <v>2.4517879663085935</v>
      </c>
      <c r="F62" s="14">
        <f t="shared" si="92"/>
        <v>0.18278404294830886</v>
      </c>
      <c r="G62" s="14">
        <v>74.078201293945313</v>
      </c>
      <c r="H62" s="14" t="s">
        <v>24</v>
      </c>
      <c r="I62" s="14" t="s">
        <v>25</v>
      </c>
      <c r="J62" s="14">
        <v>24.804172515869141</v>
      </c>
      <c r="K62" s="14">
        <f>J62-19.16996</f>
        <v>5.634212515869141</v>
      </c>
      <c r="L62" s="14">
        <f t="shared" si="98"/>
        <v>2.0134137528266496E-2</v>
      </c>
      <c r="M62" s="14">
        <v>73.64239501953125</v>
      </c>
      <c r="N62" s="14" t="s">
        <v>24</v>
      </c>
      <c r="O62" s="13" t="s">
        <v>25</v>
      </c>
      <c r="R62" s="14"/>
      <c r="S62" s="14"/>
      <c r="T62" s="14"/>
      <c r="U62" s="14"/>
      <c r="V62" s="14"/>
      <c r="W62" s="14"/>
      <c r="X62" s="14"/>
    </row>
    <row r="63" spans="1:24" x14ac:dyDescent="0.2">
      <c r="A63" s="15"/>
      <c r="B63" s="15" t="s">
        <v>127</v>
      </c>
      <c r="C63" s="14" t="s">
        <v>6</v>
      </c>
      <c r="D63" s="14">
        <v>25.466180801391602</v>
      </c>
      <c r="E63" s="14">
        <f>D63-23.07094</f>
        <v>2.3952408013916013</v>
      </c>
      <c r="F63" s="14">
        <f t="shared" si="92"/>
        <v>0.19009061332967112</v>
      </c>
      <c r="G63" s="14">
        <v>74.07952880859375</v>
      </c>
      <c r="H63" s="14" t="s">
        <v>24</v>
      </c>
      <c r="I63" s="14" t="s">
        <v>25</v>
      </c>
      <c r="J63" s="14">
        <v>24.843347549438477</v>
      </c>
      <c r="K63" s="14">
        <f t="shared" ref="K63:K64" si="100">J63-19.16996</f>
        <v>5.6733875494384769</v>
      </c>
      <c r="L63" s="14">
        <f t="shared" si="98"/>
        <v>1.9594770019015502E-2</v>
      </c>
      <c r="M63" s="14">
        <v>73.64239501953125</v>
      </c>
      <c r="N63" s="14" t="s">
        <v>24</v>
      </c>
      <c r="O63" s="13" t="s">
        <v>25</v>
      </c>
      <c r="R63" s="14"/>
      <c r="S63" s="14"/>
      <c r="T63" s="14"/>
      <c r="U63" s="14"/>
      <c r="V63" s="14"/>
      <c r="W63" s="14"/>
      <c r="X63" s="14"/>
    </row>
    <row r="64" spans="1:24" x14ac:dyDescent="0.2">
      <c r="A64" s="15"/>
      <c r="B64" s="15" t="s">
        <v>127</v>
      </c>
      <c r="C64" s="14" t="s">
        <v>6</v>
      </c>
      <c r="D64" s="14"/>
      <c r="E64" s="14"/>
      <c r="F64" s="14"/>
      <c r="G64" s="14"/>
      <c r="H64" s="14"/>
      <c r="I64" s="14"/>
      <c r="J64" s="14">
        <v>24.809974670410156</v>
      </c>
      <c r="K64" s="14">
        <f t="shared" si="100"/>
        <v>5.6400146704101566</v>
      </c>
      <c r="L64" s="14">
        <f t="shared" si="98"/>
        <v>2.0053325731058617E-2</v>
      </c>
      <c r="M64" s="14">
        <v>73.64239501953125</v>
      </c>
      <c r="N64" s="14"/>
      <c r="O64" s="13" t="s">
        <v>25</v>
      </c>
      <c r="R64" s="14"/>
      <c r="S64" s="14"/>
      <c r="T64" s="14"/>
      <c r="U64" s="14"/>
      <c r="V64" s="14"/>
      <c r="W64" s="14"/>
      <c r="X64" s="14"/>
    </row>
    <row r="65" spans="1:24" x14ac:dyDescent="0.2">
      <c r="A65" s="15"/>
      <c r="B65" s="15" t="s">
        <v>128</v>
      </c>
      <c r="C65" s="14" t="s">
        <v>6</v>
      </c>
      <c r="D65" s="14">
        <v>29.165586471557617</v>
      </c>
      <c r="E65" s="14">
        <f>D65-28.46133</f>
        <v>0.70425647155761695</v>
      </c>
      <c r="F65" s="14">
        <f t="shared" si="92"/>
        <v>0.61375872281332922</v>
      </c>
      <c r="G65" s="14">
        <v>74.826187133789063</v>
      </c>
      <c r="H65" s="14" t="s">
        <v>24</v>
      </c>
      <c r="I65" s="14" t="s">
        <v>25</v>
      </c>
      <c r="J65" s="14">
        <v>27.605682373046875</v>
      </c>
      <c r="K65" s="14">
        <f>J65-23.11336</f>
        <v>4.4923223730468749</v>
      </c>
      <c r="L65" s="14">
        <f t="shared" si="98"/>
        <v>4.4429990002829753E-2</v>
      </c>
      <c r="M65" s="14">
        <v>74.250785827636719</v>
      </c>
      <c r="N65" s="14" t="s">
        <v>24</v>
      </c>
      <c r="O65" s="13" t="s">
        <v>25</v>
      </c>
      <c r="R65" s="14"/>
      <c r="S65" s="14"/>
      <c r="T65" s="14"/>
      <c r="U65" s="14"/>
      <c r="V65" s="14"/>
      <c r="W65" s="14"/>
      <c r="X65" s="14"/>
    </row>
    <row r="66" spans="1:24" x14ac:dyDescent="0.2">
      <c r="A66" s="15"/>
      <c r="B66" s="15" t="s">
        <v>128</v>
      </c>
      <c r="C66" s="14" t="s">
        <v>6</v>
      </c>
      <c r="D66" s="14">
        <v>29.283138275146484</v>
      </c>
      <c r="E66" s="14">
        <f>D66-28.46133</f>
        <v>0.82180827514648414</v>
      </c>
      <c r="F66" s="14">
        <f t="shared" si="92"/>
        <v>0.56573240861096907</v>
      </c>
      <c r="G66" s="14">
        <v>74.826187133789063</v>
      </c>
      <c r="H66" s="14" t="s">
        <v>24</v>
      </c>
      <c r="I66" s="14" t="s">
        <v>25</v>
      </c>
      <c r="J66" s="14">
        <v>27.437183380126953</v>
      </c>
      <c r="K66" s="14">
        <f t="shared" ref="K66:K67" si="101">J66-23.11336</f>
        <v>4.323823380126953</v>
      </c>
      <c r="L66" s="14">
        <f t="shared" si="98"/>
        <v>4.9934357546058988E-2</v>
      </c>
      <c r="M66" s="14">
        <v>74.101806640625</v>
      </c>
      <c r="N66" s="14" t="s">
        <v>24</v>
      </c>
      <c r="O66" s="13" t="s">
        <v>25</v>
      </c>
      <c r="R66" s="14"/>
      <c r="S66" s="14"/>
      <c r="T66" s="14"/>
      <c r="U66" s="14"/>
      <c r="V66" s="14"/>
      <c r="W66" s="14"/>
      <c r="X66" s="14"/>
    </row>
    <row r="67" spans="1:24" x14ac:dyDescent="0.2">
      <c r="A67" s="15"/>
      <c r="B67" s="15" t="s">
        <v>128</v>
      </c>
      <c r="C67" s="14" t="s">
        <v>6</v>
      </c>
      <c r="D67" s="14"/>
      <c r="E67" s="14"/>
      <c r="F67" s="14"/>
      <c r="G67" s="14"/>
      <c r="H67" s="14"/>
      <c r="I67" s="14"/>
      <c r="J67" s="14">
        <v>27.425882339477539</v>
      </c>
      <c r="K67" s="14">
        <f t="shared" si="101"/>
        <v>4.3125223394775389</v>
      </c>
      <c r="L67" s="14">
        <f t="shared" si="98"/>
        <v>5.0327043575965853E-2</v>
      </c>
      <c r="M67" s="14">
        <v>74.101806640625</v>
      </c>
      <c r="N67" s="14"/>
      <c r="O67" s="13" t="s">
        <v>25</v>
      </c>
      <c r="R67" s="14"/>
      <c r="S67" s="14"/>
      <c r="T67" s="14"/>
      <c r="U67" s="14"/>
      <c r="V67" s="14"/>
      <c r="W67" s="14"/>
      <c r="X67" s="14"/>
    </row>
    <row r="68" spans="1:24" x14ac:dyDescent="0.2">
      <c r="A68" s="15"/>
      <c r="B68" s="15" t="s">
        <v>129</v>
      </c>
      <c r="C68" s="14" t="s">
        <v>6</v>
      </c>
      <c r="D68" s="14">
        <v>28.997446060180664</v>
      </c>
      <c r="E68" s="14">
        <f>D68-27.80639</f>
        <v>1.1910560601806637</v>
      </c>
      <c r="F68" s="14">
        <f t="shared" si="92"/>
        <v>0.43798213811216968</v>
      </c>
      <c r="G68" s="14">
        <v>74.223617553710938</v>
      </c>
      <c r="H68" s="14" t="s">
        <v>24</v>
      </c>
      <c r="I68" s="14" t="s">
        <v>25</v>
      </c>
      <c r="J68" s="14">
        <v>24.54218864440918</v>
      </c>
      <c r="K68" s="14">
        <f>J68-19.81537</f>
        <v>4.7268186444091782</v>
      </c>
      <c r="L68" s="14">
        <f t="shared" si="98"/>
        <v>3.7764679558775528E-2</v>
      </c>
      <c r="M68" s="14">
        <v>74.101806640625</v>
      </c>
      <c r="N68" s="14" t="s">
        <v>24</v>
      </c>
      <c r="O68" s="13" t="s">
        <v>25</v>
      </c>
      <c r="R68" s="14"/>
      <c r="S68" s="14"/>
      <c r="T68" s="14"/>
      <c r="U68" s="14"/>
      <c r="V68" s="14"/>
      <c r="W68" s="14"/>
      <c r="X68" s="14"/>
    </row>
    <row r="69" spans="1:24" x14ac:dyDescent="0.2">
      <c r="A69" s="15"/>
      <c r="B69" s="15" t="s">
        <v>129</v>
      </c>
      <c r="C69" s="14" t="s">
        <v>6</v>
      </c>
      <c r="D69" s="14">
        <v>28.810396194458008</v>
      </c>
      <c r="E69" s="14">
        <f>D69-27.80639</f>
        <v>1.0040061944580074</v>
      </c>
      <c r="F69" s="14">
        <f t="shared" si="92"/>
        <v>0.49861348478912743</v>
      </c>
      <c r="G69" s="14">
        <v>74.823699951171875</v>
      </c>
      <c r="H69" s="14" t="s">
        <v>24</v>
      </c>
      <c r="I69" s="14" t="s">
        <v>25</v>
      </c>
      <c r="J69" s="14">
        <v>24.556825637817383</v>
      </c>
      <c r="K69" s="14">
        <f t="shared" ref="K69:K70" si="102">J69-19.81537</f>
        <v>4.7414556378173813</v>
      </c>
      <c r="L69" s="14">
        <f t="shared" si="98"/>
        <v>3.7383471636253433E-2</v>
      </c>
      <c r="M69" s="14">
        <v>73.95281982421875</v>
      </c>
      <c r="N69" s="14" t="s">
        <v>24</v>
      </c>
      <c r="O69" s="13" t="s">
        <v>25</v>
      </c>
      <c r="R69" s="14"/>
      <c r="S69" s="14"/>
      <c r="T69" s="14"/>
      <c r="U69" s="14"/>
      <c r="V69" s="14"/>
      <c r="W69" s="14"/>
      <c r="X69" s="14"/>
    </row>
    <row r="70" spans="1:24" x14ac:dyDescent="0.2">
      <c r="A70" s="15"/>
      <c r="B70" s="15" t="s">
        <v>129</v>
      </c>
      <c r="C70" s="14" t="s">
        <v>6</v>
      </c>
      <c r="D70" s="14"/>
      <c r="E70" s="14"/>
      <c r="F70" s="14"/>
      <c r="G70" s="14"/>
      <c r="H70" s="14"/>
      <c r="I70" s="14"/>
      <c r="J70" s="14">
        <v>24.511650085449219</v>
      </c>
      <c r="K70" s="14">
        <f t="shared" si="102"/>
        <v>4.6962800854492173</v>
      </c>
      <c r="L70" s="14">
        <f t="shared" si="98"/>
        <v>3.8572592238458145E-2</v>
      </c>
      <c r="M70" s="14">
        <v>74.101806640625</v>
      </c>
      <c r="N70" s="14"/>
      <c r="O70" s="13" t="s">
        <v>25</v>
      </c>
      <c r="R70" s="14"/>
      <c r="S70" s="14"/>
      <c r="T70" s="14"/>
      <c r="U70" s="14"/>
      <c r="V70" s="14"/>
      <c r="W70" s="14"/>
      <c r="X70" s="14"/>
    </row>
    <row r="71" spans="1:24" x14ac:dyDescent="0.2">
      <c r="A71" s="15"/>
      <c r="B71" s="15" t="s">
        <v>126</v>
      </c>
      <c r="C71" s="14" t="s">
        <v>7</v>
      </c>
      <c r="D71" s="14">
        <v>29.605030059814453</v>
      </c>
      <c r="E71" s="14">
        <f>D71-24.42098</f>
        <v>5.184050059814453</v>
      </c>
      <c r="F71" s="14">
        <f>POWER(2,-E71)</f>
        <v>2.7507139692020677E-2</v>
      </c>
      <c r="G71" s="14">
        <v>68.719100952148438</v>
      </c>
      <c r="H71" s="14">
        <v>75.727783203125</v>
      </c>
      <c r="I71" s="14" t="s">
        <v>25</v>
      </c>
      <c r="J71" s="14">
        <v>25.25758171081543</v>
      </c>
      <c r="K71" s="14">
        <f>J71-19.3008</f>
        <v>5.9567817108154308</v>
      </c>
      <c r="L71" s="14">
        <f t="shared" ref="L71:L82" si="103">POWER(2,-K71)</f>
        <v>1.6100153899491751E-2</v>
      </c>
      <c r="M71" s="14">
        <v>73.491188049316406</v>
      </c>
      <c r="N71" s="14" t="s">
        <v>24</v>
      </c>
      <c r="O71" s="13" t="s">
        <v>25</v>
      </c>
      <c r="R71" s="14"/>
      <c r="S71" s="14"/>
      <c r="T71" s="14"/>
      <c r="U71" s="14"/>
      <c r="V71" s="14"/>
      <c r="W71" s="14"/>
      <c r="X71" s="14"/>
    </row>
    <row r="72" spans="1:24" x14ac:dyDescent="0.2">
      <c r="A72" s="15"/>
      <c r="B72" s="15" t="s">
        <v>126</v>
      </c>
      <c r="C72" s="14" t="s">
        <v>7</v>
      </c>
      <c r="D72" s="14">
        <v>31.031135559082031</v>
      </c>
      <c r="E72" s="14">
        <f>D72-24.42098</f>
        <v>6.6101555590820311</v>
      </c>
      <c r="F72" s="14">
        <f t="shared" ref="F72:F93" si="104">POWER(2,-E72)</f>
        <v>1.0236344670800417E-2</v>
      </c>
      <c r="G72" s="14">
        <v>74.833061218261719</v>
      </c>
      <c r="H72" s="14">
        <v>67.675247192382813</v>
      </c>
      <c r="I72" s="14" t="s">
        <v>25</v>
      </c>
      <c r="J72" s="14">
        <v>25.30497932434082</v>
      </c>
      <c r="K72" s="14">
        <f t="shared" ref="K72:K73" si="105">J72-19.3008</f>
        <v>6.0041793243408215</v>
      </c>
      <c r="L72" s="14">
        <f t="shared" si="103"/>
        <v>1.5579801641320275E-2</v>
      </c>
      <c r="M72" s="14">
        <v>73.342117309570313</v>
      </c>
      <c r="N72" s="14" t="s">
        <v>24</v>
      </c>
      <c r="O72" s="13" t="s">
        <v>25</v>
      </c>
      <c r="R72" s="14"/>
      <c r="S72" s="14"/>
      <c r="T72" s="14"/>
      <c r="U72" s="14"/>
      <c r="V72" s="14"/>
      <c r="W72" s="14"/>
      <c r="X72" s="14"/>
    </row>
    <row r="73" spans="1:24" x14ac:dyDescent="0.2">
      <c r="A73" s="15"/>
      <c r="B73" s="15" t="s">
        <v>126</v>
      </c>
      <c r="C73" s="14" t="s">
        <v>7</v>
      </c>
      <c r="D73" s="14"/>
      <c r="E73" s="14"/>
      <c r="F73" s="14"/>
      <c r="G73" s="14"/>
      <c r="H73" s="14"/>
      <c r="I73" s="14"/>
      <c r="J73" s="14">
        <v>25.208263397216797</v>
      </c>
      <c r="K73" s="14">
        <f t="shared" si="105"/>
        <v>5.907463397216798</v>
      </c>
      <c r="L73" s="14">
        <f t="shared" si="103"/>
        <v>1.6660050716474868E-2</v>
      </c>
      <c r="M73" s="14">
        <v>73.491188049316406</v>
      </c>
      <c r="N73" s="14"/>
      <c r="O73" s="13" t="s">
        <v>25</v>
      </c>
      <c r="R73" s="14"/>
      <c r="S73" s="14"/>
      <c r="T73" s="14"/>
      <c r="U73" s="14"/>
      <c r="V73" s="14"/>
      <c r="W73" s="14"/>
      <c r="X73" s="14"/>
    </row>
    <row r="74" spans="1:24" x14ac:dyDescent="0.2">
      <c r="A74" s="15"/>
      <c r="B74" s="15" t="s">
        <v>127</v>
      </c>
      <c r="C74" s="14" t="s">
        <v>7</v>
      </c>
      <c r="D74" s="14">
        <v>31.008779525756836</v>
      </c>
      <c r="E74" s="14">
        <f>D74-23.556</f>
        <v>7.452779525756835</v>
      </c>
      <c r="F74" s="14">
        <f t="shared" si="104"/>
        <v>5.7080768516269576E-3</v>
      </c>
      <c r="G74" s="14">
        <v>73.93731689453125</v>
      </c>
      <c r="H74" s="14">
        <v>67.376762390136719</v>
      </c>
      <c r="I74" s="14" t="s">
        <v>25</v>
      </c>
      <c r="J74" s="14">
        <v>24.951286315917969</v>
      </c>
      <c r="K74" s="14">
        <f>J74-19.16996</f>
        <v>5.7813263159179691</v>
      </c>
      <c r="L74" s="14">
        <f t="shared" si="103"/>
        <v>1.8182239085906646E-2</v>
      </c>
      <c r="M74" s="14">
        <v>73.342117309570313</v>
      </c>
      <c r="N74" s="14" t="s">
        <v>24</v>
      </c>
      <c r="O74" s="13" t="s">
        <v>25</v>
      </c>
      <c r="R74" s="14"/>
      <c r="S74" s="14"/>
      <c r="T74" s="14"/>
      <c r="U74" s="14"/>
      <c r="V74" s="14"/>
      <c r="W74" s="14"/>
      <c r="X74" s="14"/>
    </row>
    <row r="75" spans="1:24" x14ac:dyDescent="0.2">
      <c r="A75" s="15"/>
      <c r="B75" s="15" t="s">
        <v>127</v>
      </c>
      <c r="C75" s="14" t="s">
        <v>7</v>
      </c>
      <c r="D75" s="14">
        <v>31.083915710449219</v>
      </c>
      <c r="E75" s="14">
        <f>D75-23.556</f>
        <v>7.5279157104492178</v>
      </c>
      <c r="F75" s="14">
        <f t="shared" si="104"/>
        <v>5.4184062846583557E-3</v>
      </c>
      <c r="G75" s="14">
        <v>74.385597229003906</v>
      </c>
      <c r="H75" s="14">
        <v>67.526565551757813</v>
      </c>
      <c r="I75" s="14" t="s">
        <v>25</v>
      </c>
      <c r="J75" s="14">
        <v>24.929058074951172</v>
      </c>
      <c r="K75" s="14">
        <f t="shared" ref="K75:K76" si="106">J75-19.16996</f>
        <v>5.7590980749511722</v>
      </c>
      <c r="L75" s="14">
        <f t="shared" si="103"/>
        <v>1.8464550151123204E-2</v>
      </c>
      <c r="M75" s="14">
        <v>73.342117309570313</v>
      </c>
      <c r="N75" s="14" t="s">
        <v>24</v>
      </c>
      <c r="O75" s="13" t="s">
        <v>25</v>
      </c>
      <c r="R75" s="14"/>
      <c r="S75" s="14"/>
      <c r="T75" s="14"/>
      <c r="U75" s="14"/>
      <c r="V75" s="14"/>
      <c r="W75" s="14"/>
      <c r="X75" s="14"/>
    </row>
    <row r="76" spans="1:24" x14ac:dyDescent="0.2">
      <c r="A76" s="15"/>
      <c r="B76" s="15" t="s">
        <v>127</v>
      </c>
      <c r="C76" s="14" t="s">
        <v>7</v>
      </c>
      <c r="D76" s="14"/>
      <c r="E76" s="14"/>
      <c r="F76" s="14"/>
      <c r="G76" s="14"/>
      <c r="H76" s="14"/>
      <c r="I76" s="14"/>
      <c r="J76" s="14">
        <v>24.98027229309082</v>
      </c>
      <c r="K76" s="14">
        <f t="shared" si="106"/>
        <v>5.8103122930908206</v>
      </c>
      <c r="L76" s="14">
        <f t="shared" si="103"/>
        <v>1.7820575110768282E-2</v>
      </c>
      <c r="M76" s="14">
        <v>73.342117309570313</v>
      </c>
      <c r="N76" s="14"/>
      <c r="O76" s="13" t="s">
        <v>25</v>
      </c>
      <c r="R76" s="14"/>
      <c r="S76" s="14"/>
      <c r="T76" s="14"/>
      <c r="U76" s="14"/>
      <c r="V76" s="14"/>
      <c r="W76" s="14"/>
      <c r="X76" s="14"/>
    </row>
    <row r="77" spans="1:24" x14ac:dyDescent="0.2">
      <c r="A77" s="15"/>
      <c r="B77" s="15" t="s">
        <v>128</v>
      </c>
      <c r="C77" s="14" t="s">
        <v>7</v>
      </c>
      <c r="D77" s="14">
        <v>32.775020599365234</v>
      </c>
      <c r="E77" s="14">
        <f>D77-29.18923</f>
        <v>3.5857905993652359</v>
      </c>
      <c r="F77" s="14">
        <f t="shared" si="104"/>
        <v>8.3285514205234196E-2</v>
      </c>
      <c r="G77" s="14">
        <v>68.718246459960938</v>
      </c>
      <c r="H77" s="14">
        <v>75.129653930664063</v>
      </c>
      <c r="I77" s="14" t="s">
        <v>25</v>
      </c>
      <c r="J77" s="14">
        <v>28.834997177124023</v>
      </c>
      <c r="K77" s="14">
        <f>J77-23.11336</f>
        <v>5.7216371771240233</v>
      </c>
      <c r="L77" s="14">
        <f t="shared" si="103"/>
        <v>1.8950277997463127E-2</v>
      </c>
      <c r="M77" s="14">
        <v>73.803009033203125</v>
      </c>
      <c r="N77" s="14" t="s">
        <v>24</v>
      </c>
      <c r="O77" s="13" t="s">
        <v>25</v>
      </c>
      <c r="R77" s="14"/>
      <c r="S77" s="14"/>
      <c r="T77" s="14"/>
      <c r="U77" s="14"/>
      <c r="V77" s="14"/>
      <c r="W77" s="14"/>
      <c r="X77" s="14"/>
    </row>
    <row r="78" spans="1:24" x14ac:dyDescent="0.2">
      <c r="A78" s="15"/>
      <c r="B78" s="15" t="s">
        <v>128</v>
      </c>
      <c r="C78" s="14" t="s">
        <v>7</v>
      </c>
      <c r="D78" s="14">
        <v>32.177608489990234</v>
      </c>
      <c r="E78" s="14">
        <f>D78-29.18923</f>
        <v>2.9883784899902359</v>
      </c>
      <c r="F78" s="14">
        <f t="shared" si="104"/>
        <v>0.12601099363281559</v>
      </c>
      <c r="G78" s="14">
        <v>68.718246459960938</v>
      </c>
      <c r="H78" s="14">
        <v>75.57696533203125</v>
      </c>
      <c r="I78" s="14" t="s">
        <v>25</v>
      </c>
      <c r="J78" s="14">
        <v>28.953296661376953</v>
      </c>
      <c r="K78" s="14">
        <f t="shared" ref="K78:K79" si="107">J78-23.11336</f>
        <v>5.839936661376953</v>
      </c>
      <c r="L78" s="14">
        <f t="shared" si="103"/>
        <v>1.7458377990512582E-2</v>
      </c>
      <c r="M78" s="14">
        <v>73.654022216796875</v>
      </c>
      <c r="N78" s="14" t="s">
        <v>24</v>
      </c>
      <c r="O78" s="13" t="s">
        <v>25</v>
      </c>
      <c r="R78" s="14"/>
      <c r="S78" s="14"/>
      <c r="T78" s="14"/>
      <c r="U78" s="14"/>
      <c r="V78" s="14"/>
      <c r="W78" s="14"/>
      <c r="X78" s="14"/>
    </row>
    <row r="79" spans="1:24" x14ac:dyDescent="0.2">
      <c r="A79" s="15"/>
      <c r="B79" s="15" t="s">
        <v>128</v>
      </c>
      <c r="C79" s="14" t="s">
        <v>7</v>
      </c>
      <c r="D79" s="14"/>
      <c r="E79" s="14"/>
      <c r="F79" s="14"/>
      <c r="G79" s="14"/>
      <c r="H79" s="14"/>
      <c r="I79" s="14"/>
      <c r="J79" s="14">
        <v>28.799629211425781</v>
      </c>
      <c r="K79" s="14">
        <f t="shared" si="107"/>
        <v>5.6862692114257811</v>
      </c>
      <c r="L79" s="14">
        <f t="shared" si="103"/>
        <v>1.9420589295525609E-2</v>
      </c>
      <c r="M79" s="14">
        <v>73.654022216796875</v>
      </c>
      <c r="N79" s="14" t="s">
        <v>24</v>
      </c>
      <c r="O79" s="13" t="s">
        <v>25</v>
      </c>
      <c r="R79" s="14"/>
      <c r="S79" s="14"/>
      <c r="T79" s="14"/>
      <c r="U79" s="14"/>
      <c r="V79" s="14"/>
      <c r="W79" s="14"/>
      <c r="X79" s="14"/>
    </row>
    <row r="80" spans="1:24" x14ac:dyDescent="0.2">
      <c r="A80" s="15"/>
      <c r="B80" s="15" t="s">
        <v>129</v>
      </c>
      <c r="C80" s="14" t="s">
        <v>7</v>
      </c>
      <c r="D80" s="14">
        <v>31.839942932128906</v>
      </c>
      <c r="E80" s="14">
        <f>D80-27.65818</f>
        <v>4.1817629321289047</v>
      </c>
      <c r="F80" s="14">
        <f t="shared" si="104"/>
        <v>5.5101563575490765E-2</v>
      </c>
      <c r="G80" s="14">
        <v>68.566398620605469</v>
      </c>
      <c r="H80" s="14">
        <v>74.680519104003906</v>
      </c>
      <c r="I80" s="14" t="s">
        <v>25</v>
      </c>
      <c r="J80" s="14">
        <v>25.806221008300781</v>
      </c>
      <c r="K80" s="14">
        <f>J80-19.81537</f>
        <v>5.9908510083007798</v>
      </c>
      <c r="L80" s="14">
        <f t="shared" si="103"/>
        <v>1.572440231727441E-2</v>
      </c>
      <c r="M80" s="14">
        <v>73.803009033203125</v>
      </c>
      <c r="N80" s="14" t="s">
        <v>24</v>
      </c>
      <c r="O80" s="13" t="s">
        <v>25</v>
      </c>
      <c r="R80" s="14"/>
      <c r="S80" s="14"/>
      <c r="T80" s="14"/>
      <c r="U80" s="14"/>
      <c r="V80" s="14"/>
      <c r="W80" s="14"/>
      <c r="X80" s="14"/>
    </row>
    <row r="81" spans="1:24" x14ac:dyDescent="0.2">
      <c r="A81" s="15"/>
      <c r="B81" s="15" t="s">
        <v>129</v>
      </c>
      <c r="C81" s="14" t="s">
        <v>7</v>
      </c>
      <c r="D81" s="14">
        <v>32.582229614257813</v>
      </c>
      <c r="E81" s="14">
        <f>D81-27.65818</f>
        <v>4.924049614257811</v>
      </c>
      <c r="F81" s="14">
        <f t="shared" si="104"/>
        <v>3.293922417900038E-2</v>
      </c>
      <c r="G81" s="14">
        <v>68.572006225585938</v>
      </c>
      <c r="H81" s="14">
        <v>75.430946350097656</v>
      </c>
      <c r="I81" s="14" t="s">
        <v>25</v>
      </c>
      <c r="J81" s="14">
        <v>25.790456771850586</v>
      </c>
      <c r="K81" s="14">
        <f t="shared" ref="K81:K82" si="108">J81-19.81537</f>
        <v>5.9750867718505845</v>
      </c>
      <c r="L81" s="14">
        <f t="shared" si="103"/>
        <v>1.5897164014871117E-2</v>
      </c>
      <c r="M81" s="14">
        <v>73.803009033203125</v>
      </c>
      <c r="N81" s="14">
        <v>81.699676513671875</v>
      </c>
      <c r="O81" s="13" t="s">
        <v>25</v>
      </c>
      <c r="R81" s="14"/>
      <c r="S81" s="14"/>
      <c r="T81" s="14"/>
      <c r="U81" s="14"/>
      <c r="V81" s="14"/>
      <c r="W81" s="14"/>
      <c r="X81" s="14"/>
    </row>
    <row r="82" spans="1:24" x14ac:dyDescent="0.2">
      <c r="A82" s="15"/>
      <c r="B82" s="15" t="s">
        <v>129</v>
      </c>
      <c r="C82" s="14" t="s">
        <v>7</v>
      </c>
      <c r="D82" s="14"/>
      <c r="E82" s="14"/>
      <c r="F82" s="14"/>
      <c r="G82" s="14"/>
      <c r="H82" s="14"/>
      <c r="I82" s="14"/>
      <c r="J82" s="14">
        <v>25.836494445800781</v>
      </c>
      <c r="K82" s="14">
        <f t="shared" si="108"/>
        <v>6.0211244458007798</v>
      </c>
      <c r="L82" s="14">
        <f t="shared" si="103"/>
        <v>1.5397880122708346E-2</v>
      </c>
      <c r="M82" s="14">
        <v>73.803009033203125</v>
      </c>
      <c r="N82" s="14">
        <v>75.143951416015625</v>
      </c>
      <c r="O82" s="13" t="s">
        <v>25</v>
      </c>
      <c r="R82" s="14"/>
      <c r="S82" s="14"/>
      <c r="T82" s="14"/>
      <c r="U82" s="14"/>
      <c r="V82" s="14"/>
      <c r="W82" s="14"/>
      <c r="X82" s="14"/>
    </row>
    <row r="83" spans="1:24" x14ac:dyDescent="0.2">
      <c r="A83" s="15"/>
      <c r="B83" s="15" t="s">
        <v>126</v>
      </c>
      <c r="C83" s="14" t="s">
        <v>8</v>
      </c>
      <c r="D83" s="14">
        <v>24.382776260375977</v>
      </c>
      <c r="E83" s="14">
        <f>D83-24.42098</f>
        <v>-3.8203739624023569E-2</v>
      </c>
      <c r="F83" s="14">
        <f t="shared" si="104"/>
        <v>1.0268345466432531</v>
      </c>
      <c r="G83" s="14">
        <v>78.262840270996094</v>
      </c>
      <c r="H83" s="14" t="s">
        <v>24</v>
      </c>
      <c r="I83" s="14" t="s">
        <v>25</v>
      </c>
      <c r="J83" s="14">
        <v>22.965887069702148</v>
      </c>
      <c r="K83" s="14">
        <f>J83-19.3008</f>
        <v>3.6650870697021496</v>
      </c>
      <c r="L83" s="14">
        <f t="shared" ref="L83:L94" si="109">POWER(2,-K83)</f>
        <v>7.8831330270592942E-2</v>
      </c>
      <c r="M83" s="14">
        <v>77.068771362304688</v>
      </c>
      <c r="N83" s="14" t="s">
        <v>24</v>
      </c>
      <c r="O83" s="13" t="s">
        <v>25</v>
      </c>
      <c r="R83" s="14"/>
      <c r="S83" s="14"/>
      <c r="T83" s="14"/>
      <c r="U83" s="14"/>
      <c r="V83" s="14"/>
      <c r="W83" s="14"/>
      <c r="X83" s="14"/>
    </row>
    <row r="84" spans="1:24" x14ac:dyDescent="0.2">
      <c r="A84" s="15"/>
      <c r="B84" s="15" t="s">
        <v>126</v>
      </c>
      <c r="C84" s="14" t="s">
        <v>8</v>
      </c>
      <c r="D84" s="14">
        <v>24.359737396240234</v>
      </c>
      <c r="E84" s="14">
        <f>D84-24.42098</f>
        <v>-6.1242603759765757E-2</v>
      </c>
      <c r="F84" s="14">
        <f t="shared" si="104"/>
        <v>1.0433640309910395</v>
      </c>
      <c r="G84" s="14">
        <v>78.262840270996094</v>
      </c>
      <c r="H84" s="14" t="s">
        <v>24</v>
      </c>
      <c r="I84" s="14" t="s">
        <v>25</v>
      </c>
      <c r="J84" s="14">
        <v>23.081254959106445</v>
      </c>
      <c r="K84" s="14">
        <f t="shared" ref="K84:K85" si="110">J84-19.3008</f>
        <v>3.7804549591064465</v>
      </c>
      <c r="L84" s="14">
        <f t="shared" si="109"/>
        <v>7.2772896338905116E-2</v>
      </c>
      <c r="M84" s="14">
        <v>76.919708251953125</v>
      </c>
      <c r="N84" s="14">
        <v>84.522079467773438</v>
      </c>
      <c r="O84" s="13" t="s">
        <v>25</v>
      </c>
      <c r="R84" s="14"/>
      <c r="S84" s="14"/>
      <c r="T84" s="14"/>
      <c r="U84" s="14"/>
      <c r="V84" s="14"/>
      <c r="W84" s="14"/>
      <c r="X84" s="14"/>
    </row>
    <row r="85" spans="1:24" x14ac:dyDescent="0.2">
      <c r="A85" s="15"/>
      <c r="B85" s="15" t="s">
        <v>126</v>
      </c>
      <c r="C85" s="14" t="s">
        <v>8</v>
      </c>
      <c r="D85" s="14"/>
      <c r="E85" s="14"/>
      <c r="F85" s="14"/>
      <c r="G85" s="14"/>
      <c r="H85" s="14"/>
      <c r="I85" s="14"/>
      <c r="J85" s="14">
        <v>22.973720550537109</v>
      </c>
      <c r="K85" s="14">
        <f t="shared" si="110"/>
        <v>3.6729205505371105</v>
      </c>
      <c r="L85" s="14">
        <f t="shared" si="109"/>
        <v>7.8404455410457041E-2</v>
      </c>
      <c r="M85" s="14">
        <v>76.919708251953125</v>
      </c>
      <c r="N85" s="14">
        <v>83.925811767578125</v>
      </c>
      <c r="O85" s="13" t="s">
        <v>25</v>
      </c>
      <c r="R85" s="14"/>
      <c r="S85" s="14"/>
      <c r="T85" s="14"/>
      <c r="U85" s="14"/>
      <c r="V85" s="14"/>
      <c r="W85" s="14"/>
      <c r="X85" s="14"/>
    </row>
    <row r="86" spans="1:24" x14ac:dyDescent="0.2">
      <c r="A86" s="15"/>
      <c r="B86" s="15" t="s">
        <v>127</v>
      </c>
      <c r="C86" s="14" t="s">
        <v>8</v>
      </c>
      <c r="D86" s="14">
        <v>24.246017456054688</v>
      </c>
      <c r="E86" s="14">
        <f>D86-23.556</f>
        <v>0.69001745605468656</v>
      </c>
      <c r="F86" s="14">
        <f t="shared" si="104"/>
        <v>0.61984635002187016</v>
      </c>
      <c r="G86" s="14">
        <v>77.814002990722656</v>
      </c>
      <c r="H86" s="14" t="s">
        <v>24</v>
      </c>
      <c r="I86" s="14" t="s">
        <v>25</v>
      </c>
      <c r="J86" s="14">
        <v>22.222072601318359</v>
      </c>
      <c r="K86" s="14">
        <f>J86-19.16996</f>
        <v>3.0521126013183597</v>
      </c>
      <c r="L86" s="14">
        <f t="shared" si="109"/>
        <v>0.12056536266526993</v>
      </c>
      <c r="M86" s="14">
        <v>76.770637512207031</v>
      </c>
      <c r="N86" s="14">
        <v>83.776748657226563</v>
      </c>
      <c r="O86" s="13" t="s">
        <v>25</v>
      </c>
      <c r="R86" s="14"/>
      <c r="S86" s="14"/>
      <c r="T86" s="14"/>
      <c r="U86" s="14"/>
      <c r="V86" s="14"/>
      <c r="W86" s="14"/>
      <c r="X86" s="14"/>
    </row>
    <row r="87" spans="1:24" x14ac:dyDescent="0.2">
      <c r="A87" s="15"/>
      <c r="B87" s="15" t="s">
        <v>127</v>
      </c>
      <c r="C87" s="14" t="s">
        <v>8</v>
      </c>
      <c r="D87" s="14">
        <v>24.225704193115234</v>
      </c>
      <c r="E87" s="14">
        <f>D87-23.556</f>
        <v>0.66970419311523344</v>
      </c>
      <c r="F87" s="14">
        <f t="shared" si="104"/>
        <v>0.62863556804389598</v>
      </c>
      <c r="G87" s="14">
        <v>77.964225769042969</v>
      </c>
      <c r="H87" s="14" t="s">
        <v>24</v>
      </c>
      <c r="I87" s="14" t="s">
        <v>25</v>
      </c>
      <c r="J87" s="14">
        <v>22.129756927490234</v>
      </c>
      <c r="K87" s="14">
        <f t="shared" ref="K87:K88" si="111">J87-19.16996</f>
        <v>2.9597969274902347</v>
      </c>
      <c r="L87" s="14">
        <f t="shared" si="109"/>
        <v>0.12853231915715138</v>
      </c>
      <c r="M87" s="14">
        <v>76.770637512207031</v>
      </c>
      <c r="N87" s="14">
        <v>83.925811767578125</v>
      </c>
      <c r="O87" s="13" t="s">
        <v>25</v>
      </c>
      <c r="R87" s="14"/>
      <c r="S87" s="14"/>
      <c r="T87" s="14"/>
      <c r="U87" s="14"/>
      <c r="V87" s="14"/>
      <c r="W87" s="14"/>
      <c r="X87" s="14"/>
    </row>
    <row r="88" spans="1:24" x14ac:dyDescent="0.2">
      <c r="A88" s="14"/>
      <c r="B88" s="15" t="s">
        <v>127</v>
      </c>
      <c r="C88" s="14" t="s">
        <v>8</v>
      </c>
      <c r="D88" s="14"/>
      <c r="E88" s="14"/>
      <c r="F88" s="14"/>
      <c r="G88" s="14"/>
      <c r="H88" s="14"/>
      <c r="I88" s="14"/>
      <c r="J88" s="14">
        <v>22.259099960327148</v>
      </c>
      <c r="K88" s="14">
        <f t="shared" si="111"/>
        <v>3.0891399603271488</v>
      </c>
      <c r="L88" s="14">
        <f t="shared" si="109"/>
        <v>0.11751037471418962</v>
      </c>
      <c r="M88" s="14">
        <v>76.770637512207031</v>
      </c>
      <c r="N88" s="14">
        <v>83.627685546875</v>
      </c>
      <c r="O88" s="13" t="s">
        <v>25</v>
      </c>
      <c r="R88" s="14"/>
      <c r="S88" s="14"/>
      <c r="T88" s="14"/>
      <c r="U88" s="14"/>
      <c r="V88" s="14"/>
      <c r="W88" s="14"/>
      <c r="X88" s="14"/>
    </row>
    <row r="89" spans="1:24" x14ac:dyDescent="0.2">
      <c r="B89" s="15" t="s">
        <v>128</v>
      </c>
      <c r="C89" s="14" t="s">
        <v>8</v>
      </c>
      <c r="D89" s="14">
        <v>27.614511489868164</v>
      </c>
      <c r="E89" s="14">
        <f>D89-29.18923</f>
        <v>-1.5747185101318344</v>
      </c>
      <c r="F89" s="14">
        <f t="shared" si="104"/>
        <v>2.978773669368505</v>
      </c>
      <c r="G89" s="14">
        <v>77.664398193359375</v>
      </c>
      <c r="H89" s="14" t="s">
        <v>24</v>
      </c>
      <c r="I89" s="14" t="s">
        <v>25</v>
      </c>
      <c r="J89" s="14">
        <v>25.130498886108398</v>
      </c>
      <c r="K89" s="14">
        <f>J89-23.11336</f>
        <v>2.0171388861083983</v>
      </c>
      <c r="L89" s="14">
        <f t="shared" si="109"/>
        <v>0.24704762882214737</v>
      </c>
      <c r="M89" s="14">
        <v>77.527854919433594</v>
      </c>
      <c r="N89" s="14" t="s">
        <v>24</v>
      </c>
      <c r="O89" s="13" t="s">
        <v>25</v>
      </c>
    </row>
    <row r="90" spans="1:24" x14ac:dyDescent="0.2">
      <c r="B90" s="15" t="s">
        <v>128</v>
      </c>
      <c r="C90" s="14" t="s">
        <v>8</v>
      </c>
      <c r="D90" s="14">
        <v>27.629079818725586</v>
      </c>
      <c r="E90" s="14">
        <f>D90-29.18923</f>
        <v>-1.5601501812744125</v>
      </c>
      <c r="F90" s="14">
        <f t="shared" si="104"/>
        <v>2.9488453867072462</v>
      </c>
      <c r="G90" s="14">
        <v>77.664398193359375</v>
      </c>
      <c r="H90" s="14" t="s">
        <v>24</v>
      </c>
      <c r="I90" s="14" t="s">
        <v>25</v>
      </c>
      <c r="J90" s="14">
        <v>25.061222076416016</v>
      </c>
      <c r="K90" s="14">
        <f t="shared" ref="K90:K91" si="112">J90-23.11336</f>
        <v>1.9478620764160155</v>
      </c>
      <c r="L90" s="14">
        <f t="shared" si="109"/>
        <v>0.25920005394383239</v>
      </c>
      <c r="M90" s="14">
        <v>77.527854919433594</v>
      </c>
      <c r="N90" s="14" t="s">
        <v>24</v>
      </c>
      <c r="O90" s="13" t="s">
        <v>25</v>
      </c>
    </row>
    <row r="91" spans="1:24" x14ac:dyDescent="0.2">
      <c r="B91" s="15" t="s">
        <v>128</v>
      </c>
      <c r="C91" s="14" t="s">
        <v>8</v>
      </c>
      <c r="D91" s="14"/>
      <c r="E91" s="14"/>
      <c r="F91" s="14"/>
      <c r="G91" s="14"/>
      <c r="H91" s="14"/>
      <c r="I91" s="14"/>
      <c r="J91" s="14">
        <v>25.017518997192383</v>
      </c>
      <c r="K91" s="14">
        <f t="shared" si="112"/>
        <v>1.9041589971923827</v>
      </c>
      <c r="L91" s="14">
        <f t="shared" si="109"/>
        <v>0.26717205156098278</v>
      </c>
      <c r="M91" s="14">
        <v>77.378860473632813</v>
      </c>
      <c r="N91" s="14" t="s">
        <v>24</v>
      </c>
      <c r="O91" s="13" t="s">
        <v>25</v>
      </c>
    </row>
    <row r="92" spans="1:24" x14ac:dyDescent="0.2">
      <c r="B92" s="15" t="s">
        <v>129</v>
      </c>
      <c r="C92" s="14" t="s">
        <v>8</v>
      </c>
      <c r="D92" s="14">
        <v>26.662624359130859</v>
      </c>
      <c r="E92" s="14">
        <f>D92-27.65818</f>
        <v>-0.99555564086914217</v>
      </c>
      <c r="F92" s="14">
        <f t="shared" si="104"/>
        <v>1.9938482903261443</v>
      </c>
      <c r="G92" s="14">
        <v>77.961265563964844</v>
      </c>
      <c r="H92" s="14" t="s">
        <v>24</v>
      </c>
      <c r="I92" s="14" t="s">
        <v>25</v>
      </c>
      <c r="J92" s="14">
        <v>22.132997512817383</v>
      </c>
      <c r="K92" s="14">
        <f>J92-19.81537</f>
        <v>2.3176275128173813</v>
      </c>
      <c r="L92" s="14">
        <f t="shared" si="109"/>
        <v>0.20059707674906901</v>
      </c>
      <c r="M92" s="14">
        <v>77.378860473632813</v>
      </c>
      <c r="N92" s="14" t="s">
        <v>24</v>
      </c>
      <c r="O92" s="13" t="s">
        <v>25</v>
      </c>
    </row>
    <row r="93" spans="1:24" x14ac:dyDescent="0.2">
      <c r="B93" s="15" t="s">
        <v>129</v>
      </c>
      <c r="C93" s="14" t="s">
        <v>8</v>
      </c>
      <c r="D93" s="14">
        <v>26.234840393066406</v>
      </c>
      <c r="E93" s="14">
        <f>D93-27.65818</f>
        <v>-1.4233396069335953</v>
      </c>
      <c r="F93" s="14">
        <f t="shared" si="104"/>
        <v>2.6820564584800133</v>
      </c>
      <c r="G93" s="14">
        <v>77.816658020019531</v>
      </c>
      <c r="H93" s="14" t="s">
        <v>24</v>
      </c>
      <c r="I93" s="14" t="s">
        <v>25</v>
      </c>
      <c r="J93" s="14">
        <v>22.156166076660156</v>
      </c>
      <c r="K93" s="14">
        <f t="shared" ref="K93:K94" si="113">J93-19.81537</f>
        <v>2.3407960766601548</v>
      </c>
      <c r="L93" s="14">
        <f t="shared" si="109"/>
        <v>0.19740137216769874</v>
      </c>
      <c r="M93" s="14">
        <v>77.378860473632813</v>
      </c>
      <c r="N93" s="14">
        <v>84.232559204101563</v>
      </c>
      <c r="O93" s="13" t="s">
        <v>25</v>
      </c>
    </row>
    <row r="94" spans="1:24" x14ac:dyDescent="0.2">
      <c r="B94" s="15" t="s">
        <v>129</v>
      </c>
      <c r="C94" s="14" t="s">
        <v>8</v>
      </c>
      <c r="D94" s="14"/>
      <c r="E94" s="14"/>
      <c r="F94" s="14"/>
      <c r="G94" s="14"/>
      <c r="H94" s="14"/>
      <c r="I94" s="14"/>
      <c r="J94" s="14">
        <v>22.175714492797852</v>
      </c>
      <c r="K94" s="14">
        <f t="shared" si="113"/>
        <v>2.3603444927978501</v>
      </c>
      <c r="L94" s="14">
        <f t="shared" si="109"/>
        <v>0.1947446374180179</v>
      </c>
      <c r="M94" s="14">
        <v>77.378860473632813</v>
      </c>
      <c r="N94" s="14" t="s">
        <v>24</v>
      </c>
      <c r="O94" s="13" t="s">
        <v>25</v>
      </c>
    </row>
    <row r="95" spans="1:24" x14ac:dyDescent="0.2">
      <c r="B95" s="15" t="s">
        <v>126</v>
      </c>
      <c r="C95" s="14" t="s">
        <v>9</v>
      </c>
      <c r="D95" s="14">
        <v>25.883146286010742</v>
      </c>
      <c r="E95" s="14">
        <f>D95-23.53952</f>
        <v>2.3436262860107426</v>
      </c>
      <c r="F95" s="14">
        <f>POWER(2,-E95)</f>
        <v>0.19701449930204828</v>
      </c>
      <c r="G95" s="14">
        <v>77.81640625</v>
      </c>
      <c r="H95" s="14" t="s">
        <v>24</v>
      </c>
      <c r="I95" s="14" t="s">
        <v>25</v>
      </c>
      <c r="J95" s="14">
        <v>22.007076263427734</v>
      </c>
      <c r="K95" s="14">
        <f>J95-19.3008</f>
        <v>2.7062762634277355</v>
      </c>
      <c r="L95" s="14">
        <f t="shared" ref="L95:L106" si="114">POWER(2,-K95)</f>
        <v>0.15322501345301814</v>
      </c>
      <c r="M95" s="14">
        <v>76.322227478027344</v>
      </c>
      <c r="N95" s="14"/>
      <c r="O95" s="13" t="s">
        <v>25</v>
      </c>
    </row>
    <row r="96" spans="1:24" x14ac:dyDescent="0.2">
      <c r="B96" s="15" t="s">
        <v>126</v>
      </c>
      <c r="C96" s="14" t="s">
        <v>9</v>
      </c>
      <c r="D96" s="14">
        <v>25.940513610839844</v>
      </c>
      <c r="E96" s="14">
        <f>D96-23.53952</f>
        <v>2.4009936108398442</v>
      </c>
      <c r="F96" s="14">
        <f t="shared" ref="F96:F117" si="115">POWER(2,-E96)</f>
        <v>0.18933412797325172</v>
      </c>
      <c r="G96" s="14">
        <v>77.81640625</v>
      </c>
      <c r="H96" s="14" t="s">
        <v>24</v>
      </c>
      <c r="I96" s="14" t="s">
        <v>25</v>
      </c>
      <c r="J96" s="14">
        <v>21.962139129638672</v>
      </c>
      <c r="K96" s="14">
        <f t="shared" ref="K96:K97" si="116">J96-19.3008</f>
        <v>2.661339129638673</v>
      </c>
      <c r="L96" s="14">
        <f t="shared" si="114"/>
        <v>0.15807278077133893</v>
      </c>
      <c r="M96" s="14">
        <v>76.620376586914063</v>
      </c>
      <c r="N96" s="14"/>
      <c r="O96" s="13" t="s">
        <v>25</v>
      </c>
    </row>
    <row r="97" spans="2:15" x14ac:dyDescent="0.2">
      <c r="B97" s="15" t="s">
        <v>126</v>
      </c>
      <c r="C97" s="14" t="s">
        <v>9</v>
      </c>
      <c r="D97" s="14"/>
      <c r="E97" s="14"/>
      <c r="F97" s="14"/>
      <c r="G97" s="14"/>
      <c r="H97" s="14"/>
      <c r="I97" s="14"/>
      <c r="J97" s="14">
        <v>21.970451354980469</v>
      </c>
      <c r="K97" s="14">
        <f t="shared" si="116"/>
        <v>2.6696513549804699</v>
      </c>
      <c r="L97" s="14">
        <f t="shared" si="114"/>
        <v>0.15716464799858532</v>
      </c>
      <c r="M97" s="14">
        <v>76.471298217773438</v>
      </c>
      <c r="N97" s="14"/>
      <c r="O97" s="13" t="s">
        <v>25</v>
      </c>
    </row>
    <row r="98" spans="2:15" x14ac:dyDescent="0.2">
      <c r="B98" s="15" t="s">
        <v>127</v>
      </c>
      <c r="C98" s="14" t="s">
        <v>9</v>
      </c>
      <c r="D98" s="14">
        <v>26.370326995849609</v>
      </c>
      <c r="E98" s="14">
        <f>D98-22.92423</f>
        <v>3.4460969958496079</v>
      </c>
      <c r="F98" s="14">
        <f t="shared" si="115"/>
        <v>9.175324575386487E-2</v>
      </c>
      <c r="G98" s="14">
        <v>77.813102722167969</v>
      </c>
      <c r="H98" s="14" t="s">
        <v>24</v>
      </c>
      <c r="I98" s="14" t="s">
        <v>25</v>
      </c>
      <c r="J98" s="14">
        <v>21.072561264038086</v>
      </c>
      <c r="K98" s="14">
        <f>J98-19.16996</f>
        <v>1.9026012640380863</v>
      </c>
      <c r="L98" s="14">
        <f t="shared" si="114"/>
        <v>0.26746068326480665</v>
      </c>
      <c r="M98" s="14">
        <v>76.471298217773438</v>
      </c>
      <c r="N98" s="14"/>
      <c r="O98" s="13" t="s">
        <v>25</v>
      </c>
    </row>
    <row r="99" spans="2:15" x14ac:dyDescent="0.2">
      <c r="B99" s="15" t="s">
        <v>127</v>
      </c>
      <c r="C99" s="14" t="s">
        <v>9</v>
      </c>
      <c r="D99" s="14">
        <v>26.353944778442383</v>
      </c>
      <c r="E99" s="14">
        <f>D99-22.92423</f>
        <v>3.4297147784423814</v>
      </c>
      <c r="F99" s="14">
        <f t="shared" si="115"/>
        <v>9.2801068170141693E-2</v>
      </c>
      <c r="G99" s="14">
        <v>77.666595458984375</v>
      </c>
      <c r="H99" s="14" t="s">
        <v>24</v>
      </c>
      <c r="I99" s="14" t="s">
        <v>25</v>
      </c>
      <c r="J99" s="14">
        <v>21.102706909179688</v>
      </c>
      <c r="K99" s="14">
        <f t="shared" ref="K99:K100" si="117">J99-19.16996</f>
        <v>1.9327469091796878</v>
      </c>
      <c r="L99" s="14">
        <f t="shared" si="114"/>
        <v>0.26192997790815992</v>
      </c>
      <c r="M99" s="14">
        <v>76.620376586914063</v>
      </c>
      <c r="N99" s="14"/>
      <c r="O99" s="13" t="s">
        <v>25</v>
      </c>
    </row>
    <row r="100" spans="2:15" x14ac:dyDescent="0.2">
      <c r="B100" s="15" t="s">
        <v>127</v>
      </c>
      <c r="C100" s="14" t="s">
        <v>9</v>
      </c>
      <c r="D100" s="14"/>
      <c r="E100" s="14"/>
      <c r="F100" s="14"/>
      <c r="G100" s="14"/>
      <c r="H100" s="14"/>
      <c r="I100" s="14"/>
      <c r="J100" s="14">
        <v>21.127483367919922</v>
      </c>
      <c r="K100" s="14">
        <f t="shared" si="117"/>
        <v>1.9575233679199222</v>
      </c>
      <c r="L100" s="14">
        <f t="shared" si="114"/>
        <v>0.25747006878724699</v>
      </c>
      <c r="M100" s="14">
        <v>76.620376586914063</v>
      </c>
      <c r="N100" s="14"/>
      <c r="O100" s="13" t="s">
        <v>25</v>
      </c>
    </row>
    <row r="101" spans="2:15" x14ac:dyDescent="0.2">
      <c r="B101" s="15" t="s">
        <v>128</v>
      </c>
      <c r="C101" s="14" t="s">
        <v>9</v>
      </c>
      <c r="D101" s="14">
        <v>29.185977935791016</v>
      </c>
      <c r="E101" s="14">
        <f>D101-28.28622</f>
        <v>0.89975793579101548</v>
      </c>
      <c r="F101" s="14">
        <f t="shared" si="115"/>
        <v>0.53597665316928678</v>
      </c>
      <c r="G101" s="14">
        <v>77.515304565429688</v>
      </c>
      <c r="H101" s="14" t="s">
        <v>24</v>
      </c>
      <c r="I101" s="14" t="s">
        <v>25</v>
      </c>
      <c r="J101" s="14">
        <v>24.606475830078125</v>
      </c>
      <c r="K101" s="14">
        <f>J101-23.11336</f>
        <v>1.4931158300781249</v>
      </c>
      <c r="L101" s="14">
        <f t="shared" si="114"/>
        <v>0.3552444880323784</v>
      </c>
      <c r="M101" s="14">
        <v>77.6759033203125</v>
      </c>
      <c r="N101" s="14"/>
      <c r="O101" s="13" t="s">
        <v>25</v>
      </c>
    </row>
    <row r="102" spans="2:15" x14ac:dyDescent="0.2">
      <c r="B102" s="15" t="s">
        <v>128</v>
      </c>
      <c r="C102" s="14" t="s">
        <v>9</v>
      </c>
      <c r="D102" s="14">
        <v>28.893466949462891</v>
      </c>
      <c r="E102" s="14">
        <f>D102-28.28622</f>
        <v>0.60724694946289048</v>
      </c>
      <c r="F102" s="14">
        <f t="shared" si="115"/>
        <v>0.65644818733279897</v>
      </c>
      <c r="G102" s="14">
        <v>77.515304565429688</v>
      </c>
      <c r="H102" s="14" t="s">
        <v>24</v>
      </c>
      <c r="I102" s="14" t="s">
        <v>25</v>
      </c>
      <c r="J102" s="14">
        <v>24.518760681152344</v>
      </c>
      <c r="K102" s="14">
        <f t="shared" ref="K102:K103" si="118">J102-23.11336</f>
        <v>1.4054006811523436</v>
      </c>
      <c r="L102" s="14">
        <f t="shared" si="114"/>
        <v>0.37751328468346634</v>
      </c>
      <c r="M102" s="14">
        <v>77.6759033203125</v>
      </c>
      <c r="N102" s="14"/>
      <c r="O102" s="13" t="s">
        <v>25</v>
      </c>
    </row>
    <row r="103" spans="2:15" x14ac:dyDescent="0.2">
      <c r="B103" s="15" t="s">
        <v>128</v>
      </c>
      <c r="C103" s="14" t="s">
        <v>9</v>
      </c>
      <c r="D103" s="14"/>
      <c r="E103" s="14"/>
      <c r="F103" s="14"/>
      <c r="G103" s="14"/>
      <c r="H103" s="14"/>
      <c r="I103" s="14"/>
      <c r="J103" s="14">
        <v>24.503894805908203</v>
      </c>
      <c r="K103" s="14">
        <f t="shared" si="118"/>
        <v>1.390534805908203</v>
      </c>
      <c r="L103" s="14">
        <f t="shared" si="114"/>
        <v>0.38142338268404902</v>
      </c>
      <c r="M103" s="14">
        <v>77.6759033203125</v>
      </c>
      <c r="N103" s="14"/>
      <c r="O103" s="13" t="s">
        <v>25</v>
      </c>
    </row>
    <row r="104" spans="2:15" x14ac:dyDescent="0.2">
      <c r="B104" s="15" t="s">
        <v>129</v>
      </c>
      <c r="C104" s="14" t="s">
        <v>9</v>
      </c>
      <c r="D104" s="14">
        <v>28.121307373046875</v>
      </c>
      <c r="E104" s="14">
        <f>D104-26.54637</f>
        <v>1.5749373730468754</v>
      </c>
      <c r="F104" s="14">
        <f t="shared" si="115"/>
        <v>0.33565769617735974</v>
      </c>
      <c r="G104" s="14">
        <v>77.813949584960938</v>
      </c>
      <c r="H104" s="14" t="s">
        <v>24</v>
      </c>
      <c r="I104" s="14" t="s">
        <v>25</v>
      </c>
      <c r="J104" s="14">
        <v>21.561975479125977</v>
      </c>
      <c r="K104" s="14">
        <f>J104-19.81537</f>
        <v>1.7466054791259751</v>
      </c>
      <c r="L104" s="14">
        <f t="shared" si="114"/>
        <v>0.29800212447043595</v>
      </c>
      <c r="M104" s="14">
        <v>77.526901245117188</v>
      </c>
      <c r="N104" s="14"/>
      <c r="O104" s="13" t="s">
        <v>25</v>
      </c>
    </row>
    <row r="105" spans="2:15" x14ac:dyDescent="0.2">
      <c r="B105" s="15" t="s">
        <v>129</v>
      </c>
      <c r="C105" s="14" t="s">
        <v>9</v>
      </c>
      <c r="D105" s="14">
        <v>28.154170989990234</v>
      </c>
      <c r="E105" s="14">
        <f>D105-26.54637</f>
        <v>1.6078009899902348</v>
      </c>
      <c r="F105" s="14">
        <f t="shared" si="115"/>
        <v>0.3280980694330804</v>
      </c>
      <c r="G105" s="14">
        <v>77.666145324707031</v>
      </c>
      <c r="H105" s="14" t="s">
        <v>24</v>
      </c>
      <c r="I105" s="14" t="s">
        <v>25</v>
      </c>
      <c r="J105" s="14">
        <v>21.637668609619141</v>
      </c>
      <c r="K105" s="14">
        <f t="shared" ref="K105:K106" si="119">J105-19.81537</f>
        <v>1.8222986096191391</v>
      </c>
      <c r="L105" s="14">
        <f t="shared" si="114"/>
        <v>0.28277008178495033</v>
      </c>
      <c r="M105" s="14">
        <v>77.526901245117188</v>
      </c>
      <c r="N105" s="14"/>
      <c r="O105" s="13" t="s">
        <v>25</v>
      </c>
    </row>
    <row r="106" spans="2:15" x14ac:dyDescent="0.2">
      <c r="B106" s="15" t="s">
        <v>129</v>
      </c>
      <c r="C106" s="14" t="s">
        <v>9</v>
      </c>
      <c r="D106" s="14"/>
      <c r="E106" s="14"/>
      <c r="F106" s="14"/>
      <c r="G106" s="14"/>
      <c r="H106" s="14"/>
      <c r="I106" s="14"/>
      <c r="J106" s="14">
        <v>21.543384552001953</v>
      </c>
      <c r="K106" s="14">
        <f t="shared" si="119"/>
        <v>1.7280145520019516</v>
      </c>
      <c r="L106" s="14">
        <f t="shared" si="114"/>
        <v>0.30186710301966158</v>
      </c>
      <c r="M106" s="14">
        <v>77.6759033203125</v>
      </c>
      <c r="N106" s="14"/>
      <c r="O106" s="13" t="s">
        <v>25</v>
      </c>
    </row>
    <row r="107" spans="2:15" x14ac:dyDescent="0.2">
      <c r="B107" s="15" t="s">
        <v>126</v>
      </c>
      <c r="C107" s="14" t="s">
        <v>10</v>
      </c>
      <c r="D107" s="14">
        <v>27.342868804931641</v>
      </c>
      <c r="E107" s="14">
        <f>D107-23.53952</f>
        <v>3.8033488049316411</v>
      </c>
      <c r="F107" s="14">
        <f t="shared" si="115"/>
        <v>7.1627191982213206E-2</v>
      </c>
      <c r="G107" s="14">
        <v>76.325653076171875</v>
      </c>
      <c r="H107" s="14" t="s">
        <v>24</v>
      </c>
      <c r="I107" s="14" t="s">
        <v>25</v>
      </c>
      <c r="J107" s="14">
        <v>21.110591888427734</v>
      </c>
      <c r="K107" s="14">
        <f>J107-19.3008</f>
        <v>1.8097918884277355</v>
      </c>
      <c r="L107" s="14">
        <f t="shared" ref="L107:L118" si="120">POWER(2,-K107)</f>
        <v>0.28523207128196365</v>
      </c>
      <c r="M107" s="14">
        <v>75.875007629394531</v>
      </c>
      <c r="N107" s="14"/>
      <c r="O107" s="13" t="s">
        <v>25</v>
      </c>
    </row>
    <row r="108" spans="2:15" x14ac:dyDescent="0.2">
      <c r="B108" s="15" t="s">
        <v>126</v>
      </c>
      <c r="C108" s="14" t="s">
        <v>10</v>
      </c>
      <c r="D108" s="14">
        <v>27.431676864624023</v>
      </c>
      <c r="E108" s="14">
        <f>D108-23.53952</f>
        <v>3.8921568646240239</v>
      </c>
      <c r="F108" s="14">
        <f t="shared" si="115"/>
        <v>6.7350998074762594E-2</v>
      </c>
      <c r="G108" s="14">
        <v>76.325653076171875</v>
      </c>
      <c r="H108" s="14" t="s">
        <v>24</v>
      </c>
      <c r="I108" s="14" t="s">
        <v>25</v>
      </c>
      <c r="J108" s="14">
        <v>21.119724273681641</v>
      </c>
      <c r="K108" s="14">
        <f t="shared" ref="K108:K109" si="121">J108-19.3008</f>
        <v>1.8189242736816418</v>
      </c>
      <c r="L108" s="14">
        <f t="shared" si="120"/>
        <v>0.28343223001568452</v>
      </c>
      <c r="M108" s="14">
        <v>75.875007629394531</v>
      </c>
      <c r="N108" s="14"/>
      <c r="O108" s="13" t="s">
        <v>25</v>
      </c>
    </row>
    <row r="109" spans="2:15" x14ac:dyDescent="0.2">
      <c r="B109" s="15" t="s">
        <v>126</v>
      </c>
      <c r="C109" s="14" t="s">
        <v>10</v>
      </c>
      <c r="D109" s="14"/>
      <c r="E109" s="14"/>
      <c r="F109" s="14"/>
      <c r="G109" s="14"/>
      <c r="H109" s="14"/>
      <c r="I109" s="14"/>
      <c r="J109" s="14">
        <v>21.114046096801758</v>
      </c>
      <c r="K109" s="14">
        <f t="shared" si="121"/>
        <v>1.813246096801759</v>
      </c>
      <c r="L109" s="14">
        <f t="shared" si="120"/>
        <v>0.28454996422453782</v>
      </c>
      <c r="M109" s="14">
        <v>76.024078369140625</v>
      </c>
      <c r="N109" s="14"/>
      <c r="O109" s="13" t="s">
        <v>25</v>
      </c>
    </row>
    <row r="110" spans="2:15" x14ac:dyDescent="0.2">
      <c r="B110" s="15" t="s">
        <v>127</v>
      </c>
      <c r="C110" s="14" t="s">
        <v>10</v>
      </c>
      <c r="D110" s="14">
        <v>26.974241256713867</v>
      </c>
      <c r="E110" s="14">
        <f>D110-22.92423</f>
        <v>4.0500112567138657</v>
      </c>
      <c r="F110" s="14">
        <f t="shared" si="115"/>
        <v>6.0370549511161858E-2</v>
      </c>
      <c r="G110" s="14">
        <v>76.173004150390625</v>
      </c>
      <c r="H110" s="14" t="s">
        <v>24</v>
      </c>
      <c r="I110" s="14" t="s">
        <v>25</v>
      </c>
      <c r="J110" s="14">
        <v>20.950508117675781</v>
      </c>
      <c r="K110" s="14">
        <f>J110-19.16996</f>
        <v>1.7805481176757816</v>
      </c>
      <c r="L110" s="14">
        <f t="shared" si="120"/>
        <v>0.29107278942206682</v>
      </c>
      <c r="M110" s="14">
        <v>75.875007629394531</v>
      </c>
      <c r="N110" s="14"/>
      <c r="O110" s="13" t="s">
        <v>25</v>
      </c>
    </row>
    <row r="111" spans="2:15" x14ac:dyDescent="0.2">
      <c r="B111" s="15" t="s">
        <v>127</v>
      </c>
      <c r="C111" s="14" t="s">
        <v>10</v>
      </c>
      <c r="D111" s="14">
        <v>27.0614013671875</v>
      </c>
      <c r="E111" s="14">
        <f>D111-22.92423</f>
        <v>4.1371713671874986</v>
      </c>
      <c r="F111" s="14">
        <f t="shared" si="115"/>
        <v>5.6831264766505518E-2</v>
      </c>
      <c r="G111" s="14">
        <v>76.324653625488281</v>
      </c>
      <c r="H111" s="14" t="s">
        <v>24</v>
      </c>
      <c r="I111" s="14" t="s">
        <v>25</v>
      </c>
      <c r="J111" s="14">
        <v>20.912023544311523</v>
      </c>
      <c r="K111" s="14">
        <f t="shared" ref="K111:K112" si="122">J111-19.16996</f>
        <v>1.7420635443115238</v>
      </c>
      <c r="L111" s="14">
        <f t="shared" si="120"/>
        <v>0.29894178184575115</v>
      </c>
      <c r="M111" s="14">
        <v>75.875007629394531</v>
      </c>
      <c r="N111" s="14"/>
      <c r="O111" s="13" t="s">
        <v>25</v>
      </c>
    </row>
    <row r="112" spans="2:15" x14ac:dyDescent="0.2">
      <c r="B112" s="15" t="s">
        <v>127</v>
      </c>
      <c r="C112" s="14" t="s">
        <v>10</v>
      </c>
      <c r="D112" s="14"/>
      <c r="E112" s="14"/>
      <c r="F112" s="14"/>
      <c r="G112" s="14"/>
      <c r="H112" s="14"/>
      <c r="I112" s="14"/>
      <c r="J112" s="14">
        <v>20.954490661621094</v>
      </c>
      <c r="K112" s="14">
        <f t="shared" si="122"/>
        <v>1.7845306616210941</v>
      </c>
      <c r="L112" s="14">
        <f t="shared" si="120"/>
        <v>0.29027039416869882</v>
      </c>
      <c r="M112" s="14">
        <v>76.024078369140625</v>
      </c>
      <c r="N112" s="14"/>
      <c r="O112" s="13" t="s">
        <v>25</v>
      </c>
    </row>
    <row r="113" spans="2:15" x14ac:dyDescent="0.2">
      <c r="B113" s="15" t="s">
        <v>128</v>
      </c>
      <c r="C113" s="14" t="s">
        <v>10</v>
      </c>
      <c r="D113" s="14">
        <v>30.976692199707031</v>
      </c>
      <c r="E113" s="14">
        <f>D113-28.28622</f>
        <v>2.6904721997070311</v>
      </c>
      <c r="F113" s="14">
        <f t="shared" si="115"/>
        <v>0.15491275064697049</v>
      </c>
      <c r="G113" s="14">
        <v>76.173454284667969</v>
      </c>
      <c r="H113" s="14" t="s">
        <v>24</v>
      </c>
      <c r="I113" s="14" t="s">
        <v>25</v>
      </c>
      <c r="J113" s="14">
        <v>24.594587326049805</v>
      </c>
      <c r="K113" s="14">
        <f>J113-23.11336</f>
        <v>1.4812273260498046</v>
      </c>
      <c r="L113" s="14">
        <f t="shared" si="120"/>
        <v>0.35818396895144927</v>
      </c>
      <c r="M113" s="14">
        <v>76.334861755371094</v>
      </c>
      <c r="N113" s="14" t="s">
        <v>24</v>
      </c>
      <c r="O113" s="13" t="s">
        <v>25</v>
      </c>
    </row>
    <row r="114" spans="2:15" x14ac:dyDescent="0.2">
      <c r="B114" s="15" t="s">
        <v>128</v>
      </c>
      <c r="C114" s="14" t="s">
        <v>10</v>
      </c>
      <c r="D114" s="14">
        <v>31.370233535766602</v>
      </c>
      <c r="E114" s="14">
        <f>D114-28.28622</f>
        <v>3.0840135357666014</v>
      </c>
      <c r="F114" s="14">
        <f t="shared" si="115"/>
        <v>0.11792867491706348</v>
      </c>
      <c r="G114" s="14">
        <v>76.173454284667969</v>
      </c>
      <c r="H114" s="14" t="s">
        <v>24</v>
      </c>
      <c r="I114" s="14" t="s">
        <v>25</v>
      </c>
      <c r="J114" s="14" t="s">
        <v>119</v>
      </c>
      <c r="K114" s="14"/>
      <c r="L114" s="14"/>
      <c r="M114" s="14">
        <v>72.758758544921875</v>
      </c>
      <c r="N114" s="14">
        <v>81.102996826171875</v>
      </c>
      <c r="O114" s="13" t="s">
        <v>65</v>
      </c>
    </row>
    <row r="115" spans="2:15" x14ac:dyDescent="0.2">
      <c r="B115" s="15" t="s">
        <v>128</v>
      </c>
      <c r="C115" s="14" t="s">
        <v>10</v>
      </c>
      <c r="D115" s="14"/>
      <c r="E115" s="14"/>
      <c r="F115" s="14"/>
      <c r="G115" s="14"/>
      <c r="H115" s="14"/>
      <c r="I115" s="14"/>
      <c r="J115" s="14">
        <v>24.542640686035156</v>
      </c>
      <c r="K115" s="14">
        <f t="shared" ref="K115" si="123">J115-23.11336</f>
        <v>1.4292806860351561</v>
      </c>
      <c r="L115" s="14">
        <f t="shared" si="120"/>
        <v>0.37131598111263842</v>
      </c>
      <c r="M115" s="14">
        <v>76.185859680175781</v>
      </c>
      <c r="N115" s="14" t="s">
        <v>24</v>
      </c>
      <c r="O115" s="13" t="s">
        <v>25</v>
      </c>
    </row>
    <row r="116" spans="2:15" x14ac:dyDescent="0.2">
      <c r="B116" s="15" t="s">
        <v>129</v>
      </c>
      <c r="C116" s="14" t="s">
        <v>10</v>
      </c>
      <c r="D116" s="14">
        <v>29.965610504150391</v>
      </c>
      <c r="E116" s="14">
        <f>D116-26.54637</f>
        <v>3.419240504150391</v>
      </c>
      <c r="F116" s="14">
        <f t="shared" si="115"/>
        <v>9.3477275490625913E-2</v>
      </c>
      <c r="G116" s="14">
        <v>76.322944641113281</v>
      </c>
      <c r="H116" s="14" t="s">
        <v>24</v>
      </c>
      <c r="I116" s="14" t="s">
        <v>25</v>
      </c>
      <c r="J116" s="14">
        <v>21.060844421386719</v>
      </c>
      <c r="K116" s="14">
        <f>J116-19.81537</f>
        <v>1.2454744213867173</v>
      </c>
      <c r="L116" s="14">
        <f t="shared" si="120"/>
        <v>0.42176917905859407</v>
      </c>
      <c r="M116" s="14">
        <v>76.185859680175781</v>
      </c>
      <c r="N116" s="14" t="s">
        <v>24</v>
      </c>
      <c r="O116" s="13" t="s">
        <v>25</v>
      </c>
    </row>
    <row r="117" spans="2:15" x14ac:dyDescent="0.2">
      <c r="B117" s="15" t="s">
        <v>129</v>
      </c>
      <c r="C117" s="14" t="s">
        <v>10</v>
      </c>
      <c r="D117" s="14">
        <v>30.010599136352539</v>
      </c>
      <c r="E117" s="14">
        <f>D117-26.54637</f>
        <v>3.4642291363525395</v>
      </c>
      <c r="F117" s="14">
        <f t="shared" si="115"/>
        <v>9.0607285190355644E-2</v>
      </c>
      <c r="G117" s="14">
        <v>76.175338745117188</v>
      </c>
      <c r="H117" s="14" t="s">
        <v>24</v>
      </c>
      <c r="I117" s="14" t="s">
        <v>25</v>
      </c>
      <c r="J117" s="14">
        <v>21.043947219848633</v>
      </c>
      <c r="K117" s="14">
        <f t="shared" ref="K117:K118" si="124">J117-19.81537</f>
        <v>1.2285772198486313</v>
      </c>
      <c r="L117" s="14">
        <f t="shared" si="120"/>
        <v>0.42673808584800232</v>
      </c>
      <c r="M117" s="14">
        <v>76.334861755371094</v>
      </c>
      <c r="N117" s="14" t="s">
        <v>24</v>
      </c>
      <c r="O117" s="13" t="s">
        <v>25</v>
      </c>
    </row>
    <row r="118" spans="2:15" x14ac:dyDescent="0.2">
      <c r="B118" s="15" t="s">
        <v>129</v>
      </c>
      <c r="C118" s="14" t="s">
        <v>10</v>
      </c>
      <c r="D118" s="14"/>
      <c r="E118" s="14"/>
      <c r="F118" s="14"/>
      <c r="G118" s="14"/>
      <c r="H118" s="14"/>
      <c r="I118" s="14"/>
      <c r="J118" s="14">
        <v>21.075403213500977</v>
      </c>
      <c r="K118" s="14">
        <f t="shared" si="124"/>
        <v>1.2600332135009751</v>
      </c>
      <c r="L118" s="14">
        <f t="shared" si="120"/>
        <v>0.41753434719269766</v>
      </c>
      <c r="M118" s="14">
        <v>76.334861755371094</v>
      </c>
      <c r="N118" s="14" t="s">
        <v>24</v>
      </c>
      <c r="O118" s="13" t="s">
        <v>25</v>
      </c>
    </row>
    <row r="119" spans="2:15" x14ac:dyDescent="0.2">
      <c r="B119" s="15" t="s">
        <v>126</v>
      </c>
      <c r="C119" s="14" t="s">
        <v>11</v>
      </c>
      <c r="D119" s="14">
        <v>25.618806838989258</v>
      </c>
      <c r="E119" s="14">
        <f>D119-23.65323</f>
        <v>1.9655768389892572</v>
      </c>
      <c r="F119" s="14">
        <f>POWER(2,-E119)</f>
        <v>0.25603681298472297</v>
      </c>
      <c r="G119" s="14">
        <v>74.099357604980469</v>
      </c>
      <c r="H119" s="14">
        <v>68.582115173339844</v>
      </c>
      <c r="I119" s="14" t="s">
        <v>25</v>
      </c>
      <c r="J119" s="14">
        <v>19.989068984985352</v>
      </c>
      <c r="K119" s="14">
        <f>J119-19.3008</f>
        <v>0.68826898498535272</v>
      </c>
      <c r="L119" s="14">
        <f t="shared" ref="L119:L130" si="125">POWER(2,-K119)</f>
        <v>0.62059802684168264</v>
      </c>
      <c r="M119" s="14">
        <v>75.131370544433594</v>
      </c>
      <c r="N119" s="14"/>
      <c r="O119" s="13" t="s">
        <v>25</v>
      </c>
    </row>
    <row r="120" spans="2:15" x14ac:dyDescent="0.2">
      <c r="B120" s="15" t="s">
        <v>126</v>
      </c>
      <c r="C120" s="14" t="s">
        <v>11</v>
      </c>
      <c r="D120" s="14">
        <v>25.782575607299805</v>
      </c>
      <c r="E120" s="14">
        <f>D120-23.65323</f>
        <v>2.129345607299804</v>
      </c>
      <c r="F120" s="14">
        <f t="shared" ref="F120:F141" si="126">POWER(2,-E120)</f>
        <v>0.22856151236870867</v>
      </c>
      <c r="G120" s="14">
        <v>74.099357604980469</v>
      </c>
      <c r="H120" s="14">
        <v>68.433006286621094</v>
      </c>
      <c r="I120" s="14" t="s">
        <v>25</v>
      </c>
      <c r="J120" s="14">
        <v>20.01483154296875</v>
      </c>
      <c r="K120" s="14">
        <f t="shared" ref="K120:K121" si="127">J120-19.3008</f>
        <v>0.71403154296875115</v>
      </c>
      <c r="L120" s="14">
        <f t="shared" si="125"/>
        <v>0.60961421833603036</v>
      </c>
      <c r="M120" s="14">
        <v>74.982284545898438</v>
      </c>
      <c r="N120" s="14"/>
      <c r="O120" s="13" t="s">
        <v>25</v>
      </c>
    </row>
    <row r="121" spans="2:15" x14ac:dyDescent="0.2">
      <c r="B121" s="15" t="s">
        <v>126</v>
      </c>
      <c r="C121" s="14" t="s">
        <v>11</v>
      </c>
      <c r="D121" s="14"/>
      <c r="E121" s="14"/>
      <c r="F121" s="14"/>
      <c r="G121" s="14"/>
      <c r="H121" s="14"/>
      <c r="I121" s="14"/>
      <c r="J121" s="14">
        <v>19.975624084472656</v>
      </c>
      <c r="K121" s="14">
        <f t="shared" si="127"/>
        <v>0.6748240844726574</v>
      </c>
      <c r="L121" s="14">
        <f t="shared" si="125"/>
        <v>0.62640859600798093</v>
      </c>
      <c r="M121" s="14">
        <v>74.982284545898438</v>
      </c>
      <c r="N121" s="14"/>
      <c r="O121" s="13" t="s">
        <v>25</v>
      </c>
    </row>
    <row r="122" spans="2:15" x14ac:dyDescent="0.2">
      <c r="B122" s="15" t="s">
        <v>127</v>
      </c>
      <c r="C122" s="14" t="s">
        <v>11</v>
      </c>
      <c r="D122" s="14">
        <v>25.511388778686523</v>
      </c>
      <c r="E122" s="14">
        <f>D122-23.15495</f>
        <v>2.356438778686524</v>
      </c>
      <c r="F122" s="14">
        <f t="shared" si="126"/>
        <v>0.19527257116065405</v>
      </c>
      <c r="G122" s="14">
        <v>73.947616577148438</v>
      </c>
      <c r="H122" s="14">
        <v>68.430107116699219</v>
      </c>
      <c r="I122" s="14" t="s">
        <v>25</v>
      </c>
      <c r="J122" s="14">
        <v>20.005048751831055</v>
      </c>
      <c r="K122" s="14">
        <f>J122-19.16996</f>
        <v>0.83508875183105502</v>
      </c>
      <c r="L122" s="14">
        <f t="shared" si="125"/>
        <v>0.56054855408192661</v>
      </c>
      <c r="M122" s="14">
        <v>74.833198547363281</v>
      </c>
      <c r="N122" s="14"/>
      <c r="O122" s="13" t="s">
        <v>25</v>
      </c>
    </row>
    <row r="123" spans="2:15" x14ac:dyDescent="0.2">
      <c r="B123" s="15" t="s">
        <v>127</v>
      </c>
      <c r="C123" s="14" t="s">
        <v>11</v>
      </c>
      <c r="D123" s="14">
        <v>25.685676574707031</v>
      </c>
      <c r="E123" s="14">
        <f>D123-23.15495</f>
        <v>2.5307265747070318</v>
      </c>
      <c r="F123" s="14">
        <f t="shared" si="126"/>
        <v>0.17305150880780576</v>
      </c>
      <c r="G123" s="14">
        <v>73.949203491210938</v>
      </c>
      <c r="H123" s="14">
        <v>68.282867431640625</v>
      </c>
      <c r="I123" s="14" t="s">
        <v>25</v>
      </c>
      <c r="J123" s="14">
        <v>19.979045867919922</v>
      </c>
      <c r="K123" s="14">
        <f t="shared" ref="K123:K124" si="128">J123-19.16996</f>
        <v>0.80908586791992221</v>
      </c>
      <c r="L123" s="14">
        <f t="shared" si="125"/>
        <v>0.57074338241621458</v>
      </c>
      <c r="M123" s="14">
        <v>74.833198547363281</v>
      </c>
      <c r="N123" s="14"/>
      <c r="O123" s="13" t="s">
        <v>25</v>
      </c>
    </row>
    <row r="124" spans="2:15" x14ac:dyDescent="0.2">
      <c r="B124" s="15" t="s">
        <v>127</v>
      </c>
      <c r="C124" s="14" t="s">
        <v>11</v>
      </c>
      <c r="D124" s="14"/>
      <c r="E124" s="14"/>
      <c r="F124" s="14"/>
      <c r="G124" s="14"/>
      <c r="H124" s="14"/>
      <c r="I124" s="14"/>
      <c r="J124" s="14">
        <v>20.158329010009766</v>
      </c>
      <c r="K124" s="14">
        <f t="shared" si="128"/>
        <v>0.98836901000976596</v>
      </c>
      <c r="L124" s="14">
        <f t="shared" si="125"/>
        <v>0.50404728662605613</v>
      </c>
      <c r="M124" s="14">
        <v>74.833198547363281</v>
      </c>
      <c r="N124" s="14"/>
      <c r="O124" s="13" t="s">
        <v>25</v>
      </c>
    </row>
    <row r="125" spans="2:15" x14ac:dyDescent="0.2">
      <c r="B125" s="15" t="s">
        <v>128</v>
      </c>
      <c r="C125" s="14" t="s">
        <v>11</v>
      </c>
      <c r="D125" s="14">
        <v>25.939294815063477</v>
      </c>
      <c r="E125" s="14">
        <f>D125-28.3255</f>
        <v>-2.3862051849365251</v>
      </c>
      <c r="F125" s="14">
        <f t="shared" si="126"/>
        <v>5.2278044786221907</v>
      </c>
      <c r="G125" s="14">
        <v>68.727088928222656</v>
      </c>
      <c r="H125" s="14" t="s">
        <v>24</v>
      </c>
      <c r="I125" s="14" t="s">
        <v>25</v>
      </c>
      <c r="J125" s="14">
        <v>22.310894012451172</v>
      </c>
      <c r="K125" s="14">
        <f>J125-23.11336</f>
        <v>-0.80246598754882825</v>
      </c>
      <c r="L125" s="14">
        <f t="shared" si="125"/>
        <v>1.744079722290808</v>
      </c>
      <c r="M125" s="14">
        <v>74.397445678710938</v>
      </c>
      <c r="N125" s="14"/>
      <c r="O125" s="13" t="s">
        <v>25</v>
      </c>
    </row>
    <row r="126" spans="2:15" x14ac:dyDescent="0.2">
      <c r="B126" s="15" t="s">
        <v>128</v>
      </c>
      <c r="C126" s="14" t="s">
        <v>11</v>
      </c>
      <c r="D126" s="14">
        <v>25.941230773925781</v>
      </c>
      <c r="E126" s="14">
        <f>D126-28.3255</f>
        <v>-2.3842692260742204</v>
      </c>
      <c r="F126" s="14">
        <f t="shared" si="126"/>
        <v>5.220793969417044</v>
      </c>
      <c r="G126" s="14">
        <v>68.727088928222656</v>
      </c>
      <c r="H126" s="14" t="s">
        <v>24</v>
      </c>
      <c r="I126" s="14" t="s">
        <v>25</v>
      </c>
      <c r="J126" s="14">
        <v>22.234838485717773</v>
      </c>
      <c r="K126" s="14">
        <f t="shared" ref="K126:K127" si="129">J126-23.11336</f>
        <v>-0.87852151428222669</v>
      </c>
      <c r="L126" s="14">
        <f t="shared" si="125"/>
        <v>1.8384902356178321</v>
      </c>
      <c r="M126" s="14">
        <v>74.397445678710938</v>
      </c>
      <c r="N126" s="14"/>
      <c r="O126" s="13" t="s">
        <v>25</v>
      </c>
    </row>
    <row r="127" spans="2:15" x14ac:dyDescent="0.2">
      <c r="B127" s="15" t="s">
        <v>128</v>
      </c>
      <c r="C127" s="14" t="s">
        <v>11</v>
      </c>
      <c r="D127" s="14"/>
      <c r="E127" s="14"/>
      <c r="F127" s="14"/>
      <c r="G127" s="14"/>
      <c r="H127" s="14"/>
      <c r="I127" s="14"/>
      <c r="J127" s="14">
        <v>22.127883911132813</v>
      </c>
      <c r="K127" s="14">
        <f t="shared" si="129"/>
        <v>-0.98547608886718763</v>
      </c>
      <c r="L127" s="14">
        <f t="shared" si="125"/>
        <v>1.9799665933279795</v>
      </c>
      <c r="M127" s="14">
        <v>74.546470642089844</v>
      </c>
      <c r="N127" s="14"/>
      <c r="O127" s="13" t="s">
        <v>25</v>
      </c>
    </row>
    <row r="128" spans="2:15" x14ac:dyDescent="0.2">
      <c r="B128" s="15" t="s">
        <v>129</v>
      </c>
      <c r="C128" s="14" t="s">
        <v>11</v>
      </c>
      <c r="D128" s="14">
        <v>25.878360748291016</v>
      </c>
      <c r="E128" s="14">
        <f>D128-26.80883</f>
        <v>-0.93046925170898476</v>
      </c>
      <c r="F128" s="14">
        <f t="shared" si="126"/>
        <v>1.905895807903887</v>
      </c>
      <c r="G128" s="14">
        <v>68.728858947753906</v>
      </c>
      <c r="H128" s="14" t="s">
        <v>24</v>
      </c>
      <c r="I128" s="14" t="s">
        <v>25</v>
      </c>
      <c r="J128" s="14">
        <v>20.412656784057617</v>
      </c>
      <c r="K128" s="14">
        <f>J128-19.81537</f>
        <v>0.59728678405761571</v>
      </c>
      <c r="L128" s="14">
        <f t="shared" si="125"/>
        <v>0.66099589439315598</v>
      </c>
      <c r="M128" s="14">
        <v>75.142578125</v>
      </c>
      <c r="N128" s="14"/>
      <c r="O128" s="13" t="s">
        <v>25</v>
      </c>
    </row>
    <row r="129" spans="2:15" x14ac:dyDescent="0.2">
      <c r="B129" s="15" t="s">
        <v>129</v>
      </c>
      <c r="C129" s="14" t="s">
        <v>11</v>
      </c>
      <c r="D129" s="14">
        <v>25.895027160644531</v>
      </c>
      <c r="E129" s="14">
        <f>D129-26.80883</f>
        <v>-0.91380283935546913</v>
      </c>
      <c r="F129" s="14">
        <f t="shared" si="126"/>
        <v>1.8840050595504849</v>
      </c>
      <c r="G129" s="14">
        <v>68.581138610839844</v>
      </c>
      <c r="H129" s="14" t="s">
        <v>24</v>
      </c>
      <c r="I129" s="14" t="s">
        <v>25</v>
      </c>
      <c r="J129" s="14">
        <v>20.33154296875</v>
      </c>
      <c r="K129" s="14">
        <f t="shared" ref="K129:K130" si="130">J129-19.81537</f>
        <v>0.51617296874999852</v>
      </c>
      <c r="L129" s="14">
        <f t="shared" si="125"/>
        <v>0.69922420439494415</v>
      </c>
      <c r="M129" s="14">
        <v>75.142578125</v>
      </c>
      <c r="N129" s="14"/>
      <c r="O129" s="13" t="s">
        <v>25</v>
      </c>
    </row>
    <row r="130" spans="2:15" x14ac:dyDescent="0.2">
      <c r="B130" s="15" t="s">
        <v>129</v>
      </c>
      <c r="C130" s="14" t="s">
        <v>11</v>
      </c>
      <c r="D130" s="14"/>
      <c r="E130" s="14"/>
      <c r="F130" s="14"/>
      <c r="G130" s="14"/>
      <c r="H130" s="14"/>
      <c r="I130" s="14"/>
      <c r="J130" s="14">
        <v>20.437387466430664</v>
      </c>
      <c r="K130" s="14">
        <f t="shared" si="130"/>
        <v>0.62201746643066258</v>
      </c>
      <c r="L130" s="14">
        <f t="shared" si="125"/>
        <v>0.64976166464092144</v>
      </c>
      <c r="M130" s="14">
        <v>75.142578125</v>
      </c>
      <c r="N130" s="14"/>
      <c r="O130" s="13" t="s">
        <v>25</v>
      </c>
    </row>
    <row r="131" spans="2:15" x14ac:dyDescent="0.2">
      <c r="B131" s="15" t="s">
        <v>126</v>
      </c>
      <c r="C131" s="14" t="s">
        <v>130</v>
      </c>
      <c r="D131" s="14">
        <v>29.171562194824219</v>
      </c>
      <c r="E131" s="14">
        <f>D131-23.65323</f>
        <v>5.5183321948242181</v>
      </c>
      <c r="F131" s="14">
        <f t="shared" si="126"/>
        <v>2.1818077662858096E-2</v>
      </c>
      <c r="G131" s="14">
        <v>76.037849426269531</v>
      </c>
      <c r="H131" s="14" t="s">
        <v>24</v>
      </c>
      <c r="I131" s="14" t="s">
        <v>25</v>
      </c>
      <c r="J131" s="14">
        <v>22.215082168579102</v>
      </c>
      <c r="K131" s="14">
        <f>J131-19.3008</f>
        <v>2.9142821685791027</v>
      </c>
      <c r="L131" s="14">
        <f t="shared" ref="L131:L142" si="131">POWER(2,-K131)</f>
        <v>0.13265195393451931</v>
      </c>
      <c r="M131" s="14">
        <v>75.727714538574219</v>
      </c>
      <c r="N131" s="14"/>
      <c r="O131" s="13" t="s">
        <v>25</v>
      </c>
    </row>
    <row r="132" spans="2:15" x14ac:dyDescent="0.2">
      <c r="B132" s="15" t="s">
        <v>126</v>
      </c>
      <c r="C132" s="14" t="s">
        <v>130</v>
      </c>
      <c r="D132" s="14">
        <v>29.162324905395508</v>
      </c>
      <c r="E132" s="14">
        <f>D132-23.65323</f>
        <v>5.5090949053955072</v>
      </c>
      <c r="F132" s="14">
        <f t="shared" si="126"/>
        <v>2.1958222656512382E-2</v>
      </c>
      <c r="G132" s="14">
        <v>76.037849426269531</v>
      </c>
      <c r="H132" s="14" t="s">
        <v>24</v>
      </c>
      <c r="I132" s="14" t="s">
        <v>25</v>
      </c>
      <c r="J132" s="14">
        <v>21.989509582519531</v>
      </c>
      <c r="K132" s="14">
        <f t="shared" ref="K132:K133" si="132">J132-19.3008</f>
        <v>2.6887095825195324</v>
      </c>
      <c r="L132" s="14">
        <f t="shared" si="131"/>
        <v>0.15510213145029567</v>
      </c>
      <c r="M132" s="14">
        <v>75.727714538574219</v>
      </c>
      <c r="N132" s="14"/>
      <c r="O132" s="13" t="s">
        <v>25</v>
      </c>
    </row>
    <row r="133" spans="2:15" x14ac:dyDescent="0.2">
      <c r="B133" s="15" t="s">
        <v>126</v>
      </c>
      <c r="C133" s="14" t="s">
        <v>130</v>
      </c>
      <c r="D133" s="14"/>
      <c r="E133" s="14"/>
      <c r="F133" s="14"/>
      <c r="G133" s="14"/>
      <c r="H133" s="14"/>
      <c r="I133" s="14"/>
      <c r="J133" s="14">
        <v>21.996330261230469</v>
      </c>
      <c r="K133" s="14">
        <f t="shared" si="132"/>
        <v>2.6955302612304699</v>
      </c>
      <c r="L133" s="14">
        <f t="shared" si="131"/>
        <v>0.15437058044811022</v>
      </c>
      <c r="M133" s="14">
        <v>75.727714538574219</v>
      </c>
      <c r="N133" s="14"/>
      <c r="O133" s="13" t="s">
        <v>25</v>
      </c>
    </row>
    <row r="134" spans="2:15" x14ac:dyDescent="0.2">
      <c r="B134" s="15" t="s">
        <v>127</v>
      </c>
      <c r="C134" s="14" t="s">
        <v>130</v>
      </c>
      <c r="D134" s="14">
        <v>28.888938903808594</v>
      </c>
      <c r="E134" s="14">
        <f>D134-23.15495</f>
        <v>5.7339889038085943</v>
      </c>
      <c r="F134" s="14">
        <f t="shared" si="126"/>
        <v>1.8788726523093879E-2</v>
      </c>
      <c r="G134" s="14">
        <v>75.886199951171875</v>
      </c>
      <c r="H134" s="14" t="s">
        <v>24</v>
      </c>
      <c r="I134" s="14" t="s">
        <v>25</v>
      </c>
      <c r="J134" s="14">
        <v>21.491193771362305</v>
      </c>
      <c r="K134" s="14">
        <f>J134-19.16996</f>
        <v>2.321233771362305</v>
      </c>
      <c r="L134" s="14">
        <f t="shared" si="131"/>
        <v>0.20009627684440079</v>
      </c>
      <c r="M134" s="14">
        <v>75.578628540039063</v>
      </c>
      <c r="N134" s="14"/>
      <c r="O134" s="13" t="s">
        <v>25</v>
      </c>
    </row>
    <row r="135" spans="2:15" x14ac:dyDescent="0.2">
      <c r="B135" s="15" t="s">
        <v>127</v>
      </c>
      <c r="C135" s="14" t="s">
        <v>130</v>
      </c>
      <c r="D135" s="14">
        <v>28.97993278503418</v>
      </c>
      <c r="E135" s="14">
        <f>D135-23.15495</f>
        <v>5.8249827850341802</v>
      </c>
      <c r="F135" s="14">
        <f t="shared" si="126"/>
        <v>1.764027931656148E-2</v>
      </c>
      <c r="G135" s="14">
        <v>75.887687683105469</v>
      </c>
      <c r="H135" s="14" t="s">
        <v>24</v>
      </c>
      <c r="I135" s="14" t="s">
        <v>25</v>
      </c>
      <c r="J135" s="14">
        <v>21.38115119934082</v>
      </c>
      <c r="K135" s="14">
        <f t="shared" ref="K135:K136" si="133">J135-19.16996</f>
        <v>2.2111911993408206</v>
      </c>
      <c r="L135" s="14">
        <f t="shared" si="131"/>
        <v>0.21595592446941073</v>
      </c>
      <c r="M135" s="14">
        <v>75.578628540039063</v>
      </c>
      <c r="N135" s="14"/>
      <c r="O135" s="13" t="s">
        <v>25</v>
      </c>
    </row>
    <row r="136" spans="2:15" x14ac:dyDescent="0.2">
      <c r="B136" s="15" t="s">
        <v>127</v>
      </c>
      <c r="C136" s="14" t="s">
        <v>130</v>
      </c>
      <c r="D136" s="14"/>
      <c r="E136" s="14"/>
      <c r="F136" s="14"/>
      <c r="G136" s="14"/>
      <c r="H136" s="14"/>
      <c r="I136" s="14"/>
      <c r="J136" s="14">
        <v>21.411008834838867</v>
      </c>
      <c r="K136" s="14">
        <f t="shared" si="133"/>
        <v>2.2410488348388675</v>
      </c>
      <c r="L136" s="14">
        <f t="shared" si="131"/>
        <v>0.21153248871106967</v>
      </c>
      <c r="M136" s="14">
        <v>75.578628540039063</v>
      </c>
      <c r="N136" s="14"/>
      <c r="O136" s="13" t="s">
        <v>25</v>
      </c>
    </row>
    <row r="137" spans="2:15" x14ac:dyDescent="0.2">
      <c r="B137" s="15" t="s">
        <v>128</v>
      </c>
      <c r="C137" s="14" t="s">
        <v>130</v>
      </c>
      <c r="D137" s="14">
        <v>31.592300415039063</v>
      </c>
      <c r="E137" s="14">
        <f>D137-28.3255</f>
        <v>3.2668004150390608</v>
      </c>
      <c r="F137" s="14">
        <f t="shared" si="126"/>
        <v>0.10389510473596952</v>
      </c>
      <c r="G137" s="14">
        <v>75.885231018066406</v>
      </c>
      <c r="H137" s="14" t="s">
        <v>24</v>
      </c>
      <c r="I137" s="14" t="s">
        <v>25</v>
      </c>
      <c r="J137" s="14">
        <v>27.058351516723633</v>
      </c>
      <c r="K137" s="14">
        <f>J137-23.11336</f>
        <v>3.9449915167236327</v>
      </c>
      <c r="L137" s="14">
        <f t="shared" si="131"/>
        <v>6.4929075748276874E-2</v>
      </c>
      <c r="M137" s="14">
        <v>75.887702941894531</v>
      </c>
      <c r="N137" s="14"/>
      <c r="O137" s="13" t="s">
        <v>25</v>
      </c>
    </row>
    <row r="138" spans="2:15" x14ac:dyDescent="0.2">
      <c r="B138" s="15" t="s">
        <v>128</v>
      </c>
      <c r="C138" s="14" t="s">
        <v>130</v>
      </c>
      <c r="D138" s="14">
        <v>31.166881561279297</v>
      </c>
      <c r="E138" s="14">
        <f>D138-28.3255</f>
        <v>2.8413815612792952</v>
      </c>
      <c r="F138" s="14">
        <f t="shared" si="126"/>
        <v>0.13952721347172015</v>
      </c>
      <c r="G138" s="14">
        <v>75.885231018066406</v>
      </c>
      <c r="H138" s="14" t="s">
        <v>24</v>
      </c>
      <c r="I138" s="14" t="s">
        <v>25</v>
      </c>
      <c r="J138" s="14">
        <v>27.293359756469727</v>
      </c>
      <c r="K138" s="14">
        <f t="shared" ref="K138:K139" si="134">J138-23.11336</f>
        <v>4.1799997564697264</v>
      </c>
      <c r="L138" s="14">
        <f t="shared" si="131"/>
        <v>5.5168946580811451E-2</v>
      </c>
      <c r="M138" s="14">
        <v>75.887702941894531</v>
      </c>
      <c r="N138" s="14"/>
      <c r="O138" s="13" t="s">
        <v>25</v>
      </c>
    </row>
    <row r="139" spans="2:15" x14ac:dyDescent="0.2">
      <c r="B139" s="15" t="s">
        <v>128</v>
      </c>
      <c r="C139" s="14" t="s">
        <v>130</v>
      </c>
      <c r="D139" s="14"/>
      <c r="E139" s="14"/>
      <c r="F139" s="14"/>
      <c r="G139" s="14"/>
      <c r="H139" s="14"/>
      <c r="I139" s="14"/>
      <c r="J139" s="14">
        <v>27.025386810302734</v>
      </c>
      <c r="K139" s="14">
        <f t="shared" si="134"/>
        <v>3.9120268103027342</v>
      </c>
      <c r="L139" s="14">
        <f t="shared" si="131"/>
        <v>6.6429745139716695E-2</v>
      </c>
      <c r="M139" s="14">
        <v>75.887702941894531</v>
      </c>
      <c r="N139" s="14"/>
      <c r="O139" s="13" t="s">
        <v>25</v>
      </c>
    </row>
    <row r="140" spans="2:15" x14ac:dyDescent="0.2">
      <c r="B140" s="15" t="s">
        <v>129</v>
      </c>
      <c r="C140" s="14" t="s">
        <v>130</v>
      </c>
      <c r="D140" s="14">
        <v>30.678842544555664</v>
      </c>
      <c r="E140" s="14">
        <f>D140-26.80883</f>
        <v>3.8700125445556637</v>
      </c>
      <c r="F140" s="14">
        <f t="shared" si="126"/>
        <v>6.8392761635870061E-2</v>
      </c>
      <c r="G140" s="14">
        <v>75.887062072753906</v>
      </c>
      <c r="H140" s="14" t="s">
        <v>24</v>
      </c>
      <c r="I140" s="14" t="s">
        <v>25</v>
      </c>
      <c r="J140" s="14">
        <v>23.543857574462891</v>
      </c>
      <c r="K140" s="14">
        <f>J140-19.81537</f>
        <v>3.7284875744628891</v>
      </c>
      <c r="L140" s="14">
        <f t="shared" si="131"/>
        <v>7.544203620326137E-2</v>
      </c>
      <c r="M140" s="14">
        <v>75.887702941894531</v>
      </c>
      <c r="N140" s="14"/>
      <c r="O140" s="13" t="s">
        <v>25</v>
      </c>
    </row>
    <row r="141" spans="2:15" x14ac:dyDescent="0.2">
      <c r="B141" s="15" t="s">
        <v>129</v>
      </c>
      <c r="C141" s="14" t="s">
        <v>130</v>
      </c>
      <c r="D141" s="14">
        <v>30.768198013305664</v>
      </c>
      <c r="E141" s="14">
        <f>D141-26.80883</f>
        <v>3.9593680133056637</v>
      </c>
      <c r="F141" s="14">
        <f t="shared" si="126"/>
        <v>6.4285268790538558E-2</v>
      </c>
      <c r="G141" s="14">
        <v>75.736602783203125</v>
      </c>
      <c r="H141" s="14" t="s">
        <v>24</v>
      </c>
      <c r="I141" s="14" t="s">
        <v>25</v>
      </c>
      <c r="J141" s="14">
        <v>23.56254768371582</v>
      </c>
      <c r="K141" s="14">
        <f t="shared" ref="K141:K142" si="135">J141-19.81537</f>
        <v>3.7471776837158188</v>
      </c>
      <c r="L141" s="14">
        <f t="shared" si="131"/>
        <v>7.447098842712134E-2</v>
      </c>
      <c r="M141" s="14">
        <v>75.887702941894531</v>
      </c>
      <c r="N141" s="14"/>
      <c r="O141" s="13" t="s">
        <v>25</v>
      </c>
    </row>
    <row r="142" spans="2:15" x14ac:dyDescent="0.2">
      <c r="B142" s="15" t="s">
        <v>129</v>
      </c>
      <c r="C142" s="14" t="s">
        <v>130</v>
      </c>
      <c r="D142" s="14"/>
      <c r="E142" s="14"/>
      <c r="F142" s="14"/>
      <c r="G142" s="14"/>
      <c r="H142" s="14"/>
      <c r="I142" s="14"/>
      <c r="J142" s="14">
        <v>23.545934677124023</v>
      </c>
      <c r="K142" s="14">
        <f t="shared" si="135"/>
        <v>3.730564677124022</v>
      </c>
      <c r="L142" s="14">
        <f t="shared" si="131"/>
        <v>7.5333497600325927E-2</v>
      </c>
      <c r="M142" s="14">
        <v>75.887702941894531</v>
      </c>
      <c r="N142" s="14"/>
      <c r="O142" s="13" t="s">
        <v>25</v>
      </c>
    </row>
    <row r="143" spans="2:15" x14ac:dyDescent="0.2">
      <c r="B143" s="15" t="s">
        <v>126</v>
      </c>
      <c r="C143" s="14" t="s">
        <v>12</v>
      </c>
      <c r="D143" s="14">
        <v>25.193347930908203</v>
      </c>
      <c r="E143" s="14">
        <f>D143-22.8261</f>
        <v>2.3672479309082028</v>
      </c>
      <c r="F143" s="14">
        <f>POWER(2,-E143)</f>
        <v>0.19381499111250849</v>
      </c>
      <c r="G143" s="14">
        <v>73.930824279785156</v>
      </c>
      <c r="H143" s="14"/>
      <c r="I143" s="14" t="s">
        <v>25</v>
      </c>
      <c r="J143" s="14">
        <v>20.56389045715332</v>
      </c>
      <c r="K143" s="14">
        <f>J143-19.3008</f>
        <v>1.2630904571533215</v>
      </c>
      <c r="L143" s="14">
        <f t="shared" ref="L143:L154" si="136">POWER(2,-K143)</f>
        <v>0.41665047872526029</v>
      </c>
      <c r="M143" s="14">
        <v>73.937179565429688</v>
      </c>
      <c r="N143" s="14" t="s">
        <v>24</v>
      </c>
      <c r="O143" s="13" t="s">
        <v>25</v>
      </c>
    </row>
    <row r="144" spans="2:15" x14ac:dyDescent="0.2">
      <c r="B144" s="15" t="s">
        <v>126</v>
      </c>
      <c r="C144" s="14" t="s">
        <v>12</v>
      </c>
      <c r="D144" s="14">
        <v>25.233922958374023</v>
      </c>
      <c r="E144" s="14">
        <f>D144-22.8261</f>
        <v>2.4078229583740232</v>
      </c>
      <c r="F144" s="14">
        <f t="shared" ref="F144:F153" si="137">POWER(2,-E144)</f>
        <v>0.18843998685929458</v>
      </c>
      <c r="G144" s="14">
        <v>73.781661987304688</v>
      </c>
      <c r="H144" s="14"/>
      <c r="I144" s="14" t="s">
        <v>25</v>
      </c>
      <c r="J144" s="14">
        <v>20.349174499511719</v>
      </c>
      <c r="K144" s="14">
        <f t="shared" ref="K144:K145" si="138">J144-19.3008</f>
        <v>1.0483744995117199</v>
      </c>
      <c r="L144" s="14">
        <f t="shared" si="136"/>
        <v>0.48351263671868966</v>
      </c>
      <c r="M144" s="14">
        <v>73.937179565429688</v>
      </c>
      <c r="N144" s="14" t="s">
        <v>24</v>
      </c>
      <c r="O144" s="13" t="s">
        <v>25</v>
      </c>
    </row>
    <row r="145" spans="2:15" x14ac:dyDescent="0.2">
      <c r="B145" s="15" t="s">
        <v>126</v>
      </c>
      <c r="C145" s="14" t="s">
        <v>12</v>
      </c>
      <c r="D145" s="14"/>
      <c r="E145" s="14"/>
      <c r="F145" s="14"/>
      <c r="G145" s="14"/>
      <c r="H145" s="14"/>
      <c r="I145" s="14"/>
      <c r="J145" s="14">
        <v>20.349124908447266</v>
      </c>
      <c r="K145" s="14">
        <f t="shared" si="138"/>
        <v>1.0483249084472668</v>
      </c>
      <c r="L145" s="14">
        <f t="shared" si="136"/>
        <v>0.48352925722251322</v>
      </c>
      <c r="M145" s="14">
        <v>73.937179565429688</v>
      </c>
      <c r="N145" s="14" t="s">
        <v>24</v>
      </c>
      <c r="O145" s="13" t="s">
        <v>25</v>
      </c>
    </row>
    <row r="146" spans="2:15" x14ac:dyDescent="0.2">
      <c r="B146" s="15" t="s">
        <v>127</v>
      </c>
      <c r="C146" s="14" t="s">
        <v>12</v>
      </c>
      <c r="D146" s="14">
        <v>25.290126800537109</v>
      </c>
      <c r="E146" s="14">
        <f>D146-22.41091</f>
        <v>2.8792168005371082</v>
      </c>
      <c r="F146" s="14">
        <f t="shared" si="137"/>
        <v>0.13591562264528617</v>
      </c>
      <c r="G146" s="14">
        <v>73.781402587890625</v>
      </c>
      <c r="H146" s="14"/>
      <c r="I146" s="14" t="s">
        <v>25</v>
      </c>
      <c r="J146" s="14">
        <v>19.735466003417969</v>
      </c>
      <c r="K146" s="14">
        <f>J146-19.16996</f>
        <v>0.56550600341796908</v>
      </c>
      <c r="L146" s="14">
        <f t="shared" si="136"/>
        <v>0.67571837696894566</v>
      </c>
      <c r="M146" s="14">
        <v>73.191864013671875</v>
      </c>
      <c r="N146" s="14">
        <v>79.452545166015625</v>
      </c>
      <c r="O146" s="13" t="s">
        <v>25</v>
      </c>
    </row>
    <row r="147" spans="2:15" x14ac:dyDescent="0.2">
      <c r="B147" s="15" t="s">
        <v>127</v>
      </c>
      <c r="C147" s="14" t="s">
        <v>12</v>
      </c>
      <c r="D147" s="14">
        <v>25.3388671875</v>
      </c>
      <c r="E147" s="14">
        <f>D147-22.41091</f>
        <v>2.9279571874999988</v>
      </c>
      <c r="F147" s="14">
        <f t="shared" si="137"/>
        <v>0.13140051293611407</v>
      </c>
      <c r="G147" s="14">
        <v>73.780693054199219</v>
      </c>
      <c r="H147" s="14"/>
      <c r="I147" s="14" t="s">
        <v>25</v>
      </c>
      <c r="J147" s="14">
        <v>19.718912124633789</v>
      </c>
      <c r="K147" s="14">
        <f t="shared" ref="K147:K148" si="139">J147-19.16996</f>
        <v>0.5489521246337894</v>
      </c>
      <c r="L147" s="14">
        <f t="shared" si="136"/>
        <v>0.68351640786448242</v>
      </c>
      <c r="M147" s="14">
        <v>73.639053344726563</v>
      </c>
      <c r="N147" s="14" t="s">
        <v>24</v>
      </c>
      <c r="O147" s="13" t="s">
        <v>25</v>
      </c>
    </row>
    <row r="148" spans="2:15" x14ac:dyDescent="0.2">
      <c r="B148" s="15" t="s">
        <v>127</v>
      </c>
      <c r="C148" s="14" t="s">
        <v>12</v>
      </c>
      <c r="D148" s="14"/>
      <c r="E148" s="14"/>
      <c r="F148" s="14"/>
      <c r="G148" s="14"/>
      <c r="H148" s="14"/>
      <c r="I148" s="14"/>
      <c r="J148" s="14">
        <v>19.746940612792969</v>
      </c>
      <c r="K148" s="14">
        <f t="shared" si="139"/>
        <v>0.57698061279296908</v>
      </c>
      <c r="L148" s="14">
        <f t="shared" si="136"/>
        <v>0.67036530422455387</v>
      </c>
      <c r="M148" s="14">
        <v>73.639053344726563</v>
      </c>
      <c r="N148" s="14" t="s">
        <v>24</v>
      </c>
      <c r="O148" s="13" t="s">
        <v>25</v>
      </c>
    </row>
    <row r="149" spans="2:15" x14ac:dyDescent="0.2">
      <c r="B149" s="15" t="s">
        <v>128</v>
      </c>
      <c r="C149" s="14" t="s">
        <v>12</v>
      </c>
      <c r="D149" s="14">
        <v>29.368297576904297</v>
      </c>
      <c r="E149" s="14">
        <f>D149-28.16308</f>
        <v>1.2052175769042961</v>
      </c>
      <c r="F149" s="14">
        <f t="shared" si="137"/>
        <v>0.43370393053175471</v>
      </c>
      <c r="G149" s="14">
        <v>73.626571655273438</v>
      </c>
      <c r="H149" s="14"/>
      <c r="I149" s="14" t="s">
        <v>25</v>
      </c>
      <c r="J149" s="14">
        <v>21.376714706420898</v>
      </c>
      <c r="K149" s="14">
        <f>J149-23.11336</f>
        <v>-1.7366452935791017</v>
      </c>
      <c r="L149" s="14">
        <f t="shared" si="136"/>
        <v>3.3325933639824097</v>
      </c>
      <c r="M149" s="14">
        <v>73.65240478515625</v>
      </c>
      <c r="N149" s="14">
        <v>79.762405395507813</v>
      </c>
      <c r="O149" s="13" t="s">
        <v>25</v>
      </c>
    </row>
    <row r="150" spans="2:15" x14ac:dyDescent="0.2">
      <c r="B150" s="15" t="s">
        <v>128</v>
      </c>
      <c r="C150" s="14" t="s">
        <v>12</v>
      </c>
      <c r="D150" s="14">
        <v>29.499656677246094</v>
      </c>
      <c r="E150" s="14">
        <f>D150-28.16308</f>
        <v>1.336576677246093</v>
      </c>
      <c r="F150" s="14">
        <f t="shared" si="137"/>
        <v>0.39595910018003017</v>
      </c>
      <c r="G150" s="14">
        <v>73.626571655273438</v>
      </c>
      <c r="H150" s="14"/>
      <c r="I150" s="14" t="s">
        <v>25</v>
      </c>
      <c r="J150" s="14">
        <v>21.375150680541992</v>
      </c>
      <c r="K150" s="14">
        <f t="shared" ref="K150:K151" si="140">J150-23.11336</f>
        <v>-1.7382093194580079</v>
      </c>
      <c r="L150" s="14">
        <f t="shared" si="136"/>
        <v>3.3362081879373529</v>
      </c>
      <c r="M150" s="14">
        <v>74.099472045898438</v>
      </c>
      <c r="N150" s="14" t="s">
        <v>24</v>
      </c>
      <c r="O150" s="13" t="s">
        <v>25</v>
      </c>
    </row>
    <row r="151" spans="2:15" x14ac:dyDescent="0.2">
      <c r="B151" s="15" t="s">
        <v>128</v>
      </c>
      <c r="C151" s="14" t="s">
        <v>12</v>
      </c>
      <c r="D151" s="14"/>
      <c r="E151" s="14"/>
      <c r="F151" s="14"/>
      <c r="G151" s="14"/>
      <c r="H151" s="14"/>
      <c r="I151" s="14"/>
      <c r="J151" s="14">
        <v>21.385896682739258</v>
      </c>
      <c r="K151" s="14">
        <f t="shared" si="140"/>
        <v>-1.7274633172607423</v>
      </c>
      <c r="L151" s="14">
        <f t="shared" si="136"/>
        <v>3.3114505561543877</v>
      </c>
      <c r="M151" s="14">
        <v>74.099472045898438</v>
      </c>
      <c r="N151" s="14" t="s">
        <v>24</v>
      </c>
      <c r="O151" s="13" t="s">
        <v>25</v>
      </c>
    </row>
    <row r="152" spans="2:15" x14ac:dyDescent="0.2">
      <c r="B152" s="15" t="s">
        <v>129</v>
      </c>
      <c r="C152" s="14" t="s">
        <v>12</v>
      </c>
      <c r="D152" s="14">
        <v>27.891517639160156</v>
      </c>
      <c r="E152" s="14">
        <f>D152-26.63799</f>
        <v>1.2535276391601577</v>
      </c>
      <c r="F152" s="14">
        <f t="shared" si="137"/>
        <v>0.41942139484280855</v>
      </c>
      <c r="G152" s="14">
        <v>73.771553039550781</v>
      </c>
      <c r="H152" s="14"/>
      <c r="I152" s="14" t="s">
        <v>25</v>
      </c>
      <c r="J152" s="14">
        <v>18.596817016601563</v>
      </c>
      <c r="K152" s="14">
        <f>J152-19.81537</f>
        <v>-1.218552983398439</v>
      </c>
      <c r="L152" s="14">
        <f t="shared" si="136"/>
        <v>2.3271318992275076</v>
      </c>
      <c r="M152" s="14">
        <v>73.950454711914063</v>
      </c>
      <c r="N152" s="14" t="s">
        <v>24</v>
      </c>
      <c r="O152" s="13" t="s">
        <v>25</v>
      </c>
    </row>
    <row r="153" spans="2:15" x14ac:dyDescent="0.2">
      <c r="B153" s="15" t="s">
        <v>129</v>
      </c>
      <c r="C153" s="14" t="s">
        <v>12</v>
      </c>
      <c r="D153" s="14">
        <v>27.877979278564453</v>
      </c>
      <c r="E153" s="14">
        <f>D153-26.63799</f>
        <v>1.2399892785644546</v>
      </c>
      <c r="F153" s="14">
        <f t="shared" si="137"/>
        <v>0.42337580250074397</v>
      </c>
      <c r="G153" s="14">
        <v>73.62750244140625</v>
      </c>
      <c r="H153" s="14"/>
      <c r="I153" s="14" t="s">
        <v>25</v>
      </c>
      <c r="J153" s="14">
        <v>18.630762100219727</v>
      </c>
      <c r="K153" s="14">
        <f t="shared" ref="K153:K154" si="141">J153-19.81537</f>
        <v>-1.1846078997802749</v>
      </c>
      <c r="L153" s="14">
        <f t="shared" si="136"/>
        <v>2.273016095013896</v>
      </c>
      <c r="M153" s="14">
        <v>73.950454711914063</v>
      </c>
      <c r="N153" s="14" t="s">
        <v>24</v>
      </c>
      <c r="O153" s="13" t="s">
        <v>25</v>
      </c>
    </row>
    <row r="154" spans="2:15" ht="13.5" thickBot="1" x14ac:dyDescent="0.25">
      <c r="B154" s="12" t="s">
        <v>129</v>
      </c>
      <c r="C154" s="11" t="s">
        <v>12</v>
      </c>
      <c r="D154" s="11"/>
      <c r="E154" s="11"/>
      <c r="F154" s="11"/>
      <c r="G154" s="11"/>
      <c r="H154" s="11"/>
      <c r="I154" s="11"/>
      <c r="J154" s="11">
        <v>18.626148223876953</v>
      </c>
      <c r="K154" s="11">
        <f t="shared" si="141"/>
        <v>-1.1892217761230484</v>
      </c>
      <c r="L154" s="11">
        <f t="shared" si="136"/>
        <v>2.2802970536769283</v>
      </c>
      <c r="M154" s="11">
        <v>73.950454711914063</v>
      </c>
      <c r="N154" s="11" t="s">
        <v>24</v>
      </c>
      <c r="O154" s="10" t="s">
        <v>25</v>
      </c>
    </row>
  </sheetData>
  <pageMargins left="0.75" right="0.75" top="1" bottom="1" header="0.5" footer="0.5"/>
  <pageSetup orientation="portrait" horizontalDpi="300" verticalDpi="300" r:id="rId1"/>
  <headerFooter alignWithMargins="0"/>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R50"/>
  <sheetViews>
    <sheetView zoomScale="78" zoomScaleNormal="78" workbookViewId="0">
      <selection activeCell="AS22" sqref="AS22"/>
    </sheetView>
  </sheetViews>
  <sheetFormatPr defaultRowHeight="15" x14ac:dyDescent="0.25"/>
  <cols>
    <col min="6" max="6" width="10.140625" customWidth="1"/>
    <col min="7" max="7" width="9.140625" hidden="1" customWidth="1"/>
    <col min="9" max="9" width="9.140625" customWidth="1"/>
    <col min="10" max="10" width="9.140625" hidden="1" customWidth="1"/>
    <col min="12" max="12" width="9" customWidth="1"/>
    <col min="13" max="13" width="9.5703125" hidden="1" customWidth="1"/>
    <col min="15" max="15" width="9.140625" customWidth="1"/>
    <col min="16" max="16" width="9.5703125" hidden="1" customWidth="1"/>
    <col min="18" max="18" width="8.85546875" customWidth="1"/>
    <col min="19" max="19" width="8.85546875" hidden="1" customWidth="1"/>
    <col min="21" max="21" width="10.140625" customWidth="1"/>
    <col min="22" max="22" width="9.85546875" hidden="1" customWidth="1"/>
    <col min="24" max="24" width="9.7109375" customWidth="1"/>
    <col min="25" max="25" width="9.5703125" hidden="1" customWidth="1"/>
    <col min="27" max="27" width="9" customWidth="1"/>
    <col min="28" max="28" width="9" hidden="1" customWidth="1"/>
    <col min="30" max="30" width="9.5703125" customWidth="1"/>
    <col min="31" max="31" width="9.5703125" hidden="1" customWidth="1"/>
    <col min="33" max="33" width="8.5703125" customWidth="1"/>
    <col min="34" max="34" width="9" hidden="1" customWidth="1"/>
    <col min="36" max="36" width="8.5703125" customWidth="1"/>
    <col min="37" max="37" width="9.28515625" hidden="1" customWidth="1"/>
    <col min="39" max="39" width="9.7109375" customWidth="1"/>
    <col min="40" max="40" width="9.140625" hidden="1" customWidth="1"/>
    <col min="42" max="42" width="9.5703125" customWidth="1"/>
    <col min="43" max="43" width="9.7109375" customWidth="1"/>
    <col min="44" max="44" width="10.28515625" hidden="1" customWidth="1"/>
    <col min="45" max="45" width="9.85546875" customWidth="1"/>
    <col min="46" max="46" width="10.85546875" customWidth="1"/>
    <col min="47" max="47" width="9.140625" hidden="1" customWidth="1"/>
    <col min="48" max="49" width="8" customWidth="1"/>
    <col min="50" max="50" width="8.42578125" hidden="1" customWidth="1"/>
    <col min="52" max="52" width="12.5703125" customWidth="1"/>
    <col min="53" max="53" width="12.5703125" hidden="1" customWidth="1"/>
    <col min="54" max="54" width="11.7109375" customWidth="1"/>
    <col min="55" max="55" width="10.5703125" customWidth="1"/>
    <col min="56" max="56" width="11" hidden="1" customWidth="1"/>
    <col min="57" max="57" width="10.28515625" customWidth="1"/>
    <col min="58" max="58" width="11.140625" customWidth="1"/>
    <col min="59" max="59" width="10.140625" hidden="1" customWidth="1"/>
    <col min="61" max="61" width="10.85546875" customWidth="1"/>
    <col min="62" max="62" width="11.5703125" hidden="1" customWidth="1"/>
    <col min="63" max="63" width="12.42578125" customWidth="1"/>
    <col min="64" max="64" width="10.5703125" customWidth="1"/>
    <col min="65" max="65" width="13.42578125" hidden="1" customWidth="1"/>
    <col min="67" max="67" width="11.140625" customWidth="1"/>
    <col min="68" max="68" width="10.85546875" hidden="1" customWidth="1"/>
    <col min="69" max="69" width="11.7109375" customWidth="1"/>
    <col min="70" max="70" width="9.7109375" customWidth="1"/>
    <col min="71" max="71" width="9.140625" hidden="1" customWidth="1"/>
    <col min="73" max="73" width="11.28515625" customWidth="1"/>
    <col min="74" max="74" width="9.85546875" hidden="1" customWidth="1"/>
    <col min="76" max="76" width="10.28515625" customWidth="1"/>
    <col min="77" max="77" width="9.85546875" hidden="1" customWidth="1"/>
  </cols>
  <sheetData>
    <row r="1" spans="1:96" x14ac:dyDescent="0.25">
      <c r="AL1" s="3" t="s">
        <v>131</v>
      </c>
    </row>
    <row r="2" spans="1:96" x14ac:dyDescent="0.25">
      <c r="A2" s="1" t="s">
        <v>110</v>
      </c>
      <c r="B2" s="1" t="s">
        <v>111</v>
      </c>
      <c r="C2" s="1" t="s">
        <v>112</v>
      </c>
      <c r="D2" s="1" t="s">
        <v>114</v>
      </c>
      <c r="E2" s="6" t="s">
        <v>113</v>
      </c>
      <c r="F2" s="6"/>
      <c r="G2" s="6" t="s">
        <v>122</v>
      </c>
      <c r="H2" s="6" t="s">
        <v>37</v>
      </c>
      <c r="I2" s="6"/>
      <c r="J2" s="6" t="s">
        <v>122</v>
      </c>
      <c r="K2" s="6" t="s">
        <v>49</v>
      </c>
      <c r="L2" s="6"/>
      <c r="M2" s="6" t="s">
        <v>122</v>
      </c>
      <c r="N2" s="6" t="s">
        <v>5</v>
      </c>
      <c r="O2" s="6"/>
      <c r="P2" s="6" t="s">
        <v>122</v>
      </c>
      <c r="Q2" s="6" t="s">
        <v>6</v>
      </c>
      <c r="R2" s="6"/>
      <c r="S2" s="6" t="s">
        <v>122</v>
      </c>
      <c r="T2" s="6" t="s">
        <v>7</v>
      </c>
      <c r="U2" s="6"/>
      <c r="V2" s="6" t="s">
        <v>122</v>
      </c>
      <c r="W2" s="6" t="s">
        <v>8</v>
      </c>
      <c r="X2" s="6"/>
      <c r="Y2" s="6" t="s">
        <v>122</v>
      </c>
      <c r="Z2" s="6" t="s">
        <v>9</v>
      </c>
      <c r="AA2" s="6"/>
      <c r="AB2" s="6" t="s">
        <v>122</v>
      </c>
      <c r="AC2" s="6" t="s">
        <v>10</v>
      </c>
      <c r="AD2" s="6"/>
      <c r="AE2" s="6" t="s">
        <v>122</v>
      </c>
      <c r="AF2" s="6" t="s">
        <v>11</v>
      </c>
      <c r="AG2" s="6"/>
      <c r="AH2" s="6" t="s">
        <v>122</v>
      </c>
      <c r="AI2" s="6" t="s">
        <v>0</v>
      </c>
      <c r="AJ2" s="6"/>
      <c r="AK2" s="6" t="s">
        <v>122</v>
      </c>
      <c r="AL2" s="6" t="s">
        <v>12</v>
      </c>
      <c r="AM2" s="6"/>
      <c r="AN2" s="1" t="s">
        <v>122</v>
      </c>
      <c r="AO2" s="5" t="s">
        <v>115</v>
      </c>
      <c r="AP2" s="7" t="s">
        <v>113</v>
      </c>
      <c r="AQ2" s="7"/>
      <c r="AR2" s="7" t="s">
        <v>122</v>
      </c>
      <c r="AS2" s="7" t="s">
        <v>37</v>
      </c>
      <c r="AT2" s="7"/>
      <c r="AU2" s="7" t="s">
        <v>122</v>
      </c>
      <c r="AV2" s="7" t="s">
        <v>49</v>
      </c>
      <c r="AW2" s="7"/>
      <c r="AX2" s="7" t="s">
        <v>122</v>
      </c>
      <c r="AY2" s="7" t="s">
        <v>5</v>
      </c>
      <c r="AZ2" s="7"/>
      <c r="BA2" s="7" t="s">
        <v>122</v>
      </c>
      <c r="BB2" s="7" t="s">
        <v>6</v>
      </c>
      <c r="BC2" s="7"/>
      <c r="BD2" s="7" t="s">
        <v>122</v>
      </c>
      <c r="BE2" s="7" t="s">
        <v>7</v>
      </c>
      <c r="BF2" s="7"/>
      <c r="BG2" s="7" t="s">
        <v>122</v>
      </c>
      <c r="BH2" s="7" t="s">
        <v>8</v>
      </c>
      <c r="BI2" s="7"/>
      <c r="BJ2" s="7" t="s">
        <v>122</v>
      </c>
      <c r="BK2" s="7" t="s">
        <v>9</v>
      </c>
      <c r="BL2" s="7"/>
      <c r="BM2" s="7" t="s">
        <v>122</v>
      </c>
      <c r="BN2" s="7" t="s">
        <v>10</v>
      </c>
      <c r="BO2" s="7"/>
      <c r="BP2" s="7" t="s">
        <v>122</v>
      </c>
      <c r="BQ2" s="7" t="s">
        <v>11</v>
      </c>
      <c r="BR2" s="7"/>
      <c r="BS2" s="7" t="s">
        <v>122</v>
      </c>
      <c r="BT2" s="7" t="s">
        <v>0</v>
      </c>
      <c r="BU2" s="7"/>
      <c r="BV2" s="7" t="s">
        <v>122</v>
      </c>
      <c r="BW2" s="7" t="s">
        <v>12</v>
      </c>
      <c r="BX2" s="7"/>
      <c r="BY2" s="5" t="s">
        <v>122</v>
      </c>
      <c r="BZ2" s="1"/>
      <c r="CA2" s="1"/>
      <c r="CB2" s="1"/>
      <c r="CC2" s="1"/>
      <c r="CD2" s="1"/>
      <c r="CE2" s="1"/>
      <c r="CF2" s="1"/>
      <c r="CG2" s="1"/>
      <c r="CH2" s="1"/>
      <c r="CI2" s="1"/>
      <c r="CJ2" s="1"/>
      <c r="CK2" s="1"/>
      <c r="CL2" s="1"/>
      <c r="CM2" s="1"/>
      <c r="CN2" s="1"/>
      <c r="CO2" s="1"/>
      <c r="CP2" s="1"/>
      <c r="CQ2" s="1"/>
      <c r="CR2" s="1"/>
    </row>
    <row r="3" spans="1:96" x14ac:dyDescent="0.25">
      <c r="A3" s="1"/>
      <c r="B3" s="1" t="s">
        <v>117</v>
      </c>
      <c r="C3" s="1">
        <v>6</v>
      </c>
      <c r="E3" s="1">
        <v>-0.96936510375976681</v>
      </c>
      <c r="F3" s="4">
        <f>AVERAGE(E3:E8)</f>
        <v>-1.6749870855712903</v>
      </c>
      <c r="G3" s="6">
        <f>F3/F3</f>
        <v>1</v>
      </c>
      <c r="H3" s="1">
        <v>3.8703489465332019</v>
      </c>
      <c r="I3" s="6">
        <f>AVERAGE(H3:H8)</f>
        <v>3.2744522810872385</v>
      </c>
      <c r="J3" s="6">
        <f>I3/I3</f>
        <v>1</v>
      </c>
      <c r="K3" s="1">
        <v>4.0776624841308582</v>
      </c>
      <c r="L3" s="6">
        <f>AVERAGE(K3:K8)</f>
        <v>3.3145584186808255</v>
      </c>
      <c r="M3" s="6">
        <f>L3/L3</f>
        <v>1</v>
      </c>
      <c r="N3" s="6">
        <v>3.6371740782718347E-3</v>
      </c>
      <c r="O3" s="6">
        <f>AVERAGE(N3:N8)</f>
        <v>3.722655507945627E-3</v>
      </c>
      <c r="P3" s="6">
        <f>O3/O3</f>
        <v>1</v>
      </c>
      <c r="Q3" s="6">
        <v>7.0128349324997024E-3</v>
      </c>
      <c r="R3" s="6">
        <f>AVERAGE(Q3:Q8)</f>
        <v>4.1533545850188491E-3</v>
      </c>
      <c r="S3" s="6">
        <f>R3/R3</f>
        <v>1</v>
      </c>
      <c r="T3" s="6">
        <v>2.5976684640216094E-3</v>
      </c>
      <c r="U3" s="6">
        <f>AVERAGE(T3:T8)</f>
        <v>2.6527371468169254E-3</v>
      </c>
      <c r="V3" s="6">
        <f>U3/U3</f>
        <v>1</v>
      </c>
      <c r="W3" s="6">
        <v>9.2536644390719291E-2</v>
      </c>
      <c r="X3" s="6">
        <f>AVERAGE(W3:W8)</f>
        <v>5.2038618398635737E-2</v>
      </c>
      <c r="Y3" s="6">
        <f>X3/X3</f>
        <v>1</v>
      </c>
      <c r="Z3" s="6">
        <v>0.3120615295212058</v>
      </c>
      <c r="AA3" s="6">
        <f>AVERAGE(Z3:Z8)</f>
        <v>0.13231268346145755</v>
      </c>
      <c r="AB3" s="6">
        <f>AA3/AA3</f>
        <v>1</v>
      </c>
      <c r="AC3" s="6">
        <v>2.7511585405323977E-2</v>
      </c>
      <c r="AD3" s="6">
        <f>AVERAGE(AC3:AC8)</f>
        <v>2.7778747681454774E-2</v>
      </c>
      <c r="AE3" s="6">
        <f>AD3/AD3</f>
        <v>1</v>
      </c>
      <c r="AF3" s="6">
        <v>7.6546492751251416E-2</v>
      </c>
      <c r="AG3" s="6">
        <f>AVERAGE(AF3:AF8)</f>
        <v>7.9269803058609228E-2</v>
      </c>
      <c r="AH3" s="6">
        <f>AG3/AG3</f>
        <v>1</v>
      </c>
      <c r="AI3" s="6">
        <v>2.9446023157364123E-2</v>
      </c>
      <c r="AJ3" s="6">
        <f>AVERAGE(AI3:AI8)</f>
        <v>2.172146176226674E-2</v>
      </c>
      <c r="AK3" s="6">
        <f>AJ3/AJ3</f>
        <v>1</v>
      </c>
      <c r="AL3" s="6">
        <v>0.39245261986171753</v>
      </c>
      <c r="AM3" s="6">
        <f>AVERAGE(AL3:AL8)</f>
        <v>0.32651569473162939</v>
      </c>
      <c r="AN3" s="1">
        <f>AM3/AM3</f>
        <v>1</v>
      </c>
      <c r="AO3" s="1"/>
      <c r="AP3">
        <v>-1.018246697998048</v>
      </c>
      <c r="AQ3" s="6">
        <f>AVERAGE(AP3:AP8)</f>
        <v>-1.5694738283284508</v>
      </c>
      <c r="AR3" s="6">
        <f>AQ3/AQ3</f>
        <v>1</v>
      </c>
      <c r="AS3">
        <v>4.0319451812744127</v>
      </c>
      <c r="AT3" s="6">
        <f>AVERAGE(AS3:AS8)</f>
        <v>3.5944303617350255</v>
      </c>
      <c r="AU3" s="6">
        <f>AT3/AT3</f>
        <v>1</v>
      </c>
      <c r="AV3">
        <v>4.2991494659423815</v>
      </c>
      <c r="AW3" s="6">
        <f>AVERAGE(AV3:AV8)</f>
        <v>4.2941586917114254</v>
      </c>
      <c r="AX3" s="6">
        <f>AW3/AW3</f>
        <v>1</v>
      </c>
      <c r="AY3" s="6">
        <v>8.0481696638556432E-3</v>
      </c>
      <c r="AZ3" s="6">
        <f>AVERAGE(AY3:AY8)</f>
        <v>3.4313353362415235E-2</v>
      </c>
      <c r="BA3" s="6">
        <f>AZ3/AZ3</f>
        <v>1</v>
      </c>
      <c r="BB3" s="6">
        <v>1.6818276813325077E-2</v>
      </c>
      <c r="BC3" s="6">
        <f>AVERAGE(BB3:BB8)</f>
        <v>2.3065521506890375E-2</v>
      </c>
      <c r="BD3" s="6">
        <f>BC3/BC3</f>
        <v>1</v>
      </c>
      <c r="BE3" s="6">
        <v>1.9459892216019938E-2</v>
      </c>
      <c r="BF3" s="6">
        <f>AVERAGE(BE3:BE8)</f>
        <v>4.1070959742079215E-2</v>
      </c>
      <c r="BG3" s="6">
        <f>BF3/BF3</f>
        <v>1</v>
      </c>
      <c r="BH3" s="6">
        <v>1.8516583465011265E-2</v>
      </c>
      <c r="BI3" s="6">
        <f>AVERAGE(BH3:BH8)</f>
        <v>3.2549448380797638E-2</v>
      </c>
      <c r="BJ3" s="6">
        <f>BI3/BI3</f>
        <v>1</v>
      </c>
      <c r="BK3" s="6">
        <v>5.1749905656981836E-2</v>
      </c>
      <c r="BL3" s="6">
        <f>AVERAGE(BK3:BK8)</f>
        <v>3.4495936828425333E-2</v>
      </c>
      <c r="BM3" s="6">
        <f>BL3/BL3</f>
        <v>1</v>
      </c>
      <c r="BN3" s="6">
        <v>4.2569660388082999E-2</v>
      </c>
      <c r="BO3" s="6">
        <f>AVERAGE(BN3:BN8)</f>
        <v>9.7016621974122752E-2</v>
      </c>
      <c r="BP3" s="6">
        <f>BO3/BO3</f>
        <v>1</v>
      </c>
      <c r="BQ3" s="6">
        <v>5.637835412157071E-2</v>
      </c>
      <c r="BR3" s="6">
        <f>AVERAGE(BQ3:BQ8)</f>
        <v>0.17046546424681072</v>
      </c>
      <c r="BS3" s="6">
        <f>BR3/BR3</f>
        <v>1</v>
      </c>
      <c r="BT3" s="6">
        <v>7.3975821961653795E-2</v>
      </c>
      <c r="BU3" s="6">
        <f>AVERAGE(BT3:BT8)</f>
        <v>3.6214805119283169E-2</v>
      </c>
      <c r="BV3" s="6">
        <f>BU3/BU3</f>
        <v>1</v>
      </c>
      <c r="BW3" s="6">
        <v>0.19314963180474545</v>
      </c>
      <c r="BX3" s="6">
        <f>AVERAGE(BW3:BW8)</f>
        <v>0.26302854545909493</v>
      </c>
      <c r="BY3" s="1">
        <f>BX3/BX3</f>
        <v>1</v>
      </c>
      <c r="CA3" s="1"/>
      <c r="CB3" s="1"/>
      <c r="CC3" s="1"/>
      <c r="CD3" s="1"/>
      <c r="CE3" s="1"/>
      <c r="CF3" s="1"/>
      <c r="CG3" s="1"/>
      <c r="CH3" s="1"/>
      <c r="CI3" s="1"/>
      <c r="CJ3" s="1"/>
      <c r="CK3" s="1"/>
      <c r="CL3" s="1"/>
      <c r="CM3" s="1"/>
      <c r="CN3" s="1"/>
      <c r="CO3" s="1"/>
      <c r="CP3" s="1"/>
      <c r="CQ3" s="1"/>
      <c r="CR3" s="1"/>
    </row>
    <row r="4" spans="1:96" x14ac:dyDescent="0.25">
      <c r="A4" s="1"/>
      <c r="B4" s="1" t="s">
        <v>117</v>
      </c>
      <c r="C4" s="1">
        <v>6</v>
      </c>
      <c r="E4" s="1">
        <v>-1.0352430181884777</v>
      </c>
      <c r="F4" s="6"/>
      <c r="G4" s="6" t="e">
        <f>AVERAGE(G3,G6)</f>
        <v>#DIV/0!</v>
      </c>
      <c r="H4" s="1">
        <v>3.9029569787597644</v>
      </c>
      <c r="I4" s="6"/>
      <c r="J4" s="6" t="e">
        <f>AVERAGE(J3,J6)</f>
        <v>#DIV/0!</v>
      </c>
      <c r="K4" s="1">
        <v>4.0890531701660144</v>
      </c>
      <c r="L4" s="6"/>
      <c r="M4" s="6" t="e">
        <f>AVERAGE(M3,M6)</f>
        <v>#DIV/0!</v>
      </c>
      <c r="N4" s="6">
        <v>5.1108239312559678E-3</v>
      </c>
      <c r="O4" s="6"/>
      <c r="P4" s="6" t="e">
        <f>AVERAGE(P3,P6)</f>
        <v>#DIV/0!</v>
      </c>
      <c r="Q4" s="6">
        <v>8.4969820307629045E-3</v>
      </c>
      <c r="R4" s="6"/>
      <c r="S4" s="6" t="e">
        <f>AVERAGE(S3,S6)</f>
        <v>#DIV/0!</v>
      </c>
      <c r="T4" s="6">
        <v>2.7481683132351384E-3</v>
      </c>
      <c r="U4" s="6"/>
      <c r="V4" s="6" t="e">
        <f>AVERAGE(V3,V6)</f>
        <v>#DIV/0!</v>
      </c>
      <c r="W4" s="6">
        <v>9.3650349717132986E-2</v>
      </c>
      <c r="X4" s="6"/>
      <c r="Y4" s="6" t="e">
        <f>AVERAGE(Y3,Y6)</f>
        <v>#DIV/0!</v>
      </c>
      <c r="Z4" s="6">
        <v>0.31694789272716278</v>
      </c>
      <c r="AA4" s="6"/>
      <c r="AB4" s="6" t="e">
        <f>AVERAGE(AB3,AB6)</f>
        <v>#DIV/0!</v>
      </c>
      <c r="AC4" s="6">
        <v>2.770045759938828E-2</v>
      </c>
      <c r="AD4" s="6"/>
      <c r="AE4" s="6" t="e">
        <f>AVERAGE(AE3,AE6)</f>
        <v>#DIV/0!</v>
      </c>
      <c r="AF4" s="6">
        <v>8.2065580188137699E-2</v>
      </c>
      <c r="AG4" s="6"/>
      <c r="AH4" s="6" t="e">
        <f>AVERAGE(AH3,AH6)</f>
        <v>#DIV/0!</v>
      </c>
      <c r="AI4" s="6">
        <v>3.3887414700947339E-2</v>
      </c>
      <c r="AJ4" s="6"/>
      <c r="AK4" s="6" t="e">
        <f>AVERAGE(AK3,AK6)</f>
        <v>#DIV/0!</v>
      </c>
      <c r="AL4" s="6">
        <v>0.38427222545802764</v>
      </c>
      <c r="AM4" s="6"/>
      <c r="AN4" s="1" t="e">
        <f>AVERAGE(AN3,AN6)</f>
        <v>#DIV/0!</v>
      </c>
      <c r="AO4" s="1"/>
      <c r="AP4">
        <v>-0.99079804382324355</v>
      </c>
      <c r="AQ4" s="6"/>
      <c r="AR4" s="6" t="e">
        <f>AVERAGE(AR3,AR6)</f>
        <v>#DIV/0!</v>
      </c>
      <c r="AS4">
        <v>4.0306844238281236</v>
      </c>
      <c r="AT4" s="6"/>
      <c r="AU4" s="6" t="e">
        <f>AVERAGE(AU3,AU6)</f>
        <v>#DIV/0!</v>
      </c>
      <c r="AV4">
        <v>4.2279557708740221</v>
      </c>
      <c r="AW4" s="6"/>
      <c r="AX4" s="6" t="e">
        <f>AVERAGE(AX3,AX6)</f>
        <v>#DIV/0!</v>
      </c>
      <c r="AY4" s="6">
        <v>8.3920015930207259E-3</v>
      </c>
      <c r="AZ4" s="6"/>
      <c r="BA4" s="6" t="e">
        <f>AVERAGE(BA3,BA6)</f>
        <v>#DIV/0!</v>
      </c>
      <c r="BB4" s="6">
        <v>1.6438650770461062E-2</v>
      </c>
      <c r="BC4" s="6"/>
      <c r="BD4" s="6" t="e">
        <f>AVERAGE(BD3,BD6)</f>
        <v>#DIV/0!</v>
      </c>
      <c r="BE4" s="6">
        <v>2.0196535641128725E-2</v>
      </c>
      <c r="BF4" s="6"/>
      <c r="BG4" s="6" t="e">
        <f>AVERAGE(BG3,BG6)</f>
        <v>#DIV/0!</v>
      </c>
      <c r="BH4" s="6">
        <v>1.8248308058546072E-2</v>
      </c>
      <c r="BI4" s="6"/>
      <c r="BJ4" s="6" t="e">
        <f>AVERAGE(BJ3,BJ6)</f>
        <v>#DIV/0!</v>
      </c>
      <c r="BK4" s="6">
        <v>5.4484056123210375E-2</v>
      </c>
      <c r="BL4" s="6"/>
      <c r="BM4" s="6" t="e">
        <f>AVERAGE(BM3,BM6)</f>
        <v>#DIV/0!</v>
      </c>
      <c r="BN4" s="6">
        <v>4.2013617118377991E-2</v>
      </c>
      <c r="BO4" s="6"/>
      <c r="BP4" s="6" t="e">
        <f>AVERAGE(BP3,BP6)</f>
        <v>#DIV/0!</v>
      </c>
      <c r="BQ4" s="6">
        <v>5.8278831157650098E-2</v>
      </c>
      <c r="BR4" s="6"/>
      <c r="BS4" s="6" t="e">
        <f>AVERAGE(BS3,BS6)</f>
        <v>#DIV/0!</v>
      </c>
      <c r="BT4" s="6">
        <v>7.3123443129033433E-2</v>
      </c>
      <c r="BU4" s="6"/>
      <c r="BV4" s="6" t="e">
        <f>AVERAGE(BV3,BV6)</f>
        <v>#DIV/0!</v>
      </c>
      <c r="BW4" s="6">
        <v>0.24008233839376597</v>
      </c>
      <c r="BX4" s="6"/>
      <c r="BY4" s="1" t="e">
        <f>AVERAGE(BY3,BY6)</f>
        <v>#DIV/0!</v>
      </c>
      <c r="CA4" s="1"/>
      <c r="CB4" s="1"/>
      <c r="CC4" s="1"/>
      <c r="CD4" s="1"/>
      <c r="CE4" s="1"/>
      <c r="CF4" s="1"/>
      <c r="CG4" s="1"/>
      <c r="CH4" s="1"/>
      <c r="CI4" s="1"/>
      <c r="CJ4" s="1"/>
      <c r="CK4" s="1"/>
      <c r="CL4" s="1"/>
      <c r="CM4" s="1"/>
      <c r="CN4" s="1"/>
      <c r="CO4" s="1"/>
      <c r="CP4" s="1"/>
      <c r="CQ4" s="1"/>
      <c r="CR4" s="1"/>
    </row>
    <row r="5" spans="1:96" x14ac:dyDescent="0.25">
      <c r="A5" s="1"/>
      <c r="B5" s="1" t="s">
        <v>117</v>
      </c>
      <c r="C5" s="1">
        <v>6</v>
      </c>
      <c r="E5" s="1">
        <v>-1.0262880163574231</v>
      </c>
      <c r="F5" s="6"/>
      <c r="G5" s="6" t="e">
        <f>STDEVA(G3,G6)</f>
        <v>#DIV/0!</v>
      </c>
      <c r="H5" s="1">
        <v>3.9174013299560535</v>
      </c>
      <c r="I5" s="6"/>
      <c r="J5" s="6" t="e">
        <f>STDEVA(J3,J6)</f>
        <v>#DIV/0!</v>
      </c>
      <c r="K5" s="1">
        <v>4.049801842651366</v>
      </c>
      <c r="L5" s="6"/>
      <c r="M5" s="6" t="e">
        <f>STDEVA(M3,M6)</f>
        <v>#DIV/0!</v>
      </c>
      <c r="N5" s="3"/>
      <c r="O5" s="6"/>
      <c r="P5" s="6" t="e">
        <f>STDEVA(P3,P6)</f>
        <v>#DIV/0!</v>
      </c>
      <c r="Q5" s="3"/>
      <c r="R5" s="6"/>
      <c r="S5" s="6" t="e">
        <f>STDEVA(S3,S6)</f>
        <v>#DIV/0!</v>
      </c>
      <c r="T5" s="3"/>
      <c r="U5" s="6"/>
      <c r="V5" s="6" t="e">
        <f>STDEVA(V3,V6)</f>
        <v>#DIV/0!</v>
      </c>
      <c r="W5" s="3"/>
      <c r="X5" s="6"/>
      <c r="Y5" s="6" t="e">
        <f>STDEVA(Y3,Y6)</f>
        <v>#DIV/0!</v>
      </c>
      <c r="Z5" s="3"/>
      <c r="AA5" s="6"/>
      <c r="AB5" s="6" t="e">
        <f>STDEVA(AB3,AB6)</f>
        <v>#DIV/0!</v>
      </c>
      <c r="AC5" s="3"/>
      <c r="AD5" s="6"/>
      <c r="AE5" s="6" t="e">
        <f>STDEVA(AE3,AE6)</f>
        <v>#DIV/0!</v>
      </c>
      <c r="AF5" s="3"/>
      <c r="AG5" s="6"/>
      <c r="AH5" s="6" t="e">
        <f>STDEVA(AH3,AH6)</f>
        <v>#DIV/0!</v>
      </c>
      <c r="AI5" s="3"/>
      <c r="AJ5" s="6"/>
      <c r="AK5" s="6" t="e">
        <f>STDEVA(AK3,AK6)</f>
        <v>#DIV/0!</v>
      </c>
      <c r="AL5" s="3"/>
      <c r="AM5" s="6"/>
      <c r="AN5" s="1" t="e">
        <f>STDEVA(AN3,AN6)</f>
        <v>#DIV/0!</v>
      </c>
      <c r="AO5" s="1"/>
      <c r="AP5">
        <v>-1.0656099792480482</v>
      </c>
      <c r="AQ5" s="6"/>
      <c r="AR5" s="6" t="e">
        <f>STDEVA(AR3,AR6)</f>
        <v>#DIV/0!</v>
      </c>
      <c r="AS5">
        <v>4.0376367095947252</v>
      </c>
      <c r="AT5" s="6"/>
      <c r="AU5" s="6" t="e">
        <f>STDEVA(AU3,AU6)</f>
        <v>#DIV/0!</v>
      </c>
      <c r="AV5">
        <v>4.2219438079833971</v>
      </c>
      <c r="AW5" s="6"/>
      <c r="AX5" s="6" t="e">
        <f>STDEVA(AX3,AX6)</f>
        <v>#DIV/0!</v>
      </c>
      <c r="AY5" s="3"/>
      <c r="AZ5" s="6"/>
      <c r="BA5" s="6" t="e">
        <f>STDEVA(BA3,BA6)</f>
        <v>#DIV/0!</v>
      </c>
      <c r="BB5" s="3"/>
      <c r="BC5" s="6"/>
      <c r="BD5" s="6" t="e">
        <f>STDEVA(BD3,BD6)</f>
        <v>#DIV/0!</v>
      </c>
      <c r="BE5" s="3"/>
      <c r="BF5" s="6"/>
      <c r="BG5" s="6" t="e">
        <f>STDEVA(BG3,BG6)</f>
        <v>#DIV/0!</v>
      </c>
      <c r="BH5" s="3"/>
      <c r="BI5" s="6"/>
      <c r="BJ5" s="6" t="e">
        <f>STDEVA(BJ3,BJ6)</f>
        <v>#DIV/0!</v>
      </c>
      <c r="BK5" s="3"/>
      <c r="BL5" s="6"/>
      <c r="BM5" s="6" t="e">
        <f>STDEVA(BM3,BM6)</f>
        <v>#DIV/0!</v>
      </c>
      <c r="BN5" s="3"/>
      <c r="BO5" s="6"/>
      <c r="BP5" s="6" t="e">
        <f>STDEVA(BP3,BP6)</f>
        <v>#DIV/0!</v>
      </c>
      <c r="BQ5" s="3"/>
      <c r="BR5" s="6"/>
      <c r="BS5" s="6" t="e">
        <f>STDEVA(BS3,BS6)</f>
        <v>#DIV/0!</v>
      </c>
      <c r="BT5" s="3"/>
      <c r="BU5" s="6"/>
      <c r="BV5" s="6" t="e">
        <f>STDEVA(BV3,BV6)</f>
        <v>#DIV/0!</v>
      </c>
      <c r="BW5" s="3"/>
      <c r="BX5" s="6"/>
      <c r="BY5" s="1" t="e">
        <f>STDEVA(BY3,BY6)</f>
        <v>#DIV/0!</v>
      </c>
      <c r="CA5" s="1"/>
      <c r="CB5" s="1"/>
      <c r="CC5" s="1"/>
      <c r="CD5" s="1"/>
      <c r="CE5" s="1"/>
      <c r="CF5" s="1"/>
      <c r="CG5" s="1"/>
      <c r="CH5" s="1"/>
      <c r="CI5" s="1"/>
      <c r="CJ5" s="1"/>
      <c r="CK5" s="1"/>
      <c r="CL5" s="1"/>
      <c r="CM5" s="1"/>
      <c r="CN5" s="1"/>
      <c r="CO5" s="1"/>
      <c r="CP5" s="1"/>
      <c r="CQ5" s="1"/>
      <c r="CR5" s="1"/>
    </row>
    <row r="6" spans="1:96" x14ac:dyDescent="0.25">
      <c r="A6" s="1"/>
      <c r="B6" s="1" t="s">
        <v>117</v>
      </c>
      <c r="C6" s="1">
        <v>6</v>
      </c>
      <c r="E6">
        <v>-2.3070025762939466</v>
      </c>
      <c r="F6" s="6"/>
      <c r="G6" s="6" t="e">
        <f>F6/F6</f>
        <v>#DIV/0!</v>
      </c>
      <c r="H6">
        <v>2.6414551416015613</v>
      </c>
      <c r="I6" s="6"/>
      <c r="J6" s="6" t="e">
        <f>I6/I6</f>
        <v>#DIV/0!</v>
      </c>
      <c r="K6">
        <v>2.5516266503906238</v>
      </c>
      <c r="L6" s="6"/>
      <c r="M6" s="6" t="e">
        <f>L6/L6</f>
        <v>#DIV/0!</v>
      </c>
      <c r="N6" s="6">
        <v>2.6667369335510822E-3</v>
      </c>
      <c r="O6" s="6"/>
      <c r="P6" s="6" t="e">
        <f>O6/O6</f>
        <v>#DIV/0!</v>
      </c>
      <c r="Q6" s="6">
        <v>2.0858767264340813E-3</v>
      </c>
      <c r="R6" s="6"/>
      <c r="S6" s="6" t="e">
        <f>R6/R6</f>
        <v>#DIV/0!</v>
      </c>
      <c r="T6" s="6">
        <v>2.72907520854429E-3</v>
      </c>
      <c r="U6" s="6"/>
      <c r="V6" s="6" t="e">
        <f>U6/U6</f>
        <v>#DIV/0!</v>
      </c>
      <c r="W6" s="6">
        <v>2.51043979753044E-2</v>
      </c>
      <c r="X6" s="6"/>
      <c r="Y6" s="6" t="e">
        <f>X6/X6</f>
        <v>#DIV/0!</v>
      </c>
      <c r="Z6" s="6">
        <v>1.0671165211371073E-2</v>
      </c>
      <c r="AA6" s="6"/>
      <c r="AB6" s="6" t="e">
        <f>AA6/AA6</f>
        <v>#DIV/0!</v>
      </c>
      <c r="AC6" s="6">
        <v>2.7687423222129703E-2</v>
      </c>
      <c r="AD6" s="6"/>
      <c r="AE6" s="6" t="e">
        <f>AD6/AD6</f>
        <v>#DIV/0!</v>
      </c>
      <c r="AF6" s="6">
        <v>5.8080414380239767E-2</v>
      </c>
      <c r="AG6" s="6"/>
      <c r="AH6" s="6" t="e">
        <f>AG6/AG6</f>
        <v>#DIV/0!</v>
      </c>
      <c r="AI6" s="6">
        <v>1.5602252124893185E-2</v>
      </c>
      <c r="AJ6" s="6"/>
      <c r="AK6" s="6" t="e">
        <f>AJ6/AJ6</f>
        <v>#DIV/0!</v>
      </c>
      <c r="AL6" s="6">
        <v>0.28478298866302465</v>
      </c>
      <c r="AM6" s="6"/>
      <c r="AN6" s="1" t="e">
        <f>AM6/AM6</f>
        <v>#DIV/0!</v>
      </c>
      <c r="AO6" s="1"/>
      <c r="AP6">
        <v>-2.105929815063476</v>
      </c>
      <c r="AQ6" s="6"/>
      <c r="AR6" s="6" t="e">
        <f>AQ6/AQ6</f>
        <v>#DIV/0!</v>
      </c>
      <c r="AS6">
        <v>3.0937829382324225</v>
      </c>
      <c r="AT6" s="6"/>
      <c r="AU6" s="6" t="e">
        <f>AT6/AT6</f>
        <v>#DIV/0!</v>
      </c>
      <c r="AV6">
        <v>4.340237177124024</v>
      </c>
      <c r="AW6" s="6"/>
      <c r="AX6" s="6" t="e">
        <f>AW6/AW6</f>
        <v>#DIV/0!</v>
      </c>
      <c r="AY6" s="6">
        <v>5.9880343947451668E-2</v>
      </c>
      <c r="AZ6" s="6"/>
      <c r="BA6" s="6" t="e">
        <f>AZ6/AZ6</f>
        <v>#DIV/0!</v>
      </c>
      <c r="BB6" s="6">
        <v>2.9027993016692715E-2</v>
      </c>
      <c r="BC6" s="6"/>
      <c r="BD6" s="6" t="e">
        <f>BC6/BC6</f>
        <v>#DIV/0!</v>
      </c>
      <c r="BE6" s="6">
        <v>6.084652444847434E-2</v>
      </c>
      <c r="BF6" s="6"/>
      <c r="BG6" s="6" t="e">
        <f>BF6/BF6</f>
        <v>#DIV/0!</v>
      </c>
      <c r="BH6" s="3">
        <v>4.649172960833705E-2</v>
      </c>
      <c r="BI6" s="6"/>
      <c r="BJ6" s="6" t="e">
        <f>BI6/BI6</f>
        <v>#DIV/0!</v>
      </c>
      <c r="BK6" s="6">
        <v>1.6114450001244406E-2</v>
      </c>
      <c r="BL6" s="6"/>
      <c r="BM6" s="6" t="e">
        <f>BL6/BL6</f>
        <v>#DIV/0!</v>
      </c>
      <c r="BN6" s="3">
        <v>0.15162685427838635</v>
      </c>
      <c r="BO6" s="6"/>
      <c r="BP6" s="6" t="e">
        <f>BO6/BO6</f>
        <v>#DIV/0!</v>
      </c>
      <c r="BQ6" s="3">
        <v>0.24216495570951743</v>
      </c>
      <c r="BR6" s="6"/>
      <c r="BS6" s="6" t="e">
        <f>BR6/BR6</f>
        <v>#DIV/0!</v>
      </c>
      <c r="BT6" s="3">
        <v>1.1395436785436969E-2</v>
      </c>
      <c r="BU6" s="6"/>
      <c r="BV6" s="6" t="e">
        <f>BU6/BU6</f>
        <v>#DIV/0!</v>
      </c>
      <c r="BW6" s="3">
        <v>0.27768079304085891</v>
      </c>
      <c r="BX6" s="6"/>
      <c r="BY6" s="1" t="e">
        <f>BX6/BX6</f>
        <v>#DIV/0!</v>
      </c>
      <c r="CA6" s="1"/>
      <c r="CB6" s="1"/>
      <c r="CC6" s="1"/>
      <c r="CD6" s="1"/>
      <c r="CE6" s="1"/>
      <c r="CF6" s="1"/>
      <c r="CH6" s="1"/>
      <c r="CI6" s="1"/>
      <c r="CJ6" s="1"/>
      <c r="CK6" s="1"/>
      <c r="CL6" s="1"/>
      <c r="CM6" s="1"/>
      <c r="CN6" s="1"/>
      <c r="CO6" s="1"/>
      <c r="CP6" s="1"/>
      <c r="CQ6" s="1"/>
      <c r="CR6" s="1"/>
    </row>
    <row r="7" spans="1:96" x14ac:dyDescent="0.25">
      <c r="A7" s="1"/>
      <c r="B7" s="1" t="s">
        <v>117</v>
      </c>
      <c r="C7" s="1">
        <v>6</v>
      </c>
      <c r="E7">
        <v>-2.3440509161376966</v>
      </c>
      <c r="F7" s="6"/>
      <c r="G7" s="6"/>
      <c r="H7">
        <v>2.6533608117675769</v>
      </c>
      <c r="I7" s="6"/>
      <c r="J7" s="6"/>
      <c r="K7">
        <v>2.5674652734374988</v>
      </c>
      <c r="L7" s="6"/>
      <c r="M7" s="6"/>
      <c r="N7" s="6">
        <v>3.5791073630654989E-3</v>
      </c>
      <c r="O7" s="6"/>
      <c r="P7" s="6"/>
      <c r="Q7" s="6">
        <v>2.1770488692021716E-3</v>
      </c>
      <c r="R7" s="6"/>
      <c r="S7" s="6"/>
      <c r="T7" s="6">
        <v>2.5269962727890944E-3</v>
      </c>
      <c r="U7" s="6"/>
      <c r="V7" s="6"/>
      <c r="W7" s="6">
        <v>2.4489640902328986E-2</v>
      </c>
      <c r="X7" s="6"/>
      <c r="Y7" s="6"/>
      <c r="Z7" s="6">
        <v>1.1119453235817539E-2</v>
      </c>
      <c r="AA7" s="6"/>
      <c r="AB7" s="6"/>
      <c r="AC7" s="6">
        <v>2.7623073662436493E-2</v>
      </c>
      <c r="AD7" s="6"/>
      <c r="AE7" s="6"/>
      <c r="AF7" s="6">
        <v>6.6728643987803177E-2</v>
      </c>
      <c r="AG7" s="6"/>
      <c r="AH7" s="6"/>
      <c r="AI7" s="6">
        <v>1.5092403957905997E-2</v>
      </c>
      <c r="AJ7" s="6"/>
      <c r="AK7" s="6"/>
      <c r="AL7" s="6">
        <v>0.28421653775007688</v>
      </c>
      <c r="AM7" s="6"/>
      <c r="AN7" s="1"/>
      <c r="AO7" s="1"/>
      <c r="AP7">
        <v>-2.1006769769287104</v>
      </c>
      <c r="AQ7" s="6"/>
      <c r="AR7" s="6"/>
      <c r="AS7">
        <v>3.0978379614257814</v>
      </c>
      <c r="AT7" s="6"/>
      <c r="AU7" s="6"/>
      <c r="AV7">
        <v>4.3490357763671881</v>
      </c>
      <c r="AW7" s="6"/>
      <c r="AX7" s="6"/>
      <c r="AY7" s="6">
        <v>6.0932898245332906E-2</v>
      </c>
      <c r="AZ7" s="6"/>
      <c r="BA7" s="6"/>
      <c r="BB7" s="6">
        <v>2.9977165427082651E-2</v>
      </c>
      <c r="BC7" s="6"/>
      <c r="BD7" s="6"/>
      <c r="BE7" s="3">
        <v>6.3780886662693853E-2</v>
      </c>
      <c r="BF7" s="6"/>
      <c r="BG7" s="6"/>
      <c r="BH7" s="3">
        <v>4.6941172391296172E-2</v>
      </c>
      <c r="BI7" s="6"/>
      <c r="BJ7" s="6"/>
      <c r="BK7" s="6">
        <v>1.5635335532264732E-2</v>
      </c>
      <c r="BL7" s="6"/>
      <c r="BM7" s="6"/>
      <c r="BN7" s="3">
        <v>0.15185635611164364</v>
      </c>
      <c r="BO7" s="6"/>
      <c r="BP7" s="6"/>
      <c r="BQ7" s="3">
        <v>0.25258378853766333</v>
      </c>
      <c r="BR7" s="6"/>
      <c r="BS7" s="6"/>
      <c r="BT7" s="3">
        <v>1.1353931491935913E-2</v>
      </c>
      <c r="BU7" s="6"/>
      <c r="BV7" s="6"/>
      <c r="BW7" s="3">
        <v>0.29851180195788762</v>
      </c>
      <c r="BX7" s="6"/>
      <c r="BY7" s="1"/>
      <c r="CA7" s="1"/>
      <c r="CB7" s="1"/>
      <c r="CC7" s="1"/>
      <c r="CD7" s="1"/>
      <c r="CE7" s="1"/>
      <c r="CF7" s="1"/>
      <c r="CH7" s="1"/>
      <c r="CI7" s="1"/>
      <c r="CJ7" s="1"/>
      <c r="CK7" s="1"/>
      <c r="CL7" s="1"/>
      <c r="CM7" s="1"/>
      <c r="CN7" s="1"/>
      <c r="CO7" s="1"/>
      <c r="CP7" s="1"/>
      <c r="CQ7" s="1"/>
      <c r="CR7" s="1"/>
    </row>
    <row r="8" spans="1:96" x14ac:dyDescent="0.25">
      <c r="A8" s="1"/>
      <c r="B8" s="1" t="s">
        <v>117</v>
      </c>
      <c r="C8" s="1">
        <v>6</v>
      </c>
      <c r="E8">
        <v>-2.3679728826904309</v>
      </c>
      <c r="F8" s="6"/>
      <c r="G8" s="6"/>
      <c r="H8">
        <v>2.6611904779052722</v>
      </c>
      <c r="I8" s="6"/>
      <c r="J8" s="6"/>
      <c r="K8">
        <v>2.5517410913085925</v>
      </c>
      <c r="L8" s="6"/>
      <c r="M8" s="6"/>
      <c r="N8" s="6">
        <v>3.619435233583749E-3</v>
      </c>
      <c r="O8" s="6"/>
      <c r="P8" s="6"/>
      <c r="Q8" s="6">
        <v>9.940303661953873E-4</v>
      </c>
      <c r="R8" s="6"/>
      <c r="S8" s="6"/>
      <c r="T8" s="6">
        <v>2.6617774754944955E-3</v>
      </c>
      <c r="U8" s="6"/>
      <c r="V8" s="6"/>
      <c r="W8" s="6">
        <v>2.4412059007693047E-2</v>
      </c>
      <c r="X8" s="6"/>
      <c r="Y8" s="6"/>
      <c r="Z8" s="6">
        <v>1.0763376611730461E-2</v>
      </c>
      <c r="AA8" s="6"/>
      <c r="AB8" s="6"/>
      <c r="AC8" s="6">
        <v>2.8371198517995425E-2</v>
      </c>
      <c r="AD8" s="6"/>
      <c r="AE8" s="6"/>
      <c r="AF8" s="6">
        <v>0.11292788398561404</v>
      </c>
      <c r="AG8" s="6"/>
      <c r="AH8" s="6"/>
      <c r="AI8" s="6">
        <v>1.4579214870223055E-2</v>
      </c>
      <c r="AJ8" s="6"/>
      <c r="AK8" s="6"/>
      <c r="AL8" s="6">
        <v>0.28685410192530031</v>
      </c>
      <c r="AM8" s="6"/>
      <c r="AN8" s="1"/>
      <c r="AO8" s="1"/>
      <c r="AP8">
        <v>-2.1355814569091791</v>
      </c>
      <c r="AQ8" s="6"/>
      <c r="AR8" s="6"/>
      <c r="AS8">
        <v>3.2746949560546881</v>
      </c>
      <c r="AT8" s="6"/>
      <c r="AU8" s="6"/>
      <c r="AV8">
        <v>4.3266301519775396</v>
      </c>
      <c r="AW8" s="6"/>
      <c r="AX8" s="6"/>
      <c r="AY8" s="6"/>
      <c r="AZ8" s="6"/>
      <c r="BA8" s="6"/>
      <c r="BB8" s="6"/>
      <c r="BC8" s="6"/>
      <c r="BD8" s="6"/>
      <c r="BE8" s="6"/>
      <c r="BF8" s="6"/>
      <c r="BG8" s="6"/>
      <c r="BH8" s="6"/>
      <c r="BI8" s="6"/>
      <c r="BJ8" s="6"/>
      <c r="BK8" s="6"/>
      <c r="BL8" s="6"/>
      <c r="BM8" s="6"/>
      <c r="BN8" s="6"/>
      <c r="BO8" s="6"/>
      <c r="BP8" s="6"/>
      <c r="BQ8" s="3">
        <v>0.24292139170765198</v>
      </c>
      <c r="BR8" s="6"/>
      <c r="BS8" s="6"/>
      <c r="BT8" s="3">
        <v>1.1225392228355762E-2</v>
      </c>
      <c r="BU8" s="6"/>
      <c r="BV8" s="6"/>
      <c r="BW8" s="3">
        <v>0.30571816209821684</v>
      </c>
      <c r="BX8" s="6"/>
      <c r="BY8" s="1"/>
      <c r="CA8" s="1"/>
      <c r="CB8" s="1"/>
      <c r="CC8" s="1"/>
      <c r="CD8" s="1"/>
      <c r="CE8" s="1"/>
      <c r="CF8" s="1"/>
      <c r="CH8" s="1"/>
      <c r="CI8" s="1"/>
      <c r="CJ8" s="1"/>
      <c r="CK8" s="1"/>
      <c r="CL8" s="1"/>
      <c r="CM8" s="1"/>
      <c r="CN8" s="1"/>
      <c r="CO8" s="1"/>
      <c r="CP8" s="1"/>
      <c r="CQ8" s="1"/>
      <c r="CR8" s="1"/>
    </row>
    <row r="9" spans="1:96" x14ac:dyDescent="0.25">
      <c r="A9" s="1"/>
      <c r="B9" s="1" t="s">
        <v>4</v>
      </c>
      <c r="C9" s="1">
        <v>6</v>
      </c>
      <c r="E9" s="1">
        <v>-0.92829870239257772</v>
      </c>
      <c r="F9" s="6">
        <f>AVERAGE(E9:E14)</f>
        <v>-1.6042907392374672</v>
      </c>
      <c r="G9" s="6">
        <f>F9/F3</f>
        <v>0.95779290064812017</v>
      </c>
      <c r="H9" s="1">
        <v>3.8041002844238285</v>
      </c>
      <c r="I9" s="6">
        <f>AVERAGE(H9:H14)</f>
        <v>3.2501480425008142</v>
      </c>
      <c r="J9" s="6">
        <f>I9/I3</f>
        <v>0.99257761710964543</v>
      </c>
      <c r="K9" s="1">
        <v>4.3025038336181645</v>
      </c>
      <c r="L9" s="6">
        <f>AVERAGE(K9:K14)</f>
        <v>3.433327262064616</v>
      </c>
      <c r="M9" s="6">
        <f>L9/L3</f>
        <v>1.0358324785330106</v>
      </c>
      <c r="N9" s="6">
        <v>3.9700409350295297E-3</v>
      </c>
      <c r="O9" s="6">
        <f>AVERAGE(N9:N14)</f>
        <v>4.4724639552305712E-3</v>
      </c>
      <c r="P9" s="6">
        <f>O9/O3</f>
        <v>1.2014176293467271</v>
      </c>
      <c r="Q9" s="6">
        <v>6.0811669772696192E-3</v>
      </c>
      <c r="R9" s="6">
        <f>AVERAGE(Q9:Q14)</f>
        <v>3.9118098633906632E-3</v>
      </c>
      <c r="S9" s="6">
        <f>R9/R3</f>
        <v>0.94184346251113793</v>
      </c>
      <c r="T9" s="6">
        <v>2.0386423556228062E-3</v>
      </c>
      <c r="U9" s="6">
        <f>AVERAGE(T9:T14)</f>
        <v>3.0134843560240213E-3</v>
      </c>
      <c r="V9" s="6">
        <f>U9/U3</f>
        <v>1.1359905596526834</v>
      </c>
      <c r="W9" s="6">
        <v>8.0361568666413793E-2</v>
      </c>
      <c r="X9" s="6">
        <f>AVERAGE(W9:W14)</f>
        <v>5.2518953691244208E-2</v>
      </c>
      <c r="Y9" s="6">
        <f>X9/X3</f>
        <v>1.0092303621308489</v>
      </c>
      <c r="Z9" s="6">
        <v>0.30113442286206654</v>
      </c>
      <c r="AA9" s="6">
        <f>AVERAGE(Z9:Z14)</f>
        <v>0.12337188328880408</v>
      </c>
      <c r="AB9" s="6">
        <f>AA9/AA3</f>
        <v>0.93242673386442265</v>
      </c>
      <c r="AC9" s="6">
        <v>2.3141906530512235E-2</v>
      </c>
      <c r="AD9" s="6">
        <f>AVERAGE(AC9:AC14)</f>
        <v>3.3522130291300141E-2</v>
      </c>
      <c r="AE9" s="6">
        <f>AD9/AD3</f>
        <v>1.2067545548023275</v>
      </c>
      <c r="AF9" s="6">
        <v>7.1102002967035852E-2</v>
      </c>
      <c r="AG9" s="6">
        <f>AVERAGE(AF9:AF14)</f>
        <v>7.6618007289368545E-2</v>
      </c>
      <c r="AH9" s="6">
        <f>AG9/AG3</f>
        <v>0.9665472138579676</v>
      </c>
      <c r="AI9" s="6">
        <v>2.73290372093699E-2</v>
      </c>
      <c r="AJ9" s="6">
        <f>AVERAGE(AI9:AI14)</f>
        <v>2.2940027534285236E-2</v>
      </c>
      <c r="AK9" s="6">
        <f>AJ9/AJ3</f>
        <v>1.0560996209810942</v>
      </c>
      <c r="AL9" s="6">
        <v>0.34232679599450633</v>
      </c>
      <c r="AM9" s="6">
        <f>AVERAGE(AL9:AL14)</f>
        <v>0.35502940914633435</v>
      </c>
      <c r="AN9" s="1">
        <f>AM9/AM3</f>
        <v>1.0873272399298939</v>
      </c>
      <c r="AO9" s="1"/>
      <c r="AP9">
        <v>-0.92311717285156192</v>
      </c>
      <c r="AQ9" s="6">
        <f>AVERAGE(AP9:AP14)</f>
        <v>-0.25540969696044868</v>
      </c>
      <c r="AR9" s="6">
        <f>AQ9/AQ3</f>
        <v>0.16273587513878437</v>
      </c>
      <c r="AS9">
        <v>4.1549143670654303</v>
      </c>
      <c r="AT9" s="6">
        <f>AVERAGE(AS9:AS14)</f>
        <v>3.5630466349283858</v>
      </c>
      <c r="AU9" s="6">
        <f>AT9/AT3</f>
        <v>0.99126878986424682</v>
      </c>
      <c r="AV9">
        <v>4.6698984979248053</v>
      </c>
      <c r="AW9" s="6">
        <f>AVERAGE(AV9:AV14)</f>
        <v>4.2292132583618169</v>
      </c>
      <c r="AX9" s="6">
        <f>AW9/AW3</f>
        <v>0.9848758655624521</v>
      </c>
      <c r="AY9" s="6">
        <v>1.1484430565964482E-2</v>
      </c>
      <c r="AZ9" s="6">
        <f>AVERAGE(AY9:AY14)</f>
        <v>0.26974419437377728</v>
      </c>
      <c r="BA9" s="6">
        <f>AZ9/AZ3</f>
        <v>7.8612017754358776</v>
      </c>
      <c r="BB9" s="6">
        <v>1.8394023968472766E-2</v>
      </c>
      <c r="BC9" s="6">
        <f>AVERAGE(BB9:BB14)</f>
        <v>0.16501247234781674</v>
      </c>
      <c r="BD9" s="6">
        <f>BC9/BC3</f>
        <v>7.1540750682148015</v>
      </c>
      <c r="BE9" s="6">
        <v>4.7733659054553422E-2</v>
      </c>
      <c r="BF9" s="6">
        <f>AVERAGE(BE9:BE14)</f>
        <v>0.25121870149656528</v>
      </c>
      <c r="BG9" s="6">
        <f>BF9/BF3</f>
        <v>6.1166990757992776</v>
      </c>
      <c r="BH9" s="6">
        <v>1.9587932399907138E-2</v>
      </c>
      <c r="BI9" s="6">
        <f>AVERAGE(BH9:BH14)</f>
        <v>0.89556775257682752</v>
      </c>
      <c r="BJ9" s="6">
        <f>BI9/BI3</f>
        <v>27.514068505847941</v>
      </c>
      <c r="BK9" s="6">
        <v>8.4829915449243787E-2</v>
      </c>
      <c r="BL9" s="6">
        <f>AVERAGE(BK9:BK14)</f>
        <v>0.41273177753254808</v>
      </c>
      <c r="BM9" s="6">
        <f>BL9/BL3</f>
        <v>11.964649042157596</v>
      </c>
      <c r="BN9" s="6">
        <v>3.8974009230457213E-2</v>
      </c>
      <c r="BO9" s="6">
        <f>AVERAGE(BN9:BN14)</f>
        <v>0.26735892532464134</v>
      </c>
      <c r="BP9" s="6">
        <f>BO9/BO3</f>
        <v>2.7558053443249548</v>
      </c>
      <c r="BQ9" s="6"/>
      <c r="BR9" s="6">
        <f>AVERAGE(BQ9:BQ14)</f>
        <v>1.6536677021347554</v>
      </c>
      <c r="BS9" s="6"/>
      <c r="BT9" s="6">
        <v>4.3420923648389384E-2</v>
      </c>
      <c r="BU9" s="6">
        <f>AVERAGE(BT9:BT14)</f>
        <v>6.4928660446289851E-2</v>
      </c>
      <c r="BV9" s="6">
        <f>BU9/BU3</f>
        <v>1.7928761519613292</v>
      </c>
      <c r="BW9" s="6">
        <v>0.37625033871801872</v>
      </c>
      <c r="BX9" s="6">
        <f>AVERAGE(BW9:BW14)</f>
        <v>1.083821750208438</v>
      </c>
      <c r="BY9" s="1">
        <f>BX9/BX3</f>
        <v>4.1205480124475287</v>
      </c>
      <c r="CA9" s="1"/>
      <c r="CB9" s="1"/>
      <c r="CC9" s="1"/>
      <c r="CD9" s="1"/>
      <c r="CE9" s="1"/>
      <c r="CF9" s="1"/>
      <c r="CG9" s="1"/>
      <c r="CH9" s="1"/>
      <c r="CI9" s="1"/>
      <c r="CJ9" s="1"/>
      <c r="CK9" s="1"/>
      <c r="CL9" s="1"/>
      <c r="CM9" s="1"/>
      <c r="CN9" s="1"/>
      <c r="CO9" s="1"/>
      <c r="CP9" s="1"/>
      <c r="CQ9" s="1"/>
      <c r="CR9" s="1"/>
    </row>
    <row r="10" spans="1:96" x14ac:dyDescent="0.25">
      <c r="A10" s="1"/>
      <c r="B10" s="1" t="s">
        <v>4</v>
      </c>
      <c r="C10" s="1">
        <v>6</v>
      </c>
      <c r="E10" s="1">
        <v>-0.82481359497070272</v>
      </c>
      <c r="F10" s="6"/>
      <c r="G10" s="6" t="e">
        <f>AVERAGE(G9,G12)</f>
        <v>#DIV/0!</v>
      </c>
      <c r="H10" s="1">
        <v>3.752287158813477</v>
      </c>
      <c r="I10" s="6"/>
      <c r="J10" s="6" t="e">
        <f>AVERAGE(J9,J12)</f>
        <v>#DIV/0!</v>
      </c>
      <c r="K10" s="1">
        <v>4.3093111608886723</v>
      </c>
      <c r="L10" s="6"/>
      <c r="M10" s="6" t="e">
        <f>AVERAGE(M9,M12)</f>
        <v>#DIV/0!</v>
      </c>
      <c r="N10" s="6">
        <v>3.8050127528358973E-3</v>
      </c>
      <c r="O10" s="6"/>
      <c r="P10" s="6" t="e">
        <f>AVERAGE(P9,P12)</f>
        <v>#DIV/0!</v>
      </c>
      <c r="Q10" s="6">
        <v>6.4861738324446892E-3</v>
      </c>
      <c r="R10" s="6"/>
      <c r="S10" s="6" t="e">
        <f>AVERAGE(S9,S12)</f>
        <v>#DIV/0!</v>
      </c>
      <c r="T10" s="6">
        <v>2.1171683388463386E-3</v>
      </c>
      <c r="U10" s="6"/>
      <c r="V10" s="6" t="e">
        <f>AVERAGE(V9,V12)</f>
        <v>#DIV/0!</v>
      </c>
      <c r="W10" s="6">
        <v>8.5387246455615309E-2</v>
      </c>
      <c r="X10" s="6"/>
      <c r="Y10" s="6" t="e">
        <f>AVERAGE(Y9,Y12)</f>
        <v>#DIV/0!</v>
      </c>
      <c r="Z10" s="6">
        <v>0.2723040325810217</v>
      </c>
      <c r="AA10" s="6"/>
      <c r="AB10" s="6" t="e">
        <f>AVERAGE(AB9,AB12)</f>
        <v>#DIV/0!</v>
      </c>
      <c r="AC10" s="6">
        <v>2.3781082141968987E-2</v>
      </c>
      <c r="AD10" s="6"/>
      <c r="AE10" s="6" t="e">
        <f>AVERAGE(AE9,AE12)</f>
        <v>#DIV/0!</v>
      </c>
      <c r="AF10" s="6">
        <v>6.3925120232990199E-2</v>
      </c>
      <c r="AG10" s="6"/>
      <c r="AH10" s="6" t="e">
        <f>AVERAGE(AH9,AH12)</f>
        <v>#DIV/0!</v>
      </c>
      <c r="AI10" s="6">
        <v>2.6928668602969132E-2</v>
      </c>
      <c r="AJ10" s="6"/>
      <c r="AK10" s="6" t="e">
        <f>AVERAGE(AK9,AK12)</f>
        <v>#DIV/0!</v>
      </c>
      <c r="AL10" s="6">
        <v>0.35129195083704884</v>
      </c>
      <c r="AM10" s="6"/>
      <c r="AN10" s="1" t="e">
        <f>AVERAGE(AN9,AN12)</f>
        <v>#DIV/0!</v>
      </c>
      <c r="AO10" s="1"/>
      <c r="AP10">
        <v>-0.94441844238281192</v>
      </c>
      <c r="AQ10" s="6"/>
      <c r="AR10" s="6" t="e">
        <f>AVERAGE(AR9,AR12)</f>
        <v>#DIV/0!</v>
      </c>
      <c r="AS10">
        <v>4.0603995202636725</v>
      </c>
      <c r="AT10" s="6"/>
      <c r="AU10" s="6" t="e">
        <f>AVERAGE(AU9,AU12)</f>
        <v>#DIV/0!</v>
      </c>
      <c r="AV10">
        <v>4.4604048608398443</v>
      </c>
      <c r="AW10" s="6"/>
      <c r="AX10" s="6" t="e">
        <f>AVERAGE(AX9,AX12)</f>
        <v>#DIV/0!</v>
      </c>
      <c r="AY10" s="6">
        <v>9.5063082024431835E-3</v>
      </c>
      <c r="AZ10" s="6"/>
      <c r="BA10" s="6" t="e">
        <f>AVERAGE(BA9,BA12)</f>
        <v>#DIV/0!</v>
      </c>
      <c r="BB10" s="6">
        <v>1.9687274530790624E-2</v>
      </c>
      <c r="BC10" s="6"/>
      <c r="BD10" s="6" t="e">
        <f>AVERAGE(BD9,BD12)</f>
        <v>#DIV/0!</v>
      </c>
      <c r="BE10" s="6">
        <v>4.4783990372078544E-2</v>
      </c>
      <c r="BF10" s="6"/>
      <c r="BG10" s="6" t="e">
        <f>AVERAGE(BG9,BG12)</f>
        <v>#DIV/0!</v>
      </c>
      <c r="BH10" s="6">
        <v>2.2486095801663868E-2</v>
      </c>
      <c r="BI10" s="6"/>
      <c r="BJ10" s="6" t="e">
        <f>AVERAGE(BJ9,BJ12)</f>
        <v>#DIV/0!</v>
      </c>
      <c r="BK10" s="6">
        <v>8.6561129141483159E-2</v>
      </c>
      <c r="BL10" s="6"/>
      <c r="BM10" s="6" t="e">
        <f>AVERAGE(BM9,BM12)</f>
        <v>#DIV/0!</v>
      </c>
      <c r="BN10" s="6">
        <v>3.8607687867916261E-2</v>
      </c>
      <c r="BO10" s="6"/>
      <c r="BP10" s="6" t="e">
        <f>AVERAGE(BP9,BP12)</f>
        <v>#DIV/0!</v>
      </c>
      <c r="BQ10" s="6"/>
      <c r="BR10" s="6"/>
      <c r="BS10" s="6" t="e">
        <f>AVERAGE(BS9,BS12)</f>
        <v>#DIV/0!</v>
      </c>
      <c r="BT10" s="6">
        <v>3.5198243904607004E-2</v>
      </c>
      <c r="BU10" s="6"/>
      <c r="BV10" s="6" t="e">
        <f>AVERAGE(BV9,BV12)</f>
        <v>#DIV/0!</v>
      </c>
      <c r="BW10" s="6">
        <v>0.46106210174933376</v>
      </c>
      <c r="BX10" s="6"/>
      <c r="BY10" s="1" t="e">
        <f>AVERAGE(BY9,BY12)</f>
        <v>#DIV/0!</v>
      </c>
      <c r="CA10" s="1"/>
      <c r="CB10" s="1"/>
      <c r="CC10" s="1"/>
      <c r="CD10" s="1"/>
      <c r="CE10" s="1"/>
      <c r="CF10" s="1"/>
      <c r="CG10" s="1"/>
      <c r="CH10" s="1"/>
      <c r="CI10" s="1"/>
      <c r="CJ10" s="1"/>
      <c r="CK10" s="1"/>
      <c r="CL10" s="1"/>
      <c r="CM10" s="1"/>
      <c r="CN10" s="1"/>
      <c r="CO10" s="1"/>
      <c r="CP10" s="1"/>
      <c r="CQ10" s="1"/>
      <c r="CR10" s="1"/>
    </row>
    <row r="11" spans="1:96" x14ac:dyDescent="0.25">
      <c r="A11" s="1"/>
      <c r="B11" s="1" t="s">
        <v>4</v>
      </c>
      <c r="C11" s="1">
        <v>6</v>
      </c>
      <c r="E11" s="1">
        <v>-0.87251256958007772</v>
      </c>
      <c r="F11" s="6"/>
      <c r="G11" s="6" t="e">
        <f>STDEVA(G9,G12)</f>
        <v>#DIV/0!</v>
      </c>
      <c r="H11" s="1">
        <v>3.7903254125976567</v>
      </c>
      <c r="I11" s="6"/>
      <c r="J11" s="6" t="e">
        <f>STDEVA(J9,J12)</f>
        <v>#DIV/0!</v>
      </c>
      <c r="K11" s="1">
        <v>4.3100836370849613</v>
      </c>
      <c r="L11" s="6"/>
      <c r="M11" s="6" t="e">
        <f>STDEVA(M9,M12)</f>
        <v>#DIV/0!</v>
      </c>
      <c r="N11" s="3"/>
      <c r="O11" s="6"/>
      <c r="P11" s="6" t="e">
        <f>STDEVA(P9,P12)</f>
        <v>#DIV/0!</v>
      </c>
      <c r="Q11" s="3"/>
      <c r="R11" s="6"/>
      <c r="S11" s="6" t="e">
        <f>STDEVA(S9,S12)</f>
        <v>#DIV/0!</v>
      </c>
      <c r="T11" s="3"/>
      <c r="U11" s="6"/>
      <c r="V11" s="6" t="e">
        <f>STDEVA(V9,V12)</f>
        <v>#DIV/0!</v>
      </c>
      <c r="W11" s="3"/>
      <c r="X11" s="6"/>
      <c r="Y11" s="6" t="e">
        <f>STDEVA(Y9,Y12)</f>
        <v>#DIV/0!</v>
      </c>
      <c r="Z11" s="3"/>
      <c r="AA11" s="6"/>
      <c r="AB11" s="6" t="e">
        <f>STDEVA(AB9,AB12)</f>
        <v>#DIV/0!</v>
      </c>
      <c r="AC11" s="3"/>
      <c r="AD11" s="6"/>
      <c r="AE11" s="6" t="e">
        <f>STDEVA(AE9,AE12)</f>
        <v>#DIV/0!</v>
      </c>
      <c r="AF11" s="3"/>
      <c r="AG11" s="6"/>
      <c r="AH11" s="6" t="e">
        <f>STDEVA(AH9,AH12)</f>
        <v>#DIV/0!</v>
      </c>
      <c r="AI11" s="3"/>
      <c r="AJ11" s="6"/>
      <c r="AK11" s="6" t="e">
        <f>STDEVA(AK9,AK12)</f>
        <v>#DIV/0!</v>
      </c>
      <c r="AL11" s="3"/>
      <c r="AM11" s="6"/>
      <c r="AN11" s="1" t="e">
        <f>STDEVA(AN9,AN12)</f>
        <v>#DIV/0!</v>
      </c>
      <c r="AO11" s="1"/>
      <c r="AP11">
        <v>-0.97264148010253848</v>
      </c>
      <c r="AQ11" s="6"/>
      <c r="AR11" s="6" t="e">
        <f>STDEVA(AR9,AR12)</f>
        <v>#DIV/0!</v>
      </c>
      <c r="AS11">
        <v>4.2043738244628912</v>
      </c>
      <c r="AT11" s="6"/>
      <c r="AU11" s="6" t="e">
        <f>STDEVA(AU9,AU12)</f>
        <v>#DIV/0!</v>
      </c>
      <c r="AV11">
        <v>4.4136538385009771</v>
      </c>
      <c r="AW11" s="6"/>
      <c r="AX11" s="6" t="e">
        <f>STDEVA(AX9,AX12)</f>
        <v>#DIV/0!</v>
      </c>
      <c r="AY11" s="3"/>
      <c r="AZ11" s="6"/>
      <c r="BA11" s="6" t="e">
        <f>STDEVA(BA9,BA12)</f>
        <v>#DIV/0!</v>
      </c>
      <c r="BB11" s="3"/>
      <c r="BC11" s="6"/>
      <c r="BD11" s="6" t="e">
        <f>STDEVA(BD9,BD12)</f>
        <v>#DIV/0!</v>
      </c>
      <c r="BE11" s="3"/>
      <c r="BF11" s="6"/>
      <c r="BG11" s="6" t="e">
        <f>STDEVA(BG9,BG12)</f>
        <v>#DIV/0!</v>
      </c>
      <c r="BH11" s="3"/>
      <c r="BI11" s="6"/>
      <c r="BJ11" s="6" t="e">
        <f>STDEVA(BJ9,BJ12)</f>
        <v>#DIV/0!</v>
      </c>
      <c r="BK11" s="3"/>
      <c r="BL11" s="6"/>
      <c r="BM11" s="6" t="e">
        <f>STDEVA(BM9,BM12)</f>
        <v>#DIV/0!</v>
      </c>
      <c r="BN11" s="3"/>
      <c r="BO11" s="6"/>
      <c r="BP11" s="6" t="e">
        <f>STDEVA(BP9,BP12)</f>
        <v>#DIV/0!</v>
      </c>
      <c r="BQ11" s="3"/>
      <c r="BR11" s="6"/>
      <c r="BS11" s="8" t="s">
        <v>132</v>
      </c>
      <c r="BT11" s="3"/>
      <c r="BU11" s="6"/>
      <c r="BV11" s="6" t="e">
        <f>STDEVA(BV9,BV12)</f>
        <v>#DIV/0!</v>
      </c>
      <c r="BW11" s="3"/>
      <c r="BX11" s="6"/>
      <c r="BY11" s="1" t="e">
        <f>STDEVA(BY9,BY12)</f>
        <v>#DIV/0!</v>
      </c>
      <c r="CA11" s="1"/>
      <c r="CB11" s="1"/>
      <c r="CC11" s="1"/>
      <c r="CD11" s="1"/>
      <c r="CE11" s="1"/>
      <c r="CF11" s="1"/>
      <c r="CG11" s="1"/>
      <c r="CH11" s="1"/>
      <c r="CI11" s="1"/>
      <c r="CJ11" s="1"/>
      <c r="CK11" s="1"/>
      <c r="CL11" s="1"/>
      <c r="CM11" s="1"/>
      <c r="CN11" s="1"/>
      <c r="CO11" s="1"/>
      <c r="CP11" s="1"/>
      <c r="CQ11" s="1"/>
      <c r="CR11" s="1"/>
    </row>
    <row r="12" spans="1:96" x14ac:dyDescent="0.25">
      <c r="A12" s="1"/>
      <c r="B12" s="1" t="s">
        <v>4</v>
      </c>
      <c r="C12" s="1">
        <v>6</v>
      </c>
      <c r="E12">
        <v>-2.2831635083007811</v>
      </c>
      <c r="F12" s="6"/>
      <c r="G12" s="6" t="e">
        <f>F12/F6</f>
        <v>#DIV/0!</v>
      </c>
      <c r="H12">
        <v>2.7246184741210939</v>
      </c>
      <c r="I12" s="6"/>
      <c r="J12" s="6" t="e">
        <f>I12/I6</f>
        <v>#DIV/0!</v>
      </c>
      <c r="K12">
        <v>2.5330481921386721</v>
      </c>
      <c r="L12" s="6"/>
      <c r="M12" s="6" t="e">
        <f>L12/L6</f>
        <v>#DIV/0!</v>
      </c>
      <c r="N12" s="6">
        <v>5.4305809086405048E-3</v>
      </c>
      <c r="O12" s="6"/>
      <c r="P12" s="6" t="e">
        <f>O12/O6</f>
        <v>#DIV/0!</v>
      </c>
      <c r="Q12" s="6">
        <v>2.3536491121050524E-3</v>
      </c>
      <c r="R12" s="6"/>
      <c r="S12" s="6" t="e">
        <f>R12/R6</f>
        <v>#DIV/0!</v>
      </c>
      <c r="T12" s="6">
        <v>4.2015527191233519E-3</v>
      </c>
      <c r="U12" s="6"/>
      <c r="V12" s="6" t="e">
        <f>U12/U6</f>
        <v>#DIV/0!</v>
      </c>
      <c r="W12" s="6">
        <v>3.2934254593886596E-2</v>
      </c>
      <c r="X12" s="6"/>
      <c r="Y12" s="6" t="e">
        <f>X12/X6</f>
        <v>#DIV/0!</v>
      </c>
      <c r="Z12" s="6">
        <v>1.4624653571893445E-2</v>
      </c>
      <c r="AA12" s="6"/>
      <c r="AB12" s="6" t="e">
        <f>AA12/AA6</f>
        <v>#DIV/0!</v>
      </c>
      <c r="AC12" s="6">
        <v>4.0453849070647488E-2</v>
      </c>
      <c r="AD12" s="6"/>
      <c r="AE12" s="6" t="e">
        <f>AD12/AD6</f>
        <v>#DIV/0!</v>
      </c>
      <c r="AF12" s="6">
        <v>8.5483362726417475E-2</v>
      </c>
      <c r="AG12" s="6"/>
      <c r="AH12" s="6" t="e">
        <f>AG12/AG6</f>
        <v>#DIV/0!</v>
      </c>
      <c r="AI12" s="6">
        <v>2.0631695866985003E-2</v>
      </c>
      <c r="AJ12" s="6"/>
      <c r="AK12" s="6" t="e">
        <f>AJ12/AJ6</f>
        <v>#DIV/0!</v>
      </c>
      <c r="AL12" s="6">
        <v>0.36848324469893734</v>
      </c>
      <c r="AM12" s="6"/>
      <c r="AN12" s="1" t="e">
        <f>AM12/AM6</f>
        <v>#DIV/0!</v>
      </c>
      <c r="AO12" s="1"/>
      <c r="AP12">
        <v>0.32691531738281299</v>
      </c>
      <c r="AQ12" s="6"/>
      <c r="AR12" s="6" t="e">
        <f>AQ12/AQ6</f>
        <v>#DIV/0!</v>
      </c>
      <c r="AS12">
        <v>3.0216422613525391</v>
      </c>
      <c r="AT12" s="6"/>
      <c r="AU12" s="6" t="e">
        <f>AT12/AT6</f>
        <v>#DIV/0!</v>
      </c>
      <c r="AV12">
        <v>3.9058471258544927</v>
      </c>
      <c r="AW12" s="6"/>
      <c r="AX12" s="6" t="e">
        <f>AW12/AW6</f>
        <v>#DIV/0!</v>
      </c>
      <c r="AY12" s="6">
        <v>0.51554463177337895</v>
      </c>
      <c r="AZ12" s="6"/>
      <c r="BA12" s="6" t="e">
        <f>AZ12/AZ6</f>
        <v>#DIV/0!</v>
      </c>
      <c r="BB12" s="6">
        <v>0.30711542405291964</v>
      </c>
      <c r="BC12" s="6"/>
      <c r="BD12" s="6" t="e">
        <f>BC12/BC6</f>
        <v>#DIV/0!</v>
      </c>
      <c r="BE12" s="3">
        <v>0.44982621894864094</v>
      </c>
      <c r="BF12" s="6"/>
      <c r="BG12" s="6" t="e">
        <f>BF12/BF6</f>
        <v>#DIV/0!</v>
      </c>
      <c r="BH12" s="3">
        <v>1.7558376208031961</v>
      </c>
      <c r="BI12" s="6"/>
      <c r="BJ12" s="6" t="e">
        <f>BI12/BI6</f>
        <v>#DIV/0!</v>
      </c>
      <c r="BK12" s="6">
        <v>0.72587140674341255</v>
      </c>
      <c r="BL12" s="6"/>
      <c r="BM12" s="6" t="e">
        <f>BL12/BL6</f>
        <v>#DIV/0!</v>
      </c>
      <c r="BN12" s="3">
        <v>0.49129135063198653</v>
      </c>
      <c r="BO12" s="6"/>
      <c r="BP12" s="6" t="e">
        <f>BO12/BO6</f>
        <v>#DIV/0!</v>
      </c>
      <c r="BQ12" s="3">
        <v>1.7262768468987266</v>
      </c>
      <c r="BR12" s="6"/>
      <c r="BS12" s="6" t="e">
        <f>BR12/BR6</f>
        <v>#DIV/0!</v>
      </c>
      <c r="BT12" s="3">
        <v>8.3125863991105553E-2</v>
      </c>
      <c r="BU12" s="6"/>
      <c r="BV12" s="6" t="e">
        <f>BU12/BU6</f>
        <v>#DIV/0!</v>
      </c>
      <c r="BW12" s="3">
        <v>1.5320330665356168</v>
      </c>
      <c r="BX12" s="6"/>
      <c r="BY12" s="1" t="e">
        <f>BX12/BX6</f>
        <v>#DIV/0!</v>
      </c>
      <c r="CA12" s="1"/>
      <c r="CB12" s="1"/>
      <c r="CC12" s="1"/>
      <c r="CD12" s="1"/>
      <c r="CE12" s="1"/>
      <c r="CF12" s="1"/>
      <c r="CH12" s="1"/>
      <c r="CI12" s="1"/>
      <c r="CJ12" s="1"/>
      <c r="CK12" s="1"/>
      <c r="CL12" s="1"/>
      <c r="CM12" s="1"/>
      <c r="CN12" s="1"/>
      <c r="CO12" s="1"/>
      <c r="CP12" s="1"/>
      <c r="CQ12" s="1"/>
      <c r="CR12" s="1"/>
    </row>
    <row r="13" spans="1:96" x14ac:dyDescent="0.25">
      <c r="A13" s="1"/>
      <c r="B13" s="1" t="s">
        <v>4</v>
      </c>
      <c r="C13" s="1">
        <v>6</v>
      </c>
      <c r="E13">
        <v>-2.3388352001953123</v>
      </c>
      <c r="F13" s="6"/>
      <c r="G13" s="6"/>
      <c r="H13">
        <v>2.7117114459228517</v>
      </c>
      <c r="I13" s="6"/>
      <c r="J13" s="6"/>
      <c r="K13">
        <v>2.6105800067138674</v>
      </c>
      <c r="L13" s="6"/>
      <c r="M13" s="6"/>
      <c r="N13" s="6">
        <v>4.3991531874215247E-3</v>
      </c>
      <c r="O13" s="6"/>
      <c r="P13" s="6"/>
      <c r="Q13" s="6">
        <v>2.5496944460615257E-3</v>
      </c>
      <c r="R13" s="6"/>
      <c r="S13" s="6"/>
      <c r="T13" s="6">
        <v>3.5569260760901916E-3</v>
      </c>
      <c r="U13" s="6"/>
      <c r="V13" s="6"/>
      <c r="W13" s="6">
        <v>3.061410362112409E-2</v>
      </c>
      <c r="X13" s="6"/>
      <c r="Y13" s="6"/>
      <c r="Z13" s="6">
        <v>1.4790376553613061E-2</v>
      </c>
      <c r="AA13" s="6"/>
      <c r="AB13" s="6"/>
      <c r="AC13" s="6">
        <v>4.0618482804091381E-2</v>
      </c>
      <c r="AD13" s="6"/>
      <c r="AE13" s="6"/>
      <c r="AF13" s="6">
        <v>8.0938938216576259E-2</v>
      </c>
      <c r="AG13" s="6"/>
      <c r="AH13" s="6"/>
      <c r="AI13" s="6">
        <v>2.0217086065148548E-2</v>
      </c>
      <c r="AJ13" s="6"/>
      <c r="AK13" s="6"/>
      <c r="AL13" s="6">
        <v>0.36273521965101524</v>
      </c>
      <c r="AM13" s="6"/>
      <c r="AN13" s="1"/>
      <c r="AO13" s="1"/>
      <c r="AP13">
        <v>0.6916461523437506</v>
      </c>
      <c r="AQ13" s="6"/>
      <c r="AR13" s="6"/>
      <c r="AS13">
        <v>3.0208087500000005</v>
      </c>
      <c r="AT13" s="6"/>
      <c r="AU13" s="6"/>
      <c r="AV13">
        <v>3.975993686523438</v>
      </c>
      <c r="AW13" s="6"/>
      <c r="AX13" s="6"/>
      <c r="AY13" s="6">
        <v>0.54244140695332244</v>
      </c>
      <c r="AZ13" s="6"/>
      <c r="BA13" s="6"/>
      <c r="BB13" s="6">
        <v>0.31485316683908393</v>
      </c>
      <c r="BC13" s="6"/>
      <c r="BD13" s="6"/>
      <c r="BE13" s="3">
        <v>0.46253093761098824</v>
      </c>
      <c r="BF13" s="6"/>
      <c r="BG13" s="6"/>
      <c r="BH13" s="3">
        <v>1.7843593613025428</v>
      </c>
      <c r="BI13" s="6"/>
      <c r="BJ13" s="6"/>
      <c r="BK13" s="3">
        <v>0.75366465879605282</v>
      </c>
      <c r="BL13" s="6"/>
      <c r="BM13" s="6"/>
      <c r="BN13" s="3">
        <v>0.5005626535682054</v>
      </c>
      <c r="BO13" s="6"/>
      <c r="BP13" s="6"/>
      <c r="BQ13" s="3">
        <v>1.5651518299044689</v>
      </c>
      <c r="BR13" s="6"/>
      <c r="BS13" s="6"/>
      <c r="BT13" s="3">
        <v>8.1169540831625087E-2</v>
      </c>
      <c r="BU13" s="6"/>
      <c r="BV13" s="6"/>
      <c r="BW13" s="3">
        <v>1.5139439727405499</v>
      </c>
      <c r="BX13" s="6"/>
      <c r="BY13" s="1"/>
      <c r="CA13" s="1"/>
      <c r="CB13" s="1"/>
      <c r="CC13" s="1"/>
      <c r="CD13" s="1"/>
      <c r="CE13" s="1"/>
      <c r="CF13" s="1"/>
      <c r="CH13" s="1"/>
      <c r="CI13" s="1"/>
      <c r="CJ13" s="1"/>
      <c r="CK13" s="1"/>
      <c r="CL13" s="1"/>
      <c r="CM13" s="1"/>
      <c r="CN13" s="1"/>
      <c r="CO13" s="1"/>
      <c r="CP13" s="1"/>
      <c r="CQ13" s="1"/>
      <c r="CR13" s="1"/>
    </row>
    <row r="14" spans="1:96" x14ac:dyDescent="0.25">
      <c r="A14" s="1"/>
      <c r="B14" s="1" t="s">
        <v>4</v>
      </c>
      <c r="C14" s="1">
        <v>6</v>
      </c>
      <c r="E14">
        <v>-2.3781208599853514</v>
      </c>
      <c r="F14" s="6"/>
      <c r="G14" s="6"/>
      <c r="H14">
        <v>2.7178454791259767</v>
      </c>
      <c r="I14" s="6"/>
      <c r="J14" s="6"/>
      <c r="K14">
        <v>2.5344367419433596</v>
      </c>
      <c r="L14" s="6"/>
      <c r="M14" s="6"/>
      <c r="N14" s="6">
        <v>4.7575319922253979E-3</v>
      </c>
      <c r="O14" s="6"/>
      <c r="P14" s="6"/>
      <c r="Q14" s="6">
        <v>2.0883649490724306E-3</v>
      </c>
      <c r="R14" s="6"/>
      <c r="S14" s="6"/>
      <c r="T14" s="6">
        <v>3.1531322904374179E-3</v>
      </c>
      <c r="U14" s="6"/>
      <c r="V14" s="6"/>
      <c r="W14" s="6">
        <v>3.329759511918122E-2</v>
      </c>
      <c r="X14" s="6"/>
      <c r="Y14" s="6"/>
      <c r="Z14" s="6">
        <v>1.4005930875425626E-2</v>
      </c>
      <c r="AA14" s="6"/>
      <c r="AB14" s="6"/>
      <c r="AC14" s="6">
        <v>3.9615330909280599E-2</v>
      </c>
      <c r="AD14" s="6"/>
      <c r="AE14" s="6"/>
      <c r="AF14" s="6">
        <v>8.1640612303822885E-2</v>
      </c>
      <c r="AG14" s="6"/>
      <c r="AH14" s="6"/>
      <c r="AI14" s="6">
        <v>1.9593649926953602E-2</v>
      </c>
      <c r="AJ14" s="6"/>
      <c r="AK14" s="6"/>
      <c r="AL14" s="6">
        <v>0.35030983455016401</v>
      </c>
      <c r="AM14" s="6"/>
      <c r="AN14" s="1"/>
      <c r="AO14" s="1"/>
      <c r="AP14">
        <v>0.28915744384765663</v>
      </c>
      <c r="AQ14" s="6"/>
      <c r="AR14" s="6"/>
      <c r="AS14">
        <v>2.9161410864257813</v>
      </c>
      <c r="AT14" s="6"/>
      <c r="AU14" s="6"/>
      <c r="AV14">
        <v>3.9494815405273442</v>
      </c>
      <c r="AW14" s="6"/>
      <c r="AX14" s="6"/>
      <c r="AY14" s="6"/>
      <c r="AZ14" s="6"/>
      <c r="BA14" s="6"/>
      <c r="BB14" s="6"/>
      <c r="BC14" s="6"/>
      <c r="BD14" s="6"/>
      <c r="BE14" s="6"/>
      <c r="BF14" s="6"/>
      <c r="BG14" s="6"/>
      <c r="BH14" s="6"/>
      <c r="BI14" s="6"/>
      <c r="BJ14" s="6"/>
      <c r="BK14" s="6"/>
      <c r="BL14" s="6"/>
      <c r="BM14" s="6"/>
      <c r="BN14" s="6"/>
      <c r="BO14" s="6"/>
      <c r="BP14" s="6"/>
      <c r="BQ14" s="3">
        <v>1.6695744296010711</v>
      </c>
      <c r="BR14" s="6"/>
      <c r="BS14" s="6"/>
      <c r="BT14" s="3">
        <v>8.1728729855722243E-2</v>
      </c>
      <c r="BU14" s="6"/>
      <c r="BV14" s="6"/>
      <c r="BW14" s="3">
        <v>1.5358192712986709</v>
      </c>
      <c r="BX14" s="6"/>
      <c r="BY14" s="1"/>
      <c r="CA14" s="1"/>
      <c r="CB14" s="1"/>
      <c r="CC14" s="1"/>
      <c r="CD14" s="1"/>
      <c r="CE14" s="1"/>
      <c r="CF14" s="1"/>
      <c r="CH14" s="1"/>
      <c r="CI14" s="1"/>
      <c r="CJ14" s="1"/>
      <c r="CK14" s="1"/>
      <c r="CL14" s="1"/>
      <c r="CM14" s="1"/>
      <c r="CN14" s="1"/>
      <c r="CO14" s="1"/>
      <c r="CP14" s="1"/>
      <c r="CQ14" s="1"/>
      <c r="CR14" s="1"/>
    </row>
    <row r="15" spans="1:96" x14ac:dyDescent="0.25">
      <c r="A15" s="1"/>
      <c r="B15" s="1" t="s">
        <v>118</v>
      </c>
      <c r="C15" s="1">
        <v>6</v>
      </c>
      <c r="E15" s="1">
        <v>-2.3620339105224595</v>
      </c>
      <c r="F15" s="6">
        <f>AVERAGE(E15:E20)</f>
        <v>-2.9651404331461575</v>
      </c>
      <c r="G15" s="6">
        <f>F15/F3</f>
        <v>1.7702467432068785</v>
      </c>
      <c r="H15" s="1">
        <v>3.6457156469726577</v>
      </c>
      <c r="I15" s="6">
        <f>AVERAGE(H15:H20)</f>
        <v>3.1244585404459646</v>
      </c>
      <c r="J15" s="6">
        <f>I15/I3</f>
        <v>0.9541927236174379</v>
      </c>
      <c r="K15" s="1">
        <v>5.2605265905761733</v>
      </c>
      <c r="L15" s="6">
        <f>AVERAGE(K15:K20)</f>
        <v>4.1595330923461926</v>
      </c>
      <c r="M15" s="6">
        <f>L15/L3</f>
        <v>1.254928279104419</v>
      </c>
      <c r="N15" s="6">
        <v>5.3540421552050001E-2</v>
      </c>
      <c r="O15" s="6">
        <f>AVERAGE(N15:N20)</f>
        <v>2.5408146911882167E-2</v>
      </c>
      <c r="P15" s="6">
        <f>O15/O3</f>
        <v>6.8252748226772741</v>
      </c>
      <c r="Q15" s="6">
        <v>2.3625829430677755E-2</v>
      </c>
      <c r="R15" s="6">
        <f>AVERAGE(Q15:Q20)</f>
        <v>1.4649369837000195E-2</v>
      </c>
      <c r="S15" s="6">
        <f>R15/R3</f>
        <v>3.5271175473051293</v>
      </c>
      <c r="T15" s="6">
        <v>1.5974668229615786E-2</v>
      </c>
      <c r="U15" s="6">
        <f>AVERAGE(T15:T20)</f>
        <v>1.0577587241231975E-2</v>
      </c>
      <c r="V15" s="6">
        <f>U15/U3</f>
        <v>3.987423802589805</v>
      </c>
      <c r="W15" s="6">
        <v>0.22351573983229728</v>
      </c>
      <c r="X15" s="6">
        <f>AVERAGE(W15:W20)</f>
        <v>0.16130918737883776</v>
      </c>
      <c r="Y15" s="6">
        <f>X15/X3</f>
        <v>3.0997976568698968</v>
      </c>
      <c r="Z15" s="6">
        <v>2.1767567178884861</v>
      </c>
      <c r="AA15" s="6">
        <f>AVERAGE(Z15:Z20)</f>
        <v>0.89220252327047067</v>
      </c>
      <c r="AB15" s="6">
        <f>AA15/AA3</f>
        <v>6.7431367872632384</v>
      </c>
      <c r="AC15" s="6">
        <v>8.300373510691976E-2</v>
      </c>
      <c r="AD15" s="6">
        <f>AVERAGE(AC15:AC20)</f>
        <v>7.1539679006158957E-2</v>
      </c>
      <c r="AE15" s="6">
        <f>AD15/AD3</f>
        <v>2.5753385223308389</v>
      </c>
      <c r="AF15" s="6">
        <v>0.2312997630835657</v>
      </c>
      <c r="AG15" s="6">
        <f>AVERAGE(AF15:AF20)</f>
        <v>0.17681254474440489</v>
      </c>
      <c r="AH15" s="6">
        <f>AG15/AG3</f>
        <v>2.2305157565949303</v>
      </c>
      <c r="AI15" s="6">
        <v>4.5113241082432316E-2</v>
      </c>
      <c r="AJ15" s="6">
        <f>AVERAGE(AI15:AI20)</f>
        <v>3.1298129004463118E-2</v>
      </c>
      <c r="AK15" s="6">
        <f>AJ15/AJ3</f>
        <v>1.4408850263858581</v>
      </c>
      <c r="AL15" s="6">
        <v>1.175157923275431</v>
      </c>
      <c r="AM15" s="6">
        <f>AVERAGE(AL15:AL20)</f>
        <v>0.65055067397002175</v>
      </c>
      <c r="AN15" s="1">
        <f>AM15/AM3</f>
        <v>1.9924024617093032</v>
      </c>
      <c r="AO15" s="1"/>
      <c r="AP15">
        <v>-1.2785783496093759</v>
      </c>
      <c r="AQ15" s="6">
        <f>AVERAGE(AP15:AP20)</f>
        <v>-1.6976877854410819</v>
      </c>
      <c r="AR15" s="6">
        <f>AQ15/AQ3</f>
        <v>1.0816923192973429</v>
      </c>
      <c r="AS15">
        <v>3.39000456665039</v>
      </c>
      <c r="AT15" s="6">
        <f>AVERAGE(AS15:AS20)</f>
        <v>3.0440320962524403</v>
      </c>
      <c r="AU15" s="6">
        <f>AT15/AT3</f>
        <v>0.84687468942452715</v>
      </c>
      <c r="AV15">
        <v>6.3911756787109368</v>
      </c>
      <c r="AW15" s="6">
        <f>AVERAGE(AV15:AV20)</f>
        <v>5.6123050047810858</v>
      </c>
      <c r="AX15" s="6">
        <f>AW15/AW3</f>
        <v>1.3069626457014603</v>
      </c>
      <c r="AY15" s="6">
        <v>2.030005127960163E-2</v>
      </c>
      <c r="AZ15" s="6">
        <f>AVERAGE(AY15:AY20)</f>
        <v>7.7219499795063928E-2</v>
      </c>
      <c r="BA15" s="6">
        <f>AZ15/AZ3</f>
        <v>2.2504212566891084</v>
      </c>
      <c r="BB15" s="6">
        <v>2.5595449867766622E-2</v>
      </c>
      <c r="BC15" s="6">
        <f>AVERAGE(BB15:BB20)</f>
        <v>4.4230481100942839E-2</v>
      </c>
      <c r="BD15" s="6">
        <f>BC15/BC3</f>
        <v>1.9176016066981119</v>
      </c>
      <c r="BE15" s="6">
        <v>2.9978758676256319E-2</v>
      </c>
      <c r="BF15" s="6">
        <f>AVERAGE(BE15:BE20)</f>
        <v>6.4872628633020915E-2</v>
      </c>
      <c r="BG15" s="6">
        <f>BF15/BF3</f>
        <v>1.5795255100054486</v>
      </c>
      <c r="BH15" s="6">
        <v>2.9079471645981972E-2</v>
      </c>
      <c r="BI15" s="6">
        <f>AVERAGE(BH15:BH20)</f>
        <v>5.1298902216405082E-2</v>
      </c>
      <c r="BJ15" s="6">
        <f>BI15/BI3</f>
        <v>1.576029848993342</v>
      </c>
      <c r="BK15" s="6">
        <v>0.10048986557382537</v>
      </c>
      <c r="BL15" s="6">
        <f>AVERAGE(BK15:BK20)</f>
        <v>8.7345131524250386E-2</v>
      </c>
      <c r="BM15" s="6">
        <f>BL15/BL3</f>
        <v>2.5320411490397987</v>
      </c>
      <c r="BN15" s="6">
        <v>4.0266902162834781E-2</v>
      </c>
      <c r="BO15" s="6">
        <f>AVERAGE(BN15:BN20)</f>
        <v>0.11833047207003226</v>
      </c>
      <c r="BP15" s="6">
        <f>BO15/BO3</f>
        <v>1.2196927666848116</v>
      </c>
      <c r="BQ15" s="6">
        <v>0.10612970181570287</v>
      </c>
      <c r="BR15" s="6">
        <f>AVERAGE(BQ15:BQ20)</f>
        <v>0.58783082413746646</v>
      </c>
      <c r="BS15" s="6">
        <f>BR15/BR3</f>
        <v>3.448386608599896</v>
      </c>
      <c r="BT15" s="6">
        <v>8.0062836265173465E-2</v>
      </c>
      <c r="BU15" s="6">
        <f>AVERAGE(BT15:BT20)</f>
        <v>4.116874442408839E-2</v>
      </c>
      <c r="BV15" s="6">
        <f>BU15/BU3</f>
        <v>1.1367932062174047</v>
      </c>
      <c r="BW15" s="6">
        <v>0.18535919830072681</v>
      </c>
      <c r="BX15" s="6">
        <f>AVERAGE(BW15:BW20)</f>
        <v>0.40895209394983284</v>
      </c>
      <c r="BY15" s="1">
        <f>BX15/BX3</f>
        <v>1.5547821748245623</v>
      </c>
      <c r="CA15" s="1"/>
      <c r="CB15" s="1"/>
      <c r="CC15" s="1"/>
      <c r="CD15" s="1"/>
      <c r="CE15" s="1"/>
      <c r="CF15" s="1"/>
      <c r="CG15" s="1"/>
      <c r="CH15" s="1"/>
      <c r="CI15" s="1"/>
      <c r="CJ15" s="1"/>
      <c r="CK15" s="1"/>
      <c r="CL15" s="1"/>
      <c r="CM15" s="1"/>
      <c r="CN15" s="1"/>
      <c r="CO15" s="1"/>
      <c r="CP15" s="1"/>
      <c r="CQ15" s="1"/>
      <c r="CR15" s="1"/>
    </row>
    <row r="16" spans="1:96" x14ac:dyDescent="0.25">
      <c r="A16" s="1"/>
      <c r="B16" s="1" t="s">
        <v>118</v>
      </c>
      <c r="C16" s="1">
        <v>6</v>
      </c>
      <c r="E16" s="1">
        <v>-2.4524765679931626</v>
      </c>
      <c r="F16" s="6"/>
      <c r="G16" s="6" t="e">
        <f>AVERAGE(G15,G18)</f>
        <v>#DIV/0!</v>
      </c>
      <c r="H16" s="1">
        <v>3.5909079840087905</v>
      </c>
      <c r="I16" s="6"/>
      <c r="J16" s="6" t="e">
        <f>AVERAGE(J15,J18)</f>
        <v>#DIV/0!</v>
      </c>
      <c r="K16" s="1">
        <v>5.0956820776367202</v>
      </c>
      <c r="L16" s="6"/>
      <c r="M16" s="6" t="e">
        <f>AVERAGE(M15,M18)</f>
        <v>#DIV/0!</v>
      </c>
      <c r="N16" s="6">
        <v>5.2690605729053229E-2</v>
      </c>
      <c r="O16" s="6"/>
      <c r="P16" s="6" t="e">
        <f>AVERAGE(P15,P18)</f>
        <v>#DIV/0!</v>
      </c>
      <c r="Q16" s="6">
        <v>2.6793792349264486E-2</v>
      </c>
      <c r="R16" s="6"/>
      <c r="S16" s="6" t="e">
        <f>AVERAGE(S15,S18)</f>
        <v>#DIV/0!</v>
      </c>
      <c r="T16" s="6">
        <v>1.624141599016202E-2</v>
      </c>
      <c r="U16" s="6"/>
      <c r="V16" s="6" t="e">
        <f>AVERAGE(V15,V18)</f>
        <v>#DIV/0!</v>
      </c>
      <c r="W16" s="6">
        <v>0.23921744388946681</v>
      </c>
      <c r="X16" s="6"/>
      <c r="Y16" s="6" t="e">
        <f>AVERAGE(Y15,Y18)</f>
        <v>#DIV/0!</v>
      </c>
      <c r="Z16" s="6">
        <v>2.1249153876813276</v>
      </c>
      <c r="AA16" s="6"/>
      <c r="AB16" s="6" t="e">
        <f>AVERAGE(AB15,AB18)</f>
        <v>#DIV/0!</v>
      </c>
      <c r="AC16" s="6">
        <v>8.2478883272878695E-2</v>
      </c>
      <c r="AD16" s="6"/>
      <c r="AE16" s="6" t="e">
        <f>AVERAGE(AE15,AE18)</f>
        <v>#DIV/0!</v>
      </c>
      <c r="AF16" s="6">
        <v>0.23710288605917534</v>
      </c>
      <c r="AG16" s="6"/>
      <c r="AH16" s="6" t="e">
        <f>AVERAGE(AH15,AH18)</f>
        <v>#DIV/0!</v>
      </c>
      <c r="AI16" s="6">
        <v>4.3235441466022727E-2</v>
      </c>
      <c r="AJ16" s="6"/>
      <c r="AK16" s="6" t="e">
        <f>AVERAGE(AK15,AK18)</f>
        <v>#DIV/0!</v>
      </c>
      <c r="AL16" s="6">
        <v>1.2592087113812667</v>
      </c>
      <c r="AM16" s="6"/>
      <c r="AN16" s="1" t="e">
        <f>AVERAGE(AN15,AN18)</f>
        <v>#DIV/0!</v>
      </c>
      <c r="AO16" s="1"/>
      <c r="AP16">
        <v>-1.3719506945800788</v>
      </c>
      <c r="AQ16" s="6"/>
      <c r="AR16" s="6" t="e">
        <f>AVERAGE(AR15,AR18)</f>
        <v>#DIV/0!</v>
      </c>
      <c r="AS16">
        <v>3.351949146728515</v>
      </c>
      <c r="AT16" s="6"/>
      <c r="AU16" s="6" t="e">
        <f>AVERAGE(AU15,AU18)</f>
        <v>#DIV/0!</v>
      </c>
      <c r="AV16">
        <v>6.5195364270019516</v>
      </c>
      <c r="AW16" s="6"/>
      <c r="AX16" s="6" t="e">
        <f>AVERAGE(AX15,AX18)</f>
        <v>#DIV/0!</v>
      </c>
      <c r="AY16" s="6">
        <v>2.1950755853980444E-2</v>
      </c>
      <c r="AZ16" s="6"/>
      <c r="BA16" s="6" t="e">
        <f>AVERAGE(BA15,BA18)</f>
        <v>#DIV/0!</v>
      </c>
      <c r="BB16" s="6">
        <v>2.5627075072914424E-2</v>
      </c>
      <c r="BC16" s="6"/>
      <c r="BD16" s="6" t="e">
        <f>AVERAGE(BD15,BD18)</f>
        <v>#DIV/0!</v>
      </c>
      <c r="BE16" s="6">
        <v>3.2545144287786036E-2</v>
      </c>
      <c r="BF16" s="6"/>
      <c r="BG16" s="6" t="e">
        <f>AVERAGE(BG15,BG18)</f>
        <v>#DIV/0!</v>
      </c>
      <c r="BH16" s="6">
        <v>3.1834171917281585E-2</v>
      </c>
      <c r="BI16" s="6"/>
      <c r="BJ16" s="6" t="e">
        <f>AVERAGE(BJ15,BJ18)</f>
        <v>#DIV/0!</v>
      </c>
      <c r="BK16" s="6">
        <v>0.10669277197423398</v>
      </c>
      <c r="BL16" s="6"/>
      <c r="BM16" s="6" t="e">
        <f>AVERAGE(BM15,BM18)</f>
        <v>#DIV/0!</v>
      </c>
      <c r="BN16" s="6">
        <v>4.1118668188872866E-2</v>
      </c>
      <c r="BO16" s="6"/>
      <c r="BP16" s="6" t="e">
        <f>AVERAGE(BP15,BP18)</f>
        <v>#DIV/0!</v>
      </c>
      <c r="BQ16" s="6">
        <v>0.10396642515165451</v>
      </c>
      <c r="BR16" s="6"/>
      <c r="BS16" s="6" t="e">
        <f>AVERAGE(BS15,BS18)</f>
        <v>#DIV/0!</v>
      </c>
      <c r="BT16" s="6">
        <v>7.7356196695019794E-2</v>
      </c>
      <c r="BU16" s="6"/>
      <c r="BV16" s="6" t="e">
        <f>AVERAGE(BV15,BV18)</f>
        <v>#DIV/0!</v>
      </c>
      <c r="BW16" s="6">
        <v>0.26722034559355268</v>
      </c>
      <c r="BX16" s="6"/>
      <c r="BY16" s="1" t="e">
        <f>AVERAGE(BY15,BY18)</f>
        <v>#DIV/0!</v>
      </c>
      <c r="CA16" s="1"/>
      <c r="CB16" s="1"/>
      <c r="CC16" s="1"/>
      <c r="CD16" s="1"/>
      <c r="CE16" s="1"/>
      <c r="CF16" s="1"/>
      <c r="CG16" s="1"/>
      <c r="CH16" s="1"/>
      <c r="CI16" s="1"/>
      <c r="CJ16" s="1"/>
      <c r="CK16" s="1"/>
      <c r="CL16" s="1"/>
      <c r="CM16" s="1"/>
      <c r="CN16" s="1"/>
      <c r="CO16" s="1"/>
      <c r="CP16" s="1"/>
      <c r="CQ16" s="1"/>
      <c r="CR16" s="1"/>
    </row>
    <row r="17" spans="1:96" x14ac:dyDescent="0.25">
      <c r="A17" s="1"/>
      <c r="B17" s="1" t="s">
        <v>118</v>
      </c>
      <c r="C17" s="1">
        <v>6</v>
      </c>
      <c r="E17" s="1">
        <v>-2.4251766870117173</v>
      </c>
      <c r="F17" s="6"/>
      <c r="G17" s="6" t="e">
        <f>STDEVA(G15,G18)</f>
        <v>#DIV/0!</v>
      </c>
      <c r="H17" s="1">
        <v>3.5743445684814468</v>
      </c>
      <c r="I17" s="6"/>
      <c r="J17" s="6" t="e">
        <f>STDEVA(J15,J18)</f>
        <v>#DIV/0!</v>
      </c>
      <c r="K17" s="1">
        <v>5.1573428442382827</v>
      </c>
      <c r="L17" s="6"/>
      <c r="M17" s="6" t="e">
        <f>STDEVA(M15,M18)</f>
        <v>#DIV/0!</v>
      </c>
      <c r="N17" s="3"/>
      <c r="O17" s="6"/>
      <c r="P17" s="6" t="e">
        <f>STDEVA(P15,P18)</f>
        <v>#DIV/0!</v>
      </c>
      <c r="Q17" s="3"/>
      <c r="R17" s="6"/>
      <c r="S17" s="6" t="e">
        <f>STDEVA(S15,S18)</f>
        <v>#DIV/0!</v>
      </c>
      <c r="T17" s="3"/>
      <c r="U17" s="6"/>
      <c r="V17" s="6" t="e">
        <f>STDEVA(V15,V18)</f>
        <v>#DIV/0!</v>
      </c>
      <c r="W17" s="3"/>
      <c r="X17" s="6"/>
      <c r="Y17" s="6" t="e">
        <f>STDEVA(Y15,Y18)</f>
        <v>#DIV/0!</v>
      </c>
      <c r="Z17" s="3"/>
      <c r="AA17" s="6"/>
      <c r="AB17" s="6" t="e">
        <f>STDEVA(AB15,AB18)</f>
        <v>#DIV/0!</v>
      </c>
      <c r="AC17" s="3"/>
      <c r="AD17" s="6"/>
      <c r="AE17" s="6" t="e">
        <f>STDEVA(AE15,AE18)</f>
        <v>#DIV/0!</v>
      </c>
      <c r="AF17" s="3"/>
      <c r="AG17" s="6"/>
      <c r="AH17" s="6" t="e">
        <f>STDEVA(AH15,AH18)</f>
        <v>#DIV/0!</v>
      </c>
      <c r="AI17" s="3"/>
      <c r="AJ17" s="6"/>
      <c r="AK17" s="6" t="e">
        <f>STDEVA(AK15,AK18)</f>
        <v>#DIV/0!</v>
      </c>
      <c r="AL17" s="3"/>
      <c r="AM17" s="6"/>
      <c r="AN17" s="1" t="e">
        <f>STDEVA(AN15,AN18)</f>
        <v>#DIV/0!</v>
      </c>
      <c r="AO17" s="1"/>
      <c r="AP17">
        <v>-1.3758493151855475</v>
      </c>
      <c r="AQ17" s="6"/>
      <c r="AR17" s="6" t="e">
        <f>STDEVA(AR15,AR18)</f>
        <v>#DIV/0!</v>
      </c>
      <c r="AS17">
        <v>3.3102659497070306</v>
      </c>
      <c r="AT17" s="6"/>
      <c r="AU17" s="6" t="e">
        <f>STDEVA(AU15,AU18)</f>
        <v>#DIV/0!</v>
      </c>
      <c r="AV17">
        <v>6.3813223156738275</v>
      </c>
      <c r="AW17" s="6"/>
      <c r="AX17" s="6" t="e">
        <f>STDEVA(AX15,AX18)</f>
        <v>#DIV/0!</v>
      </c>
      <c r="AY17" s="3"/>
      <c r="AZ17" s="6"/>
      <c r="BA17" s="6" t="e">
        <f>STDEVA(BA15,BA18)</f>
        <v>#DIV/0!</v>
      </c>
      <c r="BB17" s="3"/>
      <c r="BC17" s="6"/>
      <c r="BD17" s="6" t="e">
        <f>STDEVA(BD15,BD18)</f>
        <v>#DIV/0!</v>
      </c>
      <c r="BE17" s="3"/>
      <c r="BF17" s="6"/>
      <c r="BG17" s="6" t="e">
        <f>STDEVA(BG15,BG18)</f>
        <v>#DIV/0!</v>
      </c>
      <c r="BH17" s="3"/>
      <c r="BI17" s="6"/>
      <c r="BJ17" s="6" t="e">
        <f>STDEVA(BJ15,BJ18)</f>
        <v>#DIV/0!</v>
      </c>
      <c r="BK17" s="3"/>
      <c r="BL17" s="6"/>
      <c r="BM17" s="6" t="e">
        <f>STDEVA(BM15,BM18)</f>
        <v>#DIV/0!</v>
      </c>
      <c r="BN17" s="3"/>
      <c r="BO17" s="6"/>
      <c r="BP17" s="6" t="e">
        <f>STDEVA(BP15,BP18)</f>
        <v>#DIV/0!</v>
      </c>
      <c r="BQ17" s="3"/>
      <c r="BR17" s="6"/>
      <c r="BS17" s="6" t="e">
        <f>STDEVA(BS15,BS18)</f>
        <v>#DIV/0!</v>
      </c>
      <c r="BT17" s="3"/>
      <c r="BU17" s="6"/>
      <c r="BV17" s="6" t="e">
        <f>STDEVA(BV15,BV18)</f>
        <v>#DIV/0!</v>
      </c>
      <c r="BW17" s="3"/>
      <c r="BX17" s="6"/>
      <c r="BY17" s="1" t="e">
        <f>STDEVA(BY15,BY18)</f>
        <v>#DIV/0!</v>
      </c>
      <c r="CA17" s="1"/>
      <c r="CB17" s="1"/>
      <c r="CC17" s="1"/>
      <c r="CD17" s="1"/>
      <c r="CE17" s="1"/>
      <c r="CF17" s="1"/>
      <c r="CG17" s="1"/>
      <c r="CH17" s="1"/>
      <c r="CI17" s="1"/>
      <c r="CJ17" s="1"/>
      <c r="CK17" s="1"/>
      <c r="CL17" s="1"/>
      <c r="CM17" s="1"/>
      <c r="CN17" s="1"/>
      <c r="CO17" s="1"/>
      <c r="CP17" s="1"/>
      <c r="CQ17" s="1"/>
      <c r="CR17" s="1"/>
    </row>
    <row r="18" spans="1:96" x14ac:dyDescent="0.25">
      <c r="A18" s="1"/>
      <c r="B18" s="1" t="s">
        <v>118</v>
      </c>
      <c r="C18" s="1">
        <v>6</v>
      </c>
      <c r="E18">
        <v>-3.4510352960205068</v>
      </c>
      <c r="F18" s="6"/>
      <c r="G18" s="6" t="e">
        <f>F18/F6</f>
        <v>#DIV/0!</v>
      </c>
      <c r="H18">
        <v>2.6623317846679697</v>
      </c>
      <c r="I18" s="6"/>
      <c r="J18" s="6" t="e">
        <f>I18/I6</f>
        <v>#DIV/0!</v>
      </c>
      <c r="K18">
        <v>3.2365467199707041</v>
      </c>
      <c r="L18" s="6"/>
      <c r="M18" s="6" t="e">
        <f>L18/L6</f>
        <v>#DIV/0!</v>
      </c>
      <c r="N18" s="6">
        <v>6.8402947147399298E-3</v>
      </c>
      <c r="O18" s="6"/>
      <c r="P18" s="6" t="e">
        <f>O18/O6</f>
        <v>#DIV/0!</v>
      </c>
      <c r="Q18" s="6">
        <v>7.2165531188922976E-3</v>
      </c>
      <c r="R18" s="6"/>
      <c r="S18" s="6" t="e">
        <f>R18/R6</f>
        <v>#DIV/0!</v>
      </c>
      <c r="T18" s="6">
        <v>6.8361360286798229E-3</v>
      </c>
      <c r="U18" s="6"/>
      <c r="V18" s="6" t="e">
        <f>U18/U6</f>
        <v>#DIV/0!</v>
      </c>
      <c r="W18" s="6">
        <v>0.1160862874027343</v>
      </c>
      <c r="X18" s="6"/>
      <c r="Y18" s="6" t="e">
        <f>X18/X6</f>
        <v>#DIV/0!</v>
      </c>
      <c r="Z18" s="6">
        <v>5.5224638763097432E-2</v>
      </c>
      <c r="AA18" s="6"/>
      <c r="AB18" s="6" t="e">
        <f>AA18/AA6</f>
        <v>#DIV/0!</v>
      </c>
      <c r="AC18" s="6">
        <v>6.2734318205285189E-2</v>
      </c>
      <c r="AD18" s="6"/>
      <c r="AE18" s="6" t="e">
        <f>AD18/AD6</f>
        <v>#DIV/0!</v>
      </c>
      <c r="AF18" s="6">
        <v>0.15323446053192158</v>
      </c>
      <c r="AG18" s="6"/>
      <c r="AH18" s="6" t="e">
        <f>AG18/AG6</f>
        <v>#DIV/0!</v>
      </c>
      <c r="AI18" s="6">
        <v>2.3284023792955584E-2</v>
      </c>
      <c r="AJ18" s="6"/>
      <c r="AK18" s="6" t="e">
        <f>AJ18/AJ6</f>
        <v>#DIV/0!</v>
      </c>
      <c r="AL18" s="6">
        <v>0.27596625122517959</v>
      </c>
      <c r="AM18" s="6"/>
      <c r="AN18" s="1" t="e">
        <f>AM18/AM6</f>
        <v>#DIV/0!</v>
      </c>
      <c r="AO18" s="1"/>
      <c r="AP18">
        <v>-2.0083460137939468</v>
      </c>
      <c r="AQ18" s="6"/>
      <c r="AR18" s="6" t="e">
        <f>AQ18/AQ6</f>
        <v>#DIV/0!</v>
      </c>
      <c r="AS18">
        <v>2.8082223608398422</v>
      </c>
      <c r="AT18" s="6"/>
      <c r="AU18" s="6" t="e">
        <f>AT18/AT6</f>
        <v>#DIV/0!</v>
      </c>
      <c r="AV18">
        <v>4.8220639898681625</v>
      </c>
      <c r="AW18" s="6"/>
      <c r="AX18" s="6" t="e">
        <f>AW18/AW6</f>
        <v>#DIV/0!</v>
      </c>
      <c r="AY18" s="6">
        <v>0.12982366727769962</v>
      </c>
      <c r="AZ18" s="6"/>
      <c r="BA18" s="6" t="e">
        <f>AZ18/AZ6</f>
        <v>#DIV/0!</v>
      </c>
      <c r="BB18" s="6">
        <v>5.9538108515101933E-2</v>
      </c>
      <c r="BC18" s="6"/>
      <c r="BD18" s="6" t="e">
        <f>BC18/BC6</f>
        <v>#DIV/0!</v>
      </c>
      <c r="BE18" s="3">
        <v>9.9809855271846729E-2</v>
      </c>
      <c r="BF18" s="6"/>
      <c r="BG18" s="6" t="e">
        <f>BF18/BF6</f>
        <v>#DIV/0!</v>
      </c>
      <c r="BH18" s="3">
        <v>7.1511519211234234E-2</v>
      </c>
      <c r="BI18" s="6"/>
      <c r="BJ18" s="6" t="e">
        <f>BI18/BI6</f>
        <v>#DIV/0!</v>
      </c>
      <c r="BK18" s="3">
        <v>7.0994512551779465E-2</v>
      </c>
      <c r="BL18" s="6"/>
      <c r="BM18" s="6" t="e">
        <f>BL18/BL6</f>
        <v>#DIV/0!</v>
      </c>
      <c r="BN18" s="3">
        <v>0.19336088866626472</v>
      </c>
      <c r="BO18" s="6"/>
      <c r="BP18" s="6" t="e">
        <f>BO18/BO6</f>
        <v>#DIV/0!</v>
      </c>
      <c r="BQ18" s="3">
        <v>0.87806506775794568</v>
      </c>
      <c r="BR18" s="6"/>
      <c r="BS18" s="6" t="e">
        <f>BR18/BR6</f>
        <v>#DIV/0!</v>
      </c>
      <c r="BT18" s="3">
        <v>1.5779792433521754E-2</v>
      </c>
      <c r="BU18" s="6"/>
      <c r="BV18" s="6" t="e">
        <f>BU18/BU6</f>
        <v>#DIV/0!</v>
      </c>
      <c r="BW18" s="3">
        <v>0.52592336865271594</v>
      </c>
      <c r="BX18" s="6"/>
      <c r="BY18" s="1" t="e">
        <f>BX18/BX6</f>
        <v>#DIV/0!</v>
      </c>
      <c r="CA18" s="1"/>
      <c r="CB18" s="1"/>
      <c r="CC18" s="1"/>
      <c r="CD18" s="1"/>
      <c r="CE18" s="1"/>
      <c r="CF18" s="1"/>
      <c r="CH18" s="1"/>
      <c r="CI18" s="1"/>
      <c r="CJ18" s="1"/>
      <c r="CK18" s="1"/>
      <c r="CL18" s="1"/>
      <c r="CM18" s="1"/>
      <c r="CN18" s="1"/>
      <c r="CO18" s="1"/>
      <c r="CP18" s="1"/>
      <c r="CQ18" s="1"/>
      <c r="CR18" s="1"/>
    </row>
    <row r="19" spans="1:96" x14ac:dyDescent="0.25">
      <c r="A19" s="1"/>
      <c r="B19" s="1" t="s">
        <v>118</v>
      </c>
      <c r="C19" s="1">
        <v>6</v>
      </c>
      <c r="E19">
        <v>-3.5673778405761709</v>
      </c>
      <c r="F19" s="6"/>
      <c r="G19" s="6"/>
      <c r="H19">
        <v>2.654658521118165</v>
      </c>
      <c r="I19" s="6"/>
      <c r="J19" s="6"/>
      <c r="K19">
        <v>3.1159908422851572</v>
      </c>
      <c r="L19" s="6"/>
      <c r="M19" s="6"/>
      <c r="N19" s="6">
        <v>7.2746026711503252E-3</v>
      </c>
      <c r="O19" s="6"/>
      <c r="P19" s="6"/>
      <c r="Q19" s="6">
        <v>8.0947258563209799E-3</v>
      </c>
      <c r="R19" s="6"/>
      <c r="S19" s="6"/>
      <c r="T19" s="6">
        <v>6.6040439175534815E-3</v>
      </c>
      <c r="U19" s="6"/>
      <c r="V19" s="6"/>
      <c r="W19" s="6">
        <v>0.11424145204593521</v>
      </c>
      <c r="X19" s="6"/>
      <c r="Y19" s="6"/>
      <c r="Z19" s="6">
        <v>5.3382244792677828E-2</v>
      </c>
      <c r="AA19" s="6"/>
      <c r="AB19" s="6"/>
      <c r="AC19" s="6">
        <v>6.4368493754649134E-2</v>
      </c>
      <c r="AD19" s="6"/>
      <c r="AE19" s="6"/>
      <c r="AF19" s="6">
        <v>0.13240921681807821</v>
      </c>
      <c r="AG19" s="6"/>
      <c r="AH19" s="6"/>
      <c r="AI19" s="6">
        <v>2.2678916782587977E-2</v>
      </c>
      <c r="AJ19" s="6"/>
      <c r="AK19" s="6"/>
      <c r="AL19" s="6">
        <v>0.27737192853670717</v>
      </c>
      <c r="AM19" s="6"/>
      <c r="AN19" s="1"/>
      <c r="AO19" s="1"/>
      <c r="AP19">
        <v>-2.1017107293701187</v>
      </c>
      <c r="AQ19" s="6"/>
      <c r="AR19" s="6"/>
      <c r="AS19">
        <v>2.6655202581787094</v>
      </c>
      <c r="AT19" s="6"/>
      <c r="AU19" s="6"/>
      <c r="AV19">
        <v>4.7992349340820297</v>
      </c>
      <c r="AW19" s="6"/>
      <c r="AX19" s="6"/>
      <c r="AY19" s="6">
        <v>0.13680352476897398</v>
      </c>
      <c r="AZ19" s="6"/>
      <c r="BA19" s="6"/>
      <c r="BB19" s="6">
        <v>6.6161290947988394E-2</v>
      </c>
      <c r="BC19" s="6"/>
      <c r="BD19" s="6"/>
      <c r="BE19" s="3">
        <v>9.715675629619458E-2</v>
      </c>
      <c r="BF19" s="6"/>
      <c r="BG19" s="6"/>
      <c r="BH19" s="3">
        <v>7.2770446091122543E-2</v>
      </c>
      <c r="BI19" s="6"/>
      <c r="BJ19" s="6"/>
      <c r="BK19" s="3">
        <v>7.1203375997162727E-2</v>
      </c>
      <c r="BL19" s="6"/>
      <c r="BM19" s="6"/>
      <c r="BN19" s="3">
        <v>0.19857542926215671</v>
      </c>
      <c r="BO19" s="6"/>
      <c r="BP19" s="6"/>
      <c r="BQ19" s="3">
        <v>0.93918664770684612</v>
      </c>
      <c r="BR19" s="6"/>
      <c r="BS19" s="6"/>
      <c r="BT19" s="3">
        <v>1.5618358905493901E-2</v>
      </c>
      <c r="BU19" s="6"/>
      <c r="BV19" s="6"/>
      <c r="BW19" s="3">
        <v>0.52818379568667539</v>
      </c>
      <c r="BX19" s="6"/>
      <c r="BY19" s="1"/>
      <c r="CA19" s="1"/>
      <c r="CB19" s="1"/>
      <c r="CC19" s="1"/>
      <c r="CD19" s="1"/>
      <c r="CE19" s="1"/>
      <c r="CF19" s="1"/>
      <c r="CH19" s="1"/>
      <c r="CI19" s="1"/>
      <c r="CJ19" s="1"/>
      <c r="CK19" s="1"/>
      <c r="CL19" s="1"/>
      <c r="CM19" s="1"/>
      <c r="CN19" s="1"/>
      <c r="CO19" s="1"/>
      <c r="CP19" s="1"/>
      <c r="CQ19" s="1"/>
      <c r="CR19" s="1"/>
    </row>
    <row r="20" spans="1:96" x14ac:dyDescent="0.25">
      <c r="A20" s="1"/>
      <c r="B20" s="1" t="s">
        <v>118</v>
      </c>
      <c r="C20" s="1">
        <v>6</v>
      </c>
      <c r="E20">
        <v>-3.5327422967529287</v>
      </c>
      <c r="F20" s="6"/>
      <c r="G20" s="6"/>
      <c r="H20">
        <v>2.6187927374267588</v>
      </c>
      <c r="I20" s="6"/>
      <c r="J20" s="6"/>
      <c r="K20">
        <v>3.0911094793701182</v>
      </c>
      <c r="L20" s="6"/>
      <c r="M20" s="6"/>
      <c r="N20" s="6">
        <v>6.6948098924173444E-3</v>
      </c>
      <c r="O20" s="6"/>
      <c r="P20" s="6"/>
      <c r="Q20" s="6">
        <v>7.5159484298454636E-3</v>
      </c>
      <c r="R20" s="6"/>
      <c r="S20" s="6"/>
      <c r="T20" s="6">
        <v>7.2316720401487695E-3</v>
      </c>
      <c r="U20" s="6"/>
      <c r="V20" s="6"/>
      <c r="W20" s="6">
        <v>0.11348501372375522</v>
      </c>
      <c r="X20" s="6"/>
      <c r="Y20" s="6"/>
      <c r="Z20" s="6">
        <v>5.0733627226763563E-2</v>
      </c>
      <c r="AA20" s="6"/>
      <c r="AB20" s="6"/>
      <c r="AC20" s="6">
        <v>6.5112964691062009E-2</v>
      </c>
      <c r="AD20" s="6"/>
      <c r="AE20" s="6"/>
      <c r="AF20" s="6">
        <v>0.13001639722928363</v>
      </c>
      <c r="AG20" s="6"/>
      <c r="AH20" s="6"/>
      <c r="AI20" s="6">
        <v>2.2179021898316983E-2</v>
      </c>
      <c r="AJ20" s="6"/>
      <c r="AK20" s="6"/>
      <c r="AL20" s="6">
        <v>0.265048555431524</v>
      </c>
      <c r="AM20" s="6"/>
      <c r="AN20" s="1"/>
      <c r="AO20" s="1"/>
      <c r="AP20">
        <v>-2.0496916101074234</v>
      </c>
      <c r="AQ20" s="6"/>
      <c r="AR20" s="6"/>
      <c r="AS20">
        <v>2.7382302954101543</v>
      </c>
      <c r="AT20" s="6"/>
      <c r="AU20" s="6"/>
      <c r="AV20">
        <v>4.7604966833496078</v>
      </c>
      <c r="AW20" s="6"/>
      <c r="AX20" s="6"/>
      <c r="AY20" s="6"/>
      <c r="AZ20" s="6"/>
      <c r="BA20" s="6"/>
      <c r="BB20" s="6"/>
      <c r="BC20" s="6"/>
      <c r="BD20" s="6"/>
      <c r="BE20" s="6"/>
      <c r="BF20" s="6"/>
      <c r="BG20" s="6"/>
      <c r="BH20" s="6"/>
      <c r="BI20" s="6"/>
      <c r="BJ20" s="6"/>
      <c r="BK20" s="6"/>
      <c r="BL20" s="6"/>
      <c r="BM20" s="6"/>
      <c r="BN20" s="6"/>
      <c r="BO20" s="6"/>
      <c r="BP20" s="6"/>
      <c r="BQ20" s="3">
        <v>0.91180627825518323</v>
      </c>
      <c r="BR20" s="6"/>
      <c r="BS20" s="6"/>
      <c r="BT20" s="3">
        <v>1.702653782123301E-2</v>
      </c>
      <c r="BU20" s="6"/>
      <c r="BV20" s="6"/>
      <c r="BW20" s="3">
        <v>0.53807376151549358</v>
      </c>
      <c r="BX20" s="6"/>
      <c r="BY20" s="1"/>
      <c r="CA20" s="1"/>
      <c r="CB20" s="1"/>
      <c r="CC20" s="1"/>
      <c r="CD20" s="1"/>
      <c r="CE20" s="1"/>
      <c r="CF20" s="1"/>
      <c r="CH20" s="1"/>
      <c r="CI20" s="1"/>
      <c r="CJ20" s="1"/>
      <c r="CK20" s="1"/>
      <c r="CL20" s="1"/>
      <c r="CM20" s="1"/>
      <c r="CN20" s="1"/>
      <c r="CO20" s="1"/>
      <c r="CP20" s="1"/>
      <c r="CQ20" s="1"/>
      <c r="CR20" s="1"/>
    </row>
    <row r="21" spans="1:96" x14ac:dyDescent="0.25">
      <c r="A21" s="1"/>
      <c r="B21" s="1" t="s">
        <v>16</v>
      </c>
      <c r="C21" s="1">
        <v>6</v>
      </c>
      <c r="E21" s="1">
        <v>-2.476098005981445</v>
      </c>
      <c r="F21" s="6">
        <f>AVERAGE(E21:E26)</f>
        <v>-2.9969419500732428</v>
      </c>
      <c r="G21" s="6">
        <f>F21/F3</f>
        <v>1.7892328698469167</v>
      </c>
      <c r="H21" s="1">
        <v>3.6728182385253909</v>
      </c>
      <c r="I21" s="6">
        <f>AVERAGE(H21:H26)</f>
        <v>3.1654474872843417</v>
      </c>
      <c r="J21" s="6">
        <f>I21/I3</f>
        <v>0.96671052608324981</v>
      </c>
      <c r="K21" s="1">
        <v>5.1755076000976565</v>
      </c>
      <c r="L21" s="6">
        <f>AVERAGE(K21:K26)</f>
        <v>4.1081075011189769</v>
      </c>
      <c r="M21" s="6">
        <f>L21/L3</f>
        <v>1.2394132135266391</v>
      </c>
      <c r="N21" s="6">
        <v>9.4198112288027304E-3</v>
      </c>
      <c r="O21" s="6">
        <f>AVERAGE(N21:N26)</f>
        <v>7.994316561566777E-3</v>
      </c>
      <c r="P21" s="6">
        <f>O21/O3</f>
        <v>2.1474768601348493</v>
      </c>
      <c r="Q21" s="6">
        <v>1.1829499679716459E-2</v>
      </c>
      <c r="R21" s="6">
        <f>AVERAGE(Q21:Q26)</f>
        <v>8.4849855856247401E-3</v>
      </c>
      <c r="S21" s="6">
        <f>R21/R3</f>
        <v>2.0429234759367971</v>
      </c>
      <c r="T21" s="6">
        <v>7.2792064751277296E-3</v>
      </c>
      <c r="U21" s="6">
        <f>AVERAGE(T21:T26)</f>
        <v>6.2019119554097123E-3</v>
      </c>
      <c r="V21" s="6">
        <f>U21/U3</f>
        <v>2.3379293206081559</v>
      </c>
      <c r="W21" s="6">
        <v>0.13693355560619341</v>
      </c>
      <c r="X21" s="6">
        <f>AVERAGE(W21:W26)</f>
        <v>0.12137659941589996</v>
      </c>
      <c r="Y21" s="6">
        <f>X21/X3</f>
        <v>2.3324331650411767</v>
      </c>
      <c r="Z21" s="6">
        <v>0.55526095981089063</v>
      </c>
      <c r="AA21" s="6">
        <f>AVERAGE(Z21:Z26)</f>
        <v>0.25356712243041435</v>
      </c>
      <c r="AB21" s="6">
        <f>AA21/AA3</f>
        <v>1.9164233979448992</v>
      </c>
      <c r="AC21" s="6">
        <v>3.9701814080128302E-2</v>
      </c>
      <c r="AD21" s="6">
        <f>AVERAGE(AC21:AC26)</f>
        <v>5.6986314079867109E-2</v>
      </c>
      <c r="AE21" s="6">
        <f>AD21/AD3</f>
        <v>2.0514356778549612</v>
      </c>
      <c r="AF21" s="6">
        <v>0.78264843990416144</v>
      </c>
      <c r="AG21" s="6">
        <f>AVERAGE(AF21:AF26)</f>
        <v>0.38615470702267657</v>
      </c>
      <c r="AH21" s="6">
        <f>AG21/AG3</f>
        <v>4.8713973306729139</v>
      </c>
      <c r="AI21" s="6">
        <v>2.9823668662430899E-2</v>
      </c>
      <c r="AJ21" s="6">
        <f>AVERAGE(AI21:AI26)</f>
        <v>2.4536094820450903E-2</v>
      </c>
      <c r="AK21" s="6">
        <f>AJ21/AJ3</f>
        <v>1.1295784367087844</v>
      </c>
      <c r="AL21" s="6">
        <v>0.61988247411764663</v>
      </c>
      <c r="AM21" s="6">
        <f>AVERAGE(AL21:AL26)</f>
        <v>0.41620157995145235</v>
      </c>
      <c r="AN21" s="1">
        <f>AM21/AM3</f>
        <v>1.2746755720074583</v>
      </c>
      <c r="AO21" s="1"/>
      <c r="AP21">
        <v>-1.7852257336425765</v>
      </c>
      <c r="AQ21" s="6">
        <f>AVERAGE(AP21:AP26)</f>
        <v>-2.2108752843221029</v>
      </c>
      <c r="AR21" s="6">
        <f>AQ21/AQ3</f>
        <v>1.4086729223619925</v>
      </c>
      <c r="AS21">
        <v>3.5026332293701183</v>
      </c>
      <c r="AT21" s="6">
        <f>AVERAGE(AS21:AS26)</f>
        <v>2.9908522649129234</v>
      </c>
      <c r="AU21" s="6">
        <f>AT21/AT3</f>
        <v>0.83207962428551374</v>
      </c>
      <c r="AV21">
        <v>5.738538869018555</v>
      </c>
      <c r="AW21" s="6">
        <f>AVERAGE(AV21:AV26)</f>
        <v>5.5943769460042319</v>
      </c>
      <c r="AX21" s="6">
        <f>AW21/AW3</f>
        <v>1.3027876582210351</v>
      </c>
      <c r="AY21" s="6">
        <v>2.0310735676562979E-2</v>
      </c>
      <c r="AZ21" s="6">
        <f>AVERAGE(AY21:AY26)</f>
        <v>5.4416085854476645E-2</v>
      </c>
      <c r="BA21" s="6">
        <f>AZ21/AZ3</f>
        <v>1.5858574147428193</v>
      </c>
      <c r="BB21" s="6">
        <v>2.8371438575361872E-2</v>
      </c>
      <c r="BC21" s="6">
        <f>AVERAGE(BB21:BB26)</f>
        <v>2.9708340727509646E-2</v>
      </c>
      <c r="BD21" s="6">
        <f>BC21/BC3</f>
        <v>1.287997790062317</v>
      </c>
      <c r="BE21" s="6">
        <v>3.6449384652331634E-2</v>
      </c>
      <c r="BF21" s="6">
        <f>AVERAGE(BE21:BE26)</f>
        <v>5.637623384540863E-2</v>
      </c>
      <c r="BG21" s="6">
        <f>BF21/BF3</f>
        <v>1.3726544059219636</v>
      </c>
      <c r="BH21" s="6">
        <v>5.2116656281850846E-2</v>
      </c>
      <c r="BI21" s="6">
        <f>AVERAGE(BH21:BH26)</f>
        <v>5.5401038925538111E-2</v>
      </c>
      <c r="BJ21" s="6">
        <f>BI21/BI3</f>
        <v>1.702057690115008</v>
      </c>
      <c r="BK21" s="6">
        <v>0.15031894852246258</v>
      </c>
      <c r="BL21" s="6">
        <f>AVERAGE(BK21:BK26)</f>
        <v>8.4609490271713009E-2</v>
      </c>
      <c r="BM21" s="6">
        <f>BL21/BL3</f>
        <v>2.4527378598975496</v>
      </c>
      <c r="BN21" s="6">
        <v>4.5453577014427031E-2</v>
      </c>
      <c r="BO21" s="6">
        <f>AVERAGE(BN21:BN26)</f>
        <v>9.3697754544510278E-2</v>
      </c>
      <c r="BP21" s="6">
        <f>BO21/BO3</f>
        <v>0.96579073397857829</v>
      </c>
      <c r="BQ21" s="6">
        <v>9.0499056055646426E-2</v>
      </c>
      <c r="BR21" s="6">
        <f>AVERAGE(BQ21:BQ26)</f>
        <v>0.23513776102675038</v>
      </c>
      <c r="BS21" s="6">
        <f>BR21/BR3</f>
        <v>1.3793865054466574</v>
      </c>
      <c r="BT21" s="6">
        <v>0.14650360824580599</v>
      </c>
      <c r="BU21" s="6">
        <f>AVERAGE(BT21:BT26)</f>
        <v>6.9867167953648113E-2</v>
      </c>
      <c r="BV21" s="6">
        <f>BU21/BU3</f>
        <v>1.9292432397060226</v>
      </c>
      <c r="BW21" s="6">
        <v>0.24389456745746393</v>
      </c>
      <c r="BX21" s="6">
        <f>AVERAGE(BW21:BW26)</f>
        <v>0.26371471253770162</v>
      </c>
      <c r="BY21" s="1">
        <f>BX21/BX3</f>
        <v>1.0026087171542886</v>
      </c>
      <c r="CA21" s="1"/>
      <c r="CB21" s="1"/>
      <c r="CC21" s="1"/>
      <c r="CD21" s="1"/>
      <c r="CE21" s="1"/>
      <c r="CF21" s="1"/>
      <c r="CG21" s="1"/>
      <c r="CH21" s="1"/>
      <c r="CI21" s="1"/>
      <c r="CJ21" s="1"/>
      <c r="CK21" s="1"/>
      <c r="CL21" s="1"/>
      <c r="CM21" s="1"/>
      <c r="CN21" s="1"/>
      <c r="CO21" s="1"/>
      <c r="CP21" s="1"/>
      <c r="CQ21" s="1"/>
      <c r="CR21" s="1"/>
    </row>
    <row r="22" spans="1:96" x14ac:dyDescent="0.25">
      <c r="A22" s="1"/>
      <c r="B22" s="1" t="s">
        <v>16</v>
      </c>
      <c r="C22" s="1">
        <v>6</v>
      </c>
      <c r="E22" s="1">
        <v>-2.4806813647460935</v>
      </c>
      <c r="F22" s="6"/>
      <c r="G22" s="6" t="e">
        <f>AVERAGE(G21,G24)</f>
        <v>#DIV/0!</v>
      </c>
      <c r="H22" s="1">
        <v>3.7988005230712893</v>
      </c>
      <c r="I22" s="6"/>
      <c r="J22" s="6" t="e">
        <f>AVERAGE(J21,J24)</f>
        <v>#DIV/0!</v>
      </c>
      <c r="K22" s="1">
        <v>5.509629304199219</v>
      </c>
      <c r="L22" s="6"/>
      <c r="M22" s="6" t="e">
        <f>AVERAGE(M21,M24)</f>
        <v>#DIV/0!</v>
      </c>
      <c r="N22" s="6">
        <v>1.2158462627846464E-2</v>
      </c>
      <c r="O22" s="6"/>
      <c r="P22" s="6" t="e">
        <f>AVERAGE(P21,P24)</f>
        <v>#DIV/0!</v>
      </c>
      <c r="Q22" s="6">
        <v>1.1983288342026492E-2</v>
      </c>
      <c r="R22" s="6"/>
      <c r="S22" s="6" t="e">
        <f>AVERAGE(S21,S24)</f>
        <v>#DIV/0!</v>
      </c>
      <c r="T22" s="6">
        <v>6.7365885498884611E-3</v>
      </c>
      <c r="U22" s="6"/>
      <c r="V22" s="6" t="e">
        <f>AVERAGE(V21,V24)</f>
        <v>#DIV/0!</v>
      </c>
      <c r="W22" s="6">
        <v>0.18169382555112037</v>
      </c>
      <c r="X22" s="6"/>
      <c r="Y22" s="6" t="e">
        <f>AVERAGE(Y21,Y24)</f>
        <v>#DIV/0!</v>
      </c>
      <c r="Z22" s="6">
        <v>0.58496944783573834</v>
      </c>
      <c r="AA22" s="6"/>
      <c r="AB22" s="6" t="e">
        <f>AVERAGE(AB21,AB24)</f>
        <v>#DIV/0!</v>
      </c>
      <c r="AC22" s="6">
        <v>4.6081873113639517E-2</v>
      </c>
      <c r="AD22" s="6"/>
      <c r="AE22" s="6" t="e">
        <f>AVERAGE(AE21,AE24)</f>
        <v>#DIV/0!</v>
      </c>
      <c r="AF22" s="6">
        <v>0.79729469064833147</v>
      </c>
      <c r="AG22" s="6"/>
      <c r="AH22" s="6" t="e">
        <f>AVERAGE(AH21,AH24)</f>
        <v>#DIV/0!</v>
      </c>
      <c r="AI22" s="6">
        <v>3.2414210246795673E-2</v>
      </c>
      <c r="AJ22" s="6"/>
      <c r="AK22" s="6" t="e">
        <f>AVERAGE(AK21,AK24)</f>
        <v>#DIV/0!</v>
      </c>
      <c r="AL22" s="6">
        <v>0.7474919878892512</v>
      </c>
      <c r="AM22" s="6"/>
      <c r="AN22" s="1" t="e">
        <f>AVERAGE(AN21,AN24)</f>
        <v>#DIV/0!</v>
      </c>
      <c r="AO22" s="1"/>
      <c r="AP22">
        <v>-1.804282053833006</v>
      </c>
      <c r="AQ22" s="6"/>
      <c r="AR22" s="6" t="e">
        <f>AVERAGE(AR21,AR24)</f>
        <v>#DIV/0!</v>
      </c>
      <c r="AS22">
        <v>3.4421111499023458</v>
      </c>
      <c r="AT22" s="6"/>
      <c r="AU22" s="6" t="e">
        <f>AVERAGE(AU21,AU24)</f>
        <v>#DIV/0!</v>
      </c>
      <c r="AV22">
        <v>5.6975709277343753</v>
      </c>
      <c r="AW22" s="6"/>
      <c r="AX22" s="6" t="e">
        <f>AVERAGE(AX21,AX24)</f>
        <v>#DIV/0!</v>
      </c>
      <c r="AY22" s="6">
        <v>2.0828051757500937E-2</v>
      </c>
      <c r="AZ22" s="6"/>
      <c r="BA22" s="6" t="e">
        <f>AVERAGE(BA21,BA24)</f>
        <v>#DIV/0!</v>
      </c>
      <c r="BB22" s="6">
        <v>2.9332319082906767E-2</v>
      </c>
      <c r="BC22" s="6"/>
      <c r="BD22" s="6" t="e">
        <f>AVERAGE(BD21,BD24)</f>
        <v>#DIV/0!</v>
      </c>
      <c r="BE22" s="6">
        <v>3.62260900742679E-2</v>
      </c>
      <c r="BF22" s="6"/>
      <c r="BG22" s="6" t="e">
        <f>AVERAGE(BG21,BG24)</f>
        <v>#DIV/0!</v>
      </c>
      <c r="BH22" s="6">
        <v>5.0761909033435963E-2</v>
      </c>
      <c r="BI22" s="6"/>
      <c r="BJ22" s="6" t="e">
        <f>AVERAGE(BJ21,BJ24)</f>
        <v>#DIV/0!</v>
      </c>
      <c r="BK22" s="6">
        <v>0.15167682452412726</v>
      </c>
      <c r="BL22" s="6"/>
      <c r="BM22" s="6" t="e">
        <f>AVERAGE(BM21,BM24)</f>
        <v>#DIV/0!</v>
      </c>
      <c r="BN22" s="6">
        <v>4.6126076106274373E-2</v>
      </c>
      <c r="BO22" s="6"/>
      <c r="BP22" s="6" t="e">
        <f>AVERAGE(BP21,BP24)</f>
        <v>#DIV/0!</v>
      </c>
      <c r="BQ22" s="6">
        <v>8.6036028910542239E-2</v>
      </c>
      <c r="BR22" s="6"/>
      <c r="BS22" s="6" t="e">
        <f>AVERAGE(BS21,BS24)</f>
        <v>#DIV/0!</v>
      </c>
      <c r="BT22" s="6">
        <v>0.15115850536519199</v>
      </c>
      <c r="BU22" s="6"/>
      <c r="BV22" s="6" t="e">
        <f>AVERAGE(BV21,BV24)</f>
        <v>#DIV/0!</v>
      </c>
      <c r="BW22" s="6">
        <v>0.2380164555434576</v>
      </c>
      <c r="BX22" s="6"/>
      <c r="BY22" s="1" t="e">
        <f>AVERAGE(BY21,BY24)</f>
        <v>#DIV/0!</v>
      </c>
      <c r="CA22" s="1"/>
      <c r="CB22" s="1"/>
      <c r="CC22" s="1"/>
      <c r="CD22" s="1"/>
      <c r="CE22" s="1"/>
      <c r="CF22" s="1"/>
      <c r="CG22" s="1"/>
      <c r="CH22" s="1"/>
      <c r="CI22" s="1"/>
      <c r="CJ22" s="1"/>
      <c r="CK22" s="1"/>
      <c r="CL22" s="1"/>
      <c r="CM22" s="1"/>
      <c r="CN22" s="1"/>
      <c r="CO22" s="1"/>
      <c r="CP22" s="1"/>
      <c r="CQ22" s="1"/>
      <c r="CR22" s="1"/>
    </row>
    <row r="23" spans="1:96" x14ac:dyDescent="0.25">
      <c r="A23" s="1"/>
      <c r="B23" s="1" t="s">
        <v>16</v>
      </c>
      <c r="C23" s="1">
        <v>6</v>
      </c>
      <c r="E23" s="1">
        <v>-2.4006127764892575</v>
      </c>
      <c r="F23" s="6"/>
      <c r="G23" s="6" t="e">
        <f>STDEVA(G21,G24)</f>
        <v>#DIV/0!</v>
      </c>
      <c r="H23" s="1">
        <v>3.7705050061035159</v>
      </c>
      <c r="I23" s="6"/>
      <c r="J23" s="6" t="e">
        <f>STDEVA(J21,J24)</f>
        <v>#DIV/0!</v>
      </c>
      <c r="K23" s="1">
        <v>5.0845461437988284</v>
      </c>
      <c r="L23" s="6"/>
      <c r="M23" s="6" t="e">
        <f>STDEVA(M21,M24)</f>
        <v>#DIV/0!</v>
      </c>
      <c r="N23" s="3"/>
      <c r="O23" s="6"/>
      <c r="P23" s="6" t="e">
        <f>STDEVA(P21,P24)</f>
        <v>#DIV/0!</v>
      </c>
      <c r="Q23" s="3"/>
      <c r="R23" s="6"/>
      <c r="S23" s="6" t="e">
        <f>STDEVA(S21,S24)</f>
        <v>#DIV/0!</v>
      </c>
      <c r="T23" s="3"/>
      <c r="U23" s="6"/>
      <c r="V23" s="6" t="e">
        <f>STDEVA(V21,V24)</f>
        <v>#DIV/0!</v>
      </c>
      <c r="W23" s="3"/>
      <c r="X23" s="6"/>
      <c r="Y23" s="6" t="e">
        <f>STDEVA(Y21,Y24)</f>
        <v>#DIV/0!</v>
      </c>
      <c r="Z23" s="3"/>
      <c r="AA23" s="6"/>
      <c r="AB23" s="6" t="e">
        <f>STDEVA(AB21,AB24)</f>
        <v>#DIV/0!</v>
      </c>
      <c r="AC23" s="3"/>
      <c r="AD23" s="6"/>
      <c r="AE23" s="6" t="e">
        <f>STDEVA(AE21,AE24)</f>
        <v>#DIV/0!</v>
      </c>
      <c r="AF23" s="3"/>
      <c r="AG23" s="6"/>
      <c r="AH23" s="6" t="e">
        <f>STDEVA(AH21,AH24)</f>
        <v>#DIV/0!</v>
      </c>
      <c r="AI23" s="3"/>
      <c r="AJ23" s="6"/>
      <c r="AK23" s="6" t="e">
        <f>STDEVA(AK21,AK24)</f>
        <v>#DIV/0!</v>
      </c>
      <c r="AL23" s="3"/>
      <c r="AM23" s="6"/>
      <c r="AN23" s="1" t="e">
        <f>STDEVA(AN21,AN24)</f>
        <v>#DIV/0!</v>
      </c>
      <c r="AO23" s="1"/>
      <c r="AP23">
        <v>-1.7370861614990216</v>
      </c>
      <c r="AQ23" s="6"/>
      <c r="AR23" s="6" t="e">
        <f>STDEVA(AR21,AR24)</f>
        <v>#DIV/0!</v>
      </c>
      <c r="AS23">
        <v>3.440146580810548</v>
      </c>
      <c r="AT23" s="6"/>
      <c r="AU23" s="6" t="e">
        <f>STDEVA(AU21,AU24)</f>
        <v>#DIV/0!</v>
      </c>
      <c r="AV23">
        <v>5.7692891436767582</v>
      </c>
      <c r="AW23" s="6"/>
      <c r="AX23" s="6" t="e">
        <f>STDEVA(AX21,AX24)</f>
        <v>#DIV/0!</v>
      </c>
      <c r="AY23" s="3"/>
      <c r="AZ23" s="6"/>
      <c r="BA23" s="6" t="e">
        <f>STDEVA(BA21,BA24)</f>
        <v>#DIV/0!</v>
      </c>
      <c r="BB23" s="3"/>
      <c r="BC23" s="6"/>
      <c r="BD23" s="6" t="e">
        <f>STDEVA(BD21,BD24)</f>
        <v>#DIV/0!</v>
      </c>
      <c r="BE23" s="3"/>
      <c r="BF23" s="6"/>
      <c r="BG23" s="6" t="e">
        <f>STDEVA(BG21,BG24)</f>
        <v>#DIV/0!</v>
      </c>
      <c r="BH23" s="3"/>
      <c r="BI23" s="6"/>
      <c r="BJ23" s="6" t="e">
        <f>STDEVA(BJ21,BJ24)</f>
        <v>#DIV/0!</v>
      </c>
      <c r="BK23" s="3"/>
      <c r="BL23" s="6"/>
      <c r="BM23" s="6" t="e">
        <f>STDEVA(BM21,BM24)</f>
        <v>#DIV/0!</v>
      </c>
      <c r="BN23" s="3"/>
      <c r="BO23" s="6"/>
      <c r="BP23" s="6" t="e">
        <f>STDEVA(BP21,BP24)</f>
        <v>#DIV/0!</v>
      </c>
      <c r="BQ23" s="3"/>
      <c r="BR23" s="6"/>
      <c r="BS23" s="6" t="e">
        <f>STDEVA(BS21,BS24)</f>
        <v>#DIV/0!</v>
      </c>
      <c r="BT23" s="3"/>
      <c r="BU23" s="6"/>
      <c r="BV23" s="6" t="e">
        <f>STDEVA(BV21,BV24)</f>
        <v>#DIV/0!</v>
      </c>
      <c r="BW23" s="3"/>
      <c r="BX23" s="6"/>
      <c r="BY23" s="1" t="e">
        <f>STDEVA(BY21,BY24)</f>
        <v>#DIV/0!</v>
      </c>
      <c r="CA23" s="1"/>
      <c r="CB23" s="1"/>
      <c r="CC23" s="1"/>
      <c r="CD23" s="1"/>
      <c r="CE23" s="1"/>
      <c r="CF23" s="1"/>
      <c r="CG23" s="1"/>
      <c r="CH23" s="1"/>
      <c r="CI23" s="1"/>
      <c r="CJ23" s="1"/>
      <c r="CK23" s="1"/>
      <c r="CL23" s="1"/>
      <c r="CM23" s="1"/>
      <c r="CN23" s="1"/>
      <c r="CO23" s="1"/>
      <c r="CP23" s="1"/>
      <c r="CQ23" s="1"/>
      <c r="CR23" s="1"/>
    </row>
    <row r="24" spans="1:96" x14ac:dyDescent="0.25">
      <c r="A24" s="1"/>
      <c r="B24" s="1" t="s">
        <v>16</v>
      </c>
      <c r="C24" s="1">
        <v>6</v>
      </c>
      <c r="E24">
        <v>-3.546285497436525</v>
      </c>
      <c r="F24" s="6"/>
      <c r="G24" s="6" t="e">
        <f>F24/F6</f>
        <v>#DIV/0!</v>
      </c>
      <c r="H24">
        <v>2.6018391973876938</v>
      </c>
      <c r="I24" s="6"/>
      <c r="J24" s="6" t="e">
        <f>I24/I6</f>
        <v>#DIV/0!</v>
      </c>
      <c r="K24">
        <v>2.9577847845458969</v>
      </c>
      <c r="L24" s="6"/>
      <c r="M24" s="6" t="e">
        <f>L24/L6</f>
        <v>#DIV/0!</v>
      </c>
      <c r="N24" s="6">
        <v>6.2597554973219663E-3</v>
      </c>
      <c r="O24" s="6"/>
      <c r="P24" s="6" t="e">
        <f>O24/O6</f>
        <v>#DIV/0!</v>
      </c>
      <c r="Q24" s="6">
        <v>6.1944789723630302E-3</v>
      </c>
      <c r="R24" s="6"/>
      <c r="S24" s="6" t="e">
        <f>R24/R6</f>
        <v>#DIV/0!</v>
      </c>
      <c r="T24" s="6">
        <v>5.5939051376621305E-3</v>
      </c>
      <c r="U24" s="6"/>
      <c r="V24" s="6" t="e">
        <f>U24/U6</f>
        <v>#DIV/0!</v>
      </c>
      <c r="W24" s="6">
        <v>9.3200048705409488E-2</v>
      </c>
      <c r="X24" s="6"/>
      <c r="Y24" s="6" t="e">
        <f>X24/X6</f>
        <v>#DIV/0!</v>
      </c>
      <c r="Z24" s="6">
        <v>4.3080362375510703E-2</v>
      </c>
      <c r="AA24" s="6"/>
      <c r="AB24" s="6" t="e">
        <f>AA24/AA6</f>
        <v>#DIV/0!</v>
      </c>
      <c r="AC24" s="6">
        <v>6.6242887183264931E-2</v>
      </c>
      <c r="AD24" s="6"/>
      <c r="AE24" s="6" t="e">
        <f>AD24/AD6</f>
        <v>#DIV/0!</v>
      </c>
      <c r="AF24" s="6">
        <v>9.2120071013193264E-2</v>
      </c>
      <c r="AG24" s="6"/>
      <c r="AH24" s="6" t="e">
        <f>AG24/AG6</f>
        <v>#DIV/0!</v>
      </c>
      <c r="AI24" s="6">
        <v>2.2354715698859957E-2</v>
      </c>
      <c r="AJ24" s="6"/>
      <c r="AK24" s="6" t="e">
        <f>AJ24/AJ6</f>
        <v>#DIV/0!</v>
      </c>
      <c r="AL24" s="6">
        <v>0.24474999034130845</v>
      </c>
      <c r="AM24" s="6"/>
      <c r="AN24" s="1" t="e">
        <f>AM24/AM6</f>
        <v>#DIV/0!</v>
      </c>
      <c r="AO24" s="1"/>
      <c r="AP24">
        <v>-2.7117004382324232</v>
      </c>
      <c r="AQ24" s="6"/>
      <c r="AR24" s="6" t="e">
        <f>AQ24/AQ6</f>
        <v>#DIV/0!</v>
      </c>
      <c r="AS24">
        <v>2.5086174023437486</v>
      </c>
      <c r="AT24" s="6"/>
      <c r="AU24" s="6" t="e">
        <f>AT24/AT6</f>
        <v>#DIV/0!</v>
      </c>
      <c r="AV24">
        <v>5.4663963330078111</v>
      </c>
      <c r="AW24" s="6"/>
      <c r="AX24" s="6" t="e">
        <f>AW24/AW6</f>
        <v>#DIV/0!</v>
      </c>
      <c r="AY24" s="6">
        <v>8.7555769224706551E-2</v>
      </c>
      <c r="AZ24" s="6"/>
      <c r="BA24" s="6" t="e">
        <f>AZ24/AZ6</f>
        <v>#DIV/0!</v>
      </c>
      <c r="BB24" s="6">
        <v>2.9988922586495343E-2</v>
      </c>
      <c r="BC24" s="6"/>
      <c r="BD24" s="6" t="e">
        <f>BC24/BC6</f>
        <v>#DIV/0!</v>
      </c>
      <c r="BE24" s="3">
        <v>7.6284760662382364E-2</v>
      </c>
      <c r="BF24" s="6"/>
      <c r="BG24" s="6" t="e">
        <f>BF24/BF6</f>
        <v>#DIV/0!</v>
      </c>
      <c r="BH24" s="3">
        <v>5.8635303771421628E-2</v>
      </c>
      <c r="BI24" s="6"/>
      <c r="BJ24" s="6" t="e">
        <f>BI24/BI6</f>
        <v>#DIV/0!</v>
      </c>
      <c r="BK24" s="3">
        <v>1.7924649196863367E-2</v>
      </c>
      <c r="BL24" s="6"/>
      <c r="BM24" s="6" t="e">
        <f>BL24/BL6</f>
        <v>#DIV/0!</v>
      </c>
      <c r="BN24" s="3">
        <v>0.1435479901841144</v>
      </c>
      <c r="BO24" s="6"/>
      <c r="BP24" s="6" t="e">
        <f>BO24/BO6</f>
        <v>#DIV/0!</v>
      </c>
      <c r="BQ24" s="3">
        <v>0.30741352396911076</v>
      </c>
      <c r="BR24" s="6"/>
      <c r="BS24" s="6" t="e">
        <f>BR24/BR6</f>
        <v>#DIV/0!</v>
      </c>
      <c r="BT24" s="3">
        <v>1.7366203439082236E-2</v>
      </c>
      <c r="BU24" s="6"/>
      <c r="BV24" s="6" t="e">
        <f>BU24/BU6</f>
        <v>#DIV/0!</v>
      </c>
      <c r="BW24" s="3">
        <v>0.27935803116675167</v>
      </c>
      <c r="BX24" s="6"/>
      <c r="BY24" s="1" t="e">
        <f>BX24/BX6</f>
        <v>#DIV/0!</v>
      </c>
      <c r="CA24" s="1"/>
      <c r="CB24" s="1"/>
      <c r="CC24" s="1"/>
      <c r="CD24" s="1"/>
      <c r="CE24" s="1"/>
      <c r="CF24" s="1"/>
      <c r="CH24" s="1"/>
      <c r="CI24" s="1"/>
      <c r="CJ24" s="1"/>
      <c r="CK24" s="1"/>
      <c r="CL24" s="1"/>
      <c r="CM24" s="1"/>
      <c r="CN24" s="1"/>
      <c r="CO24" s="1"/>
      <c r="CP24" s="1"/>
      <c r="CQ24" s="1"/>
      <c r="CR24" s="1"/>
    </row>
    <row r="25" spans="1:96" x14ac:dyDescent="0.25">
      <c r="A25" s="1"/>
      <c r="B25" s="1" t="s">
        <v>16</v>
      </c>
      <c r="C25" s="1">
        <v>6</v>
      </c>
      <c r="E25">
        <v>-3.5823191278076187</v>
      </c>
      <c r="F25" s="6"/>
      <c r="G25" s="6"/>
      <c r="H25">
        <v>2.5690156347656234</v>
      </c>
      <c r="I25" s="6"/>
      <c r="J25" s="6"/>
      <c r="K25">
        <v>2.9525491125488266</v>
      </c>
      <c r="L25" s="6"/>
      <c r="M25" s="6"/>
      <c r="N25" s="6">
        <v>6.0393701005118129E-3</v>
      </c>
      <c r="O25" s="6"/>
      <c r="P25" s="6"/>
      <c r="Q25" s="6">
        <v>6.1813895327228335E-3</v>
      </c>
      <c r="R25" s="6"/>
      <c r="S25" s="6"/>
      <c r="T25" s="6">
        <v>5.446715354986335E-3</v>
      </c>
      <c r="U25" s="6"/>
      <c r="V25" s="6"/>
      <c r="W25" s="6">
        <v>9.7165402550020818E-2</v>
      </c>
      <c r="X25" s="6"/>
      <c r="Y25" s="6"/>
      <c r="Z25" s="6">
        <v>4.1344806591487898E-2</v>
      </c>
      <c r="AA25" s="6"/>
      <c r="AB25" s="6"/>
      <c r="AC25" s="6">
        <v>6.6658693210766062E-2</v>
      </c>
      <c r="AD25" s="6"/>
      <c r="AE25" s="6"/>
      <c r="AF25" s="6">
        <v>0.12969950872164954</v>
      </c>
      <c r="AG25" s="6"/>
      <c r="AH25" s="6"/>
      <c r="AI25" s="6">
        <v>1.877336293850896E-2</v>
      </c>
      <c r="AJ25" s="6"/>
      <c r="AK25" s="6"/>
      <c r="AL25" s="6">
        <v>0.23695562490059041</v>
      </c>
      <c r="AM25" s="6"/>
      <c r="AN25" s="1"/>
      <c r="AO25" s="1"/>
      <c r="AP25">
        <v>-2.7105426776123061</v>
      </c>
      <c r="AQ25" s="6"/>
      <c r="AR25" s="6"/>
      <c r="AS25">
        <v>2.5374927532958971</v>
      </c>
      <c r="AT25" s="6"/>
      <c r="AU25" s="6"/>
      <c r="AV25">
        <v>5.4461288464355455</v>
      </c>
      <c r="AW25" s="6"/>
      <c r="AX25" s="6"/>
      <c r="AY25" s="6">
        <v>8.8969786759136096E-2</v>
      </c>
      <c r="AZ25" s="6"/>
      <c r="BA25" s="6"/>
      <c r="BB25" s="6">
        <v>3.1140682665274602E-2</v>
      </c>
      <c r="BC25" s="6"/>
      <c r="BD25" s="6"/>
      <c r="BE25" s="3">
        <v>7.6544699992652634E-2</v>
      </c>
      <c r="BF25" s="6"/>
      <c r="BG25" s="6"/>
      <c r="BH25" s="3">
        <v>6.0090286615444015E-2</v>
      </c>
      <c r="BI25" s="6"/>
      <c r="BJ25" s="6"/>
      <c r="BK25" s="3">
        <v>1.8517538843398806E-2</v>
      </c>
      <c r="BL25" s="6"/>
      <c r="BM25" s="6"/>
      <c r="BN25" s="3">
        <v>0.1396633748732253</v>
      </c>
      <c r="BO25" s="6"/>
      <c r="BP25" s="6"/>
      <c r="BQ25" s="3">
        <v>0.34037445640905434</v>
      </c>
      <c r="BR25" s="6"/>
      <c r="BS25" s="6"/>
      <c r="BT25" s="3">
        <v>1.7897173883084646E-2</v>
      </c>
      <c r="BU25" s="6"/>
      <c r="BV25" s="6"/>
      <c r="BW25" s="3">
        <v>0.27778946723195974</v>
      </c>
      <c r="BX25" s="6"/>
      <c r="BY25" s="1"/>
      <c r="CA25" s="1"/>
      <c r="CB25" s="1"/>
      <c r="CC25" s="1"/>
      <c r="CD25" s="1"/>
      <c r="CE25" s="1"/>
      <c r="CF25" s="1"/>
      <c r="CH25" s="1"/>
      <c r="CI25" s="1"/>
      <c r="CJ25" s="1"/>
      <c r="CK25" s="1"/>
      <c r="CL25" s="1"/>
      <c r="CM25" s="1"/>
      <c r="CN25" s="1"/>
      <c r="CO25" s="1"/>
      <c r="CP25" s="1"/>
      <c r="CQ25" s="1"/>
      <c r="CR25" s="1"/>
    </row>
    <row r="26" spans="1:96" x14ac:dyDescent="0.25">
      <c r="A26" s="1"/>
      <c r="B26" s="1" t="s">
        <v>16</v>
      </c>
      <c r="C26" s="1">
        <v>6</v>
      </c>
      <c r="E26">
        <v>-3.4956549279785172</v>
      </c>
      <c r="F26" s="6"/>
      <c r="G26" s="6"/>
      <c r="H26">
        <v>2.5797063238525375</v>
      </c>
      <c r="I26" s="6"/>
      <c r="J26" s="6"/>
      <c r="K26">
        <v>2.9686280615234359</v>
      </c>
      <c r="L26" s="6"/>
      <c r="M26" s="6"/>
      <c r="N26" s="6">
        <v>6.0941833533509175E-3</v>
      </c>
      <c r="O26" s="6"/>
      <c r="P26" s="6"/>
      <c r="Q26" s="6">
        <v>6.236271401294886E-3</v>
      </c>
      <c r="R26" s="6"/>
      <c r="S26" s="6"/>
      <c r="T26" s="6">
        <v>5.953144259383902E-3</v>
      </c>
      <c r="U26" s="6"/>
      <c r="V26" s="6"/>
      <c r="W26" s="6">
        <v>9.7890164666755583E-2</v>
      </c>
      <c r="X26" s="6"/>
      <c r="Y26" s="6"/>
      <c r="Z26" s="6">
        <v>4.3180035538444135E-2</v>
      </c>
      <c r="AA26" s="6"/>
      <c r="AB26" s="6"/>
      <c r="AC26" s="6">
        <v>6.6246302811536692E-2</v>
      </c>
      <c r="AD26" s="6"/>
      <c r="AE26" s="6"/>
      <c r="AF26" s="6">
        <v>0.12901082482604714</v>
      </c>
      <c r="AG26" s="6"/>
      <c r="AH26" s="6"/>
      <c r="AI26" s="6">
        <v>1.9314516555659019E-2</v>
      </c>
      <c r="AJ26" s="6"/>
      <c r="AK26" s="6"/>
      <c r="AL26" s="6">
        <v>0.23192782250846489</v>
      </c>
      <c r="AM26" s="6"/>
      <c r="AN26" s="1"/>
      <c r="AO26" s="1"/>
      <c r="AP26">
        <v>-2.5164146411132826</v>
      </c>
      <c r="AQ26" s="6"/>
      <c r="AR26" s="6"/>
      <c r="AS26">
        <v>2.5141124737548814</v>
      </c>
      <c r="AT26" s="6"/>
      <c r="AU26" s="6"/>
      <c r="AV26">
        <v>5.4483375561523424</v>
      </c>
      <c r="AW26" s="6"/>
      <c r="AX26" s="6"/>
      <c r="AY26" s="6"/>
      <c r="AZ26" s="6"/>
      <c r="BA26" s="6"/>
      <c r="BB26" s="6"/>
      <c r="BC26" s="6"/>
      <c r="BD26" s="6"/>
      <c r="BE26" s="6"/>
      <c r="BF26" s="6"/>
      <c r="BG26" s="6"/>
      <c r="BH26" s="6"/>
      <c r="BI26" s="6"/>
      <c r="BJ26" s="6"/>
      <c r="BK26" s="6"/>
      <c r="BL26" s="6"/>
      <c r="BM26" s="6"/>
      <c r="BN26" s="6"/>
      <c r="BO26" s="6"/>
      <c r="BP26" s="6"/>
      <c r="BQ26" s="3">
        <v>0.35136573978939817</v>
      </c>
      <c r="BR26" s="6"/>
      <c r="BS26" s="6"/>
      <c r="BT26" s="3">
        <v>1.641034883507567E-2</v>
      </c>
      <c r="BU26" s="6"/>
      <c r="BV26" s="6"/>
      <c r="BW26" s="3">
        <v>0.279515041288875</v>
      </c>
      <c r="BX26" s="6"/>
      <c r="BY26" s="1"/>
      <c r="CA26" s="1"/>
      <c r="CB26" s="1"/>
      <c r="CC26" s="1"/>
      <c r="CD26" s="1"/>
      <c r="CE26" s="1"/>
      <c r="CF26" s="1"/>
      <c r="CH26" s="1"/>
      <c r="CI26" s="1"/>
      <c r="CJ26" s="1"/>
      <c r="CK26" s="1"/>
      <c r="CL26" s="1"/>
      <c r="CM26" s="1"/>
      <c r="CN26" s="1"/>
      <c r="CO26" s="1"/>
      <c r="CP26" s="1"/>
      <c r="CQ26" s="1"/>
      <c r="CR26" s="1"/>
    </row>
    <row r="27" spans="1:96" x14ac:dyDescent="0.25">
      <c r="A27" s="1"/>
      <c r="B27" s="1" t="s">
        <v>117</v>
      </c>
      <c r="C27" s="1">
        <v>16</v>
      </c>
      <c r="E27">
        <v>-2.4788016278076164</v>
      </c>
      <c r="F27" s="6">
        <f>AVERAGE(E27:E32)</f>
        <v>-2.5615997661336265</v>
      </c>
      <c r="G27" s="6">
        <f>F27/F27</f>
        <v>1</v>
      </c>
      <c r="H27" s="1">
        <v>2.0796948474121102</v>
      </c>
      <c r="I27" s="6">
        <f>AVERAGE(H27:H32)</f>
        <v>2.4757149667358398</v>
      </c>
      <c r="J27" s="6">
        <f>I27/I27</f>
        <v>1</v>
      </c>
      <c r="K27">
        <v>2.8103619616699227</v>
      </c>
      <c r="L27" s="6">
        <f>AVERAGE(K27:K32)</f>
        <v>2.7577482512410483</v>
      </c>
      <c r="M27" s="6">
        <f>L27/L27</f>
        <v>1</v>
      </c>
      <c r="N27" s="6">
        <v>1.3494044588438975E-2</v>
      </c>
      <c r="O27" s="6">
        <f>AVERAGE(N27:N32)</f>
        <v>9.665064343722423E-3</v>
      </c>
      <c r="P27" s="6">
        <f>O27/O27</f>
        <v>1</v>
      </c>
      <c r="Q27" s="6">
        <v>0.20301800209387039</v>
      </c>
      <c r="R27" s="6">
        <f>AVERAGE(Q27:Q32)</f>
        <v>7.3247564848069158E-2</v>
      </c>
      <c r="S27" s="6">
        <f>R27/R27</f>
        <v>1</v>
      </c>
      <c r="T27" s="6">
        <v>1.6485949061642677E-2</v>
      </c>
      <c r="U27" s="6">
        <f>AVERAGE(T27:T32)</f>
        <v>8.1313834434887343E-3</v>
      </c>
      <c r="V27" s="6">
        <f>U27/U27</f>
        <v>1</v>
      </c>
      <c r="W27" s="6">
        <v>0.61541629628638628</v>
      </c>
      <c r="X27" s="6">
        <f>AVERAGE(W27:W32)</f>
        <v>0.26531141309840411</v>
      </c>
      <c r="Y27" s="6">
        <f>X27/X27</f>
        <v>1</v>
      </c>
      <c r="Z27" s="6">
        <v>0.12610788660950861</v>
      </c>
      <c r="AA27" s="6">
        <f>AVERAGE(Z27:Z32)</f>
        <v>8.4417225217664621E-2</v>
      </c>
      <c r="AB27" s="6">
        <f>AA27/AA27</f>
        <v>1</v>
      </c>
      <c r="AC27" s="6">
        <v>4.5848167706692956E-2</v>
      </c>
      <c r="AD27" s="6">
        <f>AVERAGE(AC27:AC32)</f>
        <v>8.1459839860796496E-2</v>
      </c>
      <c r="AE27" s="6">
        <f>AD27/AD27</f>
        <v>1</v>
      </c>
      <c r="AF27" s="6">
        <v>0.14444130064570054</v>
      </c>
      <c r="AG27" s="6">
        <f>AVERAGE(AF27:AF32)</f>
        <v>0.19322008891607428</v>
      </c>
      <c r="AH27" s="6">
        <f>AG27/AG27</f>
        <v>1</v>
      </c>
      <c r="AI27" s="6">
        <v>1.2308509383766496E-2</v>
      </c>
      <c r="AJ27" s="6">
        <f>AVERAGE(AI27:AI32)</f>
        <v>3.7931158670728424E-2</v>
      </c>
      <c r="AK27" s="6">
        <f>AJ27/AJ27</f>
        <v>1</v>
      </c>
      <c r="AL27" s="6">
        <v>0.12220574014442057</v>
      </c>
      <c r="AM27" s="6">
        <f>AVERAGE(AL27:AL32)</f>
        <v>0.15145748076191065</v>
      </c>
      <c r="AN27" s="1">
        <f>AM27/AM27</f>
        <v>1</v>
      </c>
      <c r="AO27" s="1"/>
      <c r="AP27">
        <v>-2.3003008471679678</v>
      </c>
      <c r="AQ27" s="6">
        <f>AVERAGE(AP27:AP32)</f>
        <v>-2.0470850349934895</v>
      </c>
      <c r="AR27" s="6">
        <f>AQ27/AQ27</f>
        <v>1</v>
      </c>
      <c r="AS27">
        <v>2.9260327709960952</v>
      </c>
      <c r="AT27" s="6">
        <f>AVERAGE(AS27:AS32)</f>
        <v>3.0640374142456057</v>
      </c>
      <c r="AU27" s="6">
        <f>AT27/AT27</f>
        <v>1</v>
      </c>
      <c r="AV27">
        <v>3.3206517590332041</v>
      </c>
      <c r="AW27" s="6">
        <f>AVERAGE(AV27:AV32)</f>
        <v>3.1803538917032879</v>
      </c>
      <c r="AX27" s="6">
        <f>AW27/AW27</f>
        <v>1</v>
      </c>
      <c r="AY27" s="6">
        <v>5.8733473310327883E-2</v>
      </c>
      <c r="AZ27" s="6">
        <f>AVERAGE(AY27:AY32)</f>
        <v>7.7770243239153589E-2</v>
      </c>
      <c r="BA27" s="6">
        <f>AZ27/AZ27</f>
        <v>1</v>
      </c>
      <c r="BB27" s="6">
        <v>0.62975129125212981</v>
      </c>
      <c r="BC27" s="6">
        <f>AVERAGE(BB27:BB32)</f>
        <v>0.29656229634735448</v>
      </c>
      <c r="BD27" s="6">
        <f>BC27/BC27</f>
        <v>1</v>
      </c>
      <c r="BE27" s="6">
        <v>3.9222070992538445E-2</v>
      </c>
      <c r="BF27" s="6">
        <f>AVERAGE(BE27:BE32)</f>
        <v>1.0639442692969012</v>
      </c>
      <c r="BG27" s="6">
        <f>BF27/BF27</f>
        <v>1</v>
      </c>
      <c r="BH27" s="6">
        <v>1.5376394325147527</v>
      </c>
      <c r="BI27" s="6">
        <f>AVERAGE(BH27:BH32)</f>
        <v>0.65451563043915351</v>
      </c>
      <c r="BJ27" s="6">
        <f>BI27/BI27</f>
        <v>1</v>
      </c>
      <c r="BK27" s="6">
        <v>6.6069951062252847E-3</v>
      </c>
      <c r="BL27" s="6">
        <f>AVERAGE(BK27:BK32)</f>
        <v>0.15886159393308386</v>
      </c>
      <c r="BM27" s="6">
        <f>BL27/BL27</f>
        <v>1</v>
      </c>
      <c r="BN27" s="6">
        <v>0.10044473159346995</v>
      </c>
      <c r="BO27" s="6">
        <f>AVERAGE(BN27:BN32)</f>
        <v>0.31423742918596836</v>
      </c>
      <c r="BP27" s="6">
        <f>BO27/BO27</f>
        <v>1</v>
      </c>
      <c r="BQ27" s="6">
        <v>0.35363725631574916</v>
      </c>
      <c r="BR27" s="6">
        <f>AVERAGE(BQ27:BQ32)</f>
        <v>0.40154497972877079</v>
      </c>
      <c r="BS27" s="6">
        <f>BR27/BR27</f>
        <v>1</v>
      </c>
      <c r="BT27" s="6">
        <v>2.0662777773579066E-2</v>
      </c>
      <c r="BU27" s="6">
        <f>AVERAGE(BT27:BT32)</f>
        <v>8.581264422289599E-3</v>
      </c>
      <c r="BV27" s="6">
        <f>BU27/BU27</f>
        <v>1</v>
      </c>
      <c r="BW27" s="6">
        <v>0.31032681633483494</v>
      </c>
      <c r="BX27" s="6">
        <f>AVERAGE(BW27:BW32)</f>
        <v>0.33923570885088561</v>
      </c>
      <c r="BY27" s="1">
        <f>BX27/BX27</f>
        <v>1</v>
      </c>
      <c r="CA27" s="1"/>
      <c r="CB27" s="1"/>
      <c r="CC27" s="1"/>
      <c r="CD27" s="1"/>
      <c r="CE27" s="1"/>
      <c r="CF27" s="1"/>
      <c r="CG27" s="1"/>
      <c r="CH27" s="1"/>
      <c r="CI27" s="1"/>
      <c r="CJ27" s="1"/>
      <c r="CK27" s="1"/>
      <c r="CL27" s="1"/>
      <c r="CM27" s="1"/>
      <c r="CN27" s="1"/>
      <c r="CO27" s="1"/>
      <c r="CP27" s="1"/>
      <c r="CQ27" s="1"/>
      <c r="CR27" s="1"/>
    </row>
    <row r="28" spans="1:96" x14ac:dyDescent="0.25">
      <c r="A28" s="1"/>
      <c r="B28" s="1" t="s">
        <v>117</v>
      </c>
      <c r="C28" s="1">
        <v>16</v>
      </c>
      <c r="E28">
        <v>-2.4561442333984367</v>
      </c>
      <c r="F28" s="6"/>
      <c r="G28" s="6" t="e">
        <f>AVERAGE(G27,G30)</f>
        <v>#DIV/0!</v>
      </c>
      <c r="H28" s="1">
        <v>1.8890191119384774</v>
      </c>
      <c r="I28" s="6"/>
      <c r="J28" s="6" t="e">
        <f>AVERAGE(J27,J30)</f>
        <v>#DIV/0!</v>
      </c>
      <c r="K28">
        <v>2.9940453570556649</v>
      </c>
      <c r="L28" s="6"/>
      <c r="M28" s="6" t="e">
        <f>AVERAGE(M27,M30)</f>
        <v>#DIV/0!</v>
      </c>
      <c r="N28" s="6">
        <v>1.2580003006828894E-2</v>
      </c>
      <c r="O28" s="6"/>
      <c r="P28" s="6" t="e">
        <f>AVERAGE(P27,P30)</f>
        <v>#DIV/0!</v>
      </c>
      <c r="Q28" s="6">
        <v>0.14789121496444471</v>
      </c>
      <c r="R28" s="6"/>
      <c r="S28" s="6" t="e">
        <f>AVERAGE(S27,S30)</f>
        <v>#DIV/0!</v>
      </c>
      <c r="T28" s="6">
        <v>6.1349838154632318E-3</v>
      </c>
      <c r="U28" s="6"/>
      <c r="V28" s="6" t="e">
        <f>AVERAGE(V27,V30)</f>
        <v>#DIV/0!</v>
      </c>
      <c r="W28" s="6">
        <v>0.62532296924562081</v>
      </c>
      <c r="X28" s="6"/>
      <c r="Y28" s="6" t="e">
        <f>AVERAGE(Y27,Y30)</f>
        <v>#DIV/0!</v>
      </c>
      <c r="Z28" s="6">
        <v>0.12119172358555839</v>
      </c>
      <c r="AA28" s="6"/>
      <c r="AB28" s="6" t="e">
        <f>AVERAGE(AB27,AB30)</f>
        <v>#DIV/0!</v>
      </c>
      <c r="AC28" s="6">
        <v>4.3110999740317554E-2</v>
      </c>
      <c r="AD28" s="6"/>
      <c r="AE28" s="6" t="e">
        <f>AVERAGE(AE27,AE30)</f>
        <v>#DIV/0!</v>
      </c>
      <c r="AF28" s="6">
        <v>0.1289413101937591</v>
      </c>
      <c r="AG28" s="6"/>
      <c r="AH28" s="6" t="e">
        <f>AVERAGE(AH27,AH30)</f>
        <v>#DIV/0!</v>
      </c>
      <c r="AI28" s="6">
        <v>1.2387571159791713E-2</v>
      </c>
      <c r="AJ28" s="6"/>
      <c r="AK28" s="6" t="e">
        <f>AVERAGE(AK27,AK30)</f>
        <v>#DIV/0!</v>
      </c>
      <c r="AL28" s="6">
        <v>0.11881665053234762</v>
      </c>
      <c r="AM28" s="6"/>
      <c r="AN28" s="1" t="e">
        <f>AVERAGE(AN27,AN30)</f>
        <v>#DIV/0!</v>
      </c>
      <c r="AO28" s="1"/>
      <c r="AP28">
        <v>-2.3585398303222647</v>
      </c>
      <c r="AQ28" s="6"/>
      <c r="AR28" s="6" t="e">
        <f>AVERAGE(AR27,AR30)</f>
        <v>#DIV/0!</v>
      </c>
      <c r="AS28">
        <v>2.8978345288085947</v>
      </c>
      <c r="AT28" s="6"/>
      <c r="AU28" s="6" t="e">
        <f>AVERAGE(AU27,AU30)</f>
        <v>#DIV/0!</v>
      </c>
      <c r="AV28">
        <v>3.1732842816162115</v>
      </c>
      <c r="AW28" s="6"/>
      <c r="AX28" s="6" t="e">
        <f>AVERAGE(AX27,AX30)</f>
        <v>#DIV/0!</v>
      </c>
      <c r="AY28" s="6">
        <v>5.8789407898072736E-2</v>
      </c>
      <c r="AZ28" s="6"/>
      <c r="BA28" s="6" t="e">
        <f>AVERAGE(BA27,BA30)</f>
        <v>#DIV/0!</v>
      </c>
      <c r="BB28" s="6">
        <v>0.49623273762136988</v>
      </c>
      <c r="BC28" s="6"/>
      <c r="BD28" s="6" t="e">
        <f>AVERAGE(BD27,BD30)</f>
        <v>#DIV/0!</v>
      </c>
      <c r="BE28" s="6">
        <v>3.8875101018527668E-2</v>
      </c>
      <c r="BF28" s="6"/>
      <c r="BG28" s="6" t="e">
        <f>AVERAGE(BG27,BG30)</f>
        <v>#DIV/0!</v>
      </c>
      <c r="BH28" s="6">
        <v>1.581877077391054</v>
      </c>
      <c r="BI28" s="6"/>
      <c r="BJ28" s="6" t="e">
        <f>AVERAGE(BJ27,BJ30)</f>
        <v>#DIV/0!</v>
      </c>
      <c r="BK28" s="6">
        <v>6.7007775780823569E-3</v>
      </c>
      <c r="BL28" s="6"/>
      <c r="BM28" s="6" t="e">
        <f>AVERAGE(BM27,BM30)</f>
        <v>#DIV/0!</v>
      </c>
      <c r="BN28" s="6">
        <v>0.11192909788491565</v>
      </c>
      <c r="BO28" s="6"/>
      <c r="BP28" s="6" t="e">
        <f>AVERAGE(BP27,BP30)</f>
        <v>#DIV/0!</v>
      </c>
      <c r="BQ28" s="6">
        <v>0.36148746276216404</v>
      </c>
      <c r="BR28" s="6"/>
      <c r="BS28" s="6" t="e">
        <f>AVERAGE(BS27,BS30)</f>
        <v>#DIV/0!</v>
      </c>
      <c r="BT28" s="6">
        <v>1.4574134920515087E-2</v>
      </c>
      <c r="BU28" s="6"/>
      <c r="BV28" s="6" t="e">
        <f>AVERAGE(BV27,BV30)</f>
        <v>#DIV/0!</v>
      </c>
      <c r="BW28" s="6">
        <v>0.32690536553900501</v>
      </c>
      <c r="BX28" s="6"/>
      <c r="BY28" s="1" t="e">
        <f>AVERAGE(BY27,BY30)</f>
        <v>#DIV/0!</v>
      </c>
      <c r="CA28" s="1"/>
      <c r="CB28" s="1"/>
      <c r="CC28" s="1"/>
      <c r="CD28" s="1"/>
      <c r="CE28" s="1"/>
      <c r="CF28" s="1"/>
      <c r="CG28" s="1"/>
      <c r="CH28" s="1"/>
      <c r="CI28" s="1"/>
      <c r="CJ28" s="1"/>
      <c r="CK28" s="1"/>
      <c r="CL28" s="1"/>
      <c r="CM28" s="1"/>
      <c r="CN28" s="1"/>
      <c r="CO28" s="1"/>
      <c r="CP28" s="1"/>
      <c r="CQ28" s="1"/>
      <c r="CR28" s="1"/>
    </row>
    <row r="29" spans="1:96" x14ac:dyDescent="0.25">
      <c r="A29" s="1"/>
      <c r="B29" s="1" t="s">
        <v>117</v>
      </c>
      <c r="C29" s="1">
        <v>16</v>
      </c>
      <c r="E29">
        <v>-2.4993094403076164</v>
      </c>
      <c r="F29" s="6"/>
      <c r="G29" s="6" t="e">
        <f>STDEVA(G27,G30)</f>
        <v>#DIV/0!</v>
      </c>
      <c r="H29" s="1">
        <v>2.0663453143310555</v>
      </c>
      <c r="I29" s="6"/>
      <c r="J29" s="6" t="e">
        <f>STDEVA(J27,J30)</f>
        <v>#DIV/0!</v>
      </c>
      <c r="K29">
        <v>2.9405842822265633</v>
      </c>
      <c r="L29" s="6"/>
      <c r="M29" s="6" t="e">
        <f>STDEVA(M27,M30)</f>
        <v>#DIV/0!</v>
      </c>
      <c r="N29" s="3"/>
      <c r="O29" s="6"/>
      <c r="P29" s="6" t="e">
        <f>STDEVA(P27,P30)</f>
        <v>#DIV/0!</v>
      </c>
      <c r="Q29" s="3"/>
      <c r="R29" s="6"/>
      <c r="S29" s="6" t="e">
        <f>STDEVA(S27,S30)</f>
        <v>#DIV/0!</v>
      </c>
      <c r="T29" s="3"/>
      <c r="U29" s="6"/>
      <c r="V29" s="6" t="e">
        <f>STDEVA(V27,V30)</f>
        <v>#DIV/0!</v>
      </c>
      <c r="W29" s="3"/>
      <c r="X29" s="6"/>
      <c r="Y29" s="6" t="e">
        <f>STDEVA(Y27,Y30)</f>
        <v>#DIV/0!</v>
      </c>
      <c r="Z29" s="3"/>
      <c r="AA29" s="6"/>
      <c r="AB29" s="6" t="e">
        <f>STDEVA(AB27,AB30)</f>
        <v>#DIV/0!</v>
      </c>
      <c r="AC29" s="3"/>
      <c r="AD29" s="6"/>
      <c r="AE29" s="6" t="e">
        <f>STDEVA(AE27,AE30)</f>
        <v>#DIV/0!</v>
      </c>
      <c r="AF29" s="3"/>
      <c r="AG29" s="6"/>
      <c r="AH29" s="6" t="e">
        <f>STDEVA(AH27,AH30)</f>
        <v>#DIV/0!</v>
      </c>
      <c r="AI29" s="3"/>
      <c r="AJ29" s="6"/>
      <c r="AK29" s="6" t="e">
        <f>STDEVA(AK27,AK30)</f>
        <v>#DIV/0!</v>
      </c>
      <c r="AL29" s="3"/>
      <c r="AM29" s="6"/>
      <c r="AN29" s="1" t="e">
        <f>STDEVA(AN27,AN30)</f>
        <v>#DIV/0!</v>
      </c>
      <c r="AO29" s="1"/>
      <c r="AP29">
        <v>-2.376114140624999</v>
      </c>
      <c r="AQ29" s="6"/>
      <c r="AR29" s="6" t="e">
        <f>STDEVA(AR27,AR30)</f>
        <v>#DIV/0!</v>
      </c>
      <c r="AS29">
        <v>2.8001401318359389</v>
      </c>
      <c r="AT29" s="6"/>
      <c r="AU29" s="6" t="e">
        <f>STDEVA(AU27,AU30)</f>
        <v>#DIV/0!</v>
      </c>
      <c r="AV29">
        <v>3.3053548229980478</v>
      </c>
      <c r="AW29" s="6"/>
      <c r="AX29" s="6" t="e">
        <f>STDEVA(AX27,AX30)</f>
        <v>#DIV/0!</v>
      </c>
      <c r="AY29" s="3"/>
      <c r="AZ29" s="6"/>
      <c r="BA29" s="6" t="e">
        <f>STDEVA(BA27,BA30)</f>
        <v>#DIV/0!</v>
      </c>
      <c r="BB29" s="3"/>
      <c r="BC29" s="6"/>
      <c r="BD29" s="6" t="e">
        <f>STDEVA(BD27,BD30)</f>
        <v>#DIV/0!</v>
      </c>
      <c r="BE29" s="3"/>
      <c r="BF29" s="6"/>
      <c r="BG29" s="6" t="e">
        <f>STDEVA(BG27,BG30)</f>
        <v>#DIV/0!</v>
      </c>
      <c r="BH29" s="3"/>
      <c r="BI29" s="6"/>
      <c r="BJ29" s="6" t="e">
        <f>STDEVA(BJ27,BJ30)</f>
        <v>#DIV/0!</v>
      </c>
      <c r="BK29" s="3"/>
      <c r="BL29" s="6"/>
      <c r="BM29" s="6" t="e">
        <f>STDEVA(BM27,BM30)</f>
        <v>#DIV/0!</v>
      </c>
      <c r="BN29" s="3"/>
      <c r="BO29" s="6"/>
      <c r="BP29" s="6" t="e">
        <f>STDEVA(BP27,BP30)</f>
        <v>#DIV/0!</v>
      </c>
      <c r="BQ29" s="3"/>
      <c r="BR29" s="6"/>
      <c r="BS29" s="6" t="e">
        <f>STDEVA(BS27,BS30)</f>
        <v>#DIV/0!</v>
      </c>
      <c r="BT29" s="3"/>
      <c r="BU29" s="6"/>
      <c r="BV29" s="6" t="e">
        <f>STDEVA(BV27,BV30)</f>
        <v>#DIV/0!</v>
      </c>
      <c r="BW29" s="3"/>
      <c r="BX29" s="6"/>
      <c r="BY29" s="1" t="e">
        <f>STDEVA(BY27,BY30)</f>
        <v>#DIV/0!</v>
      </c>
      <c r="CA29" s="1"/>
      <c r="CB29" s="1"/>
      <c r="CC29" s="1"/>
      <c r="CD29" s="1"/>
      <c r="CE29" s="1"/>
      <c r="CF29" s="1"/>
      <c r="CG29" s="1"/>
      <c r="CH29" s="1"/>
      <c r="CI29" s="1"/>
      <c r="CJ29" s="1"/>
      <c r="CK29" s="1"/>
      <c r="CL29" s="1"/>
      <c r="CM29" s="1"/>
      <c r="CN29" s="1"/>
      <c r="CO29" s="1"/>
      <c r="CP29" s="1"/>
      <c r="CQ29" s="1"/>
      <c r="CR29" s="1"/>
    </row>
    <row r="30" spans="1:96" x14ac:dyDescent="0.25">
      <c r="A30" s="1"/>
      <c r="B30" s="1" t="s">
        <v>117</v>
      </c>
      <c r="C30" s="1">
        <v>16</v>
      </c>
      <c r="E30">
        <v>-2.5915083984375009</v>
      </c>
      <c r="F30" s="6"/>
      <c r="G30" s="6" t="e">
        <f>F30/F30</f>
        <v>#DIV/0!</v>
      </c>
      <c r="H30">
        <v>2.9226708312988272</v>
      </c>
      <c r="I30" s="6"/>
      <c r="J30" s="6" t="e">
        <f>I30/I30</f>
        <v>#DIV/0!</v>
      </c>
      <c r="K30">
        <v>2.6003785034179678</v>
      </c>
      <c r="L30" s="6"/>
      <c r="M30" s="6" t="e">
        <f>L30/L30</f>
        <v>#DIV/0!</v>
      </c>
      <c r="N30" s="6">
        <v>7.4793995819166844E-3</v>
      </c>
      <c r="O30" s="6"/>
      <c r="P30" s="6" t="e">
        <f>O30/O30</f>
        <v>#DIV/0!</v>
      </c>
      <c r="Q30" s="6">
        <v>5.0669335920953077E-3</v>
      </c>
      <c r="R30" s="6"/>
      <c r="S30" s="6" t="e">
        <f>R30/R30</f>
        <v>#DIV/0!</v>
      </c>
      <c r="T30" s="6">
        <v>6.007076665706647E-3</v>
      </c>
      <c r="U30" s="6"/>
      <c r="V30" s="6" t="e">
        <f>U30/U30</f>
        <v>#DIV/0!</v>
      </c>
      <c r="W30" s="6">
        <v>2.9412504225195105E-2</v>
      </c>
      <c r="X30" s="6"/>
      <c r="Y30" s="6" t="e">
        <f>X30/X30</f>
        <v>#DIV/0!</v>
      </c>
      <c r="Z30" s="6">
        <v>5.716929221063332E-2</v>
      </c>
      <c r="AA30" s="6"/>
      <c r="AB30" s="6" t="e">
        <f>AA30/AA30</f>
        <v>#DIV/0!</v>
      </c>
      <c r="AC30" s="6">
        <v>0.10642202120584364</v>
      </c>
      <c r="AD30" s="6"/>
      <c r="AE30" s="6" t="e">
        <f>AD30/AD30</f>
        <v>#DIV/0!</v>
      </c>
      <c r="AF30" s="6">
        <v>0.23154933481362197</v>
      </c>
      <c r="AG30" s="6"/>
      <c r="AH30" s="6" t="e">
        <f>AG30/AG30</f>
        <v>#DIV/0!</v>
      </c>
      <c r="AI30" s="6">
        <v>4.9493344108070811E-2</v>
      </c>
      <c r="AJ30" s="6"/>
      <c r="AK30" s="6" t="e">
        <f>AJ30/AJ30</f>
        <v>#DIV/0!</v>
      </c>
      <c r="AL30" s="6">
        <v>0.15545512074794657</v>
      </c>
      <c r="AM30" s="6"/>
      <c r="AN30" s="1" t="e">
        <f>AM30/AM30</f>
        <v>#DIV/0!</v>
      </c>
      <c r="AO30" s="1"/>
      <c r="AP30">
        <v>-1.7381282305908208</v>
      </c>
      <c r="AQ30" s="6"/>
      <c r="AR30" s="6" t="e">
        <f>AQ30/AQ30</f>
        <v>#DIV/0!</v>
      </c>
      <c r="AS30">
        <v>3.2547974133300777</v>
      </c>
      <c r="AT30" s="6"/>
      <c r="AU30" s="6" t="e">
        <f>AT30/AT30</f>
        <v>#DIV/0!</v>
      </c>
      <c r="AV30">
        <v>3.1036362194824214</v>
      </c>
      <c r="AW30" s="6"/>
      <c r="AX30" s="6" t="e">
        <f>AW30/AW30</f>
        <v>#DIV/0!</v>
      </c>
      <c r="AY30" s="6">
        <v>9.3649928755138945E-2</v>
      </c>
      <c r="AZ30" s="6"/>
      <c r="BA30" s="6" t="e">
        <f>AZ30/AZ30</f>
        <v>#DIV/0!</v>
      </c>
      <c r="BB30" s="6">
        <v>3.1383234215954479E-2</v>
      </c>
      <c r="BC30" s="6"/>
      <c r="BD30" s="6" t="e">
        <f>BC30/BC30</f>
        <v>#DIV/0!</v>
      </c>
      <c r="BE30" s="6">
        <v>2.1541712013455481</v>
      </c>
      <c r="BF30" s="6"/>
      <c r="BG30" s="6" t="e">
        <f>BF30/BF30</f>
        <v>#DIV/0!</v>
      </c>
      <c r="BH30" s="6">
        <v>5.0809512392245341E-2</v>
      </c>
      <c r="BI30" s="6"/>
      <c r="BJ30" s="6" t="e">
        <f>BI30/BI30</f>
        <v>#DIV/0!</v>
      </c>
      <c r="BK30" s="6">
        <v>0.25519153953682072</v>
      </c>
      <c r="BL30" s="6"/>
      <c r="BM30" s="6" t="e">
        <f>BL30/BL30</f>
        <v>#DIV/0!</v>
      </c>
      <c r="BN30" s="6">
        <v>0.45299218292796212</v>
      </c>
      <c r="BO30" s="6"/>
      <c r="BP30" s="6" t="e">
        <f>BO30/BO30</f>
        <v>#DIV/0!</v>
      </c>
      <c r="BQ30" s="6">
        <v>0.4279656361499008</v>
      </c>
      <c r="BR30" s="6"/>
      <c r="BS30" s="6" t="e">
        <f>BR30/BR30</f>
        <v>#DIV/0!</v>
      </c>
      <c r="BT30" s="6">
        <v>2.4894012380067025E-3</v>
      </c>
      <c r="BU30" s="6"/>
      <c r="BV30" s="6" t="e">
        <f>BU30/BU30</f>
        <v>#DIV/0!</v>
      </c>
      <c r="BW30" s="6">
        <v>0.35933231260601678</v>
      </c>
      <c r="BX30" s="6"/>
      <c r="BY30" s="1" t="e">
        <f>BX30/BX30</f>
        <v>#DIV/0!</v>
      </c>
      <c r="CA30" s="1"/>
      <c r="CB30" s="1"/>
      <c r="CC30" s="1"/>
      <c r="CD30" s="1"/>
      <c r="CE30" s="1"/>
      <c r="CF30" s="1"/>
      <c r="CH30" s="1"/>
      <c r="CI30" s="1"/>
      <c r="CJ30" s="1"/>
      <c r="CK30" s="1"/>
      <c r="CL30" s="1"/>
      <c r="CM30" s="1"/>
      <c r="CN30" s="1"/>
      <c r="CO30" s="1"/>
      <c r="CP30" s="1"/>
      <c r="CQ30" s="1"/>
      <c r="CR30" s="1"/>
    </row>
    <row r="31" spans="1:96" x14ac:dyDescent="0.25">
      <c r="A31" s="1"/>
      <c r="B31" s="1" t="s">
        <v>117</v>
      </c>
      <c r="C31" s="1">
        <v>16</v>
      </c>
      <c r="E31">
        <v>-2.6596884826660165</v>
      </c>
      <c r="F31" s="6"/>
      <c r="G31" s="6"/>
      <c r="H31">
        <v>2.9355854888916006</v>
      </c>
      <c r="I31" s="6"/>
      <c r="J31" s="6"/>
      <c r="K31">
        <v>2.6109280487060538</v>
      </c>
      <c r="L31" s="6"/>
      <c r="M31" s="6"/>
      <c r="N31" s="6">
        <v>7.3415570130850559E-3</v>
      </c>
      <c r="O31" s="6"/>
      <c r="P31" s="6"/>
      <c r="Q31" s="6">
        <v>5.3210731811994252E-3</v>
      </c>
      <c r="R31" s="6"/>
      <c r="S31" s="6"/>
      <c r="T31" s="6">
        <v>5.8129297073904055E-3</v>
      </c>
      <c r="U31" s="6"/>
      <c r="V31" s="6"/>
      <c r="W31" s="6">
        <v>2.7152061416451757E-2</v>
      </c>
      <c r="X31" s="6"/>
      <c r="Y31" s="6"/>
      <c r="Z31" s="6">
        <v>5.89780270910856E-2</v>
      </c>
      <c r="AA31" s="6"/>
      <c r="AB31" s="6"/>
      <c r="AC31" s="6">
        <v>0.10575048821677188</v>
      </c>
      <c r="AD31" s="6"/>
      <c r="AE31" s="6"/>
      <c r="AF31" s="6">
        <v>0.22745120133075022</v>
      </c>
      <c r="AG31" s="6"/>
      <c r="AH31" s="6"/>
      <c r="AI31" s="6">
        <v>5.7869657672393292E-2</v>
      </c>
      <c r="AJ31" s="6"/>
      <c r="AK31" s="6"/>
      <c r="AL31" s="6">
        <v>0.18040184558104269</v>
      </c>
      <c r="AM31" s="6"/>
      <c r="AN31" s="1"/>
      <c r="AO31" s="1"/>
      <c r="AP31">
        <v>-1.7252593493652351</v>
      </c>
      <c r="AQ31" s="6"/>
      <c r="AR31" s="6"/>
      <c r="AS31">
        <v>3.2338699841308594</v>
      </c>
      <c r="AT31" s="6"/>
      <c r="AU31" s="6"/>
      <c r="AV31">
        <v>3.1046509289550777</v>
      </c>
      <c r="AW31" s="6"/>
      <c r="AX31" s="6"/>
      <c r="AY31" s="6">
        <v>9.9908162993074784E-2</v>
      </c>
      <c r="AZ31" s="6"/>
      <c r="BA31" s="6"/>
      <c r="BB31" s="6">
        <v>2.8881922299963638E-2</v>
      </c>
      <c r="BC31" s="6"/>
      <c r="BD31" s="6"/>
      <c r="BE31" s="6">
        <v>2.0235087038309909</v>
      </c>
      <c r="BF31" s="6"/>
      <c r="BG31" s="6"/>
      <c r="BH31" s="6">
        <v>5.1350909640457312E-2</v>
      </c>
      <c r="BI31" s="6"/>
      <c r="BJ31" s="6"/>
      <c r="BK31" s="6">
        <v>0.26281117760748179</v>
      </c>
      <c r="BL31" s="6"/>
      <c r="BM31" s="6"/>
      <c r="BN31" s="6">
        <v>0.44809774641350836</v>
      </c>
      <c r="BO31" s="6"/>
      <c r="BP31" s="6"/>
      <c r="BQ31" s="6">
        <v>0.42811390193836413</v>
      </c>
      <c r="BR31" s="6"/>
      <c r="BS31" s="6"/>
      <c r="BT31" s="6">
        <v>2.5565791459674267E-3</v>
      </c>
      <c r="BU31" s="6"/>
      <c r="BV31" s="6"/>
      <c r="BW31" s="6">
        <v>0.34717538594454317</v>
      </c>
      <c r="BX31" s="6"/>
      <c r="BY31" s="1"/>
      <c r="CA31" s="1"/>
      <c r="CB31" s="1"/>
      <c r="CC31" s="1"/>
      <c r="CD31" s="1"/>
      <c r="CE31" s="1"/>
      <c r="CF31" s="1"/>
      <c r="CH31" s="1"/>
      <c r="CI31" s="1"/>
      <c r="CJ31" s="1"/>
      <c r="CK31" s="1"/>
      <c r="CL31" s="1"/>
      <c r="CM31" s="1"/>
      <c r="CN31" s="1"/>
      <c r="CO31" s="1"/>
      <c r="CP31" s="1"/>
      <c r="CQ31" s="1"/>
      <c r="CR31" s="1"/>
    </row>
    <row r="32" spans="1:96" x14ac:dyDescent="0.25">
      <c r="A32" s="1"/>
      <c r="B32" s="1" t="s">
        <v>117</v>
      </c>
      <c r="C32" s="1">
        <v>16</v>
      </c>
      <c r="E32">
        <v>-2.6841464141845712</v>
      </c>
      <c r="F32" s="6"/>
      <c r="G32" s="6"/>
      <c r="H32">
        <v>2.9609742065429678</v>
      </c>
      <c r="I32" s="6"/>
      <c r="J32" s="6"/>
      <c r="K32">
        <v>2.5901913543701163</v>
      </c>
      <c r="L32" s="6"/>
      <c r="M32" s="6"/>
      <c r="N32" s="6">
        <v>7.4303175283425152E-3</v>
      </c>
      <c r="O32" s="6"/>
      <c r="P32" s="6"/>
      <c r="Q32" s="6">
        <v>4.9406004087359547E-3</v>
      </c>
      <c r="R32" s="6"/>
      <c r="S32" s="6"/>
      <c r="T32" s="6">
        <v>6.2159779672407147E-3</v>
      </c>
      <c r="U32" s="6"/>
      <c r="V32" s="6"/>
      <c r="W32" s="6">
        <v>2.9253234318366444E-2</v>
      </c>
      <c r="X32" s="6"/>
      <c r="Y32" s="6"/>
      <c r="Z32" s="6">
        <v>5.8639196591537136E-2</v>
      </c>
      <c r="AA32" s="6"/>
      <c r="AB32" s="6"/>
      <c r="AC32" s="6">
        <v>0.1061675224343564</v>
      </c>
      <c r="AD32" s="6"/>
      <c r="AE32" s="6"/>
      <c r="AF32" s="6">
        <v>0.23371729759653956</v>
      </c>
      <c r="AG32" s="6"/>
      <c r="AH32" s="6"/>
      <c r="AI32" s="6">
        <v>5.7596711029619801E-2</v>
      </c>
      <c r="AJ32" s="6"/>
      <c r="AK32" s="6"/>
      <c r="AL32" s="6">
        <v>0.18040804680379588</v>
      </c>
      <c r="AM32" s="6"/>
      <c r="AN32" s="1"/>
      <c r="AO32" s="1"/>
      <c r="AP32">
        <v>-1.7841678118896491</v>
      </c>
      <c r="AQ32" s="6"/>
      <c r="AR32" s="6"/>
      <c r="AS32">
        <v>3.2715496563720698</v>
      </c>
      <c r="AT32" s="6"/>
      <c r="AU32" s="6"/>
      <c r="AV32">
        <v>3.0745453381347652</v>
      </c>
      <c r="AW32" s="6"/>
      <c r="AX32" s="6"/>
      <c r="AY32" s="6"/>
      <c r="AZ32" s="6"/>
      <c r="BA32" s="6"/>
      <c r="BB32" s="6"/>
      <c r="BC32" s="6"/>
      <c r="BD32" s="6"/>
      <c r="BE32" s="6"/>
      <c r="BF32" s="6"/>
      <c r="BG32" s="6"/>
      <c r="BH32" s="6">
        <v>5.0901220257258711E-2</v>
      </c>
      <c r="BI32" s="6"/>
      <c r="BJ32" s="6"/>
      <c r="BK32" s="6">
        <v>0.2629974798368091</v>
      </c>
      <c r="BL32" s="6"/>
      <c r="BM32" s="6"/>
      <c r="BN32" s="6">
        <v>0.45772338710998578</v>
      </c>
      <c r="BO32" s="6"/>
      <c r="BP32" s="6"/>
      <c r="BQ32" s="6">
        <v>0.43652064147767605</v>
      </c>
      <c r="BR32" s="6"/>
      <c r="BS32" s="6"/>
      <c r="BT32" s="6">
        <v>2.6234290333797135E-3</v>
      </c>
      <c r="BU32" s="6"/>
      <c r="BV32" s="6"/>
      <c r="BW32" s="6">
        <v>0.35243866383002814</v>
      </c>
      <c r="BX32" s="6"/>
      <c r="BY32" s="1"/>
      <c r="CA32" s="1"/>
      <c r="CB32" s="1"/>
      <c r="CC32" s="1"/>
      <c r="CD32" s="1"/>
      <c r="CE32" s="1"/>
      <c r="CF32" s="1"/>
      <c r="CH32" s="1"/>
      <c r="CI32" s="1"/>
      <c r="CJ32" s="1"/>
      <c r="CK32" s="1"/>
      <c r="CL32" s="1"/>
      <c r="CM32" s="1"/>
      <c r="CN32" s="1"/>
      <c r="CO32" s="1"/>
      <c r="CP32" s="1"/>
      <c r="CQ32" s="1"/>
      <c r="CR32" s="1"/>
    </row>
    <row r="33" spans="1:96" x14ac:dyDescent="0.25">
      <c r="A33" s="1"/>
      <c r="B33" s="1" t="s">
        <v>4</v>
      </c>
      <c r="C33" s="1">
        <v>16</v>
      </c>
      <c r="E33">
        <v>-2.3394111846923842</v>
      </c>
      <c r="F33" s="6">
        <f>AVERAGE(E33:E38)</f>
        <v>-2.5093846828206394</v>
      </c>
      <c r="G33" s="6">
        <f>F33/F27</f>
        <v>0.97961622108054824</v>
      </c>
      <c r="H33" s="1">
        <v>2.1307330871582018</v>
      </c>
      <c r="I33" s="6">
        <f>AVERAGE(H33:H38)</f>
        <v>2.4161855894775379</v>
      </c>
      <c r="J33" s="6">
        <f>I33/I27</f>
        <v>0.97595467246506584</v>
      </c>
      <c r="K33">
        <v>3.2192550445556627</v>
      </c>
      <c r="L33" s="6">
        <f>AVERAGE(K33:K38)</f>
        <v>2.7428920556640612</v>
      </c>
      <c r="M33" s="6">
        <f>L33/L27</f>
        <v>0.99461292539291746</v>
      </c>
      <c r="N33" s="6">
        <v>6.7469223903071597E-3</v>
      </c>
      <c r="O33" s="6">
        <f>AVERAGE(N33:N38)</f>
        <v>6.7721713163119493E-3</v>
      </c>
      <c r="P33" s="6">
        <f>O33/O27</f>
        <v>0.70068559043898726</v>
      </c>
      <c r="Q33" s="6">
        <v>0.12118227071786764</v>
      </c>
      <c r="R33" s="6">
        <f>AVERAGE(Q33:Q38)</f>
        <v>5.3592544515352669E-2</v>
      </c>
      <c r="S33" s="6">
        <f>R33/R27</f>
        <v>0.73166315667305626</v>
      </c>
      <c r="T33" s="6">
        <v>3.8992472301029681E-3</v>
      </c>
      <c r="U33" s="6">
        <f>AVERAGE(T33:T38)</f>
        <v>5.3019136991604588E-3</v>
      </c>
      <c r="V33" s="6">
        <f>U33/U27</f>
        <v>0.65203095340510664</v>
      </c>
      <c r="W33" s="6">
        <v>0.42342354986396497</v>
      </c>
      <c r="X33" s="6">
        <f>AVERAGE(W33:W38)</f>
        <v>0.19602463384250088</v>
      </c>
      <c r="Y33" s="6">
        <f>X33/X27</f>
        <v>0.73884734755001003</v>
      </c>
      <c r="Z33" s="6">
        <v>6.8028198158072581E-2</v>
      </c>
      <c r="AA33" s="6">
        <f>AVERAGE(Z33:Z38)</f>
        <v>8.2000145690508647E-2</v>
      </c>
      <c r="AB33" s="6">
        <f>AA33/AA27</f>
        <v>0.97136746059914092</v>
      </c>
      <c r="AC33" s="6">
        <v>4.4760266204359953E-2</v>
      </c>
      <c r="AD33" s="6">
        <f>AVERAGE(AC33:AC38)</f>
        <v>7.8499425631082656E-2</v>
      </c>
      <c r="AE33" s="6">
        <f>AD33/AD27</f>
        <v>0.96365799104475558</v>
      </c>
      <c r="AF33" s="6">
        <v>0.12573570899856731</v>
      </c>
      <c r="AG33" s="6">
        <f>AVERAGE(AF33:AF38)</f>
        <v>0.16097790024811309</v>
      </c>
      <c r="AH33" s="6">
        <f>AG33/AG27</f>
        <v>0.83313231637127705</v>
      </c>
      <c r="AI33" s="6">
        <v>1.2098032184037757E-2</v>
      </c>
      <c r="AJ33" s="6">
        <f>AVERAGE(AI33:AI38)</f>
        <v>4.8265916581825712E-2</v>
      </c>
      <c r="AK33" s="6">
        <f>AJ33/AJ27</f>
        <v>1.2724609074247091</v>
      </c>
      <c r="AL33" s="6">
        <v>9.5844636254780263E-2</v>
      </c>
      <c r="AM33" s="6">
        <f>AVERAGE(AL33:AL38)</f>
        <v>0.17862071051835193</v>
      </c>
      <c r="AN33" s="1">
        <f>AM33/AM27</f>
        <v>1.1793455801575199</v>
      </c>
      <c r="AO33" s="1"/>
      <c r="AP33">
        <v>-2.3036417437744134</v>
      </c>
      <c r="AQ33" s="6">
        <f>AVERAGE(AP33:AP38)</f>
        <v>-1.9532137938435874</v>
      </c>
      <c r="AR33" s="6">
        <f>AQ33/AQ27</f>
        <v>0.95414394636996569</v>
      </c>
      <c r="AS33">
        <v>3.0603013562011725</v>
      </c>
      <c r="AT33" s="6">
        <f>AVERAGE(AS33:AS38)</f>
        <v>3.1071213654581702</v>
      </c>
      <c r="AU33" s="6">
        <f>AT33/AT27</f>
        <v>1.0140611700797955</v>
      </c>
      <c r="AV33">
        <v>3.1521211193847658</v>
      </c>
      <c r="AW33" s="6">
        <f>AVERAGE(AV33:AV38)</f>
        <v>3.1802882126871741</v>
      </c>
      <c r="AX33" s="6">
        <f>AW33/AW27</f>
        <v>0.99997934851958292</v>
      </c>
      <c r="AY33" s="6">
        <v>5.3852253526763504E-2</v>
      </c>
      <c r="AZ33" s="6">
        <f>AVERAGE(AY33:AY38)</f>
        <v>9.3635849590484516E-2</v>
      </c>
      <c r="BA33" s="6">
        <f>AZ33/AZ27</f>
        <v>1.2040061299865314</v>
      </c>
      <c r="BB33" s="6">
        <v>0.43838499063072589</v>
      </c>
      <c r="BC33" s="6">
        <f>AVERAGE(BB33:BB38)</f>
        <v>0.19325253767294803</v>
      </c>
      <c r="BD33" s="6">
        <f>BC33/BC27</f>
        <v>0.65164230265669765</v>
      </c>
      <c r="BE33" s="6">
        <v>3.6159583955551224E-2</v>
      </c>
      <c r="BF33" s="6">
        <f>AVERAGE(BE33:BE38)</f>
        <v>6.6277949768630787E-2</v>
      </c>
      <c r="BG33" s="6">
        <f>BF33/BF27</f>
        <v>6.2294569068387408E-2</v>
      </c>
      <c r="BH33" s="6">
        <v>1.0949951012690291</v>
      </c>
      <c r="BI33" s="6">
        <f>AVERAGE(BH33:BH38)</f>
        <v>0.4808351843390401</v>
      </c>
      <c r="BJ33" s="6">
        <f>BI33/BI27</f>
        <v>0.73464278311645381</v>
      </c>
      <c r="BK33" s="6">
        <v>5.3726769019316559E-3</v>
      </c>
      <c r="BL33" s="6">
        <f>AVERAGE(BK33:BK38)</f>
        <v>0.19236926219178541</v>
      </c>
      <c r="BM33" s="6">
        <f>BL33/BL27</f>
        <v>1.2109236564302366</v>
      </c>
      <c r="BN33" s="6">
        <v>0.11184005028372215</v>
      </c>
      <c r="BO33" s="6">
        <f>AVERAGE(BN33:BN38)</f>
        <v>0.28171811796974711</v>
      </c>
      <c r="BP33" s="6">
        <f>BO33/BO27</f>
        <v>0.89651356523485282</v>
      </c>
      <c r="BQ33" s="6">
        <v>0.17280303602742664</v>
      </c>
      <c r="BR33" s="6">
        <f>AVERAGE(BQ33:BQ38)</f>
        <v>0.31466674991833282</v>
      </c>
      <c r="BS33" s="6">
        <f>BR33/BR27</f>
        <v>0.78364010460516509</v>
      </c>
      <c r="BT33" s="6">
        <v>2.4156935142899068E-2</v>
      </c>
      <c r="BU33" s="6">
        <f>AVERAGE(BT33:BT38)</f>
        <v>1.0900590596664785E-2</v>
      </c>
      <c r="BV33" s="6">
        <f>BU33/BU27</f>
        <v>1.2702779054740232</v>
      </c>
      <c r="BW33" s="6">
        <v>0.22728647348305436</v>
      </c>
      <c r="BX33" s="6">
        <f>AVERAGE(BW33:BW38)</f>
        <v>0.31564179926020863</v>
      </c>
      <c r="BY33" s="1">
        <f>BX33/BX27</f>
        <v>0.93044980532680921</v>
      </c>
      <c r="CA33" s="1"/>
      <c r="CB33" s="1"/>
      <c r="CC33" s="1"/>
      <c r="CD33" s="1"/>
      <c r="CE33" s="1"/>
      <c r="CF33" s="1"/>
      <c r="CG33" s="1"/>
      <c r="CH33" s="1"/>
      <c r="CI33" s="1"/>
      <c r="CJ33" s="1"/>
      <c r="CK33" s="1"/>
      <c r="CL33" s="1"/>
      <c r="CM33" s="1"/>
      <c r="CN33" s="1"/>
      <c r="CO33" s="1"/>
      <c r="CP33" s="1"/>
      <c r="CQ33" s="1"/>
      <c r="CR33" s="1"/>
    </row>
    <row r="34" spans="1:96" x14ac:dyDescent="0.25">
      <c r="A34" s="1"/>
      <c r="B34" s="1" t="s">
        <v>4</v>
      </c>
      <c r="C34" s="1">
        <v>16</v>
      </c>
      <c r="E34">
        <v>-2.4278320526123061</v>
      </c>
      <c r="F34" s="6"/>
      <c r="G34" s="6" t="e">
        <f>AVERAGE(G33,G36)</f>
        <v>#DIV/0!</v>
      </c>
      <c r="H34" s="1"/>
      <c r="I34" s="6"/>
      <c r="J34" s="6" t="e">
        <f>AVERAGE(J33,J36)</f>
        <v>#DIV/0!</v>
      </c>
      <c r="K34">
        <v>3.0972533966064439</v>
      </c>
      <c r="L34" s="6"/>
      <c r="M34" s="6" t="e">
        <f>AVERAGE(M33,M36)</f>
        <v>#DIV/0!</v>
      </c>
      <c r="N34" s="6">
        <v>5.988364028245265E-3</v>
      </c>
      <c r="O34" s="6"/>
      <c r="P34" s="6" t="e">
        <f>AVERAGE(P33,P36)</f>
        <v>#DIV/0!</v>
      </c>
      <c r="Q34" s="6">
        <v>0.12602638498348651</v>
      </c>
      <c r="R34" s="6"/>
      <c r="S34" s="6" t="e">
        <f>AVERAGE(S33,S36)</f>
        <v>#DIV/0!</v>
      </c>
      <c r="T34" s="6">
        <v>3.7013702243698125E-3</v>
      </c>
      <c r="U34" s="6"/>
      <c r="V34" s="6" t="e">
        <f>AVERAGE(V33,V36)</f>
        <v>#DIV/0!</v>
      </c>
      <c r="W34" s="6">
        <v>0.42942755697844298</v>
      </c>
      <c r="X34" s="6"/>
      <c r="Y34" s="6" t="e">
        <f>AVERAGE(Y33,Y36)</f>
        <v>#DIV/0!</v>
      </c>
      <c r="Z34" s="6">
        <v>6.8805080440364472E-2</v>
      </c>
      <c r="AA34" s="6"/>
      <c r="AB34" s="6" t="e">
        <f>AVERAGE(AB33,AB36)</f>
        <v>#DIV/0!</v>
      </c>
      <c r="AC34" s="6">
        <v>4.2136150163896248E-2</v>
      </c>
      <c r="AD34" s="6"/>
      <c r="AE34" s="6" t="e">
        <f>AVERAGE(AE33,AE36)</f>
        <v>#DIV/0!</v>
      </c>
      <c r="AF34" s="6">
        <v>0.11142760103936962</v>
      </c>
      <c r="AG34" s="6"/>
      <c r="AH34" s="6" t="e">
        <f>AVERAGE(AH33,AH36)</f>
        <v>#DIV/0!</v>
      </c>
      <c r="AI34" s="6">
        <v>1.1358548789608663E-2</v>
      </c>
      <c r="AJ34" s="6"/>
      <c r="AK34" s="6" t="e">
        <f>AVERAGE(AK33,AK36)</f>
        <v>#DIV/0!</v>
      </c>
      <c r="AL34" s="6">
        <v>9.2660682568636216E-2</v>
      </c>
      <c r="AM34" s="6"/>
      <c r="AN34" s="1" t="e">
        <f>AVERAGE(AN33,AN36)</f>
        <v>#DIV/0!</v>
      </c>
      <c r="AO34" s="1"/>
      <c r="AP34">
        <v>-2.3115038348388666</v>
      </c>
      <c r="AQ34" s="6"/>
      <c r="AR34" s="6" t="e">
        <f>AVERAGE(AR33,AR36)</f>
        <v>#DIV/0!</v>
      </c>
      <c r="AS34">
        <v>3.0446191357421881</v>
      </c>
      <c r="AT34" s="6"/>
      <c r="AU34" s="6" t="e">
        <f>AVERAGE(AU33,AU36)</f>
        <v>#DIV/0!</v>
      </c>
      <c r="AV34">
        <v>3.1464582012939459</v>
      </c>
      <c r="AW34" s="6"/>
      <c r="AX34" s="6" t="e">
        <f>AVERAGE(AX33,AX36)</f>
        <v>#DIV/0!</v>
      </c>
      <c r="AY34" s="6">
        <v>5.5403112564521018E-2</v>
      </c>
      <c r="AZ34" s="6"/>
      <c r="BA34" s="6" t="e">
        <f>AVERAGE(BA33,BA36)</f>
        <v>#DIV/0!</v>
      </c>
      <c r="BB34" s="6">
        <v>0.42107902943365771</v>
      </c>
      <c r="BC34" s="6"/>
      <c r="BD34" s="6" t="e">
        <f>AVERAGE(BD33,BD36)</f>
        <v>#DIV/0!</v>
      </c>
      <c r="BE34" s="6">
        <v>3.5690666065218098E-2</v>
      </c>
      <c r="BF34" s="6"/>
      <c r="BG34" s="6" t="e">
        <f>AVERAGE(BG33,BG36)</f>
        <v>#DIV/0!</v>
      </c>
      <c r="BH34" s="6">
        <v>1.1503252352003486</v>
      </c>
      <c r="BI34" s="6"/>
      <c r="BJ34" s="6" t="e">
        <f>AVERAGE(BJ33,BJ36)</f>
        <v>#DIV/0!</v>
      </c>
      <c r="BK34" s="6">
        <v>5.4815907923101781E-3</v>
      </c>
      <c r="BL34" s="6"/>
      <c r="BM34" s="6" t="e">
        <f>AVERAGE(BM33,BM36)</f>
        <v>#DIV/0!</v>
      </c>
      <c r="BN34" s="6">
        <v>0.11329476870046641</v>
      </c>
      <c r="BO34" s="6"/>
      <c r="BP34" s="6" t="e">
        <f>AVERAGE(BP33,BP36)</f>
        <v>#DIV/0!</v>
      </c>
      <c r="BQ34" s="6">
        <v>0.18018143525488278</v>
      </c>
      <c r="BR34" s="6"/>
      <c r="BS34" s="6" t="e">
        <f>AVERAGE(BS33,BS36)</f>
        <v>#DIV/0!</v>
      </c>
      <c r="BT34" s="6">
        <v>2.323983452515805E-2</v>
      </c>
      <c r="BU34" s="6"/>
      <c r="BV34" s="6" t="e">
        <f>AVERAGE(BV33,BV36)</f>
        <v>#DIV/0!</v>
      </c>
      <c r="BW34" s="6">
        <v>0.22819033507995884</v>
      </c>
      <c r="BX34" s="6"/>
      <c r="BY34" s="1" t="e">
        <f>AVERAGE(BY33,BY36)</f>
        <v>#DIV/0!</v>
      </c>
      <c r="CA34" s="1"/>
      <c r="CB34" s="1"/>
      <c r="CC34" s="1"/>
      <c r="CD34" s="1"/>
      <c r="CE34" s="1"/>
      <c r="CF34" s="1"/>
      <c r="CG34" s="1"/>
      <c r="CH34" s="1"/>
      <c r="CI34" s="1"/>
      <c r="CJ34" s="1"/>
      <c r="CK34" s="1"/>
      <c r="CL34" s="1"/>
      <c r="CM34" s="1"/>
      <c r="CN34" s="1"/>
      <c r="CO34" s="1"/>
      <c r="CP34" s="1"/>
      <c r="CQ34" s="1"/>
      <c r="CR34" s="1"/>
    </row>
    <row r="35" spans="1:96" x14ac:dyDescent="0.25">
      <c r="A35" s="1"/>
      <c r="B35" s="1" t="s">
        <v>4</v>
      </c>
      <c r="C35" s="1">
        <v>16</v>
      </c>
      <c r="E35">
        <v>-2.4079288696289076</v>
      </c>
      <c r="F35" s="6"/>
      <c r="G35" s="6" t="e">
        <f>STDEVA(G33,G36)</f>
        <v>#DIV/0!</v>
      </c>
      <c r="H35" s="1">
        <v>2.1366172576904283</v>
      </c>
      <c r="I35" s="6"/>
      <c r="J35" s="6" t="e">
        <f>STDEVA(J33,J36)</f>
        <v>#DIV/0!</v>
      </c>
      <c r="K35">
        <v>3.1751800323486314</v>
      </c>
      <c r="L35" s="6"/>
      <c r="M35" s="6" t="e">
        <f>STDEVA(M33,M36)</f>
        <v>#DIV/0!</v>
      </c>
      <c r="N35" s="3"/>
      <c r="O35" s="6"/>
      <c r="P35" s="6" t="e">
        <f>STDEVA(P33,P36)</f>
        <v>#DIV/0!</v>
      </c>
      <c r="Q35" s="3"/>
      <c r="R35" s="6"/>
      <c r="S35" s="6" t="e">
        <f>STDEVA(S33,S36)</f>
        <v>#DIV/0!</v>
      </c>
      <c r="T35" s="3"/>
      <c r="U35" s="6"/>
      <c r="V35" s="6" t="e">
        <f>STDEVA(V33,V36)</f>
        <v>#DIV/0!</v>
      </c>
      <c r="W35" s="3"/>
      <c r="X35" s="6"/>
      <c r="Y35" s="6" t="e">
        <f>STDEVA(Y33,Y36)</f>
        <v>#DIV/0!</v>
      </c>
      <c r="Z35" s="3"/>
      <c r="AA35" s="6"/>
      <c r="AB35" s="6" t="e">
        <f>STDEVA(AB33,AB36)</f>
        <v>#DIV/0!</v>
      </c>
      <c r="AC35" s="3"/>
      <c r="AD35" s="6"/>
      <c r="AE35" s="6" t="e">
        <f>STDEVA(AE33,AE36)</f>
        <v>#DIV/0!</v>
      </c>
      <c r="AF35" s="3"/>
      <c r="AG35" s="6"/>
      <c r="AH35" s="6" t="e">
        <f>STDEVA(AH33,AH36)</f>
        <v>#DIV/0!</v>
      </c>
      <c r="AI35" s="3"/>
      <c r="AJ35" s="6"/>
      <c r="AK35" s="6" t="e">
        <f>STDEVA(AK33,AK36)</f>
        <v>#DIV/0!</v>
      </c>
      <c r="AL35" s="3"/>
      <c r="AM35" s="6"/>
      <c r="AN35" s="1" t="e">
        <f>STDEVA(AN33,AN36)</f>
        <v>#DIV/0!</v>
      </c>
      <c r="AO35" s="1"/>
      <c r="AP35">
        <v>-2.3411669207763666</v>
      </c>
      <c r="AQ35" s="6"/>
      <c r="AR35" s="6" t="e">
        <f>STDEVA(AR33,AR36)</f>
        <v>#DIV/0!</v>
      </c>
      <c r="AS35">
        <v>3.07218795288086</v>
      </c>
      <c r="AT35" s="6"/>
      <c r="AU35" s="6" t="e">
        <f>STDEVA(AU33,AU36)</f>
        <v>#DIV/0!</v>
      </c>
      <c r="AV35">
        <v>3.1004281567382814</v>
      </c>
      <c r="AW35" s="6"/>
      <c r="AX35" s="6" t="e">
        <f>STDEVA(AX33,AX36)</f>
        <v>#DIV/0!</v>
      </c>
      <c r="AY35" s="3"/>
      <c r="AZ35" s="6"/>
      <c r="BA35" s="6" t="e">
        <f>STDEVA(BA33,BA36)</f>
        <v>#DIV/0!</v>
      </c>
      <c r="BB35" s="3"/>
      <c r="BC35" s="6"/>
      <c r="BD35" s="6" t="e">
        <f>STDEVA(BD33,BD36)</f>
        <v>#DIV/0!</v>
      </c>
      <c r="BE35" s="3"/>
      <c r="BF35" s="6"/>
      <c r="BG35" s="6" t="e">
        <f>STDEVA(BG33,BG36)</f>
        <v>#DIV/0!</v>
      </c>
      <c r="BH35" s="3"/>
      <c r="BI35" s="6"/>
      <c r="BJ35" s="6" t="e">
        <f>STDEVA(BJ33,BJ36)</f>
        <v>#DIV/0!</v>
      </c>
      <c r="BK35" s="3"/>
      <c r="BL35" s="6"/>
      <c r="BM35" s="6" t="e">
        <f>STDEVA(BM33,BM36)</f>
        <v>#DIV/0!</v>
      </c>
      <c r="BN35" s="3"/>
      <c r="BO35" s="6"/>
      <c r="BP35" s="6" t="e">
        <f>STDEVA(BP33,BP36)</f>
        <v>#DIV/0!</v>
      </c>
      <c r="BQ35" s="3"/>
      <c r="BR35" s="6"/>
      <c r="BS35" s="6" t="e">
        <f>STDEVA(BS33,BS36)</f>
        <v>#DIV/0!</v>
      </c>
      <c r="BT35" s="3"/>
      <c r="BU35" s="6"/>
      <c r="BV35" s="6" t="e">
        <f>STDEVA(BV33,BV36)</f>
        <v>#DIV/0!</v>
      </c>
      <c r="BW35" s="3"/>
      <c r="BX35" s="6"/>
      <c r="BY35" s="1" t="e">
        <f>STDEVA(BY33,BY36)</f>
        <v>#DIV/0!</v>
      </c>
      <c r="CA35" s="1"/>
      <c r="CB35" s="1"/>
      <c r="CC35" s="1"/>
      <c r="CD35" s="1"/>
      <c r="CE35" s="1"/>
      <c r="CF35" s="1"/>
      <c r="CG35" s="1"/>
      <c r="CH35" s="1"/>
      <c r="CI35" s="1"/>
      <c r="CJ35" s="1"/>
      <c r="CK35" s="1"/>
      <c r="CL35" s="1"/>
      <c r="CM35" s="1"/>
      <c r="CN35" s="1"/>
      <c r="CO35" s="1"/>
      <c r="CP35" s="1"/>
      <c r="CQ35" s="1"/>
      <c r="CR35" s="1"/>
    </row>
    <row r="36" spans="1:96" x14ac:dyDescent="0.25">
      <c r="A36" s="1"/>
      <c r="B36" s="1" t="s">
        <v>4</v>
      </c>
      <c r="C36" s="1">
        <v>16</v>
      </c>
      <c r="E36">
        <v>-2.6023502514648449</v>
      </c>
      <c r="F36" s="6"/>
      <c r="G36" s="6" t="e">
        <f>F36/F30</f>
        <v>#DIV/0!</v>
      </c>
      <c r="H36">
        <v>2.5901412799072254</v>
      </c>
      <c r="I36" s="6"/>
      <c r="J36" s="6" t="e">
        <f>I36/I30</f>
        <v>#DIV/0!</v>
      </c>
      <c r="K36">
        <v>2.3768710925292957</v>
      </c>
      <c r="L36" s="6"/>
      <c r="M36" s="6" t="e">
        <f>L36/L30</f>
        <v>#DIV/0!</v>
      </c>
      <c r="N36" s="6">
        <v>7.4195490422709742E-3</v>
      </c>
      <c r="O36" s="6"/>
      <c r="P36" s="6" t="e">
        <f>O36/O30</f>
        <v>#DIV/0!</v>
      </c>
      <c r="Q36" s="6">
        <v>6.9897896720382963E-3</v>
      </c>
      <c r="R36" s="6"/>
      <c r="S36" s="6" t="e">
        <f>R36/R30</f>
        <v>#DIV/0!</v>
      </c>
      <c r="T36" s="6">
        <v>6.3121664287222887E-3</v>
      </c>
      <c r="U36" s="6"/>
      <c r="V36" s="6" t="e">
        <f>U36/U30</f>
        <v>#DIV/0!</v>
      </c>
      <c r="W36" s="6">
        <v>4.1855605961772339E-2</v>
      </c>
      <c r="X36" s="6"/>
      <c r="Y36" s="6" t="e">
        <f>X36/X30</f>
        <v>#DIV/0!</v>
      </c>
      <c r="Z36" s="6">
        <v>9.2851949527813241E-2</v>
      </c>
      <c r="AA36" s="6"/>
      <c r="AB36" s="6" t="e">
        <f>AA36/AA30</f>
        <v>#DIV/0!</v>
      </c>
      <c r="AC36" s="6">
        <v>0.10104915467362008</v>
      </c>
      <c r="AD36" s="6"/>
      <c r="AE36" s="6" t="e">
        <f>AD36/AD30</f>
        <v>#DIV/0!</v>
      </c>
      <c r="AF36" s="6">
        <v>0.19460066210917509</v>
      </c>
      <c r="AG36" s="6"/>
      <c r="AH36" s="6" t="e">
        <f>AG36/AG30</f>
        <v>#DIV/0!</v>
      </c>
      <c r="AI36" s="6">
        <v>6.9465646955910468E-2</v>
      </c>
      <c r="AJ36" s="6"/>
      <c r="AK36" s="6" t="e">
        <f>AJ36/AJ30</f>
        <v>#DIV/0!</v>
      </c>
      <c r="AL36" s="6">
        <v>0.23458314645527642</v>
      </c>
      <c r="AM36" s="6"/>
      <c r="AN36" s="1" t="e">
        <f>AM36/AM30</f>
        <v>#DIV/0!</v>
      </c>
      <c r="AO36" s="1"/>
      <c r="AP36">
        <v>-1.5455018066406261</v>
      </c>
      <c r="AQ36" s="6"/>
      <c r="AR36" s="6" t="e">
        <f>AQ36/AQ30</f>
        <v>#DIV/0!</v>
      </c>
      <c r="AS36">
        <v>3.1561202026367177</v>
      </c>
      <c r="AT36" s="6"/>
      <c r="AU36" s="6" t="e">
        <f>AT36/AT30</f>
        <v>#DIV/0!</v>
      </c>
      <c r="AV36">
        <v>3.2854784942626938</v>
      </c>
      <c r="AW36" s="6"/>
      <c r="AX36" s="6" t="e">
        <f>AW36/AW30</f>
        <v>#DIV/0!</v>
      </c>
      <c r="AY36" s="6">
        <v>0.12046973281800148</v>
      </c>
      <c r="AZ36" s="6"/>
      <c r="BA36" s="6" t="e">
        <f>AZ36/AZ30</f>
        <v>#DIV/0!</v>
      </c>
      <c r="BB36" s="6">
        <v>3.5915916370698082E-2</v>
      </c>
      <c r="BC36" s="6"/>
      <c r="BD36" s="6" t="e">
        <f>BC36/BC30</f>
        <v>#DIV/0!</v>
      </c>
      <c r="BE36" s="6">
        <v>8.842069927420923E-2</v>
      </c>
      <c r="BF36" s="6"/>
      <c r="BG36" s="6" t="e">
        <f>BF36/BF30</f>
        <v>#DIV/0!</v>
      </c>
      <c r="BH36" s="6">
        <v>5.2138626882302398E-2</v>
      </c>
      <c r="BI36" s="6"/>
      <c r="BJ36" s="6" t="e">
        <f>BI36/BI30</f>
        <v>#DIV/0!</v>
      </c>
      <c r="BK36" s="6">
        <v>0.31315004575989674</v>
      </c>
      <c r="BL36" s="6"/>
      <c r="BM36" s="6" t="e">
        <f>BL36/BL30</f>
        <v>#DIV/0!</v>
      </c>
      <c r="BN36" s="6">
        <v>0.39507378239474533</v>
      </c>
      <c r="BO36" s="6"/>
      <c r="BP36" s="6" t="e">
        <f>BO36/BO30</f>
        <v>#DIV/0!</v>
      </c>
      <c r="BQ36" s="6">
        <v>0.39524357173489211</v>
      </c>
      <c r="BR36" s="6"/>
      <c r="BS36" s="6" t="e">
        <f>BR36/BR30</f>
        <v>#DIV/0!</v>
      </c>
      <c r="BT36" s="6">
        <v>2.4721771869880352E-3</v>
      </c>
      <c r="BU36" s="6"/>
      <c r="BV36" s="6" t="e">
        <f>BU36/BU30</f>
        <v>#DIV/0!</v>
      </c>
      <c r="BW36" s="6">
        <v>0.37716981665552801</v>
      </c>
      <c r="BX36" s="6"/>
      <c r="BY36" s="1" t="e">
        <f>BX36/BX30</f>
        <v>#DIV/0!</v>
      </c>
      <c r="CA36" s="1"/>
      <c r="CB36" s="1"/>
      <c r="CC36" s="1"/>
      <c r="CD36" s="1"/>
      <c r="CE36" s="1"/>
      <c r="CF36" s="1"/>
      <c r="CH36" s="1"/>
      <c r="CI36" s="1"/>
      <c r="CJ36" s="1"/>
      <c r="CK36" s="1"/>
      <c r="CL36" s="1"/>
      <c r="CM36" s="1"/>
      <c r="CN36" s="1"/>
      <c r="CO36" s="1"/>
      <c r="CP36" s="1"/>
      <c r="CQ36" s="1"/>
      <c r="CR36" s="1"/>
    </row>
    <row r="37" spans="1:96" x14ac:dyDescent="0.25">
      <c r="A37" s="1"/>
      <c r="B37" s="1" t="s">
        <v>4</v>
      </c>
      <c r="C37" s="1">
        <v>16</v>
      </c>
      <c r="E37">
        <v>-2.6262321636962902</v>
      </c>
      <c r="F37" s="6"/>
      <c r="G37" s="6"/>
      <c r="H37">
        <v>2.6173190905761707</v>
      </c>
      <c r="I37" s="6"/>
      <c r="J37" s="6"/>
      <c r="K37">
        <v>2.3235683276367176</v>
      </c>
      <c r="L37" s="6"/>
      <c r="M37" s="6"/>
      <c r="N37" s="6">
        <v>6.6795224914695138E-3</v>
      </c>
      <c r="O37" s="6"/>
      <c r="P37" s="6"/>
      <c r="Q37" s="6">
        <v>6.8025422451096417E-3</v>
      </c>
      <c r="R37" s="6"/>
      <c r="S37" s="6"/>
      <c r="T37" s="6">
        <v>6.410173853434795E-3</v>
      </c>
      <c r="U37" s="6"/>
      <c r="V37" s="6"/>
      <c r="W37" s="6">
        <v>4.4621423475750842E-2</v>
      </c>
      <c r="X37" s="6"/>
      <c r="Y37" s="6"/>
      <c r="Z37" s="6">
        <v>9.0931903678980477E-2</v>
      </c>
      <c r="AA37" s="6"/>
      <c r="AB37" s="6"/>
      <c r="AC37" s="6">
        <v>0.10378096287226768</v>
      </c>
      <c r="AD37" s="6"/>
      <c r="AE37" s="6"/>
      <c r="AF37" s="6">
        <v>0.19813991010026322</v>
      </c>
      <c r="AG37" s="6"/>
      <c r="AH37" s="6"/>
      <c r="AI37" s="6">
        <v>7.4971499938976172E-2</v>
      </c>
      <c r="AJ37" s="6"/>
      <c r="AK37" s="6"/>
      <c r="AL37" s="6">
        <v>0.23729031957055566</v>
      </c>
      <c r="AM37" s="6"/>
      <c r="AN37" s="1"/>
      <c r="AO37" s="1"/>
      <c r="AP37">
        <v>-1.595417120361329</v>
      </c>
      <c r="AQ37" s="6"/>
      <c r="AR37" s="6"/>
      <c r="AS37">
        <v>3.1195010162353505</v>
      </c>
      <c r="AT37" s="6"/>
      <c r="AU37" s="6"/>
      <c r="AV37">
        <v>3.2011851287841786</v>
      </c>
      <c r="AW37" s="6"/>
      <c r="AX37" s="6"/>
      <c r="AY37" s="6">
        <v>0.11701456163141492</v>
      </c>
      <c r="AZ37" s="6"/>
      <c r="BA37" s="6"/>
      <c r="BB37" s="6">
        <v>3.5221248847833106E-2</v>
      </c>
      <c r="BC37" s="6"/>
      <c r="BD37" s="6"/>
      <c r="BE37" s="6">
        <v>8.6438787595830596E-2</v>
      </c>
      <c r="BF37" s="6"/>
      <c r="BG37" s="6"/>
      <c r="BH37" s="6">
        <v>5.3177570233199883E-2</v>
      </c>
      <c r="BI37" s="6"/>
      <c r="BJ37" s="6"/>
      <c r="BK37" s="6">
        <v>0.32299990295971731</v>
      </c>
      <c r="BL37" s="6"/>
      <c r="BM37" s="6"/>
      <c r="BN37" s="6">
        <v>0.39600041224093979</v>
      </c>
      <c r="BO37" s="6"/>
      <c r="BP37" s="6"/>
      <c r="BQ37" s="6">
        <v>0.41417902987037403</v>
      </c>
      <c r="BR37" s="6"/>
      <c r="BS37" s="6"/>
      <c r="BT37" s="6">
        <v>2.2782274972521677E-3</v>
      </c>
      <c r="BU37" s="6"/>
      <c r="BV37" s="6"/>
      <c r="BW37" s="6">
        <v>0.37347313780999536</v>
      </c>
      <c r="BX37" s="6"/>
      <c r="BY37" s="1"/>
      <c r="CA37" s="1"/>
      <c r="CB37" s="1"/>
      <c r="CC37" s="1"/>
      <c r="CD37" s="1"/>
      <c r="CE37" s="1"/>
      <c r="CF37" s="1"/>
      <c r="CH37" s="1"/>
      <c r="CI37" s="1"/>
      <c r="CJ37" s="1"/>
      <c r="CK37" s="1"/>
      <c r="CL37" s="1"/>
      <c r="CM37" s="1"/>
      <c r="CN37" s="1"/>
      <c r="CO37" s="1"/>
      <c r="CP37" s="1"/>
      <c r="CQ37" s="1"/>
      <c r="CR37" s="1"/>
    </row>
    <row r="38" spans="1:96" x14ac:dyDescent="0.25">
      <c r="A38" s="1"/>
      <c r="B38" s="1" t="s">
        <v>4</v>
      </c>
      <c r="C38" s="1">
        <v>16</v>
      </c>
      <c r="E38">
        <v>-2.6525535748291027</v>
      </c>
      <c r="F38" s="6"/>
      <c r="G38" s="6"/>
      <c r="H38">
        <v>2.6061172320556629</v>
      </c>
      <c r="I38" s="6"/>
      <c r="J38" s="6"/>
      <c r="K38">
        <v>2.265224440307616</v>
      </c>
      <c r="L38" s="6"/>
      <c r="M38" s="6"/>
      <c r="N38" s="6">
        <v>7.0264986292668356E-3</v>
      </c>
      <c r="O38" s="6"/>
      <c r="P38" s="6"/>
      <c r="Q38" s="6">
        <v>6.9617349582612835E-3</v>
      </c>
      <c r="R38" s="6"/>
      <c r="S38" s="6"/>
      <c r="T38" s="6">
        <v>6.1866107591724302E-3</v>
      </c>
      <c r="U38" s="6"/>
      <c r="V38" s="6"/>
      <c r="W38" s="6">
        <v>4.0795032932573354E-2</v>
      </c>
      <c r="X38" s="6"/>
      <c r="Y38" s="6"/>
      <c r="Z38" s="6">
        <v>8.9383596647312463E-2</v>
      </c>
      <c r="AA38" s="6"/>
      <c r="AB38" s="6"/>
      <c r="AC38" s="6">
        <v>0.10077059424126932</v>
      </c>
      <c r="AD38" s="6"/>
      <c r="AE38" s="6"/>
      <c r="AF38" s="6">
        <v>0.17498561899319021</v>
      </c>
      <c r="AG38" s="6"/>
      <c r="AH38" s="6"/>
      <c r="AI38" s="6">
        <v>7.3435855040595494E-2</v>
      </c>
      <c r="AJ38" s="6"/>
      <c r="AK38" s="6"/>
      <c r="AL38" s="6">
        <v>0.23272476774251108</v>
      </c>
      <c r="AM38" s="6"/>
      <c r="AN38" s="1"/>
      <c r="AO38" s="1"/>
      <c r="AP38">
        <v>-1.6220513366699227</v>
      </c>
      <c r="AQ38" s="6"/>
      <c r="AR38" s="6"/>
      <c r="AS38">
        <v>3.1899985290527328</v>
      </c>
      <c r="AT38" s="6"/>
      <c r="AU38" s="6"/>
      <c r="AV38">
        <v>3.1960581756591786</v>
      </c>
      <c r="AW38" s="6"/>
      <c r="AX38" s="6"/>
      <c r="AY38" s="6">
        <v>0.12143958741172167</v>
      </c>
      <c r="AZ38" s="6"/>
      <c r="BA38" s="6"/>
      <c r="BB38" s="6">
        <v>3.5661503081825412E-2</v>
      </c>
      <c r="BC38" s="6"/>
      <c r="BD38" s="6"/>
      <c r="BE38" s="6">
        <v>8.4680011952344772E-2</v>
      </c>
      <c r="BF38" s="6"/>
      <c r="BG38" s="6"/>
      <c r="BH38" s="6">
        <v>5.3539388110320357E-2</v>
      </c>
      <c r="BI38" s="6"/>
      <c r="BJ38" s="6"/>
      <c r="BK38" s="6">
        <v>0.31484209454507117</v>
      </c>
      <c r="BL38" s="6"/>
      <c r="BM38" s="6"/>
      <c r="BN38" s="6">
        <v>0.39238157622886172</v>
      </c>
      <c r="BO38" s="6"/>
      <c r="BP38" s="6"/>
      <c r="BQ38" s="6">
        <v>0.41092667670408878</v>
      </c>
      <c r="BR38" s="6"/>
      <c r="BS38" s="6"/>
      <c r="BT38" s="6">
        <v>2.3557786310266075E-3</v>
      </c>
      <c r="BU38" s="6"/>
      <c r="BV38" s="6"/>
      <c r="BW38" s="6">
        <v>0.37208923327250676</v>
      </c>
      <c r="BX38" s="6"/>
      <c r="BY38" s="1"/>
      <c r="CA38" s="1"/>
      <c r="CB38" s="1"/>
      <c r="CC38" s="1"/>
      <c r="CD38" s="1"/>
      <c r="CE38" s="1"/>
      <c r="CF38" s="1"/>
      <c r="CH38" s="1"/>
      <c r="CI38" s="1"/>
      <c r="CJ38" s="1"/>
      <c r="CK38" s="1"/>
      <c r="CL38" s="1"/>
      <c r="CM38" s="1"/>
      <c r="CN38" s="1"/>
      <c r="CO38" s="1"/>
      <c r="CP38" s="1"/>
      <c r="CQ38" s="1"/>
      <c r="CR38" s="1"/>
    </row>
    <row r="39" spans="1:96" x14ac:dyDescent="0.25">
      <c r="A39" s="1"/>
      <c r="B39" s="1" t="s">
        <v>118</v>
      </c>
      <c r="C39" s="1">
        <v>16</v>
      </c>
      <c r="E39">
        <v>-3.0811183959960928</v>
      </c>
      <c r="F39" s="6">
        <f>AVERAGE(E39:E44)</f>
        <v>-3.2138931594848632</v>
      </c>
      <c r="G39" s="6">
        <f>F39/F27</f>
        <v>1.2546429781791328</v>
      </c>
      <c r="H39" s="1">
        <v>1.4051181762695322</v>
      </c>
      <c r="I39" s="6">
        <f>AVERAGE(H39:H44)</f>
        <v>1.7570970214843751</v>
      </c>
      <c r="J39" s="6">
        <f>I39/I27</f>
        <v>0.70973316601186032</v>
      </c>
      <c r="K39">
        <v>3.3141071289062509</v>
      </c>
      <c r="L39" s="6">
        <f>AVERAGE(K39:K44)</f>
        <v>2.6247499145507813</v>
      </c>
      <c r="M39" s="6">
        <f>L39/L27</f>
        <v>0.95177285068337381</v>
      </c>
      <c r="N39" s="6">
        <v>4.6404773319854098E-2</v>
      </c>
      <c r="O39" s="6">
        <f>AVERAGE(N39:N44)</f>
        <v>2.1759683340416631E-2</v>
      </c>
      <c r="P39" s="6">
        <f>O39/O27</f>
        <v>2.2513749072503391</v>
      </c>
      <c r="Q39" s="6">
        <v>0.36850032011808076</v>
      </c>
      <c r="R39" s="6">
        <f>AVERAGE(Q39:Q44)</f>
        <v>0.14943790010525965</v>
      </c>
      <c r="S39" s="6">
        <f>R39/R27</f>
        <v>2.0401756756722937</v>
      </c>
      <c r="T39" s="6">
        <v>5.2752905393348315E-2</v>
      </c>
      <c r="U39" s="6">
        <f>AVERAGE(T39:T44)</f>
        <v>2.9525084189948713E-2</v>
      </c>
      <c r="V39" s="6">
        <f>U39/U27</f>
        <v>3.6310038009080907</v>
      </c>
      <c r="W39" s="6">
        <v>1.8867502598491266</v>
      </c>
      <c r="X39" s="6">
        <f>AVERAGE(W39:W44)</f>
        <v>0.7926276566613687</v>
      </c>
      <c r="Y39" s="6">
        <f>X39/X27</f>
        <v>2.987536975529141</v>
      </c>
      <c r="Z39" s="6">
        <v>0.35973653393631444</v>
      </c>
      <c r="AA39" s="6">
        <f>AVERAGE(Z39:Z44)</f>
        <v>0.22016600970255462</v>
      </c>
      <c r="AB39" s="6">
        <f>AA39/AA27</f>
        <v>2.6080697290733035</v>
      </c>
      <c r="AC39" s="6">
        <v>0.10397426016741115</v>
      </c>
      <c r="AD39" s="6">
        <f>AVERAGE(AC39:AC44)</f>
        <v>9.4968629970087107E-2</v>
      </c>
      <c r="AE39" s="6">
        <f>AD39/AD27</f>
        <v>1.1658337425211645</v>
      </c>
      <c r="AF39" s="6">
        <v>3.0436622156901443</v>
      </c>
      <c r="AG39" s="6">
        <f>AVERAGE(AF39:AF44)</f>
        <v>1.5166960892542003</v>
      </c>
      <c r="AH39" s="6">
        <f>AG39/AG27</f>
        <v>7.8495776384461848</v>
      </c>
      <c r="AI39" s="6">
        <v>6.0488414586496196E-2</v>
      </c>
      <c r="AJ39" s="6">
        <f>AVERAGE(AI39:AI44)</f>
        <v>3.8405867313444711E-2</v>
      </c>
      <c r="AK39" s="6">
        <f>AJ39/AJ27</f>
        <v>1.0125150050605394</v>
      </c>
      <c r="AL39" s="6">
        <v>0.27308701693636167</v>
      </c>
      <c r="AM39" s="6">
        <f>AVERAGE(AL39:AL44)</f>
        <v>0.64282401095885489</v>
      </c>
      <c r="AN39" s="1">
        <f>AM39/AM27</f>
        <v>4.2442539498551843</v>
      </c>
      <c r="AO39" s="1"/>
      <c r="AP39">
        <v>-2.4433287292480479</v>
      </c>
      <c r="AQ39" s="6">
        <f>AVERAGE(AP39:AP44)</f>
        <v>-2.3271294530232747</v>
      </c>
      <c r="AR39" s="6">
        <f>AQ39/AQ27</f>
        <v>1.1368015559894296</v>
      </c>
      <c r="AS39">
        <v>2.210399755859374</v>
      </c>
      <c r="AT39" s="6">
        <f>AVERAGE(AS39:AS44)</f>
        <v>2.6365635299682619</v>
      </c>
      <c r="AU39" s="6">
        <f>AT39/AT27</f>
        <v>0.86048672829845596</v>
      </c>
      <c r="AV39">
        <v>3.1270181030273427</v>
      </c>
      <c r="AW39" s="6">
        <f>AVERAGE(AV39:AV44)</f>
        <v>3.0377994283040368</v>
      </c>
      <c r="AX39" s="6">
        <f>AW39/AW27</f>
        <v>0.95517654064500856</v>
      </c>
      <c r="AY39" s="6">
        <v>8.2061262132500534E-2</v>
      </c>
      <c r="AZ39" s="6">
        <f>AVERAGE(AY39:AY44)</f>
        <v>0.13078514493538401</v>
      </c>
      <c r="BA39" s="6">
        <f>AZ39/AZ27</f>
        <v>1.6816862014074294</v>
      </c>
      <c r="BB39" s="6">
        <v>0.67305788446020631</v>
      </c>
      <c r="BC39" s="6">
        <f>AVERAGE(BB39:BB44)</f>
        <v>0.31028494963075054</v>
      </c>
      <c r="BD39" s="6">
        <f>BC39/BC27</f>
        <v>1.0462724137640314</v>
      </c>
      <c r="BE39" s="6">
        <v>4.5792545112324556E-2</v>
      </c>
      <c r="BF39" s="6">
        <f>AVERAGE(BE39:BE44)</f>
        <v>0.13418255864625919</v>
      </c>
      <c r="BG39" s="6">
        <f>BF39/BF27</f>
        <v>0.12611803317003872</v>
      </c>
      <c r="BH39" s="6">
        <v>3.0969955138787064</v>
      </c>
      <c r="BI39" s="6">
        <f>AVERAGE(BH39:BH44)</f>
        <v>1.3131621453314846</v>
      </c>
      <c r="BJ39" s="6">
        <f>BI39/BI27</f>
        <v>2.0063113610448169</v>
      </c>
      <c r="BK39" s="6">
        <v>1.4847432348295589E-2</v>
      </c>
      <c r="BL39" s="6">
        <f>AVERAGE(BK39:BK44)</f>
        <v>0.31130263864100122</v>
      </c>
      <c r="BM39" s="6">
        <f>BL39/BL27</f>
        <v>1.959584006012989</v>
      </c>
      <c r="BN39" s="6">
        <v>0.11073797997074628</v>
      </c>
      <c r="BO39" s="6">
        <f>AVERAGE(BN39:BN44)</f>
        <v>0.42066314342800071</v>
      </c>
      <c r="BP39" s="6">
        <f>BO39/BO27</f>
        <v>1.3386793053829649</v>
      </c>
      <c r="BQ39" s="6">
        <v>0.18765156597643343</v>
      </c>
      <c r="BR39" s="6">
        <f>AVERAGE(BQ39:BQ44)</f>
        <v>0.50605771417366963</v>
      </c>
      <c r="BS39" s="6">
        <f>BR39/BR27</f>
        <v>1.2602765312007971</v>
      </c>
      <c r="BT39" s="6">
        <v>6.2256799761794171E-2</v>
      </c>
      <c r="BU39" s="6">
        <f>AVERAGE(BT39:BT44)</f>
        <v>3.842695520795756E-2</v>
      </c>
      <c r="BV39" s="6">
        <f>BU39/BU27</f>
        <v>4.4780061908061706</v>
      </c>
      <c r="BW39" s="6">
        <v>0.3756646229439381</v>
      </c>
      <c r="BX39" s="6">
        <f>AVERAGE(BW39:BW44)</f>
        <v>0.53511285413523957</v>
      </c>
      <c r="BY39" s="1">
        <f>BX39/BX27</f>
        <v>1.5774072132555292</v>
      </c>
      <c r="CA39" s="1"/>
      <c r="CB39" s="1"/>
      <c r="CC39" s="1"/>
      <c r="CD39" s="1"/>
      <c r="CE39" s="1"/>
      <c r="CF39" s="1"/>
      <c r="CG39" s="1"/>
      <c r="CH39" s="1"/>
      <c r="CI39" s="1"/>
      <c r="CJ39" s="1"/>
      <c r="CK39" s="1"/>
      <c r="CL39" s="1"/>
      <c r="CM39" s="1"/>
      <c r="CN39" s="1"/>
      <c r="CO39" s="1"/>
      <c r="CP39" s="1"/>
      <c r="CQ39" s="1"/>
      <c r="CR39" s="1"/>
    </row>
    <row r="40" spans="1:96" x14ac:dyDescent="0.25">
      <c r="A40" s="1"/>
      <c r="B40" s="1" t="s">
        <v>118</v>
      </c>
      <c r="C40" s="1">
        <v>16</v>
      </c>
      <c r="E40">
        <v>-3.1971328765869131</v>
      </c>
      <c r="F40" s="6"/>
      <c r="G40" s="6" t="e">
        <f>AVERAGE(G39,G42)</f>
        <v>#DIV/0!</v>
      </c>
      <c r="H40" s="1">
        <v>2.0020210235595712</v>
      </c>
      <c r="I40" s="6"/>
      <c r="J40" s="6" t="e">
        <f>AVERAGE(J39,J42)</f>
        <v>#DIV/0!</v>
      </c>
      <c r="K40">
        <v>2.7399227111816415</v>
      </c>
      <c r="L40" s="6"/>
      <c r="M40" s="6" t="e">
        <f>AVERAGE(M39,M42)</f>
        <v>#DIV/0!</v>
      </c>
      <c r="N40" s="6">
        <v>3.8590449664209575E-2</v>
      </c>
      <c r="O40" s="6"/>
      <c r="P40" s="6" t="e">
        <f>AVERAGE(P39,P42)</f>
        <v>#DIV/0!</v>
      </c>
      <c r="Q40" s="6">
        <v>0.33966535370564588</v>
      </c>
      <c r="R40" s="6"/>
      <c r="S40" s="6" t="e">
        <f>AVERAGE(S39,S42)</f>
        <v>#DIV/0!</v>
      </c>
      <c r="T40" s="6">
        <v>7.981515259968186E-2</v>
      </c>
      <c r="U40" s="6"/>
      <c r="V40" s="6" t="e">
        <f>AVERAGE(V39,V42)</f>
        <v>#DIV/0!</v>
      </c>
      <c r="W40" s="6">
        <v>1.8677937356698526</v>
      </c>
      <c r="X40" s="6"/>
      <c r="Y40" s="6" t="e">
        <f>AVERAGE(Y39,Y42)</f>
        <v>#DIV/0!</v>
      </c>
      <c r="Z40" s="6">
        <v>0.44059455616864474</v>
      </c>
      <c r="AA40" s="6"/>
      <c r="AB40" s="6" t="e">
        <f>AVERAGE(AB39,AB42)</f>
        <v>#DIV/0!</v>
      </c>
      <c r="AC40" s="6">
        <v>7.915130727339259E-2</v>
      </c>
      <c r="AD40" s="6"/>
      <c r="AE40" s="6" t="e">
        <f>AVERAGE(AE39,AE42)</f>
        <v>#DIV/0!</v>
      </c>
      <c r="AF40" s="6">
        <v>3.0395806510356684</v>
      </c>
      <c r="AG40" s="6"/>
      <c r="AH40" s="6" t="e">
        <f>AVERAGE(AH39,AH42)</f>
        <v>#DIV/0!</v>
      </c>
      <c r="AI40" s="6">
        <v>8.1233663087631774E-2</v>
      </c>
      <c r="AJ40" s="6"/>
      <c r="AK40" s="6" t="e">
        <f>AVERAGE(AK39,AK42)</f>
        <v>#DIV/0!</v>
      </c>
      <c r="AL40" s="6">
        <v>0.24932052002478525</v>
      </c>
      <c r="AM40" s="6"/>
      <c r="AN40" s="1" t="e">
        <f>AVERAGE(AN39,AN42)</f>
        <v>#DIV/0!</v>
      </c>
      <c r="AO40" s="1"/>
      <c r="AP40">
        <v>-2.5728891998291026</v>
      </c>
      <c r="AQ40" s="6"/>
      <c r="AR40" s="6" t="e">
        <f>AVERAGE(AR39,AR42)</f>
        <v>#DIV/0!</v>
      </c>
      <c r="AS40">
        <v>2.1699048370361322</v>
      </c>
      <c r="AT40" s="6"/>
      <c r="AU40" s="6" t="e">
        <f>AVERAGE(AU39,AU42)</f>
        <v>#DIV/0!</v>
      </c>
      <c r="AV40">
        <v>3.1297932952880849</v>
      </c>
      <c r="AW40" s="6"/>
      <c r="AX40" s="6" t="e">
        <f>AVERAGE(AX39,AX42)</f>
        <v>#DIV/0!</v>
      </c>
      <c r="AY40" s="6">
        <v>8.7740547086211457E-2</v>
      </c>
      <c r="AZ40" s="6"/>
      <c r="BA40" s="6" t="e">
        <f>AVERAGE(BA39,BA42)</f>
        <v>#DIV/0!</v>
      </c>
      <c r="BB40" s="6">
        <v>0.64908964197934871</v>
      </c>
      <c r="BC40" s="6"/>
      <c r="BD40" s="6" t="e">
        <f>AVERAGE(BD39,BD42)</f>
        <v>#DIV/0!</v>
      </c>
      <c r="BE40" s="6">
        <v>4.9244010487398043E-2</v>
      </c>
      <c r="BF40" s="6"/>
      <c r="BG40" s="6" t="e">
        <f>AVERAGE(BG39,BG42)</f>
        <v>#DIV/0!</v>
      </c>
      <c r="BH40" s="6">
        <v>3.2210581672126737</v>
      </c>
      <c r="BI40" s="6"/>
      <c r="BJ40" s="6" t="e">
        <f>AVERAGE(BJ39,BJ42)</f>
        <v>#DIV/0!</v>
      </c>
      <c r="BK40" s="6">
        <v>1.5852801799856795E-2</v>
      </c>
      <c r="BL40" s="6"/>
      <c r="BM40" s="6" t="e">
        <f>AVERAGE(BM39,BM42)</f>
        <v>#DIV/0!</v>
      </c>
      <c r="BN40" s="6">
        <v>0.11361765295065238</v>
      </c>
      <c r="BO40" s="6"/>
      <c r="BP40" s="6" t="e">
        <f>AVERAGE(BP39,BP42)</f>
        <v>#DIV/0!</v>
      </c>
      <c r="BQ40" s="6">
        <v>0.20955119874107084</v>
      </c>
      <c r="BR40" s="6"/>
      <c r="BS40" s="6" t="e">
        <f>AVERAGE(BS39,BS42)</f>
        <v>#DIV/0!</v>
      </c>
      <c r="BT40" s="6">
        <v>5.9901500894286239E-2</v>
      </c>
      <c r="BU40" s="6"/>
      <c r="BV40" s="6" t="e">
        <f>AVERAGE(BV39,BV42)</f>
        <v>#DIV/0!</v>
      </c>
      <c r="BW40" s="6">
        <v>0.37997179390564861</v>
      </c>
      <c r="BX40" s="6"/>
      <c r="BY40" s="1" t="e">
        <f>AVERAGE(BY39,BY42)</f>
        <v>#DIV/0!</v>
      </c>
      <c r="CA40" s="1"/>
      <c r="CB40" s="1"/>
      <c r="CC40" s="1"/>
      <c r="CD40" s="1"/>
      <c r="CE40" s="1"/>
      <c r="CF40" s="1"/>
      <c r="CG40" s="1"/>
      <c r="CH40" s="1"/>
      <c r="CI40" s="1"/>
      <c r="CJ40" s="1"/>
      <c r="CK40" s="1"/>
      <c r="CL40" s="1"/>
      <c r="CM40" s="1"/>
      <c r="CN40" s="1"/>
      <c r="CO40" s="1"/>
      <c r="CP40" s="1"/>
      <c r="CQ40" s="1"/>
      <c r="CR40" s="1"/>
    </row>
    <row r="41" spans="1:96" x14ac:dyDescent="0.25">
      <c r="A41" s="1"/>
      <c r="B41" s="1" t="s">
        <v>118</v>
      </c>
      <c r="C41" s="1">
        <v>16</v>
      </c>
      <c r="E41">
        <v>-3.1852653533935538</v>
      </c>
      <c r="F41" s="6"/>
      <c r="G41" s="6" t="e">
        <f>STDEVA(G39,G42)</f>
        <v>#DIV/0!</v>
      </c>
      <c r="H41" s="1">
        <v>1.4919235198974619</v>
      </c>
      <c r="I41" s="6"/>
      <c r="J41" s="6" t="e">
        <f>STDEVA(J39,J42)</f>
        <v>#DIV/0!</v>
      </c>
      <c r="K41">
        <v>2.9616596191406259</v>
      </c>
      <c r="L41" s="6"/>
      <c r="M41" s="6" t="e">
        <f>STDEVA(M39,M42)</f>
        <v>#DIV/0!</v>
      </c>
      <c r="N41" s="3"/>
      <c r="O41" s="6"/>
      <c r="P41" s="6" t="e">
        <f>STDEVA(P39,P42)</f>
        <v>#DIV/0!</v>
      </c>
      <c r="Q41" s="3"/>
      <c r="R41" s="6"/>
      <c r="S41" s="6" t="e">
        <f>STDEVA(S39,S42)</f>
        <v>#DIV/0!</v>
      </c>
      <c r="T41" s="3"/>
      <c r="U41" s="6"/>
      <c r="V41" s="6" t="e">
        <f>STDEVA(V39,V42)</f>
        <v>#DIV/0!</v>
      </c>
      <c r="W41" s="3"/>
      <c r="X41" s="6"/>
      <c r="Y41" s="6" t="e">
        <f>STDEVA(Y39,Y42)</f>
        <v>#DIV/0!</v>
      </c>
      <c r="Z41" s="3"/>
      <c r="AA41" s="6"/>
      <c r="AB41" s="6" t="e">
        <f>STDEVA(AB39,AB42)</f>
        <v>#DIV/0!</v>
      </c>
      <c r="AC41" s="3"/>
      <c r="AD41" s="6"/>
      <c r="AE41" s="6" t="e">
        <f>STDEVA(AE39,AE42)</f>
        <v>#DIV/0!</v>
      </c>
      <c r="AF41" s="3"/>
      <c r="AG41" s="6"/>
      <c r="AH41" s="6" t="e">
        <f>STDEVA(AH39,AH42)</f>
        <v>#DIV/0!</v>
      </c>
      <c r="AI41" s="3"/>
      <c r="AJ41" s="6"/>
      <c r="AK41" s="6" t="e">
        <f>STDEVA(AK39,AK42)</f>
        <v>#DIV/0!</v>
      </c>
      <c r="AL41" s="3"/>
      <c r="AM41" s="6"/>
      <c r="AN41" s="1" t="e">
        <f>STDEVA(AN39,AN42)</f>
        <v>#DIV/0!</v>
      </c>
      <c r="AO41" s="1"/>
      <c r="AP41">
        <v>-2.5529173522949229</v>
      </c>
      <c r="AQ41" s="6"/>
      <c r="AR41" s="6" t="e">
        <f>STDEVA(AR39,AR42)</f>
        <v>#DIV/0!</v>
      </c>
      <c r="AS41">
        <v>2.1713200897216787</v>
      </c>
      <c r="AT41" s="6"/>
      <c r="AU41" s="6" t="e">
        <f>STDEVA(AU39,AU42)</f>
        <v>#DIV/0!</v>
      </c>
      <c r="AV41">
        <v>3.1397668212890615</v>
      </c>
      <c r="AW41" s="6"/>
      <c r="AX41" s="6" t="e">
        <f>STDEVA(AX39,AX42)</f>
        <v>#DIV/0!</v>
      </c>
      <c r="AY41" s="3"/>
      <c r="AZ41" s="6"/>
      <c r="BA41" s="6" t="e">
        <f>STDEVA(BA39,BA42)</f>
        <v>#DIV/0!</v>
      </c>
      <c r="BB41" s="3"/>
      <c r="BC41" s="6"/>
      <c r="BD41" s="6" t="e">
        <f>STDEVA(BD39,BD42)</f>
        <v>#DIV/0!</v>
      </c>
      <c r="BE41" s="3"/>
      <c r="BF41" s="6"/>
      <c r="BG41" s="6" t="e">
        <f>STDEVA(BG39,BG42)</f>
        <v>#DIV/0!</v>
      </c>
      <c r="BH41" s="3"/>
      <c r="BI41" s="6"/>
      <c r="BJ41" s="6" t="e">
        <f>STDEVA(BJ39,BJ42)</f>
        <v>#DIV/0!</v>
      </c>
      <c r="BK41" s="3"/>
      <c r="BL41" s="6"/>
      <c r="BM41" s="6" t="e">
        <f>STDEVA(BM39,BM42)</f>
        <v>#DIV/0!</v>
      </c>
      <c r="BN41" s="3"/>
      <c r="BO41" s="6"/>
      <c r="BP41" s="6" t="e">
        <f>STDEVA(BP39,BP42)</f>
        <v>#DIV/0!</v>
      </c>
      <c r="BQ41" s="3"/>
      <c r="BR41" s="6"/>
      <c r="BS41" s="6" t="e">
        <f>STDEVA(BS39,BS42)</f>
        <v>#DIV/0!</v>
      </c>
      <c r="BT41" s="3"/>
      <c r="BU41" s="6"/>
      <c r="BV41" s="6" t="e">
        <f>STDEVA(BV39,BV42)</f>
        <v>#DIV/0!</v>
      </c>
      <c r="BW41" s="3"/>
      <c r="BX41" s="6"/>
      <c r="BY41" s="1" t="e">
        <f>STDEVA(BY39,BY42)</f>
        <v>#DIV/0!</v>
      </c>
      <c r="CA41" s="1"/>
      <c r="CB41" s="1"/>
      <c r="CC41" s="1"/>
      <c r="CD41" s="1"/>
      <c r="CE41" s="1"/>
      <c r="CF41" s="1"/>
      <c r="CG41" s="1"/>
      <c r="CH41" s="1"/>
      <c r="CI41" s="1"/>
      <c r="CJ41" s="1"/>
      <c r="CK41" s="1"/>
      <c r="CL41" s="1"/>
      <c r="CM41" s="1"/>
      <c r="CN41" s="1"/>
      <c r="CO41" s="1"/>
      <c r="CP41" s="1"/>
      <c r="CQ41" s="1"/>
      <c r="CR41" s="1"/>
    </row>
    <row r="42" spans="1:96" x14ac:dyDescent="0.25">
      <c r="A42" s="1"/>
      <c r="B42" s="1" t="s">
        <v>118</v>
      </c>
      <c r="C42" s="1">
        <v>16</v>
      </c>
      <c r="E42">
        <v>-3.2112099304199226</v>
      </c>
      <c r="F42" s="6"/>
      <c r="G42" s="6" t="e">
        <f>F42/F30</f>
        <v>#DIV/0!</v>
      </c>
      <c r="H42">
        <v>1.8695166931152336</v>
      </c>
      <c r="I42" s="6"/>
      <c r="J42" s="6" t="e">
        <f>I42/I30</f>
        <v>#DIV/0!</v>
      </c>
      <c r="K42">
        <v>2.339819274902343</v>
      </c>
      <c r="L42" s="6"/>
      <c r="M42" s="6" t="e">
        <f>L42/L30</f>
        <v>#DIV/0!</v>
      </c>
      <c r="N42" s="6">
        <v>8.1335607637727323E-3</v>
      </c>
      <c r="O42" s="6"/>
      <c r="P42" s="6" t="e">
        <f>O42/O30</f>
        <v>#DIV/0!</v>
      </c>
      <c r="Q42" s="6">
        <v>1.1982939805805655E-2</v>
      </c>
      <c r="R42" s="6"/>
      <c r="S42" s="6" t="e">
        <f>R42/R30</f>
        <v>#DIV/0!</v>
      </c>
      <c r="T42" s="6">
        <v>5.1109631249617931E-3</v>
      </c>
      <c r="U42" s="6"/>
      <c r="V42" s="6" t="e">
        <f>U42/U30</f>
        <v>#DIV/0!</v>
      </c>
      <c r="W42" s="6">
        <v>6.662969910986398E-2</v>
      </c>
      <c r="X42" s="6"/>
      <c r="Y42" s="6" t="e">
        <f>X42/X30</f>
        <v>#DIV/0!</v>
      </c>
      <c r="Z42" s="6">
        <v>9.5810809684294701E-2</v>
      </c>
      <c r="AA42" s="6"/>
      <c r="AB42" s="6" t="e">
        <f>AA42/AA30</f>
        <v>#DIV/0!</v>
      </c>
      <c r="AC42" s="6">
        <v>9.6603599034715409E-2</v>
      </c>
      <c r="AD42" s="6"/>
      <c r="AE42" s="6" t="e">
        <f>AD42/AD30</f>
        <v>#DIV/0!</v>
      </c>
      <c r="AF42" s="6">
        <v>0.47038503333910103</v>
      </c>
      <c r="AG42" s="6"/>
      <c r="AH42" s="6" t="e">
        <f>AG42/AG30</f>
        <v>#DIV/0!</v>
      </c>
      <c r="AI42" s="6">
        <v>1.7511622358876155E-2</v>
      </c>
      <c r="AJ42" s="6"/>
      <c r="AK42" s="6" t="e">
        <f>AJ42/AJ30</f>
        <v>#DIV/0!</v>
      </c>
      <c r="AL42" s="6">
        <v>0.89881329424753809</v>
      </c>
      <c r="AM42" s="6"/>
      <c r="AN42" s="1" t="e">
        <f>AM42/AM30</f>
        <v>#DIV/0!</v>
      </c>
      <c r="AO42" s="1"/>
      <c r="AP42">
        <v>-2.0981308502197251</v>
      </c>
      <c r="AQ42" s="6"/>
      <c r="AR42" s="6" t="e">
        <f>AQ42/AQ30</f>
        <v>#DIV/0!</v>
      </c>
      <c r="AS42">
        <v>3.0947783905029316</v>
      </c>
      <c r="AT42" s="6"/>
      <c r="AU42" s="6" t="e">
        <f>AT42/AT30</f>
        <v>#DIV/0!</v>
      </c>
      <c r="AV42">
        <v>2.9701293426513686</v>
      </c>
      <c r="AW42" s="6"/>
      <c r="AX42" s="6" t="e">
        <f>AW42/AW30</f>
        <v>#DIV/0!</v>
      </c>
      <c r="AY42" s="6">
        <v>0.15494193592648844</v>
      </c>
      <c r="AZ42" s="6"/>
      <c r="BA42" s="6" t="e">
        <f>AZ42/AZ30</f>
        <v>#DIV/0!</v>
      </c>
      <c r="BB42" s="6">
        <v>7.6927382827400248E-2</v>
      </c>
      <c r="BC42" s="6"/>
      <c r="BD42" s="6" t="e">
        <f>BC42/BC30</f>
        <v>#DIV/0!</v>
      </c>
      <c r="BE42" s="6">
        <v>0.18826415302214525</v>
      </c>
      <c r="BF42" s="6"/>
      <c r="BG42" s="6" t="e">
        <f>BF42/BF30</f>
        <v>#DIV/0!</v>
      </c>
      <c r="BH42" s="6">
        <v>8.2541454135216616E-2</v>
      </c>
      <c r="BI42" s="6"/>
      <c r="BJ42" s="6" t="e">
        <f>BI42/BI30</f>
        <v>#DIV/0!</v>
      </c>
      <c r="BK42" s="6">
        <v>0.49070680956720875</v>
      </c>
      <c r="BL42" s="6"/>
      <c r="BM42" s="6" t="e">
        <f>BL42/BL30</f>
        <v>#DIV/0!</v>
      </c>
      <c r="BN42" s="6">
        <v>0.62042277295472192</v>
      </c>
      <c r="BO42" s="6"/>
      <c r="BP42" s="6" t="e">
        <f>BO42/BO30</f>
        <v>#DIV/0!</v>
      </c>
      <c r="BQ42" s="6">
        <v>0.72083208717894487</v>
      </c>
      <c r="BR42" s="6"/>
      <c r="BS42" s="6" t="e">
        <f>BR42/BR30</f>
        <v>#DIV/0!</v>
      </c>
      <c r="BT42" s="6">
        <v>2.4310869183883338E-2</v>
      </c>
      <c r="BU42" s="6"/>
      <c r="BV42" s="6" t="e">
        <f>BU42/BU30</f>
        <v>#DIV/0!</v>
      </c>
      <c r="BW42" s="6">
        <v>0.65712242659741005</v>
      </c>
      <c r="BX42" s="6"/>
      <c r="BY42" s="1" t="e">
        <f>BX42/BX30</f>
        <v>#DIV/0!</v>
      </c>
      <c r="CA42" s="1"/>
      <c r="CB42" s="1"/>
      <c r="CC42" s="1"/>
      <c r="CD42" s="1"/>
      <c r="CE42" s="1"/>
      <c r="CF42" s="1"/>
      <c r="CH42" s="1"/>
      <c r="CI42" s="1"/>
      <c r="CJ42" s="1"/>
      <c r="CK42" s="1"/>
      <c r="CL42" s="1"/>
      <c r="CM42" s="1"/>
      <c r="CN42" s="1"/>
      <c r="CO42" s="1"/>
      <c r="CP42" s="1"/>
      <c r="CQ42" s="1"/>
      <c r="CR42" s="1"/>
    </row>
    <row r="43" spans="1:96" x14ac:dyDescent="0.25">
      <c r="A43" s="1"/>
      <c r="B43" s="1" t="s">
        <v>118</v>
      </c>
      <c r="C43" s="1">
        <v>16</v>
      </c>
      <c r="E43">
        <v>-3.290328659057618</v>
      </c>
      <c r="F43" s="6"/>
      <c r="G43" s="6"/>
      <c r="H43">
        <v>1.8908522949218742</v>
      </c>
      <c r="I43" s="6"/>
      <c r="J43" s="6"/>
      <c r="K43">
        <v>2.2525618896484367</v>
      </c>
      <c r="L43" s="6"/>
      <c r="M43" s="6"/>
      <c r="N43" s="6">
        <v>7.7553096487954732E-3</v>
      </c>
      <c r="O43" s="6"/>
      <c r="P43" s="6"/>
      <c r="Q43" s="6">
        <v>1.3467488979355893E-2</v>
      </c>
      <c r="R43" s="6"/>
      <c r="S43" s="6"/>
      <c r="T43" s="6">
        <v>4.7085919342766116E-3</v>
      </c>
      <c r="U43" s="6"/>
      <c r="V43" s="6"/>
      <c r="W43" s="6">
        <v>6.9907255074167313E-2</v>
      </c>
      <c r="X43" s="6"/>
      <c r="Y43" s="6"/>
      <c r="Z43" s="6">
        <v>0.10181679009979151</v>
      </c>
      <c r="AA43" s="6"/>
      <c r="AB43" s="6"/>
      <c r="AC43" s="6">
        <v>0.10014535340482927</v>
      </c>
      <c r="AD43" s="6"/>
      <c r="AE43" s="6"/>
      <c r="AF43" s="6">
        <v>0.49584791321282801</v>
      </c>
      <c r="AG43" s="6"/>
      <c r="AH43" s="6"/>
      <c r="AI43" s="6">
        <v>1.4879277847811062E-2</v>
      </c>
      <c r="AJ43" s="6"/>
      <c r="AK43" s="6"/>
      <c r="AL43" s="6">
        <v>0.89978822622159249</v>
      </c>
      <c r="AM43" s="6"/>
      <c r="AN43" s="1"/>
      <c r="AO43" s="1"/>
      <c r="AP43">
        <v>-2.1148754638671861</v>
      </c>
      <c r="AQ43" s="6"/>
      <c r="AR43" s="6"/>
      <c r="AS43">
        <v>3.1024630981445331</v>
      </c>
      <c r="AT43" s="6"/>
      <c r="AU43" s="6"/>
      <c r="AV43">
        <v>2.9292758422851581</v>
      </c>
      <c r="AW43" s="6"/>
      <c r="AX43" s="6"/>
      <c r="AY43" s="6">
        <v>0.16806197833646719</v>
      </c>
      <c r="AZ43" s="6"/>
      <c r="BA43" s="6"/>
      <c r="BB43" s="6">
        <v>7.6406297266899112E-2</v>
      </c>
      <c r="BC43" s="6"/>
      <c r="BD43" s="6"/>
      <c r="BE43" s="6">
        <v>0.19503437233847296</v>
      </c>
      <c r="BF43" s="6"/>
      <c r="BG43" s="6"/>
      <c r="BH43" s="6">
        <v>8.368397988601152E-2</v>
      </c>
      <c r="BI43" s="6"/>
      <c r="BJ43" s="6"/>
      <c r="BK43" s="6">
        <v>0.51121695794922661</v>
      </c>
      <c r="BL43" s="6"/>
      <c r="BM43" s="6"/>
      <c r="BN43" s="6">
        <v>0.62489272542553942</v>
      </c>
      <c r="BO43" s="6"/>
      <c r="BP43" s="6"/>
      <c r="BQ43" s="6">
        <v>0.72011103245133756</v>
      </c>
      <c r="BR43" s="6"/>
      <c r="BS43" s="6"/>
      <c r="BT43" s="6">
        <v>2.2279876884617616E-2</v>
      </c>
      <c r="BU43" s="6"/>
      <c r="BV43" s="6"/>
      <c r="BW43" s="6">
        <v>0.63936256980112804</v>
      </c>
      <c r="BX43" s="6"/>
      <c r="BY43" s="1"/>
      <c r="CA43" s="1"/>
      <c r="CB43" s="1"/>
      <c r="CC43" s="1"/>
      <c r="CD43" s="1"/>
      <c r="CE43" s="1"/>
      <c r="CF43" s="1"/>
      <c r="CH43" s="1"/>
      <c r="CI43" s="1"/>
      <c r="CJ43" s="1"/>
      <c r="CK43" s="1"/>
      <c r="CL43" s="1"/>
      <c r="CM43" s="1"/>
      <c r="CN43" s="1"/>
      <c r="CO43" s="1"/>
      <c r="CP43" s="1"/>
      <c r="CQ43" s="1"/>
      <c r="CR43" s="1"/>
    </row>
    <row r="44" spans="1:96" x14ac:dyDescent="0.25">
      <c r="A44" s="1"/>
      <c r="B44" s="1" t="s">
        <v>118</v>
      </c>
      <c r="C44" s="1">
        <v>16</v>
      </c>
      <c r="E44">
        <v>-3.3183037414550789</v>
      </c>
      <c r="F44" s="6"/>
      <c r="G44" s="6"/>
      <c r="H44">
        <v>1.8831504211425774</v>
      </c>
      <c r="I44" s="6"/>
      <c r="J44" s="6"/>
      <c r="K44">
        <v>2.1404288635253899</v>
      </c>
      <c r="L44" s="6"/>
      <c r="M44" s="6"/>
      <c r="N44" s="6">
        <v>7.9143233054512624E-3</v>
      </c>
      <c r="O44" s="6"/>
      <c r="P44" s="6"/>
      <c r="Q44" s="6">
        <v>1.357339791741002E-2</v>
      </c>
      <c r="R44" s="6"/>
      <c r="S44" s="6"/>
      <c r="T44" s="6">
        <v>5.2378078974749994E-3</v>
      </c>
      <c r="U44" s="6"/>
      <c r="V44" s="6"/>
      <c r="W44" s="6">
        <v>7.2057333603832888E-2</v>
      </c>
      <c r="X44" s="6"/>
      <c r="Y44" s="6"/>
      <c r="Z44" s="6">
        <v>0.1028713586237277</v>
      </c>
      <c r="AA44" s="6"/>
      <c r="AB44" s="6"/>
      <c r="AC44" s="6"/>
      <c r="AD44" s="6"/>
      <c r="AE44" s="6"/>
      <c r="AF44" s="6">
        <v>0.53400463299325895</v>
      </c>
      <c r="AG44" s="6"/>
      <c r="AH44" s="6"/>
      <c r="AI44" s="6">
        <v>1.7916358686408375E-2</v>
      </c>
      <c r="AJ44" s="6"/>
      <c r="AK44" s="6"/>
      <c r="AL44" s="6">
        <v>0.89311099736399702</v>
      </c>
      <c r="AM44" s="6"/>
      <c r="AN44" s="1"/>
      <c r="AO44" s="1"/>
      <c r="AP44">
        <v>-2.1806351226806626</v>
      </c>
      <c r="AQ44" s="6"/>
      <c r="AR44" s="6"/>
      <c r="AS44">
        <v>3.0705150085449233</v>
      </c>
      <c r="AT44" s="6"/>
      <c r="AU44" s="6"/>
      <c r="AV44">
        <v>2.9308131652832046</v>
      </c>
      <c r="AW44" s="6"/>
      <c r="AX44" s="6"/>
      <c r="AY44" s="6">
        <v>0.16112000119525235</v>
      </c>
      <c r="AZ44" s="6"/>
      <c r="BA44" s="6"/>
      <c r="BB44" s="6">
        <v>7.5943541619898386E-2</v>
      </c>
      <c r="BC44" s="6"/>
      <c r="BD44" s="6"/>
      <c r="BE44" s="6">
        <v>0.19257771227095513</v>
      </c>
      <c r="BF44" s="6"/>
      <c r="BG44" s="6"/>
      <c r="BH44" s="6">
        <v>8.1531611544816057E-2</v>
      </c>
      <c r="BI44" s="6"/>
      <c r="BJ44" s="6"/>
      <c r="BK44" s="6">
        <v>0.52388919154041813</v>
      </c>
      <c r="BL44" s="6"/>
      <c r="BM44" s="6"/>
      <c r="BN44" s="6">
        <v>0.63364458583834382</v>
      </c>
      <c r="BO44" s="6"/>
      <c r="BP44" s="6"/>
      <c r="BQ44" s="6">
        <v>0.69214268652056143</v>
      </c>
      <c r="BR44" s="6"/>
      <c r="BS44" s="6"/>
      <c r="BT44" s="6">
        <v>2.3385729315206431E-2</v>
      </c>
      <c r="BU44" s="6"/>
      <c r="BV44" s="6"/>
      <c r="BW44" s="6">
        <v>0.62344285742807293</v>
      </c>
      <c r="BX44" s="6"/>
      <c r="BY44" s="1"/>
      <c r="CA44" s="1"/>
      <c r="CB44" s="1"/>
      <c r="CC44" s="1"/>
      <c r="CD44" s="1"/>
      <c r="CE44" s="1"/>
      <c r="CF44" s="1"/>
      <c r="CH44" s="1"/>
      <c r="CI44" s="1"/>
      <c r="CJ44" s="1"/>
      <c r="CK44" s="1"/>
      <c r="CL44" s="1"/>
      <c r="CM44" s="1"/>
      <c r="CN44" s="1"/>
      <c r="CO44" s="1"/>
      <c r="CP44" s="1"/>
      <c r="CQ44" s="1"/>
      <c r="CR44" s="1"/>
    </row>
    <row r="45" spans="1:96" x14ac:dyDescent="0.25">
      <c r="A45" s="1"/>
      <c r="B45" s="1" t="s">
        <v>16</v>
      </c>
      <c r="C45" s="1">
        <v>16</v>
      </c>
      <c r="E45">
        <v>-2.6809708697509755</v>
      </c>
      <c r="F45" s="6">
        <f>AVERAGE(E45:E50)</f>
        <v>-2.9007743694051107</v>
      </c>
      <c r="G45" s="6">
        <f>F45/F27</f>
        <v>1.1324073369132994</v>
      </c>
      <c r="H45" s="1">
        <v>1.6401942150878916</v>
      </c>
      <c r="I45" s="6">
        <f>AVERAGE(H45:H50)</f>
        <v>1.833143502705892</v>
      </c>
      <c r="J45" s="6">
        <f>I45/I27</f>
        <v>0.74045014362975714</v>
      </c>
      <c r="K45">
        <v>2.8827708142089854</v>
      </c>
      <c r="L45" s="6">
        <f>AVERAGE(K45:K50)</f>
        <v>2.4777806105550133</v>
      </c>
      <c r="M45" s="6">
        <f>L45/L27</f>
        <v>0.89847962352617095</v>
      </c>
      <c r="N45" s="6">
        <v>2.9009386072143598E-2</v>
      </c>
      <c r="O45" s="6">
        <f>AVERAGE(N45:N50)</f>
        <v>1.5268818345739066E-2</v>
      </c>
      <c r="P45" s="6">
        <f>O45/O27</f>
        <v>1.5797947952262055</v>
      </c>
      <c r="Q45" s="6">
        <v>0.26729482842709995</v>
      </c>
      <c r="R45" s="6">
        <f>AVERAGE(Q45:Q50)</f>
        <v>0.12040354146740639</v>
      </c>
      <c r="S45" s="6">
        <f>R45/R27</f>
        <v>1.6437890012746312</v>
      </c>
      <c r="T45" s="6">
        <v>3.4835139823421443E-2</v>
      </c>
      <c r="U45" s="6">
        <f>AVERAGE(T45:T50)</f>
        <v>1.3647827774701854E-2</v>
      </c>
      <c r="V45" s="6">
        <f>U45/U27</f>
        <v>1.6784139955459183</v>
      </c>
      <c r="W45" s="6">
        <v>1.2605084043585135</v>
      </c>
      <c r="X45" s="6">
        <f>AVERAGE(W45:W50)</f>
        <v>0.62293743368128163</v>
      </c>
      <c r="Y45" s="6">
        <f>X45/X27</f>
        <v>2.3479481203103534</v>
      </c>
      <c r="Z45" s="6">
        <v>0.22960322530439878</v>
      </c>
      <c r="AA45" s="6">
        <f>AVERAGE(Z45:Z50)</f>
        <v>0.13803638789019965</v>
      </c>
      <c r="AB45" s="6">
        <f>AA45/AA27</f>
        <v>1.6351685042274406</v>
      </c>
      <c r="AC45" s="6">
        <v>6.3942177372196388E-2</v>
      </c>
      <c r="AD45" s="6">
        <f>AVERAGE(AC45:AC50)</f>
        <v>9.292909515501549E-2</v>
      </c>
      <c r="AE45" s="6">
        <f>AD45/AD27</f>
        <v>1.1407964380217093</v>
      </c>
      <c r="AF45" s="6">
        <v>1.1720266966571145</v>
      </c>
      <c r="AG45" s="6">
        <f>AVERAGE(AF45:AF50)</f>
        <v>0.5736708415132904</v>
      </c>
      <c r="AH45" s="6">
        <f>AG45/AG27</f>
        <v>2.9690020573506</v>
      </c>
      <c r="AI45" s="6">
        <v>4.2057987725732243E-2</v>
      </c>
      <c r="AJ45" s="6">
        <f>AVERAGE(AI45:AI50)</f>
        <v>2.8370775293518318E-2</v>
      </c>
      <c r="AK45" s="6">
        <f>AJ45/AJ27</f>
        <v>0.74795435435543711</v>
      </c>
      <c r="AL45" s="6">
        <v>0.27100156012268584</v>
      </c>
      <c r="AM45" s="6">
        <f>AVERAGE(AL45:AL50)</f>
        <v>0.47707868225427424</v>
      </c>
      <c r="AN45" s="1">
        <f>AM45/AM27</f>
        <v>3.1499182467205844</v>
      </c>
      <c r="AO45" s="1"/>
      <c r="AP45">
        <v>-2.5363895129394542</v>
      </c>
      <c r="AQ45" s="6">
        <f>AVERAGE(AP45:AP50)</f>
        <v>-2.2138839065551768</v>
      </c>
      <c r="AR45" s="6">
        <f>AQ45/AQ27</f>
        <v>1.0814811640505289</v>
      </c>
      <c r="AS45">
        <v>2.2768581677246083</v>
      </c>
      <c r="AT45" s="6">
        <f>AVERAGE(AS45:AS50)</f>
        <v>2.8651016122436515</v>
      </c>
      <c r="AU45" s="6">
        <f>AT45/AT27</f>
        <v>0.93507396447672486</v>
      </c>
      <c r="AV45">
        <v>3.2204502392578109</v>
      </c>
      <c r="AW45" s="6">
        <f>AVERAGE(AV45:AV50)</f>
        <v>3.2245882054646802</v>
      </c>
      <c r="AX45" s="6">
        <f>AW45/AW27</f>
        <v>1.0139086137164761</v>
      </c>
      <c r="AY45" s="6">
        <v>6.8781378950324101E-2</v>
      </c>
      <c r="AZ45" s="6">
        <f>AVERAGE(AY45:AY50)</f>
        <v>9.9491041218731577E-2</v>
      </c>
      <c r="BA45" s="6">
        <f>AZ45/AZ27</f>
        <v>1.2792944585859622</v>
      </c>
      <c r="BB45" s="6">
        <v>0.56863421520984625</v>
      </c>
      <c r="BC45" s="6">
        <f>AVERAGE(BB45:BB50)</f>
        <v>0.27515940794625349</v>
      </c>
      <c r="BD45" s="6">
        <f>BC45/BC27</f>
        <v>0.92783004223830112</v>
      </c>
      <c r="BE45" s="6">
        <v>4.1912812828220056E-2</v>
      </c>
      <c r="BF45" s="6">
        <f>AVERAGE(BE45:BE50)</f>
        <v>0.11609351612816865</v>
      </c>
      <c r="BG45" s="6">
        <f>BF45/BF27</f>
        <v>0.1091161628276715</v>
      </c>
      <c r="BH45" s="6">
        <v>2.7712740641870584</v>
      </c>
      <c r="BI45" s="6">
        <f>AVERAGE(BH45:BH50)</f>
        <v>1.1194240632647794</v>
      </c>
      <c r="BJ45" s="6">
        <f>BI45/BI27</f>
        <v>1.7103091373290675</v>
      </c>
      <c r="BK45" s="6">
        <v>1.2517662757757706E-2</v>
      </c>
      <c r="BL45" s="6">
        <f>AVERAGE(BK45:BK50)</f>
        <v>0.14868328746472709</v>
      </c>
      <c r="BM45" s="6">
        <f>BL45/BL27</f>
        <v>0.93592972211619563</v>
      </c>
      <c r="BN45" s="6">
        <v>0.10699361568784516</v>
      </c>
      <c r="BO45" s="6">
        <f>AVERAGE(BN45:BN50)</f>
        <v>0.32433837163385293</v>
      </c>
      <c r="BP45" s="6">
        <f>BO45/BO27</f>
        <v>1.0321443008048119</v>
      </c>
      <c r="BQ45" s="6">
        <v>0.36616575355060133</v>
      </c>
      <c r="BR45" s="6">
        <f>AVERAGE(BQ45:BQ50)</f>
        <v>0.47994864659161235</v>
      </c>
      <c r="BS45" s="6">
        <f>BR45/BR27</f>
        <v>1.1952550045969954</v>
      </c>
      <c r="BT45" s="6">
        <v>4.887653415194089E-2</v>
      </c>
      <c r="BU45" s="6">
        <f>AVERAGE(BT45:BT50)</f>
        <v>2.8736066350020618E-2</v>
      </c>
      <c r="BV45" s="6">
        <f>BU45/BU27</f>
        <v>3.3486983894097788</v>
      </c>
      <c r="BW45" s="6">
        <v>0.38773079060515042</v>
      </c>
      <c r="BX45" s="6">
        <f>AVERAGE(BW45:BW50)</f>
        <v>0.48360842198037235</v>
      </c>
      <c r="BY45" s="1">
        <f>BX45/BX27</f>
        <v>1.4255822997482472</v>
      </c>
      <c r="CA45" s="1"/>
      <c r="CB45" s="1"/>
      <c r="CC45" s="1"/>
      <c r="CD45" s="1"/>
      <c r="CE45" s="1"/>
      <c r="CF45" s="1"/>
      <c r="CG45" s="1"/>
      <c r="CH45" s="1"/>
      <c r="CI45" s="1"/>
      <c r="CJ45" s="1"/>
      <c r="CK45" s="1"/>
      <c r="CL45" s="1"/>
      <c r="CM45" s="1"/>
      <c r="CN45" s="1"/>
      <c r="CO45" s="1"/>
      <c r="CP45" s="1"/>
      <c r="CQ45" s="1"/>
      <c r="CR45" s="1"/>
    </row>
    <row r="46" spans="1:96" x14ac:dyDescent="0.25">
      <c r="A46" s="1"/>
      <c r="B46" s="1" t="s">
        <v>16</v>
      </c>
      <c r="C46" s="1">
        <v>16</v>
      </c>
      <c r="E46">
        <v>-2.7688252551269521</v>
      </c>
      <c r="F46" s="6"/>
      <c r="G46" s="6" t="e">
        <f>AVERAGE(G45,G48)</f>
        <v>#DIV/0!</v>
      </c>
      <c r="H46" s="1">
        <v>1.4548590557861338</v>
      </c>
      <c r="I46" s="6"/>
      <c r="J46" s="6" t="e">
        <f>AVERAGE(J45,J48)</f>
        <v>#DIV/0!</v>
      </c>
      <c r="K46">
        <v>2.754814423828126</v>
      </c>
      <c r="L46" s="6"/>
      <c r="M46" s="6" t="e">
        <f>AVERAGE(M45,M48)</f>
        <v>#DIV/0!</v>
      </c>
      <c r="N46" s="6">
        <v>2.2391486005443873E-2</v>
      </c>
      <c r="O46" s="6"/>
      <c r="P46" s="6" t="e">
        <f>AVERAGE(P45,P48)</f>
        <v>#DIV/0!</v>
      </c>
      <c r="Q46" s="6">
        <v>0.30429735432273564</v>
      </c>
      <c r="R46" s="6"/>
      <c r="S46" s="6" t="e">
        <f>AVERAGE(S45,S48)</f>
        <v>#DIV/0!</v>
      </c>
      <c r="T46" s="6">
        <v>2.0824136476244877E-2</v>
      </c>
      <c r="U46" s="6"/>
      <c r="V46" s="6" t="e">
        <f>AVERAGE(V45,V48)</f>
        <v>#DIV/0!</v>
      </c>
      <c r="W46" s="6">
        <v>1.695592750602444</v>
      </c>
      <c r="X46" s="6"/>
      <c r="Y46" s="6" t="e">
        <f>AVERAGE(Y45,Y48)</f>
        <v>#DIV/0!</v>
      </c>
      <c r="Z46" s="6">
        <v>0.2244321396944125</v>
      </c>
      <c r="AA46" s="6"/>
      <c r="AB46" s="6" t="e">
        <f>AVERAGE(AB45,AB48)</f>
        <v>#DIV/0!</v>
      </c>
      <c r="AC46" s="6">
        <v>6.1978989764586156E-2</v>
      </c>
      <c r="AD46" s="6"/>
      <c r="AE46" s="6" t="e">
        <f>AVERAGE(AE45,AE48)</f>
        <v>#DIV/0!</v>
      </c>
      <c r="AF46" s="6">
        <v>1.1585650261011529</v>
      </c>
      <c r="AG46" s="6"/>
      <c r="AH46" s="6" t="e">
        <f>AVERAGE(AH45,AH48)</f>
        <v>#DIV/0!</v>
      </c>
      <c r="AI46" s="6">
        <v>3.9532093471129112E-2</v>
      </c>
      <c r="AJ46" s="6"/>
      <c r="AK46" s="6" t="e">
        <f>AVERAGE(AK45,AK48)</f>
        <v>#DIV/0!</v>
      </c>
      <c r="AL46" s="6">
        <v>0.27355662921987206</v>
      </c>
      <c r="AM46" s="6"/>
      <c r="AN46" s="1" t="e">
        <f>AVERAGE(AN45,AN48)</f>
        <v>#DIV/0!</v>
      </c>
      <c r="AO46" s="1"/>
      <c r="AP46">
        <v>-2.5473796557617199</v>
      </c>
      <c r="AQ46" s="6"/>
      <c r="AR46" s="6" t="e">
        <f>AVERAGE(AR45,AR48)</f>
        <v>#DIV/0!</v>
      </c>
      <c r="AS46">
        <v>3.0741940570068351</v>
      </c>
      <c r="AT46" s="6"/>
      <c r="AU46" s="6" t="e">
        <f>AVERAGE(AU45,AU48)</f>
        <v>#DIV/0!</v>
      </c>
      <c r="AV46">
        <v>3.2124641705322254</v>
      </c>
      <c r="AW46" s="6"/>
      <c r="AX46" s="6" t="e">
        <f>AVERAGE(AX45,AX48)</f>
        <v>#DIV/0!</v>
      </c>
      <c r="AY46" s="6">
        <v>7.007918719295704E-2</v>
      </c>
      <c r="AZ46" s="6"/>
      <c r="BA46" s="6" t="e">
        <f>AVERAGE(BA45,BA48)</f>
        <v>#DIV/0!</v>
      </c>
      <c r="BB46" s="6">
        <v>0.62452139695558484</v>
      </c>
      <c r="BC46" s="6"/>
      <c r="BD46" s="6" t="e">
        <f>AVERAGE(BD45,BD48)</f>
        <v>#DIV/0!</v>
      </c>
      <c r="BE46" s="6">
        <v>4.3860437893580656E-2</v>
      </c>
      <c r="BF46" s="6"/>
      <c r="BG46" s="6" t="e">
        <f>AVERAGE(BG45,BG48)</f>
        <v>#DIV/0!</v>
      </c>
      <c r="BH46" s="6">
        <v>2.5998085377480904</v>
      </c>
      <c r="BI46" s="6"/>
      <c r="BJ46" s="6" t="e">
        <f>AVERAGE(BJ45,BJ48)</f>
        <v>#DIV/0!</v>
      </c>
      <c r="BK46" s="6">
        <v>1.26722697051702E-2</v>
      </c>
      <c r="BL46" s="6"/>
      <c r="BM46" s="6" t="e">
        <f>AVERAGE(BM45,BM48)</f>
        <v>#DIV/0!</v>
      </c>
      <c r="BN46" s="6">
        <v>0.107991098118297</v>
      </c>
      <c r="BO46" s="6"/>
      <c r="BP46" s="6" t="e">
        <f>AVERAGE(BP45,BP48)</f>
        <v>#DIV/0!</v>
      </c>
      <c r="BQ46" s="6">
        <v>0.34165457518608955</v>
      </c>
      <c r="BR46" s="6"/>
      <c r="BS46" s="6" t="e">
        <f>AVERAGE(BS45,BS48)</f>
        <v>#DIV/0!</v>
      </c>
      <c r="BT46" s="6">
        <v>5.202892145136126E-2</v>
      </c>
      <c r="BU46" s="6"/>
      <c r="BV46" s="6" t="e">
        <f>AVERAGE(BV45,BV48)</f>
        <v>#DIV/0!</v>
      </c>
      <c r="BW46" s="6">
        <v>0.39247195414274111</v>
      </c>
      <c r="BX46" s="6"/>
      <c r="BY46" s="1" t="e">
        <f>AVERAGE(BY45,BY48)</f>
        <v>#DIV/0!</v>
      </c>
      <c r="CA46" s="1"/>
      <c r="CB46" s="1"/>
      <c r="CC46" s="1"/>
      <c r="CD46" s="1"/>
      <c r="CE46" s="1"/>
      <c r="CF46" s="1"/>
      <c r="CG46" s="1"/>
      <c r="CH46" s="1"/>
      <c r="CI46" s="1"/>
      <c r="CJ46" s="1"/>
      <c r="CK46" s="1"/>
      <c r="CL46" s="1"/>
      <c r="CM46" s="1"/>
      <c r="CN46" s="1"/>
      <c r="CO46" s="1"/>
      <c r="CP46" s="1"/>
      <c r="CQ46" s="1"/>
      <c r="CR46" s="1"/>
    </row>
    <row r="47" spans="1:96" x14ac:dyDescent="0.25">
      <c r="A47" s="1"/>
      <c r="B47" s="1" t="s">
        <v>16</v>
      </c>
      <c r="C47" s="1">
        <v>16</v>
      </c>
      <c r="E47">
        <v>-2.7036664111328115</v>
      </c>
      <c r="F47" s="6"/>
      <c r="G47" s="6" t="e">
        <f>STDEVA(G45,G48)</f>
        <v>#DIV/0!</v>
      </c>
      <c r="H47" s="1">
        <v>1.5113470928955088</v>
      </c>
      <c r="I47" s="6"/>
      <c r="J47" s="6" t="e">
        <f>STDEVA(J45,J48)</f>
        <v>#DIV/0!</v>
      </c>
      <c r="K47">
        <v>2.8730318920898448</v>
      </c>
      <c r="L47" s="6"/>
      <c r="M47" s="6" t="e">
        <f>STDEVA(M45,M48)</f>
        <v>#DIV/0!</v>
      </c>
      <c r="N47" s="3"/>
      <c r="O47" s="6"/>
      <c r="P47" s="6" t="e">
        <f>STDEVA(P45,P48)</f>
        <v>#DIV/0!</v>
      </c>
      <c r="Q47" s="3"/>
      <c r="R47" s="6"/>
      <c r="S47" s="6" t="e">
        <f>STDEVA(S45,S48)</f>
        <v>#DIV/0!</v>
      </c>
      <c r="T47" s="3"/>
      <c r="U47" s="6"/>
      <c r="V47" s="6" t="e">
        <f>STDEVA(V45,V48)</f>
        <v>#DIV/0!</v>
      </c>
      <c r="W47" s="3"/>
      <c r="X47" s="6"/>
      <c r="Y47" s="6" t="e">
        <f>STDEVA(Y45,Y48)</f>
        <v>#DIV/0!</v>
      </c>
      <c r="Z47" s="3"/>
      <c r="AA47" s="6"/>
      <c r="AB47" s="6" t="e">
        <f>STDEVA(AB45,AB48)</f>
        <v>#DIV/0!</v>
      </c>
      <c r="AC47" s="3"/>
      <c r="AD47" s="6"/>
      <c r="AE47" s="6" t="e">
        <f>STDEVA(AE45,AE48)</f>
        <v>#DIV/0!</v>
      </c>
      <c r="AF47" s="3"/>
      <c r="AG47" s="6"/>
      <c r="AH47" s="6" t="e">
        <f>STDEVA(AH45,AH48)</f>
        <v>#DIV/0!</v>
      </c>
      <c r="AI47" s="3"/>
      <c r="AJ47" s="6"/>
      <c r="AK47" s="6" t="e">
        <f>STDEVA(AK45,AK48)</f>
        <v>#DIV/0!</v>
      </c>
      <c r="AL47" s="3"/>
      <c r="AM47" s="6"/>
      <c r="AN47" s="1" t="e">
        <f>STDEVA(AN45,AN48)</f>
        <v>#DIV/0!</v>
      </c>
      <c r="AO47" s="1"/>
      <c r="AP47">
        <v>-2.4982482623291027</v>
      </c>
      <c r="AQ47" s="6"/>
      <c r="AR47" s="6" t="e">
        <f>STDEVA(AR45,AR48)</f>
        <v>#DIV/0!</v>
      </c>
      <c r="AS47">
        <v>3.0776082110595691</v>
      </c>
      <c r="AT47" s="6"/>
      <c r="AU47" s="6" t="e">
        <f>STDEVA(AU45,AU48)</f>
        <v>#DIV/0!</v>
      </c>
      <c r="AV47">
        <v>3.3595131207275384</v>
      </c>
      <c r="AW47" s="6"/>
      <c r="AX47" s="6" t="e">
        <f>STDEVA(AX45,AX48)</f>
        <v>#DIV/0!</v>
      </c>
      <c r="AY47" s="3"/>
      <c r="AZ47" s="6"/>
      <c r="BA47" s="6" t="e">
        <f>STDEVA(BA45,BA48)</f>
        <v>#DIV/0!</v>
      </c>
      <c r="BB47" s="3"/>
      <c r="BC47" s="6"/>
      <c r="BD47" s="6" t="e">
        <f>STDEVA(BD45,BD48)</f>
        <v>#DIV/0!</v>
      </c>
      <c r="BE47" s="3"/>
      <c r="BF47" s="6"/>
      <c r="BG47" s="6" t="e">
        <f>STDEVA(BG45,BG48)</f>
        <v>#DIV/0!</v>
      </c>
      <c r="BH47" s="3"/>
      <c r="BI47" s="6"/>
      <c r="BJ47" s="6" t="e">
        <f>STDEVA(BJ45,BJ48)</f>
        <v>#DIV/0!</v>
      </c>
      <c r="BK47" s="3"/>
      <c r="BL47" s="6"/>
      <c r="BM47" s="6" t="e">
        <f>STDEVA(BM45,BM48)</f>
        <v>#DIV/0!</v>
      </c>
      <c r="BN47" s="3"/>
      <c r="BO47" s="6"/>
      <c r="BP47" s="6" t="e">
        <f>STDEVA(BP45,BP48)</f>
        <v>#DIV/0!</v>
      </c>
      <c r="BQ47" s="3"/>
      <c r="BR47" s="6"/>
      <c r="BS47" s="6" t="e">
        <f>STDEVA(BS45,BS48)</f>
        <v>#DIV/0!</v>
      </c>
      <c r="BT47" s="3"/>
      <c r="BU47" s="6"/>
      <c r="BV47" s="6" t="e">
        <f>STDEVA(BV45,BV48)</f>
        <v>#DIV/0!</v>
      </c>
      <c r="BW47" s="3"/>
      <c r="BX47" s="6"/>
      <c r="BY47" s="1" t="e">
        <f>STDEVA(BY45,BY48)</f>
        <v>#DIV/0!</v>
      </c>
      <c r="CA47" s="1"/>
      <c r="CB47" s="1"/>
      <c r="CC47" s="1"/>
      <c r="CD47" s="1"/>
      <c r="CE47" s="1"/>
      <c r="CF47" s="1"/>
      <c r="CG47" s="1"/>
      <c r="CH47" s="1"/>
      <c r="CI47" s="1"/>
      <c r="CJ47" s="1"/>
      <c r="CK47" s="1"/>
      <c r="CL47" s="1"/>
      <c r="CM47" s="1"/>
      <c r="CN47" s="1"/>
      <c r="CO47" s="1"/>
      <c r="CP47" s="1"/>
      <c r="CQ47" s="1"/>
      <c r="CR47" s="1"/>
    </row>
    <row r="48" spans="1:96" x14ac:dyDescent="0.25">
      <c r="A48" s="1"/>
      <c r="B48" s="1" t="s">
        <v>16</v>
      </c>
      <c r="C48" s="1">
        <v>16</v>
      </c>
      <c r="E48">
        <v>-3.0720180444335945</v>
      </c>
      <c r="F48" s="6"/>
      <c r="G48" s="6" t="e">
        <f>F48/F30</f>
        <v>#DIV/0!</v>
      </c>
      <c r="H48">
        <v>2.130481345214843</v>
      </c>
      <c r="I48" s="6"/>
      <c r="J48" s="6" t="e">
        <f>I48/I30</f>
        <v>#DIV/0!</v>
      </c>
      <c r="K48">
        <v>2.0701709814453118</v>
      </c>
      <c r="L48" s="6"/>
      <c r="M48" s="6" t="e">
        <f>L48/L30</f>
        <v>#DIV/0!</v>
      </c>
      <c r="N48" s="6">
        <v>8.3433061489031988E-3</v>
      </c>
      <c r="O48" s="6"/>
      <c r="P48" s="6" t="e">
        <f>O48/O30</f>
        <v>#DIV/0!</v>
      </c>
      <c r="Q48" s="6">
        <v>1.0103787152210712E-2</v>
      </c>
      <c r="R48" s="6"/>
      <c r="S48" s="6" t="e">
        <f>R48/R30</f>
        <v>#DIV/0!</v>
      </c>
      <c r="T48" s="6">
        <v>4.2070001908052993E-3</v>
      </c>
      <c r="U48" s="6"/>
      <c r="V48" s="6" t="e">
        <f>U48/U30</f>
        <v>#DIV/0!</v>
      </c>
      <c r="W48" s="6">
        <v>5.3668935908057949E-2</v>
      </c>
      <c r="X48" s="6"/>
      <c r="Y48" s="6" t="e">
        <f>X48/X30</f>
        <v>#DIV/0!</v>
      </c>
      <c r="Z48" s="6">
        <v>7.9729262150093447E-2</v>
      </c>
      <c r="AA48" s="6"/>
      <c r="AB48" s="6" t="e">
        <f>AA48/AA30</f>
        <v>#DIV/0!</v>
      </c>
      <c r="AC48" s="6">
        <v>0.11284263662129838</v>
      </c>
      <c r="AD48" s="6"/>
      <c r="AE48" s="6" t="e">
        <f>AD48/AD30</f>
        <v>#DIV/0!</v>
      </c>
      <c r="AF48" s="6">
        <v>0.17684677596798717</v>
      </c>
      <c r="AG48" s="6"/>
      <c r="AH48" s="6" t="e">
        <f>AG48/AG30</f>
        <v>#DIV/0!</v>
      </c>
      <c r="AI48" s="6">
        <v>2.0184211412168616E-2</v>
      </c>
      <c r="AJ48" s="6"/>
      <c r="AK48" s="6" t="e">
        <f>AJ48/AJ30</f>
        <v>#DIV/0!</v>
      </c>
      <c r="AL48" s="6">
        <v>0.62261471988184358</v>
      </c>
      <c r="AM48" s="6"/>
      <c r="AN48" s="1" t="e">
        <f>AM48/AM30</f>
        <v>#DIV/0!</v>
      </c>
      <c r="AO48" s="1"/>
      <c r="AP48">
        <v>-1.9037245678710948</v>
      </c>
      <c r="AQ48" s="6"/>
      <c r="AR48" s="6" t="e">
        <f>AQ48/AQ30</f>
        <v>#DIV/0!</v>
      </c>
      <c r="AS48">
        <v>3.0317460131835929</v>
      </c>
      <c r="AT48" s="6"/>
      <c r="AU48" s="6" t="e">
        <f>AT48/AT30</f>
        <v>#DIV/0!</v>
      </c>
      <c r="AV48">
        <v>3.1959420275878894</v>
      </c>
      <c r="AW48" s="6"/>
      <c r="AX48" s="6" t="e">
        <f>AW48/AW30</f>
        <v>#DIV/0!</v>
      </c>
      <c r="AY48" s="6">
        <v>0.12310289149199545</v>
      </c>
      <c r="AZ48" s="6"/>
      <c r="BA48" s="6" t="e">
        <f>AZ48/AZ30</f>
        <v>#DIV/0!</v>
      </c>
      <c r="BB48" s="6">
        <v>6.1992609816732075E-2</v>
      </c>
      <c r="BC48" s="6"/>
      <c r="BD48" s="6" t="e">
        <f>BC48/BC30</f>
        <v>#DIV/0!</v>
      </c>
      <c r="BE48" s="6">
        <v>0.16859256013241347</v>
      </c>
      <c r="BF48" s="6"/>
      <c r="BG48" s="6" t="e">
        <f>BF48/BF30</f>
        <v>#DIV/0!</v>
      </c>
      <c r="BH48" s="6">
        <v>7.562844995857651E-2</v>
      </c>
      <c r="BI48" s="6"/>
      <c r="BJ48" s="6" t="e">
        <f>BI48/BI30</f>
        <v>#DIV/0!</v>
      </c>
      <c r="BK48" s="6">
        <v>0.24294038497261758</v>
      </c>
      <c r="BL48" s="6"/>
      <c r="BM48" s="6" t="e">
        <f>BL48/BL30</f>
        <v>#DIV/0!</v>
      </c>
      <c r="BN48" s="6">
        <v>0.46338902852963632</v>
      </c>
      <c r="BO48" s="6"/>
      <c r="BP48" s="6" t="e">
        <f>BO48/BO30</f>
        <v>#DIV/0!</v>
      </c>
      <c r="BQ48" s="6">
        <v>0.55290014919057728</v>
      </c>
      <c r="BR48" s="6"/>
      <c r="BS48" s="6" t="e">
        <f>BR48/BR30</f>
        <v>#DIV/0!</v>
      </c>
      <c r="BT48" s="6">
        <v>1.5511148365956427E-2</v>
      </c>
      <c r="BU48" s="6"/>
      <c r="BV48" s="6" t="e">
        <f>BU48/BU30</f>
        <v>#DIV/0!</v>
      </c>
      <c r="BW48" s="6">
        <v>0.56154724980554183</v>
      </c>
      <c r="BX48" s="6"/>
      <c r="BY48" s="1" t="e">
        <f>BX48/BX30</f>
        <v>#DIV/0!</v>
      </c>
      <c r="CA48" s="1"/>
      <c r="CB48" s="1"/>
      <c r="CC48" s="1"/>
      <c r="CD48" s="1"/>
      <c r="CE48" s="1"/>
      <c r="CF48" s="1"/>
      <c r="CH48" s="1"/>
      <c r="CI48" s="1"/>
      <c r="CJ48" s="1"/>
      <c r="CK48" s="1"/>
      <c r="CL48" s="1"/>
      <c r="CM48" s="1"/>
      <c r="CN48" s="1"/>
      <c r="CO48" s="1"/>
      <c r="CP48" s="1"/>
      <c r="CQ48" s="1"/>
      <c r="CR48" s="1"/>
    </row>
    <row r="49" spans="1:96" x14ac:dyDescent="0.25">
      <c r="A49" s="1"/>
      <c r="B49" s="1" t="s">
        <v>16</v>
      </c>
      <c r="C49" s="1">
        <v>16</v>
      </c>
      <c r="E49">
        <v>-3.0955699853515632</v>
      </c>
      <c r="F49" s="6"/>
      <c r="G49" s="6"/>
      <c r="H49">
        <v>2.1142784185791008</v>
      </c>
      <c r="I49" s="6"/>
      <c r="J49" s="6"/>
      <c r="K49">
        <v>2.1376453466796868</v>
      </c>
      <c r="L49" s="6"/>
      <c r="M49" s="6"/>
      <c r="N49" s="6">
        <v>8.1710161362953272E-3</v>
      </c>
      <c r="O49" s="6"/>
      <c r="P49" s="6"/>
      <c r="Q49" s="6">
        <v>1.0001796515592049E-2</v>
      </c>
      <c r="R49" s="6"/>
      <c r="S49" s="6"/>
      <c r="T49" s="6">
        <v>4.2532218836930915E-3</v>
      </c>
      <c r="U49" s="6"/>
      <c r="V49" s="6"/>
      <c r="W49" s="6">
        <v>5.2813938082874323E-2</v>
      </c>
      <c r="X49" s="6"/>
      <c r="Y49" s="6"/>
      <c r="Z49" s="6">
        <v>7.5653990785801623E-2</v>
      </c>
      <c r="AA49" s="6"/>
      <c r="AB49" s="6"/>
      <c r="AC49" s="6">
        <v>0.11417204751968082</v>
      </c>
      <c r="AD49" s="6"/>
      <c r="AE49" s="6"/>
      <c r="AF49" s="6">
        <v>0.18707460556854422</v>
      </c>
      <c r="AG49" s="6"/>
      <c r="AH49" s="6"/>
      <c r="AI49" s="6">
        <v>1.992441151026619E-2</v>
      </c>
      <c r="AJ49" s="6"/>
      <c r="AK49" s="6"/>
      <c r="AL49" s="6">
        <v>0.60813625551425754</v>
      </c>
      <c r="AM49" s="6"/>
      <c r="AN49" s="1"/>
      <c r="AO49" s="1"/>
      <c r="AP49">
        <v>-1.927289860229493</v>
      </c>
      <c r="AQ49" s="6"/>
      <c r="AR49" s="6"/>
      <c r="AT49" s="6"/>
      <c r="AU49" s="6"/>
      <c r="AV49">
        <v>3.1907044482421867</v>
      </c>
      <c r="AW49" s="6"/>
      <c r="AX49" s="6"/>
      <c r="AY49" s="6">
        <v>0.11678993387088346</v>
      </c>
      <c r="AZ49" s="6"/>
      <c r="BA49" s="6"/>
      <c r="BB49" s="6">
        <v>6.0543250947627102E-2</v>
      </c>
      <c r="BC49" s="6"/>
      <c r="BD49" s="6"/>
      <c r="BE49" s="6">
        <v>0.16271913046847758</v>
      </c>
      <c r="BF49" s="6"/>
      <c r="BG49" s="6"/>
      <c r="BH49" s="6">
        <v>7.3697982509953172E-2</v>
      </c>
      <c r="BI49" s="6"/>
      <c r="BJ49" s="6"/>
      <c r="BK49" s="6">
        <v>0.24050778563994829</v>
      </c>
      <c r="BL49" s="6"/>
      <c r="BM49" s="6"/>
      <c r="BN49" s="6">
        <v>0.47636091560474664</v>
      </c>
      <c r="BO49" s="6"/>
      <c r="BP49" s="6"/>
      <c r="BQ49" s="6">
        <v>0.56923730890472102</v>
      </c>
      <c r="BR49" s="6"/>
      <c r="BS49" s="6"/>
      <c r="BT49" s="6">
        <v>1.5483284073018575E-2</v>
      </c>
      <c r="BU49" s="6"/>
      <c r="BV49" s="6"/>
      <c r="BW49" s="6">
        <v>0.55674817036305002</v>
      </c>
      <c r="BX49" s="6"/>
      <c r="BY49" s="1"/>
      <c r="CA49" s="1"/>
      <c r="CB49" s="1"/>
      <c r="CC49" s="1"/>
      <c r="CD49" s="1"/>
      <c r="CE49" s="1"/>
      <c r="CF49" s="1"/>
      <c r="CH49" s="1"/>
      <c r="CI49" s="1"/>
      <c r="CJ49" s="1"/>
      <c r="CK49" s="1"/>
      <c r="CL49" s="1"/>
      <c r="CM49" s="1"/>
      <c r="CN49" s="1"/>
      <c r="CO49" s="1"/>
      <c r="CP49" s="1"/>
      <c r="CQ49" s="1"/>
      <c r="CR49" s="1"/>
    </row>
    <row r="50" spans="1:96" x14ac:dyDescent="0.25">
      <c r="A50" s="1"/>
      <c r="B50" s="1" t="s">
        <v>16</v>
      </c>
      <c r="C50" s="1">
        <v>16</v>
      </c>
      <c r="E50">
        <v>-3.0835956506347664</v>
      </c>
      <c r="F50" s="6"/>
      <c r="G50" s="6"/>
      <c r="H50">
        <v>2.1477008886718743</v>
      </c>
      <c r="I50" s="6"/>
      <c r="J50" s="6"/>
      <c r="K50">
        <v>2.1482502050781243</v>
      </c>
      <c r="L50" s="6"/>
      <c r="M50" s="6"/>
      <c r="N50" s="6">
        <v>8.4288973659093318E-3</v>
      </c>
      <c r="O50" s="6"/>
      <c r="P50" s="6"/>
      <c r="Q50" s="6">
        <v>1.0319940919393642E-2</v>
      </c>
      <c r="R50" s="6"/>
      <c r="S50" s="6"/>
      <c r="T50" s="6">
        <v>4.119640499344563E-3</v>
      </c>
      <c r="U50" s="6"/>
      <c r="V50" s="6"/>
      <c r="W50" s="6">
        <v>5.2103139454518978E-2</v>
      </c>
      <c r="X50" s="6"/>
      <c r="Y50" s="6"/>
      <c r="Z50" s="6">
        <v>8.0763321516291911E-2</v>
      </c>
      <c r="AA50" s="6"/>
      <c r="AB50" s="6"/>
      <c r="AC50" s="6">
        <v>0.11170962449731568</v>
      </c>
      <c r="AD50" s="6"/>
      <c r="AE50" s="6"/>
      <c r="AF50" s="6">
        <v>0.17384110327165325</v>
      </c>
      <c r="AG50" s="6"/>
      <c r="AH50" s="6"/>
      <c r="AI50" s="6">
        <v>2.0155172348295423E-2</v>
      </c>
      <c r="AJ50" s="6"/>
      <c r="AK50" s="6"/>
      <c r="AL50" s="6">
        <v>0.61008424653271243</v>
      </c>
      <c r="AM50" s="6"/>
      <c r="AN50" s="1"/>
      <c r="AO50" s="1"/>
      <c r="AP50">
        <v>-1.8702715802001963</v>
      </c>
      <c r="AQ50" s="6"/>
      <c r="AR50" s="6"/>
      <c r="AT50" s="6"/>
      <c r="AU50" s="6"/>
      <c r="AV50">
        <v>3.1684552264404293</v>
      </c>
      <c r="AW50" s="6"/>
      <c r="AX50" s="6"/>
      <c r="AY50" s="6">
        <v>0.11870181458749787</v>
      </c>
      <c r="AZ50" s="6"/>
      <c r="BA50" s="6"/>
      <c r="BB50" s="6">
        <v>6.0105566801476967E-2</v>
      </c>
      <c r="BC50" s="6"/>
      <c r="BD50" s="6"/>
      <c r="BE50" s="6">
        <v>0.16338263931815147</v>
      </c>
      <c r="BF50" s="6"/>
      <c r="BG50" s="6"/>
      <c r="BH50" s="6">
        <v>7.6711281920219185E-2</v>
      </c>
      <c r="BI50" s="6"/>
      <c r="BJ50" s="6"/>
      <c r="BK50" s="6">
        <v>0.2347783342481416</v>
      </c>
      <c r="BL50" s="6"/>
      <c r="BM50" s="6"/>
      <c r="BN50" s="6">
        <v>0.4669572002287396</v>
      </c>
      <c r="BO50" s="6"/>
      <c r="BP50" s="6"/>
      <c r="BQ50" s="6">
        <v>0.56978544612607251</v>
      </c>
      <c r="BR50" s="6"/>
      <c r="BS50" s="6"/>
      <c r="BT50" s="6">
        <v>1.178044370782594E-2</v>
      </c>
      <c r="BU50" s="6"/>
      <c r="BV50" s="6"/>
      <c r="BW50" s="6">
        <v>0.51954394498537781</v>
      </c>
      <c r="BX50" s="6"/>
      <c r="BY50" s="1"/>
      <c r="CA50" s="1"/>
      <c r="CB50" s="1"/>
      <c r="CC50" s="1"/>
      <c r="CD50" s="1"/>
      <c r="CE50" s="1"/>
      <c r="CF50" s="1"/>
      <c r="CH50" s="1"/>
      <c r="CI50" s="1"/>
      <c r="CJ50" s="1"/>
      <c r="CK50" s="1"/>
      <c r="CL50" s="1"/>
      <c r="CM50" s="1"/>
      <c r="CN50" s="1"/>
      <c r="CO50" s="1"/>
      <c r="CP50" s="1"/>
      <c r="CQ50" s="1"/>
      <c r="CR50" s="1"/>
    </row>
  </sheetData>
  <pageMargins left="0.7" right="0.7" top="0.75" bottom="0.75" header="0.3" footer="0.3"/>
  <pageSetup paperSize="9" orientation="portrait" horizontalDpi="4294967293" verticalDpi="4294967293"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BE132"/>
  <sheetViews>
    <sheetView topLeftCell="A94" workbookViewId="0">
      <selection activeCell="M9" sqref="M9:O130"/>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2" spans="1:57" x14ac:dyDescent="0.2">
      <c r="G2" s="27"/>
      <c r="H2" s="17"/>
      <c r="I2" s="17"/>
      <c r="J2" s="17"/>
      <c r="K2" s="17"/>
      <c r="L2" s="17"/>
      <c r="M2" s="17"/>
      <c r="N2" s="17"/>
      <c r="O2" s="17"/>
      <c r="P2" s="17"/>
      <c r="Q2" s="17"/>
      <c r="R2" s="17"/>
      <c r="S2" s="17"/>
    </row>
    <row r="3" spans="1:57" x14ac:dyDescent="0.2">
      <c r="G3" s="17"/>
      <c r="H3" s="17"/>
      <c r="I3" s="17"/>
      <c r="J3" s="17"/>
      <c r="K3" s="27"/>
      <c r="L3" s="17"/>
      <c r="M3" s="17"/>
      <c r="N3" s="17"/>
      <c r="O3" s="27"/>
      <c r="P3" s="17"/>
      <c r="Q3" s="17"/>
      <c r="R3" s="17"/>
      <c r="S3" s="27"/>
    </row>
    <row r="4" spans="1:57" x14ac:dyDescent="0.2">
      <c r="G4" s="14"/>
      <c r="H4" s="14"/>
      <c r="I4" s="14"/>
      <c r="J4" s="14"/>
      <c r="K4" s="14"/>
      <c r="L4" s="14"/>
      <c r="M4" s="14"/>
      <c r="N4" s="14"/>
      <c r="O4" s="14"/>
      <c r="P4" s="14"/>
      <c r="Q4" s="14"/>
      <c r="R4" s="14"/>
      <c r="S4" s="14"/>
    </row>
    <row r="5" spans="1:57" x14ac:dyDescent="0.2">
      <c r="G5" s="14"/>
      <c r="H5" s="14"/>
      <c r="I5" s="14"/>
      <c r="J5" s="14"/>
      <c r="K5" s="14"/>
      <c r="L5" s="14"/>
      <c r="M5" s="14"/>
      <c r="N5" s="14"/>
      <c r="O5" s="14"/>
      <c r="P5" s="14"/>
      <c r="Q5" s="14"/>
      <c r="R5" s="14"/>
      <c r="S5" s="14"/>
    </row>
    <row r="6" spans="1:57" x14ac:dyDescent="0.2">
      <c r="G6" s="14"/>
      <c r="H6" s="14"/>
      <c r="I6" s="14"/>
      <c r="J6" s="14"/>
      <c r="K6" s="14"/>
      <c r="L6" s="14"/>
      <c r="M6" s="14"/>
      <c r="N6" s="14"/>
      <c r="O6" s="14"/>
      <c r="P6" s="14"/>
      <c r="Q6" s="14"/>
      <c r="R6" s="14"/>
      <c r="S6" s="14"/>
    </row>
    <row r="7" spans="1:57" x14ac:dyDescent="0.2">
      <c r="G7" s="14"/>
      <c r="H7" s="14"/>
      <c r="I7" s="14"/>
      <c r="J7" s="14"/>
      <c r="K7" s="14"/>
      <c r="L7" s="14"/>
      <c r="M7" s="14"/>
      <c r="N7" s="14"/>
      <c r="O7" s="14"/>
      <c r="P7" s="14"/>
      <c r="Q7" s="14"/>
      <c r="R7" s="14"/>
      <c r="S7" s="14"/>
    </row>
    <row r="8" spans="1:57" ht="13.5" thickBot="1" x14ac:dyDescent="0.25">
      <c r="G8" s="14"/>
      <c r="H8" s="14"/>
      <c r="I8" s="14"/>
      <c r="J8" s="14"/>
      <c r="K8" s="14"/>
      <c r="L8" s="14"/>
      <c r="M8" s="14"/>
      <c r="N8" s="14"/>
      <c r="O8" s="14"/>
      <c r="P8" s="14"/>
      <c r="Q8" s="14"/>
      <c r="R8" s="14"/>
      <c r="S8" s="14"/>
    </row>
    <row r="9" spans="1:57" ht="15" x14ac:dyDescent="0.25">
      <c r="A9" s="14"/>
      <c r="B9" s="22"/>
      <c r="C9" s="21"/>
      <c r="D9" s="29" t="s">
        <v>138</v>
      </c>
      <c r="E9" s="21"/>
      <c r="F9" s="21"/>
      <c r="G9" s="21"/>
      <c r="H9" s="21"/>
      <c r="I9" s="21"/>
      <c r="J9" s="21" t="s">
        <v>137</v>
      </c>
      <c r="K9" s="21"/>
      <c r="L9" s="21"/>
      <c r="M9" s="21"/>
      <c r="N9" s="21"/>
      <c r="O9" s="20"/>
      <c r="R9" s="17"/>
      <c r="S9" s="22" t="s">
        <v>143</v>
      </c>
      <c r="T9" s="21"/>
      <c r="U9" s="21"/>
      <c r="V9" s="21"/>
      <c r="W9" s="21"/>
      <c r="X9" s="21"/>
      <c r="Y9" s="21"/>
      <c r="Z9" s="21"/>
      <c r="AA9" s="21"/>
      <c r="AB9" s="21"/>
      <c r="AC9" s="21"/>
      <c r="AD9" s="24"/>
      <c r="AE9" s="24"/>
      <c r="AF9" s="24"/>
      <c r="AG9" s="24"/>
      <c r="AH9" s="24"/>
      <c r="AI9" s="24"/>
      <c r="AJ9" s="24"/>
      <c r="AK9" s="24"/>
      <c r="AL9" s="21"/>
      <c r="AM9" s="21"/>
      <c r="AN9" s="21"/>
      <c r="AO9" s="24"/>
      <c r="AP9" s="24"/>
      <c r="AQ9" s="24"/>
      <c r="AR9" s="24"/>
      <c r="AS9" s="24"/>
      <c r="AT9" s="24"/>
      <c r="AU9" s="24"/>
      <c r="AV9" s="24"/>
      <c r="AW9" s="24"/>
      <c r="AX9" s="24"/>
      <c r="AY9" s="24"/>
      <c r="AZ9" s="24"/>
      <c r="BA9" s="24"/>
      <c r="BB9" s="24"/>
      <c r="BC9" s="24"/>
      <c r="BD9" s="23"/>
    </row>
    <row r="10" spans="1:57" x14ac:dyDescent="0.2">
      <c r="A10" s="18"/>
      <c r="B10" s="18"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142</v>
      </c>
      <c r="W10" s="17" t="s">
        <v>133</v>
      </c>
      <c r="X10" s="17" t="s">
        <v>37</v>
      </c>
      <c r="Y10" s="17" t="s">
        <v>142</v>
      </c>
      <c r="Z10" s="17" t="s">
        <v>133</v>
      </c>
      <c r="AA10" s="17" t="s">
        <v>49</v>
      </c>
      <c r="AB10" s="17" t="s">
        <v>142</v>
      </c>
      <c r="AC10" s="17" t="s">
        <v>133</v>
      </c>
      <c r="AD10" s="17" t="s">
        <v>5</v>
      </c>
      <c r="AE10" s="17" t="s">
        <v>142</v>
      </c>
      <c r="AF10" s="17" t="s">
        <v>133</v>
      </c>
      <c r="AG10" s="17" t="s">
        <v>6</v>
      </c>
      <c r="AH10" s="17" t="s">
        <v>142</v>
      </c>
      <c r="AI10" s="17" t="s">
        <v>133</v>
      </c>
      <c r="AJ10" s="17" t="s">
        <v>7</v>
      </c>
      <c r="AK10" s="17" t="s">
        <v>142</v>
      </c>
      <c r="AL10" s="17" t="s">
        <v>133</v>
      </c>
      <c r="AM10" s="17" t="s">
        <v>8</v>
      </c>
      <c r="AN10" s="17" t="s">
        <v>142</v>
      </c>
      <c r="AO10" s="17" t="s">
        <v>133</v>
      </c>
      <c r="AP10" s="17" t="s">
        <v>9</v>
      </c>
      <c r="AQ10" s="17" t="s">
        <v>142</v>
      </c>
      <c r="AR10" s="17" t="s">
        <v>133</v>
      </c>
      <c r="AS10" s="17" t="s">
        <v>10</v>
      </c>
      <c r="AT10" s="17" t="s">
        <v>142</v>
      </c>
      <c r="AU10" s="17" t="s">
        <v>133</v>
      </c>
      <c r="AV10" s="17" t="s">
        <v>11</v>
      </c>
      <c r="AW10" s="17" t="s">
        <v>142</v>
      </c>
      <c r="AX10" s="17" t="s">
        <v>133</v>
      </c>
      <c r="AY10" s="17" t="s">
        <v>130</v>
      </c>
      <c r="AZ10" s="17" t="s">
        <v>142</v>
      </c>
      <c r="BA10" s="17" t="s">
        <v>133</v>
      </c>
      <c r="BB10" s="17" t="s">
        <v>12</v>
      </c>
      <c r="BC10" s="17" t="s">
        <v>142</v>
      </c>
      <c r="BD10" s="19" t="s">
        <v>133</v>
      </c>
      <c r="BE10" s="16"/>
    </row>
    <row r="11" spans="1:57" x14ac:dyDescent="0.2">
      <c r="A11" s="15"/>
      <c r="B11" s="15" t="s">
        <v>15</v>
      </c>
      <c r="C11" s="14" t="s">
        <v>3</v>
      </c>
      <c r="D11" s="14">
        <v>17.180103302001953</v>
      </c>
      <c r="E11" s="14">
        <f>D11-18.19835</f>
        <v>-1.0182466979980482</v>
      </c>
      <c r="F11" s="14">
        <f>POWER(2,-E11)</f>
        <v>2.0254559340481393</v>
      </c>
      <c r="G11" s="14">
        <v>79.161819458007813</v>
      </c>
      <c r="H11" s="14" t="s">
        <v>24</v>
      </c>
      <c r="I11" s="14" t="s">
        <v>25</v>
      </c>
      <c r="J11" s="14">
        <v>16.888830184936523</v>
      </c>
      <c r="K11" s="14">
        <f>J11-18.99476</f>
        <v>-2.105929815063476</v>
      </c>
      <c r="L11" s="14">
        <f>POWER(2,-K11)</f>
        <v>4.3047510743977924</v>
      </c>
      <c r="M11" s="14">
        <v>78.677558898925781</v>
      </c>
      <c r="N11" s="14" t="s">
        <v>24</v>
      </c>
      <c r="O11" s="13" t="s">
        <v>25</v>
      </c>
      <c r="R11" s="14"/>
      <c r="S11" s="15"/>
      <c r="T11" s="14" t="s">
        <v>117</v>
      </c>
      <c r="U11" s="14">
        <v>2.0254559340481393</v>
      </c>
      <c r="V11" s="14">
        <f>U11/U11</f>
        <v>1</v>
      </c>
      <c r="W11" s="14">
        <f>AVERAGE(V11:V16)</f>
        <v>1</v>
      </c>
      <c r="X11" s="14">
        <v>6.1131289879158432E-2</v>
      </c>
      <c r="Y11" s="14">
        <f>X11/X11</f>
        <v>1</v>
      </c>
      <c r="Z11" s="14">
        <f>AVERAGE(Y11:Y16)</f>
        <v>1</v>
      </c>
      <c r="AA11" s="14">
        <v>5.0795712319273469E-2</v>
      </c>
      <c r="AB11" s="14">
        <f>AA11/AA11</f>
        <v>1</v>
      </c>
      <c r="AC11" s="14">
        <f>AVERAGE(AB11:AB16)</f>
        <v>1</v>
      </c>
      <c r="AD11" s="14">
        <v>1.0211453548701573E-2</v>
      </c>
      <c r="AE11" s="14">
        <f>AD11/AD11</f>
        <v>1</v>
      </c>
      <c r="AF11" s="14">
        <f>AVERAGE(AE11:AE16)</f>
        <v>1</v>
      </c>
      <c r="AG11" s="14">
        <v>2.1338895627381522E-2</v>
      </c>
      <c r="AH11" s="14">
        <f>AG11/AG11</f>
        <v>1</v>
      </c>
      <c r="AI11" s="14">
        <f>AVERAGE(AH11:AH16)</f>
        <v>1</v>
      </c>
      <c r="AJ11" s="14">
        <v>3.2460733582766479E-2</v>
      </c>
      <c r="AK11" s="14">
        <f>AJ11/AJ11</f>
        <v>1</v>
      </c>
      <c r="AL11" s="14">
        <f>AVERAGE(AK11:AK16)</f>
        <v>1</v>
      </c>
      <c r="AM11" s="14">
        <v>3.0887215409445008E-2</v>
      </c>
      <c r="AN11" s="14">
        <f>AM11/AM11</f>
        <v>1</v>
      </c>
      <c r="AO11" s="14">
        <f>AVERAGE(AN11:AN16)</f>
        <v>1</v>
      </c>
      <c r="AP11" s="14">
        <v>8.2181369081254341E-2</v>
      </c>
      <c r="AQ11" s="14">
        <f>AP11/AP11</f>
        <v>1</v>
      </c>
      <c r="AR11" s="14">
        <f>AVERAGE(AQ11:AQ16)</f>
        <v>1</v>
      </c>
      <c r="AS11" s="14">
        <v>6.7602692750894144E-2</v>
      </c>
      <c r="AT11" s="14">
        <f>AS11/AS11</f>
        <v>1</v>
      </c>
      <c r="AU11" s="14">
        <f>AVERAGE(AT11:AT16)</f>
        <v>1</v>
      </c>
      <c r="AV11" s="14">
        <v>7.0255270183256918E-2</v>
      </c>
      <c r="AW11" s="14">
        <f>AV11/AV11</f>
        <v>1</v>
      </c>
      <c r="AX11" s="14">
        <f>AVERAGE(AW11:AW16)</f>
        <v>1</v>
      </c>
      <c r="AY11" s="14">
        <v>9.2184162519849414E-2</v>
      </c>
      <c r="AZ11" s="14">
        <f>AY11/AY11</f>
        <v>1</v>
      </c>
      <c r="BA11" s="14">
        <f>AVERAGE(AZ11:AZ16)</f>
        <v>1</v>
      </c>
      <c r="BB11" s="14">
        <v>0.18475251094443076</v>
      </c>
      <c r="BC11" s="13">
        <f>BB11/BB11</f>
        <v>1</v>
      </c>
      <c r="BD11" s="9">
        <f>AVERAGE(BC11:BC16)</f>
        <v>1</v>
      </c>
    </row>
    <row r="12" spans="1:57" x14ac:dyDescent="0.2">
      <c r="A12" s="15"/>
      <c r="B12" s="15" t="s">
        <v>15</v>
      </c>
      <c r="C12" s="14" t="s">
        <v>3</v>
      </c>
      <c r="D12" s="14">
        <v>17.207551956176758</v>
      </c>
      <c r="E12" s="14">
        <f t="shared" ref="E12:E13" si="0">D12-18.19835</f>
        <v>-0.99079804382324355</v>
      </c>
      <c r="F12" s="14">
        <f t="shared" ref="F12:F46" si="1">POWER(2,-E12)</f>
        <v>1.9872839765209165</v>
      </c>
      <c r="G12" s="14">
        <v>79.161819458007813</v>
      </c>
      <c r="H12" s="14" t="s">
        <v>24</v>
      </c>
      <c r="I12" s="14" t="s">
        <v>25</v>
      </c>
      <c r="J12" s="14">
        <v>16.894083023071289</v>
      </c>
      <c r="K12" s="14">
        <f t="shared" ref="K12:K13" si="2">J12-18.99476</f>
        <v>-2.1006769769287104</v>
      </c>
      <c r="L12" s="14">
        <f t="shared" ref="L12:L46" si="3">POWER(2,-K12)</f>
        <v>4.2891060180585905</v>
      </c>
      <c r="M12" s="14">
        <v>78.677558898925781</v>
      </c>
      <c r="N12" s="14" t="s">
        <v>24</v>
      </c>
      <c r="O12" s="13" t="s">
        <v>25</v>
      </c>
      <c r="R12" s="14"/>
      <c r="S12" s="15"/>
      <c r="T12" s="14" t="s">
        <v>117</v>
      </c>
      <c r="U12" s="14">
        <v>1.9872839765209165</v>
      </c>
      <c r="V12" s="14">
        <f t="shared" ref="V12:V16" si="4">U12/U12</f>
        <v>1</v>
      </c>
      <c r="W12" s="14">
        <f>STDEV(V11:V16)</f>
        <v>0</v>
      </c>
      <c r="X12" s="14">
        <v>6.1184735280069687E-2</v>
      </c>
      <c r="Y12" s="14">
        <f t="shared" ref="Y12:Y16" si="5">X12/X12</f>
        <v>1</v>
      </c>
      <c r="Z12" s="14">
        <f>STDEV(Y11:Y16)</f>
        <v>0</v>
      </c>
      <c r="AA12" s="14">
        <v>5.3365243158322181E-2</v>
      </c>
      <c r="AB12" s="14">
        <f t="shared" ref="AB12:AB16" si="6">AA12/AA12</f>
        <v>1</v>
      </c>
      <c r="AC12" s="14">
        <f>STDEV(AB11:AB16)</f>
        <v>0</v>
      </c>
      <c r="AD12" s="14">
        <v>1.0647704761073223E-2</v>
      </c>
      <c r="AE12" s="14">
        <f t="shared" ref="AE12:AE15" si="7">AD12/AD12</f>
        <v>1</v>
      </c>
      <c r="AF12" s="14">
        <f>STDEV(AE11:AE16)</f>
        <v>0</v>
      </c>
      <c r="AG12" s="14">
        <v>2.0857229128724963E-2</v>
      </c>
      <c r="AH12" s="14">
        <f t="shared" ref="AH12:AH15" si="8">AG12/AG12</f>
        <v>1</v>
      </c>
      <c r="AI12" s="14">
        <f>STDEV(AH11:AH16)</f>
        <v>0</v>
      </c>
      <c r="AJ12" s="14">
        <v>3.3689516646028678E-2</v>
      </c>
      <c r="AK12" s="14">
        <f t="shared" ref="AK12:AK15" si="9">AJ12/AJ12</f>
        <v>1</v>
      </c>
      <c r="AL12" s="14">
        <f>STDEV(AK11:AK16)</f>
        <v>0</v>
      </c>
      <c r="AM12" s="14">
        <v>3.0439709513759416E-2</v>
      </c>
      <c r="AN12" s="14">
        <f t="shared" ref="AN12:AN15" si="10">AM12/AM12</f>
        <v>1</v>
      </c>
      <c r="AO12" s="14">
        <f>STDEV(AN11:AN16)</f>
        <v>0</v>
      </c>
      <c r="AP12" s="14">
        <v>8.652333310488336E-2</v>
      </c>
      <c r="AQ12" s="14">
        <f t="shared" ref="AQ12:AQ15" si="11">AP12/AP12</f>
        <v>1</v>
      </c>
      <c r="AR12" s="14">
        <f>STDEV(AQ11:AQ16)</f>
        <v>0</v>
      </c>
      <c r="AS12" s="14">
        <v>6.6719668973504717E-2</v>
      </c>
      <c r="AT12" s="14">
        <f t="shared" ref="AT12:AT15" si="12">AS12/AS12</f>
        <v>1</v>
      </c>
      <c r="AU12" s="14">
        <f>STDEV(AT11:AT16)</f>
        <v>0</v>
      </c>
      <c r="AV12" s="14">
        <v>7.2623528883376504E-2</v>
      </c>
      <c r="AW12" s="14">
        <f t="shared" ref="AW12:AW16" si="13">AV12/AV12</f>
        <v>1</v>
      </c>
      <c r="AX12" s="14">
        <f>STDEV(AW11:AW16)</f>
        <v>0</v>
      </c>
      <c r="AY12" s="14">
        <v>9.1121979947880391E-2</v>
      </c>
      <c r="AZ12" s="14">
        <f t="shared" ref="AZ12:AZ16" si="14">AY12/AY12</f>
        <v>1</v>
      </c>
      <c r="BA12" s="14">
        <f>STDEV(AZ11:AZ16)</f>
        <v>0</v>
      </c>
      <c r="BB12" s="14">
        <v>0.22964483254360007</v>
      </c>
      <c r="BC12" s="13">
        <f t="shared" ref="BC12:BC16" si="15">BB12/BB12</f>
        <v>1</v>
      </c>
      <c r="BD12" s="9">
        <f>STDEV(BC11:BC16)</f>
        <v>0</v>
      </c>
    </row>
    <row r="13" spans="1:57" x14ac:dyDescent="0.2">
      <c r="A13" s="15"/>
      <c r="B13" s="15" t="s">
        <v>15</v>
      </c>
      <c r="C13" s="14" t="s">
        <v>3</v>
      </c>
      <c r="D13" s="14">
        <v>17.132740020751953</v>
      </c>
      <c r="E13" s="14">
        <f t="shared" si="0"/>
        <v>-1.0656099792480482</v>
      </c>
      <c r="F13" s="14">
        <f t="shared" si="1"/>
        <v>2.0930546473285712</v>
      </c>
      <c r="G13" s="14">
        <v>79.154243469238281</v>
      </c>
      <c r="H13" s="14" t="s">
        <v>24</v>
      </c>
      <c r="I13" s="14" t="s">
        <v>25</v>
      </c>
      <c r="J13" s="14">
        <v>16.85917854309082</v>
      </c>
      <c r="K13" s="14">
        <f t="shared" si="2"/>
        <v>-2.1355814569091791</v>
      </c>
      <c r="L13" s="14">
        <f t="shared" si="3"/>
        <v>4.3941418922416897</v>
      </c>
      <c r="M13" s="14">
        <v>78.528060913085938</v>
      </c>
      <c r="N13" s="14" t="s">
        <v>24</v>
      </c>
      <c r="O13" s="13" t="s">
        <v>25</v>
      </c>
      <c r="R13" s="14"/>
      <c r="S13" s="15"/>
      <c r="T13" s="14" t="s">
        <v>117</v>
      </c>
      <c r="U13" s="14">
        <v>2.0930546473285712</v>
      </c>
      <c r="V13" s="14">
        <f t="shared" si="4"/>
        <v>1</v>
      </c>
      <c r="W13" s="14"/>
      <c r="X13" s="14">
        <v>6.0890597941562888E-2</v>
      </c>
      <c r="Y13" s="14">
        <f t="shared" si="5"/>
        <v>1</v>
      </c>
      <c r="Z13" s="14"/>
      <c r="AA13" s="14">
        <v>5.358808946959133E-2</v>
      </c>
      <c r="AB13" s="14">
        <f t="shared" si="6"/>
        <v>1</v>
      </c>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3"/>
    </row>
    <row r="14" spans="1:57" x14ac:dyDescent="0.2">
      <c r="A14" s="15"/>
      <c r="B14" s="15" t="s">
        <v>108</v>
      </c>
      <c r="C14" s="14" t="s">
        <v>3</v>
      </c>
      <c r="D14" s="14">
        <v>22.795272827148438</v>
      </c>
      <c r="E14" s="14">
        <f>D14-23.71839</f>
        <v>-0.92311717285156192</v>
      </c>
      <c r="F14" s="14">
        <f t="shared" si="1"/>
        <v>1.8962079302792048</v>
      </c>
      <c r="G14" s="14">
        <v>79.00518798828125</v>
      </c>
      <c r="H14" s="14" t="s">
        <v>24</v>
      </c>
      <c r="I14" s="14" t="s">
        <v>25</v>
      </c>
      <c r="J14" s="14">
        <v>22.567825317382813</v>
      </c>
      <c r="K14" s="14">
        <f>J14-22.24091</f>
        <v>0.32691531738281299</v>
      </c>
      <c r="L14" s="14">
        <f t="shared" si="3"/>
        <v>0.79723927113310544</v>
      </c>
      <c r="M14" s="14">
        <v>78.528060913085938</v>
      </c>
      <c r="N14" s="14" t="s">
        <v>24</v>
      </c>
      <c r="O14" s="13" t="s">
        <v>25</v>
      </c>
      <c r="R14" s="14"/>
      <c r="S14" s="15"/>
      <c r="T14" s="14" t="s">
        <v>117</v>
      </c>
      <c r="U14" s="14">
        <v>4.3047510743977924</v>
      </c>
      <c r="V14" s="14">
        <f t="shared" si="4"/>
        <v>1</v>
      </c>
      <c r="W14" s="14"/>
      <c r="X14" s="14">
        <v>0.11713280283731459</v>
      </c>
      <c r="Y14" s="14">
        <f t="shared" si="5"/>
        <v>1</v>
      </c>
      <c r="Z14" s="14"/>
      <c r="AA14" s="14">
        <v>4.9369465050629245E-2</v>
      </c>
      <c r="AB14" s="14">
        <f t="shared" si="6"/>
        <v>1</v>
      </c>
      <c r="AC14" s="14"/>
      <c r="AD14" s="14">
        <v>0.13116959012289514</v>
      </c>
      <c r="AE14" s="14">
        <f t="shared" si="7"/>
        <v>1</v>
      </c>
      <c r="AF14" s="14"/>
      <c r="AG14" s="14">
        <v>6.358664120952974E-2</v>
      </c>
      <c r="AH14" s="14">
        <f t="shared" si="8"/>
        <v>1</v>
      </c>
      <c r="AI14" s="14"/>
      <c r="AJ14" s="14">
        <v>0.14414259901354406</v>
      </c>
      <c r="AK14" s="14">
        <f t="shared" si="9"/>
        <v>1</v>
      </c>
      <c r="AL14" s="14"/>
      <c r="AM14" s="14">
        <v>0.11013675471399374</v>
      </c>
      <c r="AN14" s="14">
        <f t="shared" si="10"/>
        <v>1</v>
      </c>
      <c r="AO14" s="14"/>
      <c r="AP14" s="14">
        <v>3.7138227182547362E-2</v>
      </c>
      <c r="AQ14" s="14">
        <f t="shared" si="11"/>
        <v>1</v>
      </c>
      <c r="AR14" s="14"/>
      <c r="AS14" s="14">
        <v>0.34944739415436848</v>
      </c>
      <c r="AT14" s="14">
        <f t="shared" si="12"/>
        <v>1</v>
      </c>
      <c r="AU14" s="14"/>
      <c r="AV14" s="14">
        <v>0.52851341971206001</v>
      </c>
      <c r="AW14" s="14">
        <f t="shared" si="13"/>
        <v>1</v>
      </c>
      <c r="AX14" s="14"/>
      <c r="AY14" s="14">
        <v>2.4869995111134892E-2</v>
      </c>
      <c r="AZ14" s="14">
        <f t="shared" si="14"/>
        <v>1</v>
      </c>
      <c r="BA14" s="14"/>
      <c r="BB14" s="14">
        <v>0.60602503400376739</v>
      </c>
      <c r="BC14" s="13">
        <f t="shared" si="15"/>
        <v>1</v>
      </c>
    </row>
    <row r="15" spans="1:57" x14ac:dyDescent="0.2">
      <c r="A15" s="15"/>
      <c r="B15" s="15" t="s">
        <v>108</v>
      </c>
      <c r="C15" s="14" t="s">
        <v>3</v>
      </c>
      <c r="D15" s="14">
        <v>22.773971557617188</v>
      </c>
      <c r="E15" s="14">
        <f t="shared" ref="E15:E16" si="16">D15-23.71839</f>
        <v>-0.94441844238281192</v>
      </c>
      <c r="F15" s="14">
        <f t="shared" si="1"/>
        <v>1.924412989288331</v>
      </c>
      <c r="G15" s="14">
        <v>79.007186889648438</v>
      </c>
      <c r="H15" s="14" t="s">
        <v>24</v>
      </c>
      <c r="I15" s="14" t="s">
        <v>25</v>
      </c>
      <c r="J15" s="14">
        <v>22.93255615234375</v>
      </c>
      <c r="K15" s="14">
        <f t="shared" ref="K15:K16" si="17">J15-22.24091</f>
        <v>0.69164615234375049</v>
      </c>
      <c r="L15" s="14">
        <f t="shared" si="3"/>
        <v>0.61914698405266966</v>
      </c>
      <c r="M15" s="14">
        <v>78.383041381835938</v>
      </c>
      <c r="N15" s="14" t="s">
        <v>24</v>
      </c>
      <c r="O15" s="13" t="s">
        <v>25</v>
      </c>
      <c r="R15" s="14"/>
      <c r="S15" s="15"/>
      <c r="T15" s="14" t="s">
        <v>117</v>
      </c>
      <c r="U15" s="14">
        <v>4.2891060180585905</v>
      </c>
      <c r="V15" s="14">
        <f t="shared" si="4"/>
        <v>1</v>
      </c>
      <c r="W15" s="14"/>
      <c r="X15" s="14">
        <v>0.11680403665371061</v>
      </c>
      <c r="Y15" s="14">
        <f t="shared" si="5"/>
        <v>1</v>
      </c>
      <c r="Z15" s="14"/>
      <c r="AA15" s="14">
        <v>4.9069290567608684E-2</v>
      </c>
      <c r="AB15" s="14">
        <f t="shared" si="6"/>
        <v>1</v>
      </c>
      <c r="AC15" s="14"/>
      <c r="AD15" s="14">
        <v>0.13347524013646775</v>
      </c>
      <c r="AE15" s="14">
        <f t="shared" si="7"/>
        <v>1</v>
      </c>
      <c r="AF15" s="14"/>
      <c r="AG15" s="14">
        <v>6.5665830269232964E-2</v>
      </c>
      <c r="AH15" s="14">
        <f t="shared" si="8"/>
        <v>1</v>
      </c>
      <c r="AI15" s="14"/>
      <c r="AJ15" s="14">
        <v>0.15109396722789314</v>
      </c>
      <c r="AK15" s="14">
        <f t="shared" si="9"/>
        <v>1</v>
      </c>
      <c r="AL15" s="14"/>
      <c r="AM15" s="14">
        <v>0.11120146385606589</v>
      </c>
      <c r="AN15" s="14">
        <f t="shared" si="10"/>
        <v>1</v>
      </c>
      <c r="AO15" s="14"/>
      <c r="AP15" s="14">
        <v>3.6034034238075892E-2</v>
      </c>
      <c r="AQ15" s="14">
        <f t="shared" si="11"/>
        <v>1</v>
      </c>
      <c r="AR15" s="14"/>
      <c r="AS15" s="14">
        <v>0.34997631640872173</v>
      </c>
      <c r="AT15" s="14">
        <f t="shared" si="12"/>
        <v>1</v>
      </c>
      <c r="AU15" s="14"/>
      <c r="AV15" s="14">
        <v>0.55125202345130964</v>
      </c>
      <c r="AW15" s="14">
        <f t="shared" si="13"/>
        <v>1</v>
      </c>
      <c r="AX15" s="14"/>
      <c r="AY15" s="14">
        <v>2.4779411795559259E-2</v>
      </c>
      <c r="AZ15" s="14">
        <f t="shared" si="14"/>
        <v>1</v>
      </c>
      <c r="BA15" s="14"/>
      <c r="BB15" s="14">
        <v>0.65148771346758449</v>
      </c>
      <c r="BC15" s="13">
        <f t="shared" si="15"/>
        <v>1</v>
      </c>
    </row>
    <row r="16" spans="1:57" x14ac:dyDescent="0.2">
      <c r="A16" s="15"/>
      <c r="B16" s="15" t="s">
        <v>108</v>
      </c>
      <c r="C16" s="14" t="s">
        <v>3</v>
      </c>
      <c r="D16" s="14">
        <v>22.745748519897461</v>
      </c>
      <c r="E16" s="14">
        <f t="shared" si="16"/>
        <v>-0.97264148010253848</v>
      </c>
      <c r="F16" s="14">
        <f t="shared" si="1"/>
        <v>1.9624303893074035</v>
      </c>
      <c r="G16" s="14">
        <v>79.007186889648438</v>
      </c>
      <c r="H16" s="14" t="s">
        <v>24</v>
      </c>
      <c r="I16" s="14" t="s">
        <v>25</v>
      </c>
      <c r="J16" s="14">
        <v>22.530067443847656</v>
      </c>
      <c r="K16" s="14">
        <f t="shared" si="17"/>
        <v>0.28915744384765674</v>
      </c>
      <c r="L16" s="14">
        <f t="shared" si="3"/>
        <v>0.81837986548294872</v>
      </c>
      <c r="M16" s="14">
        <v>78.532279968261719</v>
      </c>
      <c r="N16" s="14" t="s">
        <v>24</v>
      </c>
      <c r="O16" s="13" t="s">
        <v>25</v>
      </c>
      <c r="R16" s="14"/>
      <c r="S16" s="15"/>
      <c r="T16" s="14" t="s">
        <v>117</v>
      </c>
      <c r="U16" s="14">
        <v>4.3941418922416897</v>
      </c>
      <c r="V16" s="14">
        <f t="shared" si="4"/>
        <v>1</v>
      </c>
      <c r="W16" s="14"/>
      <c r="X16" s="14">
        <v>0.10332813519682964</v>
      </c>
      <c r="Y16" s="14">
        <f t="shared" si="5"/>
        <v>1</v>
      </c>
      <c r="Z16" s="14"/>
      <c r="AA16" s="14">
        <v>4.9837304393468403E-2</v>
      </c>
      <c r="AB16" s="14">
        <f t="shared" si="6"/>
        <v>1</v>
      </c>
      <c r="AC16" s="14"/>
      <c r="AD16" s="14"/>
      <c r="AE16" s="14"/>
      <c r="AF16" s="14"/>
      <c r="AG16" s="14"/>
      <c r="AH16" s="14"/>
      <c r="AI16" s="14"/>
      <c r="AJ16" s="14"/>
      <c r="AK16" s="14"/>
      <c r="AL16" s="14"/>
      <c r="AM16" s="14"/>
      <c r="AN16" s="14"/>
      <c r="AO16" s="14"/>
      <c r="AP16" s="14"/>
      <c r="AQ16" s="14"/>
      <c r="AR16" s="14"/>
      <c r="AS16" s="14"/>
      <c r="AT16" s="14"/>
      <c r="AU16" s="14"/>
      <c r="AV16" s="14">
        <v>0.53016430505587897</v>
      </c>
      <c r="AW16" s="14">
        <f t="shared" si="13"/>
        <v>1</v>
      </c>
      <c r="AX16" s="14"/>
      <c r="AY16" s="14">
        <v>2.4498881007927433E-2</v>
      </c>
      <c r="AZ16" s="14">
        <f t="shared" si="14"/>
        <v>1</v>
      </c>
      <c r="BA16" s="14"/>
      <c r="BB16" s="14">
        <v>0.66721524939565935</v>
      </c>
      <c r="BC16" s="13">
        <f t="shared" si="15"/>
        <v>1</v>
      </c>
    </row>
    <row r="17" spans="1:56" x14ac:dyDescent="0.2">
      <c r="A17" s="15"/>
      <c r="B17" s="15" t="s">
        <v>109</v>
      </c>
      <c r="C17" s="14" t="s">
        <v>3</v>
      </c>
      <c r="D17" s="14">
        <v>18.665191650390625</v>
      </c>
      <c r="E17" s="14">
        <f>D17-19.94377</f>
        <v>-1.2785783496093757</v>
      </c>
      <c r="F17" s="14">
        <f t="shared" si="1"/>
        <v>2.4259979806830314</v>
      </c>
      <c r="G17" s="14">
        <v>79.005790710449219</v>
      </c>
      <c r="H17" s="14" t="s">
        <v>24</v>
      </c>
      <c r="I17" s="14" t="s">
        <v>25</v>
      </c>
      <c r="J17" s="14">
        <v>20.260663986206055</v>
      </c>
      <c r="K17" s="14">
        <f>J17-22.26901</f>
        <v>-2.0083460137939468</v>
      </c>
      <c r="L17" s="14">
        <f t="shared" si="3"/>
        <v>4.0232071257954027</v>
      </c>
      <c r="M17" s="14">
        <v>78.527099609375</v>
      </c>
      <c r="N17" s="14" t="s">
        <v>24</v>
      </c>
      <c r="O17" s="13" t="s">
        <v>25</v>
      </c>
      <c r="R17" s="14"/>
      <c r="S17" s="15"/>
      <c r="T17" s="14" t="s">
        <v>4</v>
      </c>
      <c r="U17" s="14">
        <v>1.8962079302792048</v>
      </c>
      <c r="V17" s="14">
        <f>U17/U11</f>
        <v>0.93618819269466136</v>
      </c>
      <c r="W17" s="14">
        <f t="shared" ref="W17" si="18">AVERAGE(V17:V22)</f>
        <v>0.55965662488874834</v>
      </c>
      <c r="X17" s="14">
        <v>5.6136605263452689E-2</v>
      </c>
      <c r="Y17" s="14">
        <f>X17/X11</f>
        <v>0.91829577577082033</v>
      </c>
      <c r="Z17" s="14">
        <f t="shared" ref="Z17" si="19">AVERAGE(Y17:Y22)</f>
        <v>1.0295039788721727</v>
      </c>
      <c r="AA17" s="14">
        <v>3.9284431747238988E-2</v>
      </c>
      <c r="AB17" s="14">
        <f>AA17/AA11</f>
        <v>0.77338086136717599</v>
      </c>
      <c r="AC17" s="14">
        <f t="shared" ref="AC17" si="20">AVERAGE(AB17:AB22)</f>
        <v>1.0742215682550846</v>
      </c>
      <c r="AD17" s="14">
        <v>1.4487041050299061E-2</v>
      </c>
      <c r="AE17" s="14">
        <f>AD17/AD11</f>
        <v>1.418705082602187</v>
      </c>
      <c r="AF17" s="14">
        <f t="shared" ref="AF17" si="21">AVERAGE(AE17:AE22)</f>
        <v>2.9816371320699049</v>
      </c>
      <c r="AG17" s="14">
        <v>2.3203151325689678E-2</v>
      </c>
      <c r="AH17" s="14">
        <f>AG17/AG11</f>
        <v>1.0873642071671221</v>
      </c>
      <c r="AI17" s="14">
        <f t="shared" ref="AI17" si="22">AVERAGE(AH17:AH22)</f>
        <v>3.3932196987824259</v>
      </c>
      <c r="AJ17" s="14">
        <v>7.83802335316756E-2</v>
      </c>
      <c r="AK17" s="14">
        <f>AJ17/AJ11</f>
        <v>2.4146168271837194</v>
      </c>
      <c r="AL17" s="14">
        <f t="shared" ref="AL17" si="23">AVERAGE(AK17:AK22)</f>
        <v>3.0603575496766826</v>
      </c>
      <c r="AM17" s="14">
        <v>3.2164027361756178E-2</v>
      </c>
      <c r="AN17" s="14">
        <f>AM17/AM11</f>
        <v>1.0413378783223279</v>
      </c>
      <c r="AO17" s="14">
        <f t="shared" ref="AO17" si="24">AVERAGE(AN17:AN22)</f>
        <v>10.452155570999867</v>
      </c>
      <c r="AP17" s="14">
        <v>0.13389656046272072</v>
      </c>
      <c r="AQ17" s="14">
        <f>AP17/AP11</f>
        <v>1.6292812100797998</v>
      </c>
      <c r="AR17" s="14">
        <f t="shared" ref="AR17" si="25">AVERAGE(AQ17:AQ22)</f>
        <v>13.215196820636281</v>
      </c>
      <c r="AS17" s="14">
        <v>6.1517045676214563E-2</v>
      </c>
      <c r="AT17" s="14">
        <f>AS17/AS11</f>
        <v>0.90997922084103533</v>
      </c>
      <c r="AU17" s="14">
        <f t="shared" ref="AU17" si="26">AVERAGE(AT17:AT22)</f>
        <v>1.3259632144807532</v>
      </c>
      <c r="AV17" s="30">
        <v>0.92122859015016079</v>
      </c>
      <c r="AW17" s="14"/>
      <c r="AX17" s="14">
        <f t="shared" ref="AX17" si="27">AVERAGE(AW17:AW22)</f>
        <v>3.477153354979706</v>
      </c>
      <c r="AY17" s="14">
        <v>5.2490308528390983E-2</v>
      </c>
      <c r="AZ17" s="14">
        <f>AY17/AY11</f>
        <v>0.56940701193752874</v>
      </c>
      <c r="BA17" s="14">
        <f t="shared" ref="BA17" si="28">AVERAGE(AZ17:AZ22)</f>
        <v>2.4512309041084772</v>
      </c>
      <c r="BB17" s="14">
        <v>0.35156688185361784</v>
      </c>
      <c r="BC17" s="13">
        <f>BB17/BB11</f>
        <v>1.9029071922024428</v>
      </c>
      <c r="BD17" s="9">
        <f t="shared" ref="BD17" si="29">AVERAGE(BC17:BC22)</f>
        <v>2.3684331876217604</v>
      </c>
    </row>
    <row r="18" spans="1:56" x14ac:dyDescent="0.2">
      <c r="A18" s="15"/>
      <c r="B18" s="15" t="s">
        <v>109</v>
      </c>
      <c r="C18" s="14" t="s">
        <v>3</v>
      </c>
      <c r="D18" s="14">
        <v>18.571819305419922</v>
      </c>
      <c r="E18" s="14">
        <f t="shared" ref="E18:E19" si="30">D18-19.94377</f>
        <v>-1.3719506945800788</v>
      </c>
      <c r="F18" s="14">
        <f t="shared" si="1"/>
        <v>2.5882028532591543</v>
      </c>
      <c r="G18" s="14">
        <v>79.005790710449219</v>
      </c>
      <c r="H18" s="14" t="s">
        <v>24</v>
      </c>
      <c r="I18" s="14" t="s">
        <v>25</v>
      </c>
      <c r="J18" s="14">
        <v>20.167299270629883</v>
      </c>
      <c r="K18" s="14">
        <f t="shared" ref="K18:K19" si="31">J18-22.26901</f>
        <v>-2.1017107293701187</v>
      </c>
      <c r="L18" s="14">
        <f t="shared" si="3"/>
        <v>4.2921804465421696</v>
      </c>
      <c r="M18" s="14">
        <v>78.527099609375</v>
      </c>
      <c r="N18" s="14" t="s">
        <v>24</v>
      </c>
      <c r="O18" s="13" t="s">
        <v>25</v>
      </c>
      <c r="R18" s="14"/>
      <c r="S18" s="15"/>
      <c r="T18" s="14" t="s">
        <v>4</v>
      </c>
      <c r="U18" s="14">
        <v>1.924412989288331</v>
      </c>
      <c r="V18" s="14">
        <f t="shared" ref="V18:V22" si="32">U18/U12</f>
        <v>0.96836336025682046</v>
      </c>
      <c r="W18" s="14">
        <f t="shared" ref="W18" si="33">STDEV(V17:V22)</f>
        <v>0.42515506284198912</v>
      </c>
      <c r="X18" s="14">
        <v>5.9937406912385416E-2</v>
      </c>
      <c r="Y18" s="14">
        <f t="shared" ref="Y18:Y22" si="34">X18/X12</f>
        <v>0.9796137327067822</v>
      </c>
      <c r="Z18" s="14">
        <f t="shared" ref="Z18" si="35">STDEV(Y17:Y22)</f>
        <v>0.14072730066062408</v>
      </c>
      <c r="AA18" s="14">
        <v>4.5423892154672019E-2</v>
      </c>
      <c r="AB18" s="14">
        <f t="shared" ref="AB18:AB22" si="36">AA18/AA12</f>
        <v>0.85118870385186784</v>
      </c>
      <c r="AC18" s="14">
        <f t="shared" ref="AC18" si="37">STDEV(AB17:AB22)</f>
        <v>0.26672399815581394</v>
      </c>
      <c r="AD18" s="14">
        <v>1.1991737541932125E-2</v>
      </c>
      <c r="AE18" s="14">
        <f t="shared" ref="AE18:AE21" si="38">AD18/AD12</f>
        <v>1.1262274650751523</v>
      </c>
      <c r="AF18" s="14">
        <f t="shared" ref="AF18" si="39">STDEV(AE17:AE22)</f>
        <v>1.978225263687271</v>
      </c>
      <c r="AG18" s="14">
        <v>2.4834522935889117E-2</v>
      </c>
      <c r="AH18" s="14">
        <f t="shared" ref="AH18:AH21" si="40">AG18/AG12</f>
        <v>1.1906913800782173</v>
      </c>
      <c r="AI18" s="14">
        <f t="shared" ref="AI18" si="41">STDEV(AH17:AH22)</f>
        <v>2.6033126902529147</v>
      </c>
      <c r="AJ18" s="14">
        <v>7.3536780824452336E-2</v>
      </c>
      <c r="AK18" s="14">
        <f t="shared" ref="AK18:AK21" si="42">AJ18/AJ12</f>
        <v>2.1827793374744324</v>
      </c>
      <c r="AL18" s="14">
        <f t="shared" ref="AL18" si="43">STDEV(AK17:AK22)</f>
        <v>0.88507633549917442</v>
      </c>
      <c r="AM18" s="14">
        <v>3.6922906708990698E-2</v>
      </c>
      <c r="AN18" s="14">
        <f t="shared" ref="AN18:AN21" si="44">AM18/AM12</f>
        <v>1.2129848575690492</v>
      </c>
      <c r="AO18" s="14">
        <f t="shared" ref="AO18" si="45">STDEV(AN17:AN22)</f>
        <v>10.767931448361887</v>
      </c>
      <c r="AP18" s="14">
        <v>0.13662912900990398</v>
      </c>
      <c r="AQ18" s="14">
        <f t="shared" ref="AQ18:AQ21" si="46">AP18/AP12</f>
        <v>1.5791015452939441</v>
      </c>
      <c r="AR18" s="14">
        <f t="shared" ref="AR18" si="47">STDEV(AQ17:AQ22)</f>
        <v>13.424812891472392</v>
      </c>
      <c r="AS18" s="14">
        <v>6.0938839624628961E-2</v>
      </c>
      <c r="AT18" s="14">
        <f t="shared" ref="AT18:AT21" si="48">AS18/AS12</f>
        <v>0.91335644439166208</v>
      </c>
      <c r="AU18" s="14">
        <f t="shared" ref="AU18" si="49">STDEV(AT17:AT22)</f>
        <v>0.47854481660653797</v>
      </c>
      <c r="AV18" s="30">
        <v>1.022975294644765</v>
      </c>
      <c r="AW18" s="14"/>
      <c r="AX18" s="14">
        <f t="shared" ref="AX18" si="50">STDEV(AW17:AW22)</f>
        <v>0.24869799994002953</v>
      </c>
      <c r="AY18" s="14">
        <v>4.2550146956141753E-2</v>
      </c>
      <c r="AZ18" s="14">
        <f t="shared" ref="AZ18" si="51">AY18/AY12</f>
        <v>0.46695810363733786</v>
      </c>
      <c r="BA18" s="14">
        <f t="shared" ref="BA18" si="52">STDEV(AZ17:AZ22)</f>
        <v>1.7652392886576906</v>
      </c>
      <c r="BB18" s="14">
        <v>0.43081466984238503</v>
      </c>
      <c r="BC18" s="13">
        <f t="shared" ref="BC18" si="53">BB18/BB12</f>
        <v>1.8760041977456259</v>
      </c>
      <c r="BD18" s="9">
        <f t="shared" ref="BD18" si="54">STDEV(BC17:BC22)</f>
        <v>0.44850168224820031</v>
      </c>
    </row>
    <row r="19" spans="1:56" x14ac:dyDescent="0.2">
      <c r="A19" s="15"/>
      <c r="B19" s="15" t="s">
        <v>109</v>
      </c>
      <c r="C19" s="14" t="s">
        <v>3</v>
      </c>
      <c r="D19" s="14">
        <v>18.567920684814453</v>
      </c>
      <c r="E19" s="14">
        <f t="shared" si="30"/>
        <v>-1.3758493151855475</v>
      </c>
      <c r="F19" s="14">
        <f t="shared" si="1"/>
        <v>2.5952064588308188</v>
      </c>
      <c r="G19" s="14">
        <v>79.152946472167969</v>
      </c>
      <c r="H19" s="14" t="s">
        <v>24</v>
      </c>
      <c r="I19" s="14" t="s">
        <v>25</v>
      </c>
      <c r="J19" s="14">
        <v>20.219318389892578</v>
      </c>
      <c r="K19" s="14">
        <f t="shared" si="31"/>
        <v>-2.0496916101074234</v>
      </c>
      <c r="L19" s="14">
        <f t="shared" si="3"/>
        <v>4.1401745987677314</v>
      </c>
      <c r="M19" s="14">
        <v>78.654052734375</v>
      </c>
      <c r="N19" s="14" t="s">
        <v>24</v>
      </c>
      <c r="O19" s="13" t="s">
        <v>25</v>
      </c>
      <c r="R19" s="14"/>
      <c r="S19" s="15"/>
      <c r="T19" s="14" t="s">
        <v>4</v>
      </c>
      <c r="U19" s="14">
        <v>1.9624303893074035</v>
      </c>
      <c r="V19" s="14">
        <f t="shared" si="32"/>
        <v>0.93759156829092483</v>
      </c>
      <c r="W19" s="14"/>
      <c r="X19" s="14">
        <v>5.4244706766493303E-2</v>
      </c>
      <c r="Y19" s="14">
        <f t="shared" si="34"/>
        <v>0.89085521575190163</v>
      </c>
      <c r="Z19" s="14"/>
      <c r="AA19" s="14">
        <v>4.6919978467118657E-2</v>
      </c>
      <c r="AB19" s="14">
        <f t="shared" si="36"/>
        <v>0.87556729361929375</v>
      </c>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3"/>
    </row>
    <row r="20" spans="1:56" x14ac:dyDescent="0.2">
      <c r="A20" s="15"/>
      <c r="B20" s="15" t="s">
        <v>125</v>
      </c>
      <c r="C20" s="14" t="s">
        <v>3</v>
      </c>
      <c r="D20" s="14">
        <v>17.958904266357422</v>
      </c>
      <c r="E20" s="14">
        <f>D20-19.74413</f>
        <v>-1.7852257336425765</v>
      </c>
      <c r="F20" s="14">
        <f t="shared" si="1"/>
        <v>3.4467238939587412</v>
      </c>
      <c r="G20" s="14">
        <v>79.003868103027344</v>
      </c>
      <c r="H20" s="14" t="s">
        <v>24</v>
      </c>
      <c r="I20" s="14" t="s">
        <v>25</v>
      </c>
      <c r="J20" s="14">
        <v>17.075519561767578</v>
      </c>
      <c r="K20" s="14">
        <f>J20-19.78722</f>
        <v>-2.7117004382324232</v>
      </c>
      <c r="L20" s="14">
        <f t="shared" si="3"/>
        <v>6.5509332032933054</v>
      </c>
      <c r="M20" s="14">
        <v>78.504608154296875</v>
      </c>
      <c r="N20" s="14" t="s">
        <v>24</v>
      </c>
      <c r="O20" s="13" t="s">
        <v>25</v>
      </c>
      <c r="R20" s="14"/>
      <c r="S20" s="15"/>
      <c r="T20" s="14" t="s">
        <v>4</v>
      </c>
      <c r="U20" s="14">
        <v>0.79723927113310544</v>
      </c>
      <c r="V20" s="14">
        <f t="shared" si="32"/>
        <v>0.185199854150599</v>
      </c>
      <c r="W20" s="14"/>
      <c r="X20" s="14">
        <v>0.12313883576381647</v>
      </c>
      <c r="Y20" s="14">
        <f t="shared" si="34"/>
        <v>1.0512754137271321</v>
      </c>
      <c r="Z20" s="14"/>
      <c r="AA20" s="14">
        <v>6.671490264977957E-2</v>
      </c>
      <c r="AB20" s="14">
        <f t="shared" si="36"/>
        <v>1.3513393872378863</v>
      </c>
      <c r="AC20" s="14"/>
      <c r="AD20" s="14">
        <v>0.60500733397340412</v>
      </c>
      <c r="AE20" s="14">
        <f t="shared" si="38"/>
        <v>4.6124054623221884</v>
      </c>
      <c r="AF20" s="14"/>
      <c r="AG20" s="14">
        <v>0.36040930789876735</v>
      </c>
      <c r="AH20" s="14">
        <f t="shared" si="40"/>
        <v>5.668003546706486</v>
      </c>
      <c r="AI20" s="14"/>
      <c r="AJ20" s="14">
        <v>0.55621696698712209</v>
      </c>
      <c r="AK20" s="14">
        <f t="shared" si="42"/>
        <v>3.8587965722392608</v>
      </c>
      <c r="AL20" s="14"/>
      <c r="AM20" s="14">
        <v>2.1711199454928725</v>
      </c>
      <c r="AN20" s="14">
        <f t="shared" si="44"/>
        <v>19.712946428564184</v>
      </c>
      <c r="AO20" s="14"/>
      <c r="AP20" s="14">
        <v>0.8907768019402138</v>
      </c>
      <c r="AQ20" s="14">
        <f t="shared" si="46"/>
        <v>23.985442211921818</v>
      </c>
      <c r="AR20" s="14"/>
      <c r="AS20" s="14">
        <v>0.60290422528180232</v>
      </c>
      <c r="AT20" s="14">
        <f t="shared" si="48"/>
        <v>1.7253075437599892</v>
      </c>
      <c r="AU20" s="14"/>
      <c r="AV20" s="14">
        <v>1.9457735944088097</v>
      </c>
      <c r="AW20" s="14">
        <f t="shared" ref="AW20:AW22" si="55">AV20/AV14</f>
        <v>3.6815973291063995</v>
      </c>
      <c r="AX20" s="14"/>
      <c r="AY20" s="14">
        <v>9.3695348725140043E-2</v>
      </c>
      <c r="AZ20" s="14">
        <f t="shared" ref="AZ20:AZ22" si="56">AY20/AY14</f>
        <v>3.7674051927412884</v>
      </c>
      <c r="BA20" s="14"/>
      <c r="BB20" s="14">
        <v>1.7268316446354099</v>
      </c>
      <c r="BC20" s="13">
        <f t="shared" ref="BC20:BC22" si="57">BB20/BB14</f>
        <v>2.849439458345338</v>
      </c>
    </row>
    <row r="21" spans="1:56" x14ac:dyDescent="0.2">
      <c r="A21" s="15"/>
      <c r="B21" s="15" t="s">
        <v>13</v>
      </c>
      <c r="C21" s="14" t="s">
        <v>3</v>
      </c>
      <c r="D21" s="14">
        <v>17.939847946166992</v>
      </c>
      <c r="E21" s="14">
        <f t="shared" ref="E21:E22" si="58">D21-19.74413</f>
        <v>-1.8042820538330062</v>
      </c>
      <c r="F21" s="14">
        <f t="shared" si="1"/>
        <v>3.4925531087567587</v>
      </c>
      <c r="G21" s="14">
        <v>79.009742736816406</v>
      </c>
      <c r="H21" s="14" t="s">
        <v>24</v>
      </c>
      <c r="I21" s="14" t="s">
        <v>25</v>
      </c>
      <c r="J21" s="14">
        <v>17.076677322387695</v>
      </c>
      <c r="K21" s="14">
        <f t="shared" ref="K21:K22" si="59">J21-19.78722</f>
        <v>-2.7105426776123061</v>
      </c>
      <c r="L21" s="14">
        <f t="shared" si="3"/>
        <v>6.5456781980101635</v>
      </c>
      <c r="M21" s="14">
        <v>78.360870361328125</v>
      </c>
      <c r="N21" s="14" t="s">
        <v>24</v>
      </c>
      <c r="O21" s="13" t="s">
        <v>25</v>
      </c>
      <c r="R21" s="14"/>
      <c r="S21" s="15"/>
      <c r="T21" s="14" t="s">
        <v>4</v>
      </c>
      <c r="U21" s="14">
        <v>0.61914698405266966</v>
      </c>
      <c r="V21" s="14">
        <f t="shared" si="32"/>
        <v>0.14435338773298001</v>
      </c>
      <c r="W21" s="14"/>
      <c r="X21" s="14">
        <v>0.1232099992942836</v>
      </c>
      <c r="Y21" s="14">
        <f t="shared" si="34"/>
        <v>1.0548436751339747</v>
      </c>
      <c r="Z21" s="14"/>
      <c r="AA21" s="14">
        <v>6.3548695179935472E-2</v>
      </c>
      <c r="AB21" s="14">
        <f t="shared" si="36"/>
        <v>1.2950807815812369</v>
      </c>
      <c r="AC21" s="14"/>
      <c r="AD21" s="14">
        <v>0.63657151918880306</v>
      </c>
      <c r="AE21" s="14">
        <f t="shared" si="38"/>
        <v>4.7692105182800919</v>
      </c>
      <c r="AF21" s="14"/>
      <c r="AG21" s="14">
        <v>0.36948978482648948</v>
      </c>
      <c r="AH21" s="14">
        <f t="shared" si="40"/>
        <v>5.626819661177878</v>
      </c>
      <c r="AI21" s="14"/>
      <c r="AJ21" s="14">
        <v>0.57192654500441054</v>
      </c>
      <c r="AK21" s="14">
        <f t="shared" si="42"/>
        <v>3.7852374618093183</v>
      </c>
      <c r="AL21" s="14"/>
      <c r="AM21" s="14">
        <v>2.2063875117784022</v>
      </c>
      <c r="AN21" s="14">
        <f t="shared" si="44"/>
        <v>19.841353119543911</v>
      </c>
      <c r="AO21" s="14"/>
      <c r="AP21" s="14">
        <v>0.92488419885510642</v>
      </c>
      <c r="AQ21" s="14">
        <f t="shared" si="46"/>
        <v>25.666962315249563</v>
      </c>
      <c r="AR21" s="14"/>
      <c r="AS21" s="14">
        <v>0.61428180745768113</v>
      </c>
      <c r="AT21" s="14">
        <f t="shared" si="48"/>
        <v>1.7552096489303259</v>
      </c>
      <c r="AU21" s="14"/>
      <c r="AV21" s="14">
        <v>1.7641614711683653</v>
      </c>
      <c r="AW21" s="14">
        <f t="shared" si="55"/>
        <v>3.2002811710752628</v>
      </c>
      <c r="AX21" s="14"/>
      <c r="AY21" s="14">
        <v>9.1490278343360834E-2</v>
      </c>
      <c r="AZ21" s="14">
        <f t="shared" si="56"/>
        <v>3.692189269793599</v>
      </c>
      <c r="BA21" s="14"/>
      <c r="BB21" s="14">
        <v>1.7064425157906034</v>
      </c>
      <c r="BC21" s="13">
        <f t="shared" si="57"/>
        <v>2.6193011479954937</v>
      </c>
    </row>
    <row r="22" spans="1:56" x14ac:dyDescent="0.2">
      <c r="A22" s="15"/>
      <c r="B22" s="15" t="s">
        <v>13</v>
      </c>
      <c r="C22" s="14" t="s">
        <v>3</v>
      </c>
      <c r="D22" s="14">
        <v>18.007043838500977</v>
      </c>
      <c r="E22" s="14">
        <f t="shared" si="58"/>
        <v>-1.7370861614990218</v>
      </c>
      <c r="F22" s="14">
        <f t="shared" si="1"/>
        <v>3.3336119146631806</v>
      </c>
      <c r="G22" s="14">
        <v>79.009742736816406</v>
      </c>
      <c r="H22" s="14" t="s">
        <v>24</v>
      </c>
      <c r="I22" s="14" t="s">
        <v>25</v>
      </c>
      <c r="J22" s="14">
        <v>17.270805358886719</v>
      </c>
      <c r="K22" s="14">
        <f t="shared" si="59"/>
        <v>-2.5164146411132826</v>
      </c>
      <c r="L22" s="14">
        <f t="shared" si="3"/>
        <v>5.7215841343137681</v>
      </c>
      <c r="M22" s="14">
        <v>78.360870361328125</v>
      </c>
      <c r="N22" s="14" t="s">
        <v>24</v>
      </c>
      <c r="O22" s="13" t="s">
        <v>25</v>
      </c>
      <c r="R22" s="14"/>
      <c r="S22" s="15"/>
      <c r="T22" s="14" t="s">
        <v>4</v>
      </c>
      <c r="U22" s="14">
        <v>0.81837986548294872</v>
      </c>
      <c r="V22" s="14">
        <f t="shared" si="32"/>
        <v>0.18624338620650432</v>
      </c>
      <c r="W22" s="14"/>
      <c r="X22" s="14">
        <v>0.13248114147566781</v>
      </c>
      <c r="Y22" s="14">
        <f t="shared" si="34"/>
        <v>1.2821400601424253</v>
      </c>
      <c r="Z22" s="14"/>
      <c r="AA22" s="14">
        <v>6.4727314533237074E-2</v>
      </c>
      <c r="AB22" s="14">
        <f t="shared" si="36"/>
        <v>1.2987723818730479</v>
      </c>
      <c r="AC22" s="14"/>
      <c r="AD22" s="14"/>
      <c r="AE22" s="14"/>
      <c r="AF22" s="14"/>
      <c r="AG22" s="14"/>
      <c r="AH22" s="14"/>
      <c r="AI22" s="14"/>
      <c r="AJ22" s="14"/>
      <c r="AK22" s="14"/>
      <c r="AL22" s="14"/>
      <c r="AM22" s="14"/>
      <c r="AN22" s="14"/>
      <c r="AO22" s="14"/>
      <c r="AP22" s="14"/>
      <c r="AQ22" s="14"/>
      <c r="AR22" s="14"/>
      <c r="AS22" s="14"/>
      <c r="AT22" s="14"/>
      <c r="AU22" s="14"/>
      <c r="AV22" s="14">
        <v>1.8818614435187968</v>
      </c>
      <c r="AW22" s="14">
        <f t="shared" si="55"/>
        <v>3.5495815647574571</v>
      </c>
      <c r="AX22" s="14"/>
      <c r="AY22" s="14">
        <v>9.2120568461267593E-2</v>
      </c>
      <c r="AZ22" s="14">
        <f t="shared" si="56"/>
        <v>3.7601949424326317</v>
      </c>
      <c r="BA22" s="14"/>
      <c r="BB22" s="14">
        <v>1.7310992667518805</v>
      </c>
      <c r="BC22" s="13">
        <f t="shared" si="57"/>
        <v>2.5945139418199012</v>
      </c>
    </row>
    <row r="23" spans="1:56" x14ac:dyDescent="0.2">
      <c r="A23" s="15"/>
      <c r="B23" s="15" t="s">
        <v>15</v>
      </c>
      <c r="C23" s="14" t="s">
        <v>37</v>
      </c>
      <c r="D23" s="14">
        <v>22.230295181274414</v>
      </c>
      <c r="E23" s="14">
        <f>D23-18.19835</f>
        <v>4.0319451812744127</v>
      </c>
      <c r="F23" s="14">
        <f t="shared" si="1"/>
        <v>6.1131289879158432E-2</v>
      </c>
      <c r="G23" s="14">
        <v>78.118408203125</v>
      </c>
      <c r="H23" s="14" t="s">
        <v>24</v>
      </c>
      <c r="I23" s="14" t="s">
        <v>25</v>
      </c>
      <c r="J23" s="14">
        <v>22.088542938232422</v>
      </c>
      <c r="K23" s="14">
        <f>J23-18.99476</f>
        <v>3.0937829382324225</v>
      </c>
      <c r="L23" s="14">
        <f t="shared" si="3"/>
        <v>0.11713280283731459</v>
      </c>
      <c r="M23" s="14">
        <v>77.483467102050781</v>
      </c>
      <c r="N23" s="14" t="s">
        <v>24</v>
      </c>
      <c r="O23" s="13" t="s">
        <v>25</v>
      </c>
      <c r="R23" s="14"/>
      <c r="S23" s="15"/>
      <c r="T23" s="14" t="s">
        <v>118</v>
      </c>
      <c r="U23" s="14">
        <v>2.4259979806830314</v>
      </c>
      <c r="V23" s="14">
        <f>U23/U11</f>
        <v>1.197754016713835</v>
      </c>
      <c r="W23" s="14">
        <f t="shared" ref="W23" si="60">AVERAGE(V23:V28)</f>
        <v>1.102927719778328</v>
      </c>
      <c r="X23" s="14">
        <v>9.5390898612941866E-2</v>
      </c>
      <c r="Y23" s="14">
        <f>X23/X11</f>
        <v>1.5604267274828698</v>
      </c>
      <c r="Z23" s="14">
        <f t="shared" ref="Z23" si="61">AVERAGE(Y23:Y28)</f>
        <v>1.4725798342112524</v>
      </c>
      <c r="AA23" s="14">
        <v>1.1914187022839435E-2</v>
      </c>
      <c r="AB23" s="14">
        <f>AA23/AA11</f>
        <v>0.23455103745673478</v>
      </c>
      <c r="AC23" s="14">
        <f t="shared" ref="AC23" si="62">AVERAGE(AB23:AB28)</f>
        <v>0.47515709695354924</v>
      </c>
      <c r="AD23" s="14">
        <v>2.3433768389675751E-2</v>
      </c>
      <c r="AE23" s="14">
        <f>AD23/AD11</f>
        <v>2.2948513919113354</v>
      </c>
      <c r="AF23" s="14">
        <f t="shared" ref="AF23" si="63">AVERAGE(AE23:AE28)</f>
        <v>2.2621303190912632</v>
      </c>
      <c r="AG23" s="14">
        <v>2.9546617186800045E-2</v>
      </c>
      <c r="AH23" s="14">
        <f>AG23/AG11</f>
        <v>1.3846366608066907</v>
      </c>
      <c r="AI23" s="14">
        <f t="shared" ref="AI23" si="64">AVERAGE(AH23:AH28)</f>
        <v>1.7557937661622982</v>
      </c>
      <c r="AJ23" s="14">
        <v>4.4815380777245332E-2</v>
      </c>
      <c r="AK23" s="14">
        <f>AJ23/AJ11</f>
        <v>1.3806028339740906</v>
      </c>
      <c r="AL23" s="14">
        <f t="shared" ref="AL23" si="65">AVERAGE(AK23:AK28)</f>
        <v>1.4773607527157455</v>
      </c>
      <c r="AM23" s="14">
        <v>4.3471032563064504E-2</v>
      </c>
      <c r="AN23" s="14">
        <f>AM23/AM11</f>
        <v>1.4074118364768968</v>
      </c>
      <c r="AO23" s="14">
        <f t="shared" ref="AO23" si="66">AVERAGE(AN23:AN28)</f>
        <v>1.4955376424927098</v>
      </c>
      <c r="AP23" s="14">
        <v>0.14712582817910372</v>
      </c>
      <c r="AQ23" s="14">
        <f>AP23/AP11</f>
        <v>1.7902576925146807</v>
      </c>
      <c r="AR23" s="14">
        <f t="shared" ref="AR23" si="67">AVERAGE(AQ23:AQ28)</f>
        <v>3.1134411828788315</v>
      </c>
      <c r="AS23" s="14">
        <v>5.8954216876344528E-2</v>
      </c>
      <c r="AT23" s="14">
        <f>AS23/AS11</f>
        <v>0.87206906230173464</v>
      </c>
      <c r="AU23" s="14">
        <f t="shared" ref="AU23" si="68">AVERAGE(AT23:AT28)</f>
        <v>1.0819999276179164</v>
      </c>
      <c r="AV23" s="14">
        <v>0.12039003835031543</v>
      </c>
      <c r="AW23" s="14">
        <f>AV23/AV11</f>
        <v>1.713608645106407</v>
      </c>
      <c r="AX23" s="14">
        <f t="shared" ref="AX23" si="69">AVERAGE(AW23:AW28)</f>
        <v>2.7922884893617068</v>
      </c>
      <c r="AY23" s="14">
        <v>9.0820644583900184E-2</v>
      </c>
      <c r="AZ23" s="14">
        <f>AY23/AY11</f>
        <v>0.98520876147618486</v>
      </c>
      <c r="BA23" s="14">
        <f t="shared" ref="BA23" si="70">AVERAGE(AZ23:AZ28)</f>
        <v>1.2085437080357182</v>
      </c>
      <c r="BB23" s="14">
        <v>0.15621894040193646</v>
      </c>
      <c r="BC23" s="13">
        <f>BB23/BB11</f>
        <v>0.84555787417104966</v>
      </c>
      <c r="BD23" s="9">
        <f t="shared" ref="BD23" si="71">AVERAGE(BC23:BC28)</f>
        <v>1.4036204813742261</v>
      </c>
    </row>
    <row r="24" spans="1:56" x14ac:dyDescent="0.2">
      <c r="A24" s="15"/>
      <c r="B24" s="15" t="s">
        <v>15</v>
      </c>
      <c r="C24" s="14" t="s">
        <v>37</v>
      </c>
      <c r="D24" s="14">
        <v>22.229034423828125</v>
      </c>
      <c r="E24" s="14">
        <f t="shared" ref="E24:E25" si="72">D24-18.19835</f>
        <v>4.0306844238281236</v>
      </c>
      <c r="F24" s="14">
        <f t="shared" si="1"/>
        <v>6.1184735280069687E-2</v>
      </c>
      <c r="G24" s="14">
        <v>78.118408203125</v>
      </c>
      <c r="H24" s="14" t="s">
        <v>24</v>
      </c>
      <c r="I24" s="14" t="s">
        <v>25</v>
      </c>
      <c r="J24" s="14">
        <v>22.092597961425781</v>
      </c>
      <c r="K24" s="14">
        <f t="shared" ref="K24:K25" si="73">J24-18.99476</f>
        <v>3.0978379614257818</v>
      </c>
      <c r="L24" s="14">
        <f t="shared" si="3"/>
        <v>0.11680403665371061</v>
      </c>
      <c r="M24" s="14">
        <v>77.483467102050781</v>
      </c>
      <c r="N24" s="14" t="s">
        <v>24</v>
      </c>
      <c r="O24" s="13" t="s">
        <v>25</v>
      </c>
      <c r="R24" s="14"/>
      <c r="S24" s="15"/>
      <c r="T24" s="14" t="s">
        <v>118</v>
      </c>
      <c r="U24" s="14">
        <v>2.5882028532591543</v>
      </c>
      <c r="V24" s="14">
        <f t="shared" ref="V24:V28" si="74">U24/U12</f>
        <v>1.3023819865896822</v>
      </c>
      <c r="W24" s="14">
        <f t="shared" ref="W24" si="75">STDEV(V23:V28)</f>
        <v>0.16257539646228727</v>
      </c>
      <c r="X24" s="14">
        <v>9.79406005966377E-2</v>
      </c>
      <c r="Y24" s="14">
        <f t="shared" ref="Y24:Y28" si="76">X24/X12</f>
        <v>1.6007358722452603</v>
      </c>
      <c r="Z24" s="14">
        <f t="shared" ref="Z24" si="77">STDEV(Y23:Y28)</f>
        <v>0.16593418775057911</v>
      </c>
      <c r="AA24" s="14">
        <v>1.0899936745442804E-2</v>
      </c>
      <c r="AB24" s="14">
        <f t="shared" ref="AB24:AB28" si="78">AA24/AA12</f>
        <v>0.20425160835687084</v>
      </c>
      <c r="AC24" s="14">
        <f t="shared" ref="AC24" si="79">STDEV(AB23:AB28)</f>
        <v>0.27881897683034967</v>
      </c>
      <c r="AD24" s="14">
        <v>2.5339292082349425E-2</v>
      </c>
      <c r="AE24" s="14">
        <f t="shared" ref="AE24:AE27" si="80">AD24/AD12</f>
        <v>2.3797891330521246</v>
      </c>
      <c r="AF24" s="14">
        <f t="shared" ref="AF24" si="81">STDEV(AE23:AE28)</f>
        <v>9.8557464670985098E-2</v>
      </c>
      <c r="AG24" s="14">
        <v>2.9583124372053037E-2</v>
      </c>
      <c r="AH24" s="14">
        <f t="shared" ref="AH24:AH27" si="82">AG24/AG12</f>
        <v>1.4183631099545533</v>
      </c>
      <c r="AI24" s="14">
        <f t="shared" ref="AI24" si="83">STDEV(AH23:AH28)</f>
        <v>0.41417273495144696</v>
      </c>
      <c r="AJ24" s="14">
        <v>4.8651882136223921E-2</v>
      </c>
      <c r="AK24" s="14">
        <f t="shared" ref="AK24:AK27" si="84">AJ24/AJ12</f>
        <v>1.4441252644673668</v>
      </c>
      <c r="AL24" s="14">
        <f t="shared" ref="AL24" si="85">STDEV(AK23:AK28)</f>
        <v>9.2069313281286438E-2</v>
      </c>
      <c r="AM24" s="14">
        <v>4.7589046351382232E-2</v>
      </c>
      <c r="AN24" s="14">
        <f t="shared" ref="AN24:AN27" si="86">AM24/AM12</f>
        <v>1.5633870070235374</v>
      </c>
      <c r="AO24" s="14">
        <f t="shared" ref="AO24" si="87">STDEV(AN23:AN28)</f>
        <v>6.4922433515446437E-2</v>
      </c>
      <c r="AP24" s="14">
        <v>0.15620741800974317</v>
      </c>
      <c r="AQ24" s="14">
        <f t="shared" ref="AQ24:AQ27" si="88">AP24/AP12</f>
        <v>1.8053791087820084</v>
      </c>
      <c r="AR24" s="14">
        <f t="shared" ref="AR24" si="89">STDEV(AQ23:AQ28)</f>
        <v>1.5203426177020047</v>
      </c>
      <c r="AS24" s="14">
        <v>6.0201275784027251E-2</v>
      </c>
      <c r="AT24" s="14">
        <f t="shared" ref="AT24:AT27" si="90">AS24/AS12</f>
        <v>0.90230177562682445</v>
      </c>
      <c r="AU24" s="14">
        <f t="shared" ref="AU24" si="91">STDEV(AT23:AT28)</f>
        <v>0.22567025516466147</v>
      </c>
      <c r="AV24" s="14">
        <v>0.11793608855029265</v>
      </c>
      <c r="AW24" s="14">
        <f t="shared" ref="AW24:AW28" si="92">AV24/AV12</f>
        <v>1.6239377287721992</v>
      </c>
      <c r="AX24" s="14">
        <f t="shared" ref="AX24" si="93">STDEV(AW23:AW28)</f>
        <v>1.0270837679767555</v>
      </c>
      <c r="AY24" s="14">
        <v>8.7750321798888239E-2</v>
      </c>
      <c r="AZ24" s="14">
        <f t="shared" ref="AZ24:AZ28" si="94">AY24/AY12</f>
        <v>0.96299840992348218</v>
      </c>
      <c r="BA24" s="14">
        <f t="shared" ref="BA24" si="95">STDEV(AZ23:AZ28)</f>
        <v>0.22073494821213929</v>
      </c>
      <c r="BB24" s="14">
        <v>0.2252107239627632</v>
      </c>
      <c r="BC24" s="13">
        <f t="shared" ref="BC24:BC28" si="96">BB24/BB12</f>
        <v>0.98069145065567709</v>
      </c>
      <c r="BD24" s="9">
        <f t="shared" ref="BD24" si="97">STDEV(BC23:BC28)</f>
        <v>0.45313758697106488</v>
      </c>
    </row>
    <row r="25" spans="1:56" x14ac:dyDescent="0.2">
      <c r="A25" s="15"/>
      <c r="B25" s="15" t="s">
        <v>15</v>
      </c>
      <c r="C25" s="14" t="s">
        <v>37</v>
      </c>
      <c r="D25" s="14">
        <v>22.235986709594727</v>
      </c>
      <c r="E25" s="14">
        <f t="shared" si="72"/>
        <v>4.0376367095947252</v>
      </c>
      <c r="F25" s="14">
        <f t="shared" si="1"/>
        <v>6.0890597941562888E-2</v>
      </c>
      <c r="G25" s="14">
        <v>77.9617919921875</v>
      </c>
      <c r="H25" s="14" t="s">
        <v>24</v>
      </c>
      <c r="I25" s="14" t="s">
        <v>25</v>
      </c>
      <c r="J25" s="14">
        <v>22.269454956054688</v>
      </c>
      <c r="K25" s="14">
        <f t="shared" si="73"/>
        <v>3.2746949560546881</v>
      </c>
      <c r="L25" s="14">
        <f t="shared" si="3"/>
        <v>0.10332813519682964</v>
      </c>
      <c r="M25" s="14">
        <v>77.184829711914063</v>
      </c>
      <c r="N25" s="14" t="s">
        <v>24</v>
      </c>
      <c r="O25" s="13" t="s">
        <v>25</v>
      </c>
      <c r="R25" s="14"/>
      <c r="S25" s="15"/>
      <c r="T25" s="14" t="s">
        <v>118</v>
      </c>
      <c r="U25" s="14">
        <v>2.5952064588308188</v>
      </c>
      <c r="V25" s="14">
        <f t="shared" si="74"/>
        <v>1.2399133783454528</v>
      </c>
      <c r="W25" s="14"/>
      <c r="X25" s="14">
        <v>0.10081163434227317</v>
      </c>
      <c r="Y25" s="14">
        <f t="shared" si="76"/>
        <v>1.6556190569687419</v>
      </c>
      <c r="Z25" s="14"/>
      <c r="AA25" s="14">
        <v>1.19958374162164E-2</v>
      </c>
      <c r="AB25" s="14">
        <f t="shared" si="78"/>
        <v>0.22385267948437429</v>
      </c>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3"/>
    </row>
    <row r="26" spans="1:56" x14ac:dyDescent="0.2">
      <c r="A26" s="15"/>
      <c r="B26" s="15" t="s">
        <v>108</v>
      </c>
      <c r="C26" s="14" t="s">
        <v>37</v>
      </c>
      <c r="D26" s="14">
        <v>27.87330436706543</v>
      </c>
      <c r="E26" s="14">
        <f>D26-23.71839</f>
        <v>4.1549143670654303</v>
      </c>
      <c r="F26" s="14">
        <f t="shared" si="1"/>
        <v>5.6136605263452689E-2</v>
      </c>
      <c r="G26" s="14">
        <v>77.9617919921875</v>
      </c>
      <c r="H26" s="14" t="s">
        <v>24</v>
      </c>
      <c r="I26" s="14" t="s">
        <v>25</v>
      </c>
      <c r="J26" s="14">
        <v>25.262552261352539</v>
      </c>
      <c r="K26" s="14">
        <f>J26-22.24091</f>
        <v>3.0216422613525395</v>
      </c>
      <c r="L26" s="14">
        <f t="shared" si="3"/>
        <v>0.12313883576381647</v>
      </c>
      <c r="M26" s="14">
        <v>77.334075927734375</v>
      </c>
      <c r="N26" s="14" t="s">
        <v>24</v>
      </c>
      <c r="O26" s="13" t="s">
        <v>25</v>
      </c>
      <c r="R26" s="14"/>
      <c r="S26" s="15"/>
      <c r="T26" s="14" t="s">
        <v>118</v>
      </c>
      <c r="U26" s="14">
        <v>4.0232071257954027</v>
      </c>
      <c r="V26" s="14">
        <f t="shared" si="74"/>
        <v>0.93459692703792963</v>
      </c>
      <c r="W26" s="14"/>
      <c r="X26" s="14">
        <v>0.1427712739965723</v>
      </c>
      <c r="Y26" s="14">
        <f t="shared" si="76"/>
        <v>1.218883784373084</v>
      </c>
      <c r="Z26" s="14"/>
      <c r="AA26" s="14">
        <v>3.535200891213218E-2</v>
      </c>
      <c r="AB26" s="14">
        <f t="shared" si="78"/>
        <v>0.71607032557225558</v>
      </c>
      <c r="AC26" s="14"/>
      <c r="AD26" s="14">
        <v>0.28184860359129421</v>
      </c>
      <c r="AE26" s="14">
        <f t="shared" si="80"/>
        <v>2.1487343470939049</v>
      </c>
      <c r="AF26" s="14"/>
      <c r="AG26" s="14">
        <v>0.12925788569470578</v>
      </c>
      <c r="AH26" s="14">
        <f t="shared" si="82"/>
        <v>2.0327836670721</v>
      </c>
      <c r="AI26" s="14"/>
      <c r="AJ26" s="14">
        <v>0.23054592729838996</v>
      </c>
      <c r="AK26" s="14">
        <f t="shared" si="84"/>
        <v>1.5994295154670215</v>
      </c>
      <c r="AL26" s="14"/>
      <c r="AM26" s="14">
        <v>0.16518097801230866</v>
      </c>
      <c r="AN26" s="14">
        <f t="shared" si="86"/>
        <v>1.4997806902995765</v>
      </c>
      <c r="AO26" s="14"/>
      <c r="AP26" s="14">
        <v>0.16176387055454114</v>
      </c>
      <c r="AQ26" s="14">
        <f t="shared" si="88"/>
        <v>4.3557240834199007</v>
      </c>
      <c r="AR26" s="14"/>
      <c r="AS26" s="14">
        <v>0.44058061165935392</v>
      </c>
      <c r="AT26" s="14">
        <f t="shared" si="90"/>
        <v>1.2607923797100267</v>
      </c>
      <c r="AU26" s="14"/>
      <c r="AV26" s="14">
        <v>1.8345163438035126</v>
      </c>
      <c r="AW26" s="14">
        <f t="shared" si="92"/>
        <v>3.4710875360610096</v>
      </c>
      <c r="AX26" s="14"/>
      <c r="AY26" s="14">
        <v>3.2968271013262496E-2</v>
      </c>
      <c r="AZ26" s="14">
        <f t="shared" si="94"/>
        <v>1.3256243463635347</v>
      </c>
      <c r="BA26" s="14"/>
      <c r="BB26" s="14">
        <v>1.0987967188413144</v>
      </c>
      <c r="BC26" s="13">
        <f t="shared" si="96"/>
        <v>1.8131210052198663</v>
      </c>
    </row>
    <row r="27" spans="1:56" x14ac:dyDescent="0.2">
      <c r="A27" s="15"/>
      <c r="B27" s="15" t="s">
        <v>108</v>
      </c>
      <c r="C27" s="14" t="s">
        <v>37</v>
      </c>
      <c r="D27" s="14">
        <v>27.778789520263672</v>
      </c>
      <c r="E27" s="14">
        <f t="shared" ref="E27:E28" si="98">D27-23.71839</f>
        <v>4.0603995202636725</v>
      </c>
      <c r="F27" s="14">
        <f t="shared" si="1"/>
        <v>5.9937406912385416E-2</v>
      </c>
      <c r="G27" s="14">
        <v>77.963714599609375</v>
      </c>
      <c r="H27" s="14"/>
      <c r="I27" s="14" t="s">
        <v>25</v>
      </c>
      <c r="J27" s="14">
        <v>25.26171875</v>
      </c>
      <c r="K27" s="14">
        <f t="shared" ref="K27:K28" si="99">J27-22.24091</f>
        <v>3.0208087500000005</v>
      </c>
      <c r="L27" s="14">
        <f t="shared" si="3"/>
        <v>0.1232099992942836</v>
      </c>
      <c r="M27" s="14">
        <v>77.338333129882813</v>
      </c>
      <c r="N27" s="14" t="s">
        <v>24</v>
      </c>
      <c r="O27" s="13" t="s">
        <v>25</v>
      </c>
      <c r="R27" s="14"/>
      <c r="S27" s="15"/>
      <c r="T27" s="14" t="s">
        <v>118</v>
      </c>
      <c r="U27" s="14">
        <v>4.2921804465421696</v>
      </c>
      <c r="V27" s="14">
        <f t="shared" si="74"/>
        <v>1.0007167993681281</v>
      </c>
      <c r="W27" s="14"/>
      <c r="X27" s="14">
        <v>0.15761532732579384</v>
      </c>
      <c r="Y27" s="14">
        <f t="shared" si="76"/>
        <v>1.3493996598172084</v>
      </c>
      <c r="Z27" s="14"/>
      <c r="AA27" s="14">
        <v>3.5915864845466591E-2</v>
      </c>
      <c r="AB27" s="14">
        <f t="shared" si="78"/>
        <v>0.73194179964719419</v>
      </c>
      <c r="AC27" s="14"/>
      <c r="AD27" s="14">
        <v>0.2970019506537665</v>
      </c>
      <c r="AE27" s="14">
        <f t="shared" si="80"/>
        <v>2.2251464043076887</v>
      </c>
      <c r="AF27" s="14"/>
      <c r="AG27" s="14">
        <v>0.14363688729883087</v>
      </c>
      <c r="AH27" s="14">
        <f t="shared" si="82"/>
        <v>2.1873916268158484</v>
      </c>
      <c r="AI27" s="14"/>
      <c r="AJ27" s="14">
        <v>0.22441766309151198</v>
      </c>
      <c r="AK27" s="14">
        <f t="shared" si="84"/>
        <v>1.4852853969545032</v>
      </c>
      <c r="AL27" s="14"/>
      <c r="AM27" s="14">
        <v>0.16808891194462636</v>
      </c>
      <c r="AN27" s="14">
        <f t="shared" si="86"/>
        <v>1.5115710361708277</v>
      </c>
      <c r="AO27" s="14"/>
      <c r="AP27" s="14">
        <v>0.16223977436919026</v>
      </c>
      <c r="AQ27" s="14">
        <f t="shared" si="88"/>
        <v>4.5024038467987362</v>
      </c>
      <c r="AR27" s="14"/>
      <c r="AS27" s="14">
        <v>0.45246215348049185</v>
      </c>
      <c r="AT27" s="14">
        <f t="shared" si="90"/>
        <v>1.2928364928330793</v>
      </c>
      <c r="AU27" s="14"/>
      <c r="AV27" s="14">
        <v>1.9622159203982861</v>
      </c>
      <c r="AW27" s="14">
        <f t="shared" si="92"/>
        <v>3.5595622998590271</v>
      </c>
      <c r="AX27" s="14"/>
      <c r="AY27" s="14">
        <v>3.2630992539856039E-2</v>
      </c>
      <c r="AZ27" s="14">
        <f t="shared" si="94"/>
        <v>1.3168590444791699</v>
      </c>
      <c r="BA27" s="14"/>
      <c r="BB27" s="14">
        <v>1.1035193646793529</v>
      </c>
      <c r="BC27" s="13">
        <f t="shared" si="96"/>
        <v>1.6938452435362155</v>
      </c>
    </row>
    <row r="28" spans="1:56" x14ac:dyDescent="0.2">
      <c r="A28" s="15"/>
      <c r="B28" s="15" t="s">
        <v>108</v>
      </c>
      <c r="C28" s="14" t="s">
        <v>37</v>
      </c>
      <c r="D28" s="14">
        <v>27.922763824462891</v>
      </c>
      <c r="E28" s="14">
        <f t="shared" si="98"/>
        <v>4.2043738244628912</v>
      </c>
      <c r="F28" s="14">
        <f t="shared" si="1"/>
        <v>5.4244706766493303E-2</v>
      </c>
      <c r="G28" s="14">
        <v>77.963714599609375</v>
      </c>
      <c r="H28" s="14" t="s">
        <v>24</v>
      </c>
      <c r="I28" s="14" t="s">
        <v>25</v>
      </c>
      <c r="J28" s="14">
        <v>25.157051086425781</v>
      </c>
      <c r="K28" s="14">
        <f t="shared" si="99"/>
        <v>2.9161410864257817</v>
      </c>
      <c r="L28" s="14">
        <f t="shared" si="3"/>
        <v>0.13248114147566781</v>
      </c>
      <c r="M28" s="14">
        <v>77.338333129882813</v>
      </c>
      <c r="N28" s="14" t="s">
        <v>24</v>
      </c>
      <c r="O28" s="13" t="s">
        <v>25</v>
      </c>
      <c r="R28" s="14"/>
      <c r="S28" s="15"/>
      <c r="T28" s="14" t="s">
        <v>118</v>
      </c>
      <c r="U28" s="14">
        <v>4.1401745987677314</v>
      </c>
      <c r="V28" s="14">
        <f t="shared" si="74"/>
        <v>0.94220321061494083</v>
      </c>
      <c r="W28" s="14"/>
      <c r="X28" s="14">
        <v>0.14986856400317436</v>
      </c>
      <c r="Y28" s="14">
        <f t="shared" si="76"/>
        <v>1.4504139043803501</v>
      </c>
      <c r="Z28" s="14"/>
      <c r="AA28" s="14">
        <v>3.6893317048721806E-2</v>
      </c>
      <c r="AB28" s="14">
        <f t="shared" si="78"/>
        <v>0.74027513120386557</v>
      </c>
      <c r="AC28" s="14"/>
      <c r="AD28" s="14"/>
      <c r="AE28" s="14"/>
      <c r="AF28" s="14"/>
      <c r="AG28" s="14"/>
      <c r="AH28" s="14"/>
      <c r="AI28" s="14"/>
      <c r="AJ28" s="14"/>
      <c r="AK28" s="14"/>
      <c r="AL28" s="14"/>
      <c r="AM28" s="14"/>
      <c r="AN28" s="14"/>
      <c r="AO28" s="14"/>
      <c r="AP28" s="14"/>
      <c r="AQ28" s="14"/>
      <c r="AR28" s="14"/>
      <c r="AS28" s="14"/>
      <c r="AT28" s="14"/>
      <c r="AU28" s="14"/>
      <c r="AV28" s="14">
        <v>1.9050108941390009</v>
      </c>
      <c r="AW28" s="14">
        <f t="shared" si="92"/>
        <v>3.593246237009891</v>
      </c>
      <c r="AX28" s="14"/>
      <c r="AY28" s="14">
        <v>3.5573060651640911E-2</v>
      </c>
      <c r="AZ28" s="14">
        <f t="shared" si="94"/>
        <v>1.4520279779362191</v>
      </c>
      <c r="BA28" s="14"/>
      <c r="BB28" s="14">
        <v>1.1241821886759302</v>
      </c>
      <c r="BC28" s="13">
        <f t="shared" si="96"/>
        <v>1.6848868332883216</v>
      </c>
    </row>
    <row r="29" spans="1:56" x14ac:dyDescent="0.2">
      <c r="A29" s="15"/>
      <c r="B29" s="15" t="s">
        <v>109</v>
      </c>
      <c r="C29" s="14" t="s">
        <v>37</v>
      </c>
      <c r="D29" s="14">
        <v>23.333774566650391</v>
      </c>
      <c r="E29" s="14">
        <f>D29-19.94377</f>
        <v>3.39000456665039</v>
      </c>
      <c r="F29" s="14">
        <f t="shared" si="1"/>
        <v>9.5390898612941866E-2</v>
      </c>
      <c r="G29" s="14">
        <v>77.9622802734375</v>
      </c>
      <c r="H29" s="14" t="s">
        <v>24</v>
      </c>
      <c r="I29" s="14" t="s">
        <v>25</v>
      </c>
      <c r="J29" s="14">
        <v>25.077232360839844</v>
      </c>
      <c r="K29" s="14">
        <f>J29-22.26901</f>
        <v>2.8082223608398422</v>
      </c>
      <c r="L29" s="14">
        <f t="shared" si="3"/>
        <v>0.1427712739965723</v>
      </c>
      <c r="M29" s="14">
        <v>77.3331298828125</v>
      </c>
      <c r="N29" s="14" t="s">
        <v>24</v>
      </c>
      <c r="O29" s="13" t="s">
        <v>25</v>
      </c>
      <c r="R29" s="14"/>
      <c r="S29" s="15"/>
      <c r="T29" s="14" t="s">
        <v>16</v>
      </c>
      <c r="U29" s="14">
        <v>3.4467238939587412</v>
      </c>
      <c r="V29" s="14">
        <f>U29/U11</f>
        <v>1.701702730737771</v>
      </c>
      <c r="W29" s="14">
        <f t="shared" ref="W29" si="100">AVERAGE(V29:V34)</f>
        <v>1.5669761915950806</v>
      </c>
      <c r="X29" s="14">
        <v>8.8227167004415963E-2</v>
      </c>
      <c r="Y29" s="14">
        <f>X29/X11</f>
        <v>1.4432407230212128</v>
      </c>
      <c r="Z29" s="14">
        <f t="shared" ref="Z29" si="101">AVERAGE(Y29:Y34)</f>
        <v>1.5215148687421445</v>
      </c>
      <c r="AA29" s="14">
        <v>1.8729564063054694E-2</v>
      </c>
      <c r="AB29" s="14">
        <f>AA29/AA11</f>
        <v>0.36872332738108127</v>
      </c>
      <c r="AC29" s="14">
        <f t="shared" ref="AC29" si="102">AVERAGE(AB29:AB34)</f>
        <v>0.40951363890012832</v>
      </c>
      <c r="AD29" s="14">
        <v>2.6757281075337834E-2</v>
      </c>
      <c r="AE29" s="14">
        <f>AD29/AD11</f>
        <v>2.6203205006734942</v>
      </c>
      <c r="AF29" s="14">
        <f t="shared" ref="AF29" si="103">AVERAGE(AE29:AE34)</f>
        <v>1.9722201937617179</v>
      </c>
      <c r="AG29" s="14">
        <v>3.7376418489293427E-2</v>
      </c>
      <c r="AH29" s="14">
        <f>AG29/AG11</f>
        <v>1.7515629272460085</v>
      </c>
      <c r="AI29" s="14">
        <f t="shared" ref="AI29" si="104">AVERAGE(AH29:AH34)</f>
        <v>1.3781520566079937</v>
      </c>
      <c r="AJ29" s="14">
        <v>6.3324224141977845E-2</v>
      </c>
      <c r="AK29" s="14">
        <f>AJ29/AJ11</f>
        <v>1.9507946109879939</v>
      </c>
      <c r="AL29" s="14">
        <f t="shared" ref="AL29" si="105">AVERAGE(AK29:AK34)</f>
        <v>1.5169374285486543</v>
      </c>
      <c r="AM29" s="14">
        <v>9.0543279547827024E-2</v>
      </c>
      <c r="AN29" s="14">
        <f>AM29/AM11</f>
        <v>2.9314160680259889</v>
      </c>
      <c r="AO29" s="14">
        <f t="shared" ref="AO29" si="106">AVERAGE(AN29:AN34)</f>
        <v>2.0394001556899317</v>
      </c>
      <c r="AP29" s="14">
        <v>0.24812241877106608</v>
      </c>
      <c r="AQ29" s="14">
        <f>AP29/AP11</f>
        <v>3.0192052230931146</v>
      </c>
      <c r="AR29" s="14">
        <f t="shared" ref="AR29" si="107">AVERAGE(AQ29:AQ34)</f>
        <v>1.9989157677304465</v>
      </c>
      <c r="AS29" s="14">
        <v>7.50274771176387E-2</v>
      </c>
      <c r="AT29" s="14">
        <f>AS29/AS11</f>
        <v>1.109829713353339</v>
      </c>
      <c r="AU29" s="14">
        <f t="shared" ref="AU29" si="108">AVERAGE(AT29:AT34)</f>
        <v>0.98591312405664122</v>
      </c>
      <c r="AV29" s="14">
        <v>0.11681215274308393</v>
      </c>
      <c r="AW29" s="14">
        <f>AV29/AV11</f>
        <v>1.6626817096907607</v>
      </c>
      <c r="AX29" s="14">
        <f t="shared" ref="AX29" si="109">AVERAGE(AW29:AW34)</f>
        <v>1.3562412098779295</v>
      </c>
      <c r="AY29" s="14">
        <v>0.1891003355139888</v>
      </c>
      <c r="AZ29" s="14">
        <f>AY29/AY11</f>
        <v>2.051332141497419</v>
      </c>
      <c r="BA29" s="14">
        <f t="shared" ref="BA29" si="110">AVERAGE(AZ29:AZ34)</f>
        <v>1.6444888824296384</v>
      </c>
      <c r="BB29" s="14">
        <v>0.23671794954010461</v>
      </c>
      <c r="BC29" s="13">
        <f>BB29/BB11</f>
        <v>1.2812705404112414</v>
      </c>
      <c r="BD29" s="9">
        <f t="shared" ref="BD29" si="111">AVERAGE(BC29:BC34)</f>
        <v>0.96111002241165833</v>
      </c>
    </row>
    <row r="30" spans="1:56" x14ac:dyDescent="0.2">
      <c r="A30" s="15"/>
      <c r="B30" s="15" t="s">
        <v>109</v>
      </c>
      <c r="C30" s="14" t="s">
        <v>37</v>
      </c>
      <c r="D30" s="14">
        <v>23.295719146728516</v>
      </c>
      <c r="E30" s="14">
        <f t="shared" ref="E30:E31" si="112">D30-19.94377</f>
        <v>3.351949146728515</v>
      </c>
      <c r="F30" s="14">
        <f t="shared" si="1"/>
        <v>9.79406005966377E-2</v>
      </c>
      <c r="G30" s="14">
        <v>77.9622802734375</v>
      </c>
      <c r="H30" s="14" t="s">
        <v>24</v>
      </c>
      <c r="I30" s="14" t="s">
        <v>25</v>
      </c>
      <c r="J30" s="14">
        <v>24.934530258178711</v>
      </c>
      <c r="K30" s="14">
        <f t="shared" ref="K30:K31" si="113">J30-22.26901</f>
        <v>2.6655202581787094</v>
      </c>
      <c r="L30" s="14">
        <f t="shared" si="3"/>
        <v>0.15761532732579384</v>
      </c>
      <c r="M30" s="14">
        <v>77.3331298828125</v>
      </c>
      <c r="N30" s="14" t="s">
        <v>24</v>
      </c>
      <c r="O30" s="13" t="s">
        <v>25</v>
      </c>
      <c r="R30" s="14"/>
      <c r="S30" s="15"/>
      <c r="T30" s="14" t="s">
        <v>16</v>
      </c>
      <c r="U30" s="14">
        <v>3.4925531087567587</v>
      </c>
      <c r="V30" s="14">
        <f t="shared" ref="V30:V34" si="114">U30/U12</f>
        <v>1.7574504449389641</v>
      </c>
      <c r="W30" s="14">
        <f t="shared" ref="W30" si="115">STDEV(V29:V34)</f>
        <v>0.16060348128620339</v>
      </c>
      <c r="X30" s="14">
        <v>9.2007090087987728E-2</v>
      </c>
      <c r="Y30" s="14">
        <f t="shared" ref="Y30:Y34" si="116">X30/X12</f>
        <v>1.5037588978170853</v>
      </c>
      <c r="Z30" s="14">
        <f t="shared" ref="Z30" si="117">STDEV(Y29:Y34)</f>
        <v>8.8291979994143316E-2</v>
      </c>
      <c r="AA30" s="14">
        <v>1.9269047545140319E-2</v>
      </c>
      <c r="AB30" s="14">
        <f t="shared" ref="AB30:AB34" si="118">AA30/AA12</f>
        <v>0.36107860481350318</v>
      </c>
      <c r="AC30" s="14">
        <f t="shared" ref="AC30" si="119">STDEV(AB29:AB34)</f>
        <v>5.7920878671370947E-2</v>
      </c>
      <c r="AD30" s="14">
        <v>2.7438791189145374E-2</v>
      </c>
      <c r="AE30" s="14">
        <f t="shared" ref="AE30:AE33" si="120">AD30/AD12</f>
        <v>2.5769676944329278</v>
      </c>
      <c r="AF30" s="14">
        <f t="shared" ref="AF30" si="121">STDEV(AE29:AE34)</f>
        <v>0.72354892649062019</v>
      </c>
      <c r="AG30" s="14">
        <v>3.8642278585629568E-2</v>
      </c>
      <c r="AH30" s="14">
        <f t="shared" ref="AH30:AH33" si="122">AG30/AG12</f>
        <v>1.8527043236251697</v>
      </c>
      <c r="AI30" s="14">
        <f t="shared" ref="AI30" si="123">STDEV(AH29:AH34)</f>
        <v>0.49131459811947065</v>
      </c>
      <c r="AJ30" s="14">
        <v>6.2936290133053727E-2</v>
      </c>
      <c r="AK30" s="14">
        <f t="shared" ref="AK30:AK33" si="124">AJ30/AJ12</f>
        <v>1.8681268358438339</v>
      </c>
      <c r="AL30" s="14">
        <f t="shared" ref="AL30" si="125">STDEV(AK29:AK34)</f>
        <v>0.45494388130684332</v>
      </c>
      <c r="AM30" s="14">
        <v>8.8189650831385524E-2</v>
      </c>
      <c r="AN30" s="14">
        <f t="shared" ref="AN30:AN33" si="126">AM30/AM12</f>
        <v>2.8971909469609711</v>
      </c>
      <c r="AO30" s="14">
        <f t="shared" ref="AO30" si="127">STDEV(AN29:AN34)</f>
        <v>1.0103727877838735</v>
      </c>
      <c r="AP30" s="14">
        <v>0.25036378275901255</v>
      </c>
      <c r="AQ30" s="14">
        <f t="shared" ref="AQ30:AQ33" si="128">AP30/AP12</f>
        <v>2.8935984522871099</v>
      </c>
      <c r="AR30" s="14">
        <f t="shared" ref="AR30" si="129">STDEV(AQ29:AQ34)</f>
        <v>1.1071192321623504</v>
      </c>
      <c r="AS30" s="14">
        <v>7.6137530793044556E-2</v>
      </c>
      <c r="AT30" s="14">
        <f t="shared" ref="AT30:AT33" si="130">AS30/AS12</f>
        <v>1.141155703624366</v>
      </c>
      <c r="AU30" s="14">
        <f t="shared" ref="AU30" si="131">STDEV(AT29:AT34)</f>
        <v>0.1619882200109663</v>
      </c>
      <c r="AV30" s="14">
        <v>0.11105147598807028</v>
      </c>
      <c r="AW30" s="14">
        <f t="shared" ref="AW30:AW34" si="132">AV30/AV12</f>
        <v>1.5291390778655747</v>
      </c>
      <c r="AX30" s="14">
        <f t="shared" ref="AX30" si="133">STDEV(AW29:AW34)</f>
        <v>0.23057732114666415</v>
      </c>
      <c r="AY30" s="14">
        <v>0.19510866949018754</v>
      </c>
      <c r="AZ30" s="14">
        <f t="shared" ref="AZ30:AZ34" si="134">AY30/AY12</f>
        <v>2.1411811903317406</v>
      </c>
      <c r="BA30" s="14">
        <f t="shared" ref="BA30" si="135">STDEV(AZ29:AZ34)</f>
        <v>0.41517124632267949</v>
      </c>
      <c r="BB30" s="14">
        <v>0.2310128015576941</v>
      </c>
      <c r="BC30" s="13">
        <f t="shared" ref="BC30:BC34" si="136">BB30/BB12</f>
        <v>1.0059568900329352</v>
      </c>
      <c r="BD30" s="9">
        <f t="shared" ref="BD30" si="137">STDEV(BC29:BC34)</f>
        <v>0.19536099927476219</v>
      </c>
    </row>
    <row r="31" spans="1:56" x14ac:dyDescent="0.2">
      <c r="A31" s="15"/>
      <c r="B31" s="15" t="s">
        <v>109</v>
      </c>
      <c r="C31" s="14" t="s">
        <v>37</v>
      </c>
      <c r="D31" s="14">
        <v>23.254035949707031</v>
      </c>
      <c r="E31" s="14">
        <f t="shared" si="112"/>
        <v>3.3102659497070306</v>
      </c>
      <c r="F31" s="14">
        <f t="shared" si="1"/>
        <v>0.10081163434227317</v>
      </c>
      <c r="G31" s="14">
        <v>77.960296630859375</v>
      </c>
      <c r="H31" s="14" t="s">
        <v>24</v>
      </c>
      <c r="I31" s="14" t="s">
        <v>25</v>
      </c>
      <c r="J31" s="14">
        <v>25.007240295410156</v>
      </c>
      <c r="K31" s="14">
        <f t="shared" si="113"/>
        <v>2.7382302954101547</v>
      </c>
      <c r="L31" s="14">
        <f t="shared" si="3"/>
        <v>0.14986856400317436</v>
      </c>
      <c r="M31" s="14">
        <v>77.458480834960938</v>
      </c>
      <c r="N31" s="14" t="s">
        <v>24</v>
      </c>
      <c r="O31" s="13" t="s">
        <v>25</v>
      </c>
      <c r="R31" s="14"/>
      <c r="S31" s="15"/>
      <c r="T31" s="14" t="s">
        <v>16</v>
      </c>
      <c r="U31" s="14">
        <v>3.3336119146631806</v>
      </c>
      <c r="V31" s="14">
        <f t="shared" si="114"/>
        <v>1.5927018049519013</v>
      </c>
      <c r="W31" s="14"/>
      <c r="X31" s="14">
        <v>9.2132464755491639E-2</v>
      </c>
      <c r="Y31" s="14">
        <f t="shared" si="116"/>
        <v>1.5130819514026086</v>
      </c>
      <c r="Z31" s="14"/>
      <c r="AA31" s="14">
        <v>1.8334577817360517E-2</v>
      </c>
      <c r="AB31" s="14">
        <f t="shared" si="118"/>
        <v>0.34213904617302154</v>
      </c>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3"/>
    </row>
    <row r="32" spans="1:56" x14ac:dyDescent="0.2">
      <c r="A32" s="15"/>
      <c r="B32" s="15" t="s">
        <v>125</v>
      </c>
      <c r="C32" s="14" t="s">
        <v>37</v>
      </c>
      <c r="D32" s="14">
        <v>23.246763229370117</v>
      </c>
      <c r="E32" s="14">
        <f>D32-19.74413</f>
        <v>3.5026332293701188</v>
      </c>
      <c r="F32" s="14">
        <f t="shared" si="1"/>
        <v>8.8227167004415963E-2</v>
      </c>
      <c r="G32" s="14">
        <v>77.960296630859375</v>
      </c>
      <c r="H32" s="14" t="s">
        <v>24</v>
      </c>
      <c r="I32" s="14" t="s">
        <v>25</v>
      </c>
      <c r="J32" s="14">
        <v>22.29583740234375</v>
      </c>
      <c r="K32" s="14">
        <f>J32-19.78722</f>
        <v>2.5086174023437486</v>
      </c>
      <c r="L32" s="14">
        <f t="shared" si="3"/>
        <v>0.17572393271671541</v>
      </c>
      <c r="M32" s="14">
        <v>77.309028625488281</v>
      </c>
      <c r="N32" s="14" t="s">
        <v>24</v>
      </c>
      <c r="O32" s="13" t="s">
        <v>25</v>
      </c>
      <c r="R32" s="14"/>
      <c r="S32" s="15"/>
      <c r="T32" s="14" t="s">
        <v>16</v>
      </c>
      <c r="U32" s="14">
        <v>6.5509332032933054</v>
      </c>
      <c r="V32" s="14">
        <f t="shared" si="114"/>
        <v>1.5217914090908822</v>
      </c>
      <c r="W32" s="14"/>
      <c r="X32" s="14">
        <v>0.17572393271671541</v>
      </c>
      <c r="Y32" s="14">
        <f t="shared" si="116"/>
        <v>1.5002111147359622</v>
      </c>
      <c r="Z32" s="14"/>
      <c r="AA32" s="14">
        <v>2.2617819587912619E-2</v>
      </c>
      <c r="AB32" s="14">
        <f t="shared" si="118"/>
        <v>0.45813377894043722</v>
      </c>
      <c r="AC32" s="14"/>
      <c r="AD32" s="14">
        <v>0.17665147375837553</v>
      </c>
      <c r="AE32" s="14">
        <f t="shared" si="120"/>
        <v>1.3467410669871545</v>
      </c>
      <c r="AF32" s="14"/>
      <c r="AG32" s="14">
        <v>6.05052918641409E-2</v>
      </c>
      <c r="AH32" s="14">
        <f t="shared" si="122"/>
        <v>0.9515409323912043</v>
      </c>
      <c r="AI32" s="14"/>
      <c r="AJ32" s="14">
        <v>0.16561654277414081</v>
      </c>
      <c r="AK32" s="14">
        <f t="shared" si="124"/>
        <v>1.1489770817756588</v>
      </c>
      <c r="AL32" s="14"/>
      <c r="AM32" s="14">
        <v>0.12729903339557938</v>
      </c>
      <c r="AN32" s="14">
        <f t="shared" si="126"/>
        <v>1.1558269873318234</v>
      </c>
      <c r="AO32" s="14"/>
      <c r="AP32" s="14">
        <v>3.7464258151591601E-2</v>
      </c>
      <c r="AQ32" s="14">
        <f t="shared" si="128"/>
        <v>1.0087788511670652</v>
      </c>
      <c r="AR32" s="14"/>
      <c r="AS32" s="14">
        <v>0.30002924477545023</v>
      </c>
      <c r="AT32" s="14">
        <f t="shared" si="130"/>
        <v>0.8585820063174151</v>
      </c>
      <c r="AU32" s="14"/>
      <c r="AV32" s="14">
        <v>0.59264601018948959</v>
      </c>
      <c r="AW32" s="14">
        <f t="shared" si="132"/>
        <v>1.1213452451450896</v>
      </c>
      <c r="AX32" s="14"/>
      <c r="AY32" s="14">
        <v>3.347937022232382E-2</v>
      </c>
      <c r="AZ32" s="14">
        <f t="shared" si="134"/>
        <v>1.3461751830958062</v>
      </c>
      <c r="BA32" s="14"/>
      <c r="BB32" s="14">
        <v>0.53855933352496932</v>
      </c>
      <c r="BC32" s="13">
        <f t="shared" si="136"/>
        <v>0.88867506011578612</v>
      </c>
    </row>
    <row r="33" spans="1:55" x14ac:dyDescent="0.2">
      <c r="A33" s="15"/>
      <c r="B33" s="15" t="s">
        <v>13</v>
      </c>
      <c r="C33" s="14" t="s">
        <v>37</v>
      </c>
      <c r="D33" s="14">
        <v>23.186241149902344</v>
      </c>
      <c r="E33" s="14">
        <f t="shared" ref="E33:E34" si="138">D33-19.74413</f>
        <v>3.4421111499023453</v>
      </c>
      <c r="F33" s="14">
        <f t="shared" si="1"/>
        <v>9.2007090087987728E-2</v>
      </c>
      <c r="G33" s="14">
        <v>77.817161560058594</v>
      </c>
      <c r="H33" s="14" t="s">
        <v>24</v>
      </c>
      <c r="I33" s="14" t="s">
        <v>25</v>
      </c>
      <c r="J33" s="14">
        <v>22.324712753295898</v>
      </c>
      <c r="K33" s="14">
        <f t="shared" ref="K33:K34" si="139">J33-19.78722</f>
        <v>2.5374927532958971</v>
      </c>
      <c r="L33" s="14">
        <f t="shared" si="3"/>
        <v>0.1722418047897265</v>
      </c>
      <c r="M33" s="14">
        <v>77.165275573730469</v>
      </c>
      <c r="N33" s="14" t="s">
        <v>24</v>
      </c>
      <c r="O33" s="13" t="s">
        <v>25</v>
      </c>
      <c r="R33" s="14"/>
      <c r="S33" s="15"/>
      <c r="T33" s="14" t="s">
        <v>16</v>
      </c>
      <c r="U33" s="14">
        <v>6.5456781980101635</v>
      </c>
      <c r="V33" s="14">
        <f t="shared" si="114"/>
        <v>1.5261171373359947</v>
      </c>
      <c r="W33" s="14"/>
      <c r="X33" s="14">
        <v>0.1722418047897265</v>
      </c>
      <c r="Y33" s="14">
        <f t="shared" si="116"/>
        <v>1.4746220226992022</v>
      </c>
      <c r="Z33" s="14"/>
      <c r="AA33" s="14">
        <v>2.2937805031655132E-2</v>
      </c>
      <c r="AB33" s="14">
        <f t="shared" si="118"/>
        <v>0.46745744163655573</v>
      </c>
      <c r="AC33" s="14"/>
      <c r="AD33" s="14">
        <v>0.17950437863933308</v>
      </c>
      <c r="AE33" s="14">
        <f t="shared" si="120"/>
        <v>1.3448515129532954</v>
      </c>
      <c r="AF33" s="14"/>
      <c r="AG33" s="14">
        <v>6.2829069236369245E-2</v>
      </c>
      <c r="AH33" s="14">
        <f t="shared" si="122"/>
        <v>0.95680004316959266</v>
      </c>
      <c r="AI33" s="14"/>
      <c r="AJ33" s="14">
        <v>0.16618087899066139</v>
      </c>
      <c r="AK33" s="14">
        <f t="shared" si="124"/>
        <v>1.0998511855871309</v>
      </c>
      <c r="AL33" s="14"/>
      <c r="AM33" s="14">
        <v>0.13045784554010642</v>
      </c>
      <c r="AN33" s="14">
        <f t="shared" si="126"/>
        <v>1.1731666204409423</v>
      </c>
      <c r="AO33" s="14"/>
      <c r="AP33" s="14">
        <v>3.8703455110441785E-2</v>
      </c>
      <c r="AQ33" s="14">
        <f t="shared" si="128"/>
        <v>1.0740805443744961</v>
      </c>
      <c r="AR33" s="14"/>
      <c r="AS33" s="14">
        <v>0.29191002139604705</v>
      </c>
      <c r="AT33" s="14">
        <f t="shared" si="130"/>
        <v>0.83408507293144474</v>
      </c>
      <c r="AU33" s="14"/>
      <c r="AV33" s="14">
        <v>0.65618962027679562</v>
      </c>
      <c r="AW33" s="14">
        <f t="shared" si="132"/>
        <v>1.1903622886832901</v>
      </c>
      <c r="AX33" s="14"/>
      <c r="AY33" s="14">
        <v>3.4502999603047452E-2</v>
      </c>
      <c r="AZ33" s="14">
        <f t="shared" si="134"/>
        <v>1.3924059169649365</v>
      </c>
      <c r="BA33" s="14"/>
      <c r="BB33" s="14">
        <v>0.53553538342128115</v>
      </c>
      <c r="BC33" s="13">
        <f t="shared" si="136"/>
        <v>0.82201916068510372</v>
      </c>
    </row>
    <row r="34" spans="1:55" ht="13.5" thickBot="1" x14ac:dyDescent="0.25">
      <c r="A34" s="15"/>
      <c r="B34" s="15" t="s">
        <v>13</v>
      </c>
      <c r="C34" s="14" t="s">
        <v>37</v>
      </c>
      <c r="D34" s="14">
        <v>23.184276580810547</v>
      </c>
      <c r="E34" s="14">
        <f t="shared" si="138"/>
        <v>3.4401465808105485</v>
      </c>
      <c r="F34" s="14">
        <f t="shared" si="1"/>
        <v>9.2132464755491639E-2</v>
      </c>
      <c r="G34" s="14">
        <v>77.817161560058594</v>
      </c>
      <c r="H34" s="14" t="s">
        <v>24</v>
      </c>
      <c r="I34" s="14" t="s">
        <v>25</v>
      </c>
      <c r="J34" s="14">
        <v>22.301332473754883</v>
      </c>
      <c r="K34" s="14">
        <f t="shared" si="139"/>
        <v>2.5141124737548814</v>
      </c>
      <c r="L34" s="14">
        <f t="shared" si="3"/>
        <v>0.17505589206994226</v>
      </c>
      <c r="M34" s="14">
        <v>77.165275573730469</v>
      </c>
      <c r="N34" s="14" t="s">
        <v>24</v>
      </c>
      <c r="O34" s="13" t="s">
        <v>25</v>
      </c>
      <c r="R34" s="14"/>
      <c r="S34" s="12"/>
      <c r="T34" s="11" t="s">
        <v>16</v>
      </c>
      <c r="U34" s="11">
        <v>5.7215841343137681</v>
      </c>
      <c r="V34" s="11">
        <f t="shared" si="114"/>
        <v>1.3020936225149704</v>
      </c>
      <c r="W34" s="11"/>
      <c r="X34" s="11">
        <v>0.17505589206994226</v>
      </c>
      <c r="Y34" s="11">
        <f t="shared" si="116"/>
        <v>1.6941745027767947</v>
      </c>
      <c r="Z34" s="11"/>
      <c r="AA34" s="11">
        <v>2.2902715016299324E-2</v>
      </c>
      <c r="AB34" s="11">
        <f t="shared" si="118"/>
        <v>0.45954963445617086</v>
      </c>
      <c r="AC34" s="11"/>
      <c r="AD34" s="11"/>
      <c r="AE34" s="11"/>
      <c r="AF34" s="11"/>
      <c r="AG34" s="11"/>
      <c r="AH34" s="11"/>
      <c r="AI34" s="11"/>
      <c r="AJ34" s="11"/>
      <c r="AK34" s="11"/>
      <c r="AL34" s="11"/>
      <c r="AM34" s="11"/>
      <c r="AN34" s="11"/>
      <c r="AO34" s="11"/>
      <c r="AP34" s="11"/>
      <c r="AQ34" s="11"/>
      <c r="AR34" s="11"/>
      <c r="AS34" s="11"/>
      <c r="AT34" s="11"/>
      <c r="AU34" s="11"/>
      <c r="AV34" s="11">
        <v>0.67737912475310924</v>
      </c>
      <c r="AW34" s="11">
        <f t="shared" si="132"/>
        <v>1.2776777280049323</v>
      </c>
      <c r="AX34" s="11"/>
      <c r="AY34" s="11">
        <v>3.1636629505937292E-2</v>
      </c>
      <c r="AZ34" s="11">
        <f t="shared" si="134"/>
        <v>1.2913499802582902</v>
      </c>
      <c r="BA34" s="11"/>
      <c r="BB34" s="11">
        <v>0.53886202490052859</v>
      </c>
      <c r="BC34" s="10">
        <f t="shared" si="136"/>
        <v>0.80762846081322526</v>
      </c>
    </row>
    <row r="35" spans="1:55" x14ac:dyDescent="0.2">
      <c r="A35" s="15"/>
      <c r="B35" s="15" t="s">
        <v>15</v>
      </c>
      <c r="C35" s="14" t="s">
        <v>49</v>
      </c>
      <c r="D35" s="14">
        <v>22.497499465942383</v>
      </c>
      <c r="E35" s="14">
        <f>D35-18.19835</f>
        <v>4.2991494659423815</v>
      </c>
      <c r="F35" s="14">
        <f t="shared" si="1"/>
        <v>5.0795712319273469E-2</v>
      </c>
      <c r="G35" s="14">
        <v>76.925933837890625</v>
      </c>
      <c r="H35" s="14" t="s">
        <v>24</v>
      </c>
      <c r="I35" s="14" t="s">
        <v>25</v>
      </c>
      <c r="J35" s="14">
        <v>23.334997177124023</v>
      </c>
      <c r="K35" s="14">
        <f>J35-18.99476</f>
        <v>4.340237177124024</v>
      </c>
      <c r="L35" s="14">
        <f t="shared" si="3"/>
        <v>4.9369465050629245E-2</v>
      </c>
      <c r="M35" s="14">
        <v>76.289382934570313</v>
      </c>
      <c r="N35" s="14" t="s">
        <v>24</v>
      </c>
      <c r="O35" s="13" t="s">
        <v>25</v>
      </c>
      <c r="R35" s="14"/>
      <c r="S35" s="14"/>
      <c r="T35" s="14"/>
      <c r="U35" s="14"/>
      <c r="V35" s="14"/>
      <c r="W35" s="14"/>
      <c r="X35" s="14"/>
      <c r="AA35" s="14"/>
      <c r="AB35" s="14"/>
      <c r="AC35" s="14"/>
      <c r="AD35" s="14"/>
      <c r="AE35" s="14"/>
      <c r="AF35" s="14"/>
      <c r="AG35" s="14"/>
      <c r="AH35" s="14"/>
      <c r="AI35" s="14"/>
      <c r="AJ35" s="14"/>
      <c r="AK35" s="14"/>
    </row>
    <row r="36" spans="1:55" x14ac:dyDescent="0.2">
      <c r="A36" s="15"/>
      <c r="B36" s="15" t="s">
        <v>15</v>
      </c>
      <c r="C36" s="14" t="s">
        <v>49</v>
      </c>
      <c r="D36" s="14">
        <v>22.426305770874023</v>
      </c>
      <c r="E36" s="14">
        <f t="shared" ref="E36:E37" si="140">D36-18.19835</f>
        <v>4.2279557708740221</v>
      </c>
      <c r="F36" s="14">
        <f t="shared" si="1"/>
        <v>5.3365243158322181E-2</v>
      </c>
      <c r="G36" s="14">
        <v>76.925933837890625</v>
      </c>
      <c r="H36" s="14" t="s">
        <v>24</v>
      </c>
      <c r="I36" s="14" t="s">
        <v>25</v>
      </c>
      <c r="J36" s="14">
        <v>23.343795776367188</v>
      </c>
      <c r="K36" s="14">
        <f t="shared" ref="K36:K37" si="141">J36-18.99476</f>
        <v>4.3490357763671881</v>
      </c>
      <c r="L36" s="14">
        <f t="shared" si="3"/>
        <v>4.9069290567608684E-2</v>
      </c>
      <c r="M36" s="14">
        <v>76.140121459960938</v>
      </c>
      <c r="N36" s="14" t="s">
        <v>24</v>
      </c>
      <c r="O36" s="13" t="s">
        <v>25</v>
      </c>
      <c r="R36" s="14"/>
      <c r="S36" s="14"/>
      <c r="T36" s="14"/>
      <c r="U36" s="14"/>
      <c r="V36" s="14"/>
      <c r="W36" s="14"/>
      <c r="X36" s="14"/>
      <c r="AA36" s="14"/>
      <c r="AB36" s="14"/>
      <c r="AC36" s="14"/>
      <c r="AD36" s="14"/>
      <c r="AE36" s="14"/>
      <c r="AF36" s="14"/>
      <c r="AG36" s="14"/>
      <c r="AH36" s="14"/>
      <c r="AI36" s="14"/>
      <c r="AJ36" s="14"/>
      <c r="AK36" s="14"/>
    </row>
    <row r="37" spans="1:55" x14ac:dyDescent="0.2">
      <c r="A37" s="15"/>
      <c r="B37" s="15" t="s">
        <v>15</v>
      </c>
      <c r="C37" s="14" t="s">
        <v>49</v>
      </c>
      <c r="D37" s="14">
        <v>22.420293807983398</v>
      </c>
      <c r="E37" s="14">
        <f t="shared" si="140"/>
        <v>4.2219438079833971</v>
      </c>
      <c r="F37" s="14">
        <f t="shared" si="1"/>
        <v>5.358808946959133E-2</v>
      </c>
      <c r="G37" s="14">
        <v>76.91839599609375</v>
      </c>
      <c r="H37" s="14" t="s">
        <v>24</v>
      </c>
      <c r="I37" s="14" t="s">
        <v>25</v>
      </c>
      <c r="J37" s="14">
        <v>23.321390151977539</v>
      </c>
      <c r="K37" s="14">
        <f t="shared" si="141"/>
        <v>4.3266301519775396</v>
      </c>
      <c r="L37" s="14">
        <f t="shared" si="3"/>
        <v>4.9837304393468403E-2</v>
      </c>
      <c r="M37" s="14">
        <v>76.140098571777344</v>
      </c>
      <c r="N37" s="14" t="s">
        <v>24</v>
      </c>
      <c r="O37" s="13" t="s">
        <v>25</v>
      </c>
      <c r="R37" s="14"/>
      <c r="S37" s="14"/>
      <c r="T37" s="14"/>
      <c r="U37" s="14"/>
      <c r="V37" s="14"/>
      <c r="W37" s="14"/>
      <c r="X37" s="14"/>
      <c r="AA37" s="14"/>
      <c r="AB37" s="14"/>
      <c r="AC37" s="14"/>
      <c r="AD37" s="14"/>
      <c r="AE37" s="14"/>
      <c r="AF37" s="14"/>
      <c r="AG37" s="14"/>
      <c r="AH37" s="14"/>
      <c r="AI37" s="14"/>
      <c r="AJ37" s="14"/>
      <c r="AK37" s="14"/>
    </row>
    <row r="38" spans="1:55" x14ac:dyDescent="0.2">
      <c r="A38" s="15"/>
      <c r="B38" s="15" t="s">
        <v>108</v>
      </c>
      <c r="C38" s="14" t="s">
        <v>49</v>
      </c>
      <c r="D38" s="14">
        <v>28.388288497924805</v>
      </c>
      <c r="E38" s="14">
        <f>D38-23.71839</f>
        <v>4.6698984979248053</v>
      </c>
      <c r="F38" s="14">
        <f t="shared" si="1"/>
        <v>3.9284431747238988E-2</v>
      </c>
      <c r="G38" s="14">
        <v>76.769340515136719</v>
      </c>
      <c r="H38" s="14" t="s">
        <v>24</v>
      </c>
      <c r="I38" s="14" t="s">
        <v>25</v>
      </c>
      <c r="J38" s="14">
        <v>26.146757125854492</v>
      </c>
      <c r="K38" s="14">
        <f>J38-22.24091</f>
        <v>3.9058471258544927</v>
      </c>
      <c r="L38" s="14">
        <f t="shared" si="3"/>
        <v>6.671490264977957E-2</v>
      </c>
      <c r="M38" s="14">
        <v>76.140098571777344</v>
      </c>
      <c r="N38" s="14" t="s">
        <v>24</v>
      </c>
      <c r="O38" s="13" t="s">
        <v>25</v>
      </c>
      <c r="R38" s="14"/>
      <c r="S38" s="14"/>
      <c r="T38" s="14"/>
      <c r="U38" s="14"/>
      <c r="V38" s="14"/>
      <c r="W38" s="14"/>
      <c r="X38" s="14"/>
      <c r="AA38" s="14"/>
      <c r="AB38" s="14"/>
      <c r="AC38" s="14"/>
      <c r="AD38" s="14"/>
      <c r="AE38" s="14"/>
      <c r="AF38" s="14"/>
      <c r="AG38" s="14"/>
      <c r="AH38" s="14"/>
      <c r="AI38" s="14"/>
      <c r="AJ38" s="14"/>
      <c r="AK38" s="14"/>
    </row>
    <row r="39" spans="1:55" x14ac:dyDescent="0.2">
      <c r="A39" s="15"/>
      <c r="B39" s="15" t="s">
        <v>108</v>
      </c>
      <c r="C39" s="14" t="s">
        <v>49</v>
      </c>
      <c r="D39" s="14">
        <v>28.178794860839844</v>
      </c>
      <c r="E39" s="14">
        <f t="shared" ref="E39:E40" si="142">D39-23.71839</f>
        <v>4.4604048608398443</v>
      </c>
      <c r="F39" s="14">
        <f t="shared" si="1"/>
        <v>4.5423892154672019E-2</v>
      </c>
      <c r="G39" s="14">
        <v>76.920242309570313</v>
      </c>
      <c r="H39" s="14" t="s">
        <v>24</v>
      </c>
      <c r="I39" s="14" t="s">
        <v>25</v>
      </c>
      <c r="J39" s="14">
        <v>26.216903686523438</v>
      </c>
      <c r="K39" s="14">
        <f t="shared" ref="K39:K40" si="143">J39-22.24091</f>
        <v>3.975993686523438</v>
      </c>
      <c r="L39" s="14">
        <f t="shared" si="3"/>
        <v>6.3548695179935472E-2</v>
      </c>
      <c r="M39" s="14">
        <v>76.144378662109375</v>
      </c>
      <c r="N39" s="14" t="s">
        <v>24</v>
      </c>
      <c r="O39" s="13" t="s">
        <v>25</v>
      </c>
      <c r="R39" s="14"/>
      <c r="S39" s="14"/>
      <c r="T39" s="14"/>
      <c r="U39" s="14"/>
      <c r="V39" s="14"/>
      <c r="W39" s="14"/>
      <c r="X39" s="14"/>
      <c r="AA39" s="14"/>
      <c r="AB39" s="14"/>
      <c r="AC39" s="14"/>
      <c r="AD39" s="14"/>
      <c r="AE39" s="14"/>
      <c r="AF39" s="14"/>
      <c r="AG39" s="14"/>
      <c r="AH39" s="14"/>
      <c r="AI39" s="14"/>
      <c r="AJ39" s="14"/>
      <c r="AK39" s="14"/>
    </row>
    <row r="40" spans="1:55" x14ac:dyDescent="0.2">
      <c r="A40" s="15"/>
      <c r="B40" s="15" t="s">
        <v>108</v>
      </c>
      <c r="C40" s="14" t="s">
        <v>49</v>
      </c>
      <c r="D40" s="14">
        <v>28.132043838500977</v>
      </c>
      <c r="E40" s="14">
        <f t="shared" si="142"/>
        <v>4.4136538385009771</v>
      </c>
      <c r="F40" s="14">
        <f t="shared" si="1"/>
        <v>4.6919978467118657E-2</v>
      </c>
      <c r="G40" s="14">
        <v>76.920242309570313</v>
      </c>
      <c r="H40" s="14" t="s">
        <v>24</v>
      </c>
      <c r="I40" s="14" t="s">
        <v>25</v>
      </c>
      <c r="J40" s="14">
        <v>26.190391540527344</v>
      </c>
      <c r="K40" s="14">
        <f t="shared" si="143"/>
        <v>3.9494815405273442</v>
      </c>
      <c r="L40" s="14">
        <f t="shared" si="3"/>
        <v>6.4727314533237074E-2</v>
      </c>
      <c r="M40" s="14">
        <v>76.144378662109375</v>
      </c>
      <c r="N40" s="14" t="s">
        <v>24</v>
      </c>
      <c r="O40" s="13" t="s">
        <v>25</v>
      </c>
      <c r="R40" s="14"/>
      <c r="S40" s="14"/>
      <c r="T40" s="14"/>
      <c r="U40" s="14"/>
      <c r="V40" s="14"/>
      <c r="W40" s="14"/>
      <c r="X40" s="14"/>
      <c r="AA40" s="14"/>
      <c r="AB40" s="14"/>
      <c r="AC40" s="14"/>
      <c r="AD40" s="14"/>
      <c r="AE40" s="14"/>
      <c r="AF40" s="14"/>
      <c r="AG40" s="14"/>
      <c r="AH40" s="14"/>
      <c r="AI40" s="14"/>
      <c r="AJ40" s="14"/>
      <c r="AK40" s="14"/>
    </row>
    <row r="41" spans="1:55" x14ac:dyDescent="0.2">
      <c r="A41" s="15"/>
      <c r="B41" s="15" t="s">
        <v>109</v>
      </c>
      <c r="C41" s="14" t="s">
        <v>49</v>
      </c>
      <c r="D41" s="14">
        <v>26.334945678710938</v>
      </c>
      <c r="E41" s="14">
        <f>D41-19.94377</f>
        <v>6.3911756787109368</v>
      </c>
      <c r="F41" s="14">
        <f t="shared" si="1"/>
        <v>1.1914187022839435E-2</v>
      </c>
      <c r="G41" s="14">
        <v>76.769699096679688</v>
      </c>
      <c r="H41" s="14" t="s">
        <v>24</v>
      </c>
      <c r="I41" s="14" t="s">
        <v>25</v>
      </c>
      <c r="J41" s="14">
        <v>27.091073989868164</v>
      </c>
      <c r="K41" s="14">
        <f>J41-22.26901</f>
        <v>4.8220639898681625</v>
      </c>
      <c r="L41" s="14">
        <f t="shared" si="3"/>
        <v>3.535200891213218E-2</v>
      </c>
      <c r="M41" s="14">
        <v>76.139167785644531</v>
      </c>
      <c r="N41" s="14" t="s">
        <v>24</v>
      </c>
      <c r="O41" s="13" t="s">
        <v>25</v>
      </c>
      <c r="R41" s="14"/>
      <c r="S41" s="14"/>
      <c r="T41" s="14"/>
      <c r="U41" s="14"/>
      <c r="V41" s="14"/>
      <c r="W41" s="14"/>
      <c r="X41" s="14"/>
      <c r="AA41" s="14"/>
      <c r="AB41" s="14"/>
      <c r="AC41" s="14"/>
      <c r="AD41" s="14"/>
      <c r="AE41" s="14"/>
      <c r="AF41" s="14"/>
      <c r="AG41" s="14"/>
      <c r="AH41" s="14"/>
      <c r="AI41" s="14"/>
      <c r="AJ41" s="14"/>
      <c r="AK41" s="14"/>
    </row>
    <row r="42" spans="1:55" x14ac:dyDescent="0.2">
      <c r="A42" s="15"/>
      <c r="B42" s="15" t="s">
        <v>109</v>
      </c>
      <c r="C42" s="14" t="s">
        <v>49</v>
      </c>
      <c r="D42" s="14">
        <v>26.463306427001953</v>
      </c>
      <c r="E42" s="14">
        <f t="shared" ref="E42:E43" si="144">D42-19.94377</f>
        <v>6.5195364270019525</v>
      </c>
      <c r="F42" s="14">
        <f t="shared" si="1"/>
        <v>1.0899936745442804E-2</v>
      </c>
      <c r="G42" s="14">
        <v>76.769699096679688</v>
      </c>
      <c r="H42" s="14" t="s">
        <v>24</v>
      </c>
      <c r="I42" s="14" t="s">
        <v>25</v>
      </c>
      <c r="J42" s="14">
        <v>27.068244934082031</v>
      </c>
      <c r="K42" s="14">
        <f t="shared" ref="K42:K43" si="145">J42-22.26901</f>
        <v>4.7992349340820297</v>
      </c>
      <c r="L42" s="14">
        <f t="shared" si="3"/>
        <v>3.5915864845466591E-2</v>
      </c>
      <c r="M42" s="14">
        <v>76.139167785644531</v>
      </c>
      <c r="N42" s="14" t="s">
        <v>24</v>
      </c>
      <c r="O42" s="13" t="s">
        <v>25</v>
      </c>
      <c r="R42" s="14"/>
      <c r="S42" s="14"/>
      <c r="T42" s="14"/>
      <c r="U42" s="14"/>
      <c r="V42" s="14"/>
      <c r="W42" s="14"/>
      <c r="X42" s="14"/>
      <c r="AA42" s="14"/>
      <c r="AB42" s="14"/>
      <c r="AC42" s="14"/>
      <c r="AD42" s="14"/>
      <c r="AE42" s="14"/>
      <c r="AF42" s="14"/>
      <c r="AG42" s="14"/>
      <c r="AH42" s="14"/>
      <c r="AI42" s="14"/>
      <c r="AJ42" s="14"/>
      <c r="AK42" s="14"/>
    </row>
    <row r="43" spans="1:55" x14ac:dyDescent="0.2">
      <c r="A43" s="15"/>
      <c r="B43" s="15" t="s">
        <v>109</v>
      </c>
      <c r="C43" s="14" t="s">
        <v>49</v>
      </c>
      <c r="D43" s="14">
        <v>26.325092315673828</v>
      </c>
      <c r="E43" s="14">
        <f t="shared" si="144"/>
        <v>6.3813223156738275</v>
      </c>
      <c r="F43" s="14">
        <f t="shared" si="1"/>
        <v>1.19958374162164E-2</v>
      </c>
      <c r="G43" s="14">
        <v>76.767654418945313</v>
      </c>
      <c r="H43" s="14" t="s">
        <v>24</v>
      </c>
      <c r="I43" s="14" t="s">
        <v>25</v>
      </c>
      <c r="J43" s="14">
        <v>27.029506683349609</v>
      </c>
      <c r="K43" s="14">
        <f t="shared" si="145"/>
        <v>4.7604966833496078</v>
      </c>
      <c r="L43" s="14">
        <f t="shared" si="3"/>
        <v>3.6893317048721806E-2</v>
      </c>
      <c r="M43" s="14">
        <v>76.113449096679688</v>
      </c>
      <c r="N43" s="14" t="s">
        <v>24</v>
      </c>
      <c r="O43" s="13" t="s">
        <v>25</v>
      </c>
      <c r="R43" s="14"/>
      <c r="S43" s="14"/>
      <c r="T43" s="14"/>
      <c r="U43" s="14"/>
      <c r="V43" s="14"/>
      <c r="W43" s="14"/>
      <c r="X43" s="14"/>
      <c r="AA43" s="14"/>
      <c r="AB43" s="14"/>
      <c r="AC43" s="14"/>
      <c r="AD43" s="14"/>
      <c r="AE43" s="14"/>
      <c r="AF43" s="14"/>
      <c r="AG43" s="14"/>
      <c r="AH43" s="14"/>
      <c r="AI43" s="14"/>
      <c r="AJ43" s="14"/>
      <c r="AK43" s="14"/>
    </row>
    <row r="44" spans="1:55" x14ac:dyDescent="0.2">
      <c r="A44" s="15"/>
      <c r="B44" s="15" t="s">
        <v>125</v>
      </c>
      <c r="C44" s="14" t="s">
        <v>49</v>
      </c>
      <c r="D44" s="14">
        <v>25.515668869018555</v>
      </c>
      <c r="E44" s="14">
        <f>D44-19.74413</f>
        <v>5.7715388690185563</v>
      </c>
      <c r="F44" s="14">
        <f t="shared" si="1"/>
        <v>1.8306009326308978E-2</v>
      </c>
      <c r="G44" s="14">
        <v>76.916732788085938</v>
      </c>
      <c r="H44" s="14" t="s">
        <v>24</v>
      </c>
      <c r="I44" s="14" t="s">
        <v>25</v>
      </c>
      <c r="J44" s="14">
        <v>25.253616333007813</v>
      </c>
      <c r="K44" s="14">
        <f>J44-19.78722</f>
        <v>5.4663963330078111</v>
      </c>
      <c r="L44" s="14">
        <f t="shared" si="3"/>
        <v>2.2617819587912619E-2</v>
      </c>
      <c r="M44" s="14">
        <v>76.113449096679688</v>
      </c>
      <c r="N44" s="14" t="s">
        <v>24</v>
      </c>
      <c r="O44" s="13" t="s">
        <v>25</v>
      </c>
      <c r="R44" s="14"/>
      <c r="S44" s="14"/>
      <c r="T44" s="14"/>
      <c r="U44" s="14"/>
      <c r="V44" s="14"/>
      <c r="W44" s="14"/>
      <c r="X44" s="14"/>
      <c r="AA44" s="14"/>
      <c r="AB44" s="14"/>
      <c r="AC44" s="14"/>
      <c r="AD44" s="14"/>
      <c r="AE44" s="14"/>
      <c r="AF44" s="14"/>
      <c r="AG44" s="14"/>
      <c r="AH44" s="14"/>
      <c r="AI44" s="14"/>
      <c r="AJ44" s="14"/>
      <c r="AK44" s="14"/>
    </row>
    <row r="45" spans="1:55" x14ac:dyDescent="0.2">
      <c r="A45" s="15"/>
      <c r="B45" s="15" t="s">
        <v>13</v>
      </c>
      <c r="C45" s="14" t="s">
        <v>49</v>
      </c>
      <c r="D45" s="14">
        <v>25.474700927734375</v>
      </c>
      <c r="E45" s="14">
        <f t="shared" ref="E45:E46" si="146">D45-19.74413</f>
        <v>5.7305709277343766</v>
      </c>
      <c r="F45" s="14">
        <f t="shared" si="1"/>
        <v>1.8833292802913203E-2</v>
      </c>
      <c r="G45" s="14">
        <v>76.773651123046875</v>
      </c>
      <c r="H45" s="14" t="s">
        <v>24</v>
      </c>
      <c r="I45" s="14" t="s">
        <v>25</v>
      </c>
      <c r="J45" s="14">
        <v>25.233348846435547</v>
      </c>
      <c r="K45" s="14">
        <f t="shared" ref="K45:K46" si="147">J45-19.78722</f>
        <v>5.4461288464355455</v>
      </c>
      <c r="L45" s="14">
        <f t="shared" si="3"/>
        <v>2.2937805031655132E-2</v>
      </c>
      <c r="M45" s="14">
        <v>75.969688415527344</v>
      </c>
      <c r="N45" s="14" t="s">
        <v>24</v>
      </c>
      <c r="O45" s="13" t="s">
        <v>25</v>
      </c>
      <c r="R45" s="14"/>
      <c r="S45" s="14"/>
      <c r="T45" s="14"/>
      <c r="U45" s="14"/>
      <c r="V45" s="14"/>
      <c r="W45" s="14"/>
      <c r="X45" s="14"/>
      <c r="AA45" s="14"/>
      <c r="AB45" s="14"/>
      <c r="AC45" s="14"/>
      <c r="AD45" s="14"/>
      <c r="AE45" s="14"/>
      <c r="AF45" s="14"/>
      <c r="AG45" s="14"/>
      <c r="AH45" s="14"/>
      <c r="AI45" s="14"/>
      <c r="AJ45" s="14"/>
      <c r="AK45" s="14"/>
    </row>
    <row r="46" spans="1:55" x14ac:dyDescent="0.2">
      <c r="A46" s="15"/>
      <c r="B46" s="15" t="s">
        <v>13</v>
      </c>
      <c r="C46" s="14" t="s">
        <v>49</v>
      </c>
      <c r="D46" s="14">
        <v>25.546419143676758</v>
      </c>
      <c r="E46" s="14">
        <f t="shared" si="146"/>
        <v>5.8022891436767594</v>
      </c>
      <c r="F46" s="14">
        <f t="shared" si="1"/>
        <v>1.7919955391839437E-2</v>
      </c>
      <c r="G46" s="14">
        <v>76.773651123046875</v>
      </c>
      <c r="H46" s="14" t="s">
        <v>24</v>
      </c>
      <c r="I46" s="14" t="s">
        <v>25</v>
      </c>
      <c r="J46" s="14">
        <v>25.235557556152344</v>
      </c>
      <c r="K46" s="14">
        <f t="shared" si="147"/>
        <v>5.4483375561523424</v>
      </c>
      <c r="L46" s="14">
        <f t="shared" si="3"/>
        <v>2.2902715016299324E-2</v>
      </c>
      <c r="M46" s="14">
        <v>75.969688415527344</v>
      </c>
      <c r="N46" s="14" t="s">
        <v>24</v>
      </c>
      <c r="O46" s="13" t="s">
        <v>25</v>
      </c>
      <c r="R46" s="14"/>
      <c r="S46" s="14"/>
      <c r="T46" s="14"/>
      <c r="U46" s="14"/>
      <c r="V46" s="14"/>
      <c r="W46" s="14"/>
      <c r="X46" s="14"/>
      <c r="AA46" s="14"/>
      <c r="AB46" s="14"/>
      <c r="AC46" s="14"/>
      <c r="AD46" s="14"/>
      <c r="AE46" s="14"/>
      <c r="AF46" s="14"/>
      <c r="AG46" s="14"/>
      <c r="AH46" s="14"/>
      <c r="AI46" s="14"/>
      <c r="AJ46" s="14"/>
      <c r="AK46" s="14"/>
    </row>
    <row r="47" spans="1:55" x14ac:dyDescent="0.2">
      <c r="B47" s="15" t="s">
        <v>15</v>
      </c>
      <c r="C47" s="14" t="s">
        <v>5</v>
      </c>
      <c r="D47" s="14">
        <v>23.608037948608398</v>
      </c>
      <c r="E47" s="14">
        <f>D47-16.99437</f>
        <v>6.6136679486083985</v>
      </c>
      <c r="F47" s="14">
        <f>POWER(2,-E47)</f>
        <v>1.0211453548701573E-2</v>
      </c>
      <c r="G47" s="14">
        <v>77.521598815917969</v>
      </c>
      <c r="H47" s="14" t="s">
        <v>24</v>
      </c>
      <c r="I47" s="14" t="s">
        <v>25</v>
      </c>
      <c r="J47" s="14">
        <v>23.329034805297852</v>
      </c>
      <c r="K47" s="14">
        <f>J47-20.39854</f>
        <v>2.930494805297851</v>
      </c>
      <c r="L47" s="14">
        <f>POWER(2,-K47)</f>
        <v>0.13116959012289514</v>
      </c>
      <c r="M47" s="14">
        <v>77.648773193359375</v>
      </c>
      <c r="N47" s="14" t="s">
        <v>24</v>
      </c>
      <c r="O47" s="13" t="s">
        <v>25</v>
      </c>
      <c r="R47" s="14"/>
      <c r="S47" s="14"/>
      <c r="T47" s="14"/>
      <c r="U47" s="14"/>
      <c r="V47" s="14"/>
      <c r="W47" s="14"/>
      <c r="X47" s="14"/>
    </row>
    <row r="48" spans="1:55" x14ac:dyDescent="0.2">
      <c r="B48" s="15" t="s">
        <v>15</v>
      </c>
      <c r="C48" s="14" t="s">
        <v>5</v>
      </c>
      <c r="D48" s="14">
        <v>23.547683715820313</v>
      </c>
      <c r="E48" s="14">
        <f>D48-16.99437</f>
        <v>6.5533137158203125</v>
      </c>
      <c r="F48" s="14">
        <f t="shared" ref="F48:F62" si="148">POWER(2,-E48)</f>
        <v>1.0647704761073223E-2</v>
      </c>
      <c r="G48" s="14">
        <v>77.521598815917969</v>
      </c>
      <c r="H48" s="14" t="s">
        <v>24</v>
      </c>
      <c r="I48" s="14" t="s">
        <v>25</v>
      </c>
      <c r="J48" s="14">
        <v>23.303895950317383</v>
      </c>
      <c r="K48" s="14">
        <f>J48-20.39854</f>
        <v>2.9053559503173823</v>
      </c>
      <c r="L48" s="14">
        <f t="shared" ref="L48:L62" si="149">POWER(2,-K48)</f>
        <v>0.13347524013646775</v>
      </c>
      <c r="M48" s="14">
        <v>77.648773193359375</v>
      </c>
      <c r="N48" s="14" t="s">
        <v>24</v>
      </c>
      <c r="O48" s="13" t="s">
        <v>25</v>
      </c>
      <c r="R48" s="14"/>
      <c r="S48" s="14"/>
      <c r="T48" s="14"/>
      <c r="U48" s="14"/>
      <c r="V48" s="14"/>
      <c r="W48" s="14"/>
      <c r="X48" s="14"/>
    </row>
    <row r="49" spans="1:24" x14ac:dyDescent="0.2">
      <c r="B49" s="15" t="s">
        <v>108</v>
      </c>
      <c r="C49" s="14" t="s">
        <v>5</v>
      </c>
      <c r="D49" s="14">
        <v>28.433563232421875</v>
      </c>
      <c r="E49" s="14">
        <f>D49-22.32447</f>
        <v>6.1090932324218734</v>
      </c>
      <c r="F49" s="14">
        <f t="shared" si="148"/>
        <v>1.4487041050299061E-2</v>
      </c>
      <c r="G49" s="14">
        <v>77.365753173828125</v>
      </c>
      <c r="H49" s="14" t="s">
        <v>24</v>
      </c>
      <c r="I49" s="14" t="s">
        <v>25</v>
      </c>
      <c r="J49" s="14">
        <v>24.221725463867188</v>
      </c>
      <c r="K49" s="14">
        <f>J49-23.49675</f>
        <v>0.72497546386718881</v>
      </c>
      <c r="L49" s="14">
        <f t="shared" si="149"/>
        <v>0.60500733397340412</v>
      </c>
      <c r="M49" s="14">
        <v>77.649673461914063</v>
      </c>
      <c r="N49" s="14" t="s">
        <v>24</v>
      </c>
      <c r="O49" s="13" t="s">
        <v>25</v>
      </c>
      <c r="R49" s="14"/>
      <c r="S49" s="14"/>
      <c r="T49" s="14"/>
      <c r="U49" s="14"/>
      <c r="V49" s="14"/>
      <c r="W49" s="14"/>
      <c r="X49" s="14"/>
    </row>
    <row r="50" spans="1:24" x14ac:dyDescent="0.2">
      <c r="B50" s="15" t="s">
        <v>108</v>
      </c>
      <c r="C50" s="14" t="s">
        <v>5</v>
      </c>
      <c r="D50" s="14">
        <v>28.70628547668457</v>
      </c>
      <c r="E50" s="14">
        <f>D50-22.32447</f>
        <v>6.3818154766845687</v>
      </c>
      <c r="F50" s="14">
        <f t="shared" si="148"/>
        <v>1.1991737541932125E-2</v>
      </c>
      <c r="G50" s="14">
        <v>77.515403747558594</v>
      </c>
      <c r="H50" s="14" t="s">
        <v>24</v>
      </c>
      <c r="I50" s="14" t="s">
        <v>25</v>
      </c>
      <c r="J50" s="14">
        <v>24.148355484008789</v>
      </c>
      <c r="K50" s="14">
        <f>J50-23.49675</f>
        <v>0.65160548400879037</v>
      </c>
      <c r="L50" s="14">
        <f t="shared" si="149"/>
        <v>0.63657151918880306</v>
      </c>
      <c r="M50" s="14">
        <v>77.651138305664063</v>
      </c>
      <c r="N50" s="14" t="s">
        <v>24</v>
      </c>
      <c r="O50" s="13" t="s">
        <v>25</v>
      </c>
      <c r="R50" s="14"/>
      <c r="S50" s="14"/>
      <c r="T50" s="14"/>
      <c r="U50" s="14"/>
      <c r="V50" s="14"/>
      <c r="W50" s="14"/>
      <c r="X50" s="14"/>
    </row>
    <row r="51" spans="1:24" x14ac:dyDescent="0.2">
      <c r="B51" s="15" t="s">
        <v>109</v>
      </c>
      <c r="C51" s="14" t="s">
        <v>5</v>
      </c>
      <c r="D51" s="14">
        <v>24.169647216796875</v>
      </c>
      <c r="E51" s="14">
        <f>D51-18.75438</f>
        <v>5.4152672167968738</v>
      </c>
      <c r="F51" s="14">
        <f t="shared" si="148"/>
        <v>2.3433768389675751E-2</v>
      </c>
      <c r="G51" s="14">
        <v>77.21807861328125</v>
      </c>
      <c r="H51" s="14" t="s">
        <v>24</v>
      </c>
      <c r="I51" s="14" t="s">
        <v>25</v>
      </c>
      <c r="J51" s="14">
        <v>25.489507675170898</v>
      </c>
      <c r="K51" s="14">
        <f>J51-23.6625</f>
        <v>1.827007675170897</v>
      </c>
      <c r="L51" s="14">
        <f t="shared" si="149"/>
        <v>0.28184860359129421</v>
      </c>
      <c r="M51" s="14">
        <v>77.635726928710938</v>
      </c>
      <c r="N51" s="14" t="s">
        <v>24</v>
      </c>
      <c r="O51" s="13" t="s">
        <v>25</v>
      </c>
      <c r="R51" s="14"/>
      <c r="S51" s="14"/>
      <c r="T51" s="14"/>
      <c r="U51" s="14"/>
      <c r="V51" s="14"/>
      <c r="W51" s="14"/>
      <c r="X51" s="14"/>
    </row>
    <row r="52" spans="1:24" x14ac:dyDescent="0.2">
      <c r="B52" s="15" t="s">
        <v>109</v>
      </c>
      <c r="C52" s="14" t="s">
        <v>5</v>
      </c>
      <c r="D52" s="14">
        <v>24.056859970092773</v>
      </c>
      <c r="E52" s="14">
        <f>D52-18.75438</f>
        <v>5.3024799700927723</v>
      </c>
      <c r="F52" s="14">
        <f t="shared" si="148"/>
        <v>2.5339292082349425E-2</v>
      </c>
      <c r="G52" s="14">
        <v>77.21807861328125</v>
      </c>
      <c r="H52" s="14" t="s">
        <v>24</v>
      </c>
      <c r="I52" s="14" t="s">
        <v>25</v>
      </c>
      <c r="J52" s="14">
        <v>25.413955688476563</v>
      </c>
      <c r="K52" s="14">
        <f>J52-23.6625</f>
        <v>1.7514556884765611</v>
      </c>
      <c r="L52" s="14">
        <f t="shared" si="149"/>
        <v>0.2970019506537665</v>
      </c>
      <c r="M52" s="14">
        <v>77.635726928710938</v>
      </c>
      <c r="N52" s="14" t="s">
        <v>24</v>
      </c>
      <c r="O52" s="13" t="s">
        <v>25</v>
      </c>
      <c r="R52" s="14"/>
      <c r="S52" s="14"/>
      <c r="T52" s="14"/>
      <c r="U52" s="14"/>
      <c r="V52" s="14"/>
      <c r="W52" s="14"/>
      <c r="X52" s="14"/>
    </row>
    <row r="53" spans="1:24" x14ac:dyDescent="0.2">
      <c r="B53" s="15" t="s">
        <v>13</v>
      </c>
      <c r="C53" s="14" t="s">
        <v>5</v>
      </c>
      <c r="D53" s="14">
        <v>23.923734664916992</v>
      </c>
      <c r="E53" s="14">
        <f>D53-18.69981</f>
        <v>5.2239246649169928</v>
      </c>
      <c r="F53" s="14">
        <f t="shared" si="148"/>
        <v>2.6757281075337834E-2</v>
      </c>
      <c r="G53" s="14">
        <v>77.365570068359375</v>
      </c>
      <c r="H53" s="14" t="s">
        <v>24</v>
      </c>
      <c r="I53" s="14" t="s">
        <v>25</v>
      </c>
      <c r="J53" s="14">
        <v>23.951492309570313</v>
      </c>
      <c r="K53" s="14">
        <f>J53-21.45047</f>
        <v>2.5010223095703132</v>
      </c>
      <c r="L53" s="14">
        <f t="shared" si="149"/>
        <v>0.17665147375837553</v>
      </c>
      <c r="M53" s="14">
        <v>77.634986877441406</v>
      </c>
      <c r="N53" s="14" t="s">
        <v>24</v>
      </c>
      <c r="O53" s="13" t="s">
        <v>25</v>
      </c>
      <c r="R53" s="14"/>
      <c r="S53" s="14"/>
      <c r="T53" s="14"/>
      <c r="U53" s="14"/>
      <c r="V53" s="14"/>
      <c r="W53" s="14"/>
      <c r="X53" s="14"/>
    </row>
    <row r="54" spans="1:24" x14ac:dyDescent="0.2">
      <c r="B54" s="15" t="s">
        <v>13</v>
      </c>
      <c r="C54" s="14" t="s">
        <v>5</v>
      </c>
      <c r="D54" s="14">
        <v>23.887449264526367</v>
      </c>
      <c r="E54" s="14">
        <f>D54-18.69981</f>
        <v>5.1876392645263678</v>
      </c>
      <c r="F54" s="14">
        <f t="shared" si="148"/>
        <v>2.7438791189145374E-2</v>
      </c>
      <c r="G54" s="14">
        <v>77.218147277832031</v>
      </c>
      <c r="H54" s="14" t="s">
        <v>24</v>
      </c>
      <c r="I54" s="14" t="s">
        <v>25</v>
      </c>
      <c r="J54" s="14">
        <v>23.928379058837891</v>
      </c>
      <c r="K54" s="14">
        <f>J54-21.45047</f>
        <v>2.4779090588378914</v>
      </c>
      <c r="L54" s="14">
        <f t="shared" si="149"/>
        <v>0.17950437863933308</v>
      </c>
      <c r="M54" s="14">
        <v>77.3431396484375</v>
      </c>
      <c r="N54" s="14" t="s">
        <v>24</v>
      </c>
      <c r="O54" s="13" t="s">
        <v>25</v>
      </c>
      <c r="R54" s="14"/>
      <c r="S54" s="14"/>
      <c r="T54" s="14"/>
      <c r="U54" s="14"/>
      <c r="V54" s="14"/>
      <c r="W54" s="14"/>
      <c r="X54" s="14"/>
    </row>
    <row r="55" spans="1:24" x14ac:dyDescent="0.2">
      <c r="B55" s="15" t="s">
        <v>15</v>
      </c>
      <c r="C55" s="14" t="s">
        <v>6</v>
      </c>
      <c r="D55" s="14">
        <v>22.544740676879883</v>
      </c>
      <c r="E55" s="14">
        <f>D55-16.99437</f>
        <v>5.5503706768798828</v>
      </c>
      <c r="F55" s="14">
        <f t="shared" si="148"/>
        <v>2.1338895627381522E-2</v>
      </c>
      <c r="G55" s="14">
        <v>73.9432373046875</v>
      </c>
      <c r="H55" s="14" t="s">
        <v>24</v>
      </c>
      <c r="I55" s="14" t="s">
        <v>25</v>
      </c>
      <c r="J55" s="14">
        <v>24.373672485351563</v>
      </c>
      <c r="K55" s="14">
        <f>J55-20.39854</f>
        <v>3.9751324853515619</v>
      </c>
      <c r="L55" s="14">
        <f t="shared" si="149"/>
        <v>6.358664120952974E-2</v>
      </c>
      <c r="M55" s="14">
        <v>74.071609497070313</v>
      </c>
      <c r="N55" s="14" t="s">
        <v>24</v>
      </c>
      <c r="O55" s="13" t="s">
        <v>25</v>
      </c>
      <c r="R55" s="14"/>
      <c r="S55" s="14"/>
      <c r="T55" s="14"/>
      <c r="U55" s="14"/>
      <c r="V55" s="14"/>
      <c r="W55" s="14"/>
      <c r="X55" s="14"/>
    </row>
    <row r="56" spans="1:24" x14ac:dyDescent="0.2">
      <c r="B56" s="15" t="s">
        <v>15</v>
      </c>
      <c r="C56" s="14" t="s">
        <v>6</v>
      </c>
      <c r="D56" s="14">
        <v>22.577678680419922</v>
      </c>
      <c r="E56" s="14">
        <f>D56-16.99437</f>
        <v>5.5833086804199219</v>
      </c>
      <c r="F56" s="14">
        <f t="shared" si="148"/>
        <v>2.0857229128724963E-2</v>
      </c>
      <c r="G56" s="14">
        <v>74.092338562011719</v>
      </c>
      <c r="H56" s="14" t="s">
        <v>24</v>
      </c>
      <c r="I56" s="14" t="s">
        <v>25</v>
      </c>
      <c r="J56" s="14">
        <v>24.327253341674805</v>
      </c>
      <c r="K56" s="14">
        <f>J56-20.39854</f>
        <v>3.9287133416748041</v>
      </c>
      <c r="L56" s="14">
        <f t="shared" si="149"/>
        <v>6.5665830269232964E-2</v>
      </c>
      <c r="M56" s="14">
        <v>73.922561645507813</v>
      </c>
      <c r="N56" s="14" t="s">
        <v>24</v>
      </c>
      <c r="O56" s="13" t="s">
        <v>25</v>
      </c>
      <c r="R56" s="14"/>
      <c r="S56" s="14"/>
      <c r="T56" s="14"/>
      <c r="U56" s="14"/>
      <c r="V56" s="14"/>
      <c r="W56" s="14"/>
      <c r="X56" s="14"/>
    </row>
    <row r="57" spans="1:24" x14ac:dyDescent="0.2">
      <c r="B57" s="15" t="s">
        <v>108</v>
      </c>
      <c r="C57" s="14" t="s">
        <v>6</v>
      </c>
      <c r="D57" s="14">
        <v>27.754005432128906</v>
      </c>
      <c r="E57" s="14">
        <f>D57-22.32447</f>
        <v>5.4295354321289047</v>
      </c>
      <c r="F57" s="14">
        <f t="shared" si="148"/>
        <v>2.3203151325689678E-2</v>
      </c>
      <c r="G57" s="14">
        <v>73.936439514160156</v>
      </c>
      <c r="H57" s="14" t="s">
        <v>24</v>
      </c>
      <c r="I57" s="14" t="s">
        <v>25</v>
      </c>
      <c r="J57" s="14">
        <v>24.96904182434082</v>
      </c>
      <c r="K57" s="14">
        <f>J57-23.49675</f>
        <v>1.4722918243408216</v>
      </c>
      <c r="L57" s="14">
        <f t="shared" si="149"/>
        <v>0.36040930789876735</v>
      </c>
      <c r="M57" s="14">
        <v>73.774391174316406</v>
      </c>
      <c r="N57" s="14" t="s">
        <v>24</v>
      </c>
      <c r="O57" s="13" t="s">
        <v>25</v>
      </c>
      <c r="R57" s="14"/>
      <c r="S57" s="14"/>
      <c r="T57" s="14"/>
      <c r="U57" s="14"/>
      <c r="V57" s="14"/>
      <c r="W57" s="14"/>
      <c r="X57" s="14"/>
    </row>
    <row r="58" spans="1:24" x14ac:dyDescent="0.2">
      <c r="A58" s="15"/>
      <c r="B58" s="15" t="s">
        <v>108</v>
      </c>
      <c r="C58" s="14" t="s">
        <v>6</v>
      </c>
      <c r="D58" s="14">
        <v>27.655979156494141</v>
      </c>
      <c r="E58" s="14">
        <f>D58-22.32447</f>
        <v>5.331509156494139</v>
      </c>
      <c r="F58" s="14">
        <f t="shared" si="148"/>
        <v>2.4834522935889117E-2</v>
      </c>
      <c r="G58" s="14">
        <v>73.937042236328125</v>
      </c>
      <c r="H58" s="14" t="s">
        <v>24</v>
      </c>
      <c r="I58" s="14" t="s">
        <v>25</v>
      </c>
      <c r="J58" s="14">
        <v>24.933143615722656</v>
      </c>
      <c r="K58" s="14">
        <f>J58-23.49675</f>
        <v>1.4363936157226576</v>
      </c>
      <c r="L58" s="14">
        <f t="shared" si="149"/>
        <v>0.36948978482648948</v>
      </c>
      <c r="M58" s="14">
        <v>73.924461364746094</v>
      </c>
      <c r="N58" s="14" t="s">
        <v>24</v>
      </c>
      <c r="O58" s="13" t="s">
        <v>25</v>
      </c>
      <c r="R58" s="14"/>
      <c r="S58" s="14"/>
      <c r="T58" s="14"/>
      <c r="U58" s="14"/>
      <c r="V58" s="14"/>
      <c r="W58" s="14"/>
      <c r="X58" s="14"/>
    </row>
    <row r="59" spans="1:24" x14ac:dyDescent="0.2">
      <c r="A59" s="15"/>
      <c r="B59" s="15" t="s">
        <v>109</v>
      </c>
      <c r="C59" s="14" t="s">
        <v>6</v>
      </c>
      <c r="D59" s="14">
        <v>23.835243225097656</v>
      </c>
      <c r="E59" s="14">
        <f>D59-18.75438</f>
        <v>5.0808632250976551</v>
      </c>
      <c r="F59" s="14">
        <f t="shared" si="148"/>
        <v>2.9546617186800045E-2</v>
      </c>
      <c r="G59" s="14">
        <v>73.938156127929688</v>
      </c>
      <c r="H59" s="14" t="s">
        <v>24</v>
      </c>
      <c r="I59" s="14" t="s">
        <v>25</v>
      </c>
      <c r="J59" s="14">
        <v>26.614175796508789</v>
      </c>
      <c r="K59" s="14">
        <f>J59-23.6625</f>
        <v>2.9516757965087876</v>
      </c>
      <c r="L59" s="14">
        <f t="shared" si="149"/>
        <v>0.12925788569470578</v>
      </c>
      <c r="M59" s="14">
        <v>73.907173156738281</v>
      </c>
      <c r="N59" s="14" t="s">
        <v>24</v>
      </c>
      <c r="O59" s="13" t="s">
        <v>25</v>
      </c>
      <c r="R59" s="14"/>
      <c r="S59" s="14"/>
      <c r="T59" s="14"/>
      <c r="U59" s="14"/>
      <c r="V59" s="14"/>
      <c r="W59" s="14"/>
      <c r="X59" s="14"/>
    </row>
    <row r="60" spans="1:24" x14ac:dyDescent="0.2">
      <c r="A60" s="15"/>
      <c r="B60" s="15" t="s">
        <v>109</v>
      </c>
      <c r="C60" s="14" t="s">
        <v>6</v>
      </c>
      <c r="D60" s="14">
        <v>23.833461761474609</v>
      </c>
      <c r="E60" s="14">
        <f>D60-18.75438</f>
        <v>5.0790817614746082</v>
      </c>
      <c r="F60" s="14">
        <f t="shared" si="148"/>
        <v>2.9583124372053037E-2</v>
      </c>
      <c r="G60" s="14">
        <v>73.938156127929688</v>
      </c>
      <c r="H60" s="14" t="s">
        <v>24</v>
      </c>
      <c r="I60" s="14" t="s">
        <v>25</v>
      </c>
      <c r="J60" s="14">
        <v>26.462001800537109</v>
      </c>
      <c r="K60" s="14">
        <f>J60-23.6625</f>
        <v>2.799501800537108</v>
      </c>
      <c r="L60" s="14">
        <f t="shared" si="149"/>
        <v>0.14363688729883087</v>
      </c>
      <c r="M60" s="14">
        <v>73.758026123046875</v>
      </c>
      <c r="N60" s="14" t="s">
        <v>24</v>
      </c>
      <c r="O60" s="13" t="s">
        <v>25</v>
      </c>
      <c r="R60" s="14"/>
      <c r="S60" s="14"/>
      <c r="T60" s="14"/>
      <c r="U60" s="14"/>
      <c r="V60" s="14"/>
      <c r="W60" s="14"/>
      <c r="X60" s="14"/>
    </row>
    <row r="61" spans="1:24" x14ac:dyDescent="0.2">
      <c r="A61" s="15"/>
      <c r="B61" s="15" t="s">
        <v>13</v>
      </c>
      <c r="C61" s="14" t="s">
        <v>6</v>
      </c>
      <c r="D61" s="14">
        <v>23.441537857055664</v>
      </c>
      <c r="E61" s="14">
        <f>D61-18.69981</f>
        <v>4.7417278570556647</v>
      </c>
      <c r="F61" s="14">
        <f t="shared" si="148"/>
        <v>3.7376418489293427E-2</v>
      </c>
      <c r="G61" s="14">
        <v>73.936492919921875</v>
      </c>
      <c r="H61" s="14" t="s">
        <v>24</v>
      </c>
      <c r="I61" s="14" t="s">
        <v>25</v>
      </c>
      <c r="J61" s="14">
        <v>25.497264862060547</v>
      </c>
      <c r="K61" s="14">
        <f>J61-21.45047</f>
        <v>4.0467948620605476</v>
      </c>
      <c r="L61" s="14">
        <f t="shared" si="149"/>
        <v>6.05052918641409E-2</v>
      </c>
      <c r="M61" s="14">
        <v>73.905593872070313</v>
      </c>
      <c r="N61" s="14" t="s">
        <v>24</v>
      </c>
      <c r="O61" s="13" t="s">
        <v>25</v>
      </c>
      <c r="R61" s="14"/>
      <c r="S61" s="14"/>
      <c r="T61" s="14"/>
      <c r="U61" s="14"/>
      <c r="V61" s="14"/>
      <c r="W61" s="14"/>
      <c r="X61" s="14"/>
    </row>
    <row r="62" spans="1:24" x14ac:dyDescent="0.2">
      <c r="A62" s="15"/>
      <c r="B62" s="15" t="s">
        <v>13</v>
      </c>
      <c r="C62" s="14" t="s">
        <v>6</v>
      </c>
      <c r="D62" s="14">
        <v>23.393486022949219</v>
      </c>
      <c r="E62" s="14">
        <f>D62-18.69981</f>
        <v>4.6936760229492194</v>
      </c>
      <c r="F62" s="14">
        <f t="shared" si="148"/>
        <v>3.8642278585629568E-2</v>
      </c>
      <c r="G62" s="14">
        <v>73.789306640625</v>
      </c>
      <c r="H62" s="14" t="s">
        <v>24</v>
      </c>
      <c r="I62" s="14" t="s">
        <v>25</v>
      </c>
      <c r="J62" s="14">
        <v>25.442893981933594</v>
      </c>
      <c r="K62" s="14">
        <f>J62-21.45047</f>
        <v>3.9924239819335945</v>
      </c>
      <c r="L62" s="14">
        <f t="shared" si="149"/>
        <v>6.2829069236369245E-2</v>
      </c>
      <c r="M62" s="14">
        <v>73.763015747070313</v>
      </c>
      <c r="N62" s="14" t="s">
        <v>24</v>
      </c>
      <c r="O62" s="13" t="s">
        <v>25</v>
      </c>
      <c r="R62" s="14"/>
      <c r="S62" s="14"/>
      <c r="T62" s="14"/>
      <c r="U62" s="14"/>
      <c r="V62" s="14"/>
      <c r="W62" s="14"/>
      <c r="X62" s="14"/>
    </row>
    <row r="63" spans="1:24" x14ac:dyDescent="0.2">
      <c r="A63" s="15"/>
      <c r="B63" s="15" t="s">
        <v>15</v>
      </c>
      <c r="C63" s="14" t="s">
        <v>7</v>
      </c>
      <c r="D63" s="14">
        <v>23.3343505859375</v>
      </c>
      <c r="E63" s="14">
        <f>D63-18.38919</f>
        <v>4.9451605859375007</v>
      </c>
      <c r="F63" s="14">
        <f>POWER(2,-E63)</f>
        <v>3.2460733582766479E-2</v>
      </c>
      <c r="G63" s="14">
        <v>73.93914794921875</v>
      </c>
      <c r="H63" s="14" t="s">
        <v>24</v>
      </c>
      <c r="I63" s="14" t="s">
        <v>25</v>
      </c>
      <c r="J63" s="14">
        <v>22.869661331176758</v>
      </c>
      <c r="K63" s="14">
        <f>J63-20.07523</f>
        <v>2.7944313311767566</v>
      </c>
      <c r="L63" s="14">
        <f>POWER(2,-K63)</f>
        <v>0.14414259901354406</v>
      </c>
      <c r="M63" s="14">
        <v>73.794990539550781</v>
      </c>
      <c r="N63" s="14" t="s">
        <v>24</v>
      </c>
      <c r="O63" s="13" t="s">
        <v>25</v>
      </c>
      <c r="R63" s="14"/>
      <c r="S63" s="14"/>
      <c r="T63" s="14"/>
      <c r="U63" s="14"/>
      <c r="V63" s="14"/>
      <c r="W63" s="14"/>
      <c r="X63" s="14"/>
    </row>
    <row r="64" spans="1:24" x14ac:dyDescent="0.2">
      <c r="A64" s="15"/>
      <c r="B64" s="15" t="s">
        <v>15</v>
      </c>
      <c r="C64" s="14" t="s">
        <v>7</v>
      </c>
      <c r="D64" s="14">
        <v>23.280746459960938</v>
      </c>
      <c r="E64" s="14">
        <f>D64-18.38919</f>
        <v>4.8915564599609382</v>
      </c>
      <c r="F64" s="14">
        <f t="shared" ref="F64:F78" si="150">POWER(2,-E64)</f>
        <v>3.3689516646028678E-2</v>
      </c>
      <c r="G64" s="14">
        <v>74.088241577148438</v>
      </c>
      <c r="H64" s="14" t="s">
        <v>24</v>
      </c>
      <c r="I64" s="14" t="s">
        <v>25</v>
      </c>
      <c r="J64" s="14">
        <v>22.801712036132813</v>
      </c>
      <c r="K64" s="14">
        <f>J64-20.07523</f>
        <v>2.7264820361328113</v>
      </c>
      <c r="L64" s="14">
        <f t="shared" ref="L64:L78" si="151">POWER(2,-K64)</f>
        <v>0.15109396722789314</v>
      </c>
      <c r="M64" s="14">
        <v>73.794990539550781</v>
      </c>
      <c r="N64" s="14" t="s">
        <v>24</v>
      </c>
      <c r="O64" s="13" t="s">
        <v>25</v>
      </c>
      <c r="R64" s="14"/>
      <c r="S64" s="14"/>
      <c r="T64" s="14"/>
      <c r="U64" s="14"/>
      <c r="V64" s="14"/>
      <c r="W64" s="14"/>
      <c r="X64" s="14"/>
    </row>
    <row r="65" spans="1:24" x14ac:dyDescent="0.2">
      <c r="A65" s="15"/>
      <c r="B65" s="15" t="s">
        <v>108</v>
      </c>
      <c r="C65" s="14" t="s">
        <v>7</v>
      </c>
      <c r="D65" s="14">
        <v>27.494476318359375</v>
      </c>
      <c r="E65" s="14">
        <f>D65-23.82111</f>
        <v>3.6733663183593741</v>
      </c>
      <c r="F65" s="14">
        <f t="shared" si="150"/>
        <v>7.83802335316756E-2</v>
      </c>
      <c r="G65" s="14">
        <v>73.934310913085938</v>
      </c>
      <c r="H65" s="14" t="s">
        <v>24</v>
      </c>
      <c r="I65" s="14" t="s">
        <v>25</v>
      </c>
      <c r="J65" s="14">
        <v>24.121740341186523</v>
      </c>
      <c r="K65" s="14">
        <f>J65-23.27546</f>
        <v>0.84628034118652451</v>
      </c>
      <c r="L65" s="14">
        <f t="shared" si="151"/>
        <v>0.55621696698712209</v>
      </c>
      <c r="M65" s="14">
        <v>73.641677856445313</v>
      </c>
      <c r="N65" s="14" t="s">
        <v>24</v>
      </c>
      <c r="O65" s="13" t="s">
        <v>25</v>
      </c>
      <c r="R65" s="14"/>
      <c r="S65" s="14"/>
      <c r="T65" s="14"/>
      <c r="U65" s="14"/>
      <c r="V65" s="14"/>
      <c r="W65" s="14"/>
      <c r="X65" s="14"/>
    </row>
    <row r="66" spans="1:24" x14ac:dyDescent="0.2">
      <c r="A66" s="15"/>
      <c r="B66" s="15" t="s">
        <v>108</v>
      </c>
      <c r="C66" s="14" t="s">
        <v>7</v>
      </c>
      <c r="D66" s="14">
        <v>27.58650016784668</v>
      </c>
      <c r="E66" s="14">
        <f>D66-23.82111</f>
        <v>3.7653901678466788</v>
      </c>
      <c r="F66" s="14">
        <f t="shared" si="150"/>
        <v>7.3536780824452336E-2</v>
      </c>
      <c r="G66" s="14">
        <v>73.93658447265625</v>
      </c>
      <c r="H66" s="14" t="s">
        <v>24</v>
      </c>
      <c r="I66" s="14" t="s">
        <v>25</v>
      </c>
      <c r="J66" s="14">
        <v>24.081558227539063</v>
      </c>
      <c r="K66" s="14">
        <f>J66-23.27546</f>
        <v>0.80609822753906357</v>
      </c>
      <c r="L66" s="14">
        <f t="shared" si="151"/>
        <v>0.57192654500441054</v>
      </c>
      <c r="M66" s="14">
        <v>73.645851135253906</v>
      </c>
      <c r="N66" s="14" t="s">
        <v>24</v>
      </c>
      <c r="O66" s="13" t="s">
        <v>65</v>
      </c>
      <c r="R66" s="14"/>
      <c r="S66" s="14"/>
      <c r="T66" s="14"/>
      <c r="U66" s="14"/>
      <c r="V66" s="14"/>
      <c r="W66" s="14"/>
      <c r="X66" s="14"/>
    </row>
    <row r="67" spans="1:24" x14ac:dyDescent="0.2">
      <c r="A67" s="15"/>
      <c r="B67" s="15" t="s">
        <v>109</v>
      </c>
      <c r="C67" s="14" t="s">
        <v>7</v>
      </c>
      <c r="D67" s="14">
        <v>24.274822235107422</v>
      </c>
      <c r="E67" s="14">
        <f>D67-19.79496</f>
        <v>4.4798622351074222</v>
      </c>
      <c r="F67" s="14">
        <f t="shared" si="150"/>
        <v>4.4815380777245332E-2</v>
      </c>
      <c r="G67" s="14">
        <v>73.784751892089844</v>
      </c>
      <c r="H67" s="14" t="s">
        <v>24</v>
      </c>
      <c r="I67" s="14" t="s">
        <v>25</v>
      </c>
      <c r="J67" s="14">
        <v>25.927043914794922</v>
      </c>
      <c r="K67" s="14">
        <f>J67-23.81017</f>
        <v>2.1168739147949225</v>
      </c>
      <c r="L67" s="14">
        <f t="shared" si="151"/>
        <v>0.23054592729838996</v>
      </c>
      <c r="M67" s="14">
        <v>73.645347595214844</v>
      </c>
      <c r="N67" s="14" t="s">
        <v>24</v>
      </c>
      <c r="O67" s="13" t="s">
        <v>25</v>
      </c>
      <c r="R67" s="14"/>
      <c r="S67" s="14"/>
      <c r="T67" s="14"/>
      <c r="U67" s="14"/>
      <c r="V67" s="14"/>
      <c r="W67" s="14"/>
      <c r="X67" s="14"/>
    </row>
    <row r="68" spans="1:24" x14ac:dyDescent="0.2">
      <c r="A68" s="15"/>
      <c r="B68" s="15" t="s">
        <v>109</v>
      </c>
      <c r="C68" s="14" t="s">
        <v>7</v>
      </c>
      <c r="D68" s="14">
        <v>24.156320571899414</v>
      </c>
      <c r="E68" s="14">
        <f>D68-19.79496</f>
        <v>4.3613605718994144</v>
      </c>
      <c r="F68" s="14">
        <f t="shared" si="150"/>
        <v>4.8651882136223921E-2</v>
      </c>
      <c r="G68" s="14">
        <v>73.784751892089844</v>
      </c>
      <c r="H68" s="14" t="s">
        <v>24</v>
      </c>
      <c r="I68" s="14" t="s">
        <v>25</v>
      </c>
      <c r="J68" s="14">
        <v>25.965911865234375</v>
      </c>
      <c r="K68" s="14">
        <f>J68-23.81017</f>
        <v>2.1557418652343756</v>
      </c>
      <c r="L68" s="14">
        <f t="shared" si="151"/>
        <v>0.22441766309151198</v>
      </c>
      <c r="M68" s="14">
        <v>73.645347595214844</v>
      </c>
      <c r="N68" s="14" t="s">
        <v>24</v>
      </c>
      <c r="O68" s="13" t="s">
        <v>25</v>
      </c>
      <c r="R68" s="14"/>
      <c r="S68" s="14"/>
      <c r="T68" s="14"/>
      <c r="U68" s="14"/>
      <c r="V68" s="14"/>
      <c r="W68" s="14"/>
      <c r="X68" s="14"/>
    </row>
    <row r="69" spans="1:24" x14ac:dyDescent="0.2">
      <c r="A69" s="15"/>
      <c r="B69" s="15" t="s">
        <v>13</v>
      </c>
      <c r="C69" s="14" t="s">
        <v>7</v>
      </c>
      <c r="D69" s="14">
        <v>23.924598693847656</v>
      </c>
      <c r="E69" s="14">
        <f>D69-19.9435</f>
        <v>3.981098693847656</v>
      </c>
      <c r="F69" s="14">
        <f t="shared" si="150"/>
        <v>6.3324224141977845E-2</v>
      </c>
      <c r="G69" s="14">
        <v>73.935218811035156</v>
      </c>
      <c r="H69" s="14" t="s">
        <v>24</v>
      </c>
      <c r="I69" s="14" t="s">
        <v>25</v>
      </c>
      <c r="J69" s="14">
        <v>23.843311309814453</v>
      </c>
      <c r="K69" s="14">
        <f>J69-21.24923</f>
        <v>2.5940813098144524</v>
      </c>
      <c r="L69" s="14">
        <f t="shared" si="151"/>
        <v>0.16561654277414081</v>
      </c>
      <c r="M69" s="14">
        <v>73.643966674804688</v>
      </c>
      <c r="N69" s="14" t="s">
        <v>24</v>
      </c>
      <c r="O69" s="13" t="s">
        <v>25</v>
      </c>
      <c r="R69" s="14"/>
      <c r="S69" s="14"/>
      <c r="T69" s="14"/>
      <c r="U69" s="14"/>
      <c r="V69" s="14"/>
      <c r="W69" s="14"/>
      <c r="X69" s="14"/>
    </row>
    <row r="70" spans="1:24" x14ac:dyDescent="0.2">
      <c r="A70" s="15"/>
      <c r="B70" s="15" t="s">
        <v>13</v>
      </c>
      <c r="C70" s="14" t="s">
        <v>7</v>
      </c>
      <c r="D70" s="14">
        <v>23.933464050292969</v>
      </c>
      <c r="E70" s="14">
        <f>D70-19.9435</f>
        <v>3.9899640502929685</v>
      </c>
      <c r="F70" s="14">
        <f t="shared" si="150"/>
        <v>6.2936290133053727E-2</v>
      </c>
      <c r="G70" s="14">
        <v>73.789512634277344</v>
      </c>
      <c r="H70" s="14" t="s">
        <v>24</v>
      </c>
      <c r="I70" s="14" t="s">
        <v>25</v>
      </c>
      <c r="J70" s="14">
        <v>23.838403701782227</v>
      </c>
      <c r="K70" s="14">
        <f>J70-21.24923</f>
        <v>2.5891737017822258</v>
      </c>
      <c r="L70" s="14">
        <f t="shared" si="151"/>
        <v>0.16618087899066139</v>
      </c>
      <c r="M70" s="14">
        <v>73.497970581054688</v>
      </c>
      <c r="N70" s="14" t="s">
        <v>24</v>
      </c>
      <c r="O70" s="13" t="s">
        <v>25</v>
      </c>
      <c r="R70" s="14"/>
      <c r="S70" s="14"/>
      <c r="T70" s="14"/>
      <c r="U70" s="14"/>
      <c r="V70" s="14"/>
      <c r="W70" s="14"/>
      <c r="X70" s="14"/>
    </row>
    <row r="71" spans="1:24" x14ac:dyDescent="0.2">
      <c r="A71" s="15"/>
      <c r="B71" s="15" t="s">
        <v>15</v>
      </c>
      <c r="C71" s="14" t="s">
        <v>8</v>
      </c>
      <c r="D71" s="14">
        <v>23.406036376953125</v>
      </c>
      <c r="E71" s="14">
        <f>D71-18.38919</f>
        <v>5.0168463769531257</v>
      </c>
      <c r="F71" s="14">
        <f t="shared" si="150"/>
        <v>3.0887215409445008E-2</v>
      </c>
      <c r="G71" s="14">
        <v>76.473678588867188</v>
      </c>
      <c r="H71" s="14"/>
      <c r="I71" s="14" t="s">
        <v>25</v>
      </c>
      <c r="J71" s="14">
        <v>23.257862091064453</v>
      </c>
      <c r="K71" s="14">
        <f>J71-20.07523</f>
        <v>3.1826320910644519</v>
      </c>
      <c r="L71" s="14">
        <f t="shared" si="151"/>
        <v>0.11013675471399374</v>
      </c>
      <c r="M71" s="14">
        <v>76.328964233398438</v>
      </c>
      <c r="N71" s="14" t="s">
        <v>24</v>
      </c>
      <c r="O71" s="13" t="s">
        <v>25</v>
      </c>
      <c r="R71" s="14"/>
      <c r="S71" s="14"/>
      <c r="T71" s="14"/>
      <c r="U71" s="14"/>
      <c r="V71" s="14"/>
      <c r="W71" s="14"/>
      <c r="X71" s="14"/>
    </row>
    <row r="72" spans="1:24" x14ac:dyDescent="0.2">
      <c r="A72" s="15"/>
      <c r="B72" s="15" t="s">
        <v>15</v>
      </c>
      <c r="C72" s="14" t="s">
        <v>8</v>
      </c>
      <c r="D72" s="14">
        <v>23.427091598510742</v>
      </c>
      <c r="E72" s="14">
        <f>D72-18.38919</f>
        <v>5.0379015985107429</v>
      </c>
      <c r="F72" s="14">
        <f t="shared" si="150"/>
        <v>3.0439709513759416E-2</v>
      </c>
      <c r="G72" s="14">
        <v>76.473678588867188</v>
      </c>
      <c r="H72" s="14"/>
      <c r="I72" s="14" t="s">
        <v>25</v>
      </c>
      <c r="J72" s="14">
        <v>23.243982315063477</v>
      </c>
      <c r="K72" s="14">
        <f>J72-20.07523</f>
        <v>3.1687523150634753</v>
      </c>
      <c r="L72" s="14">
        <f t="shared" si="151"/>
        <v>0.11120146385606589</v>
      </c>
      <c r="M72" s="14">
        <v>76.328964233398438</v>
      </c>
      <c r="N72" s="14" t="s">
        <v>24</v>
      </c>
      <c r="O72" s="13" t="s">
        <v>25</v>
      </c>
      <c r="R72" s="14"/>
      <c r="S72" s="14"/>
      <c r="T72" s="14"/>
      <c r="U72" s="14"/>
      <c r="V72" s="14"/>
      <c r="W72" s="14"/>
      <c r="X72" s="14"/>
    </row>
    <row r="73" spans="1:24" x14ac:dyDescent="0.2">
      <c r="A73" s="15"/>
      <c r="B73" s="15" t="s">
        <v>108</v>
      </c>
      <c r="C73" s="14" t="s">
        <v>8</v>
      </c>
      <c r="D73" s="14">
        <v>28.779518127441406</v>
      </c>
      <c r="E73" s="14">
        <f>D73-23.82111</f>
        <v>4.9584081274414054</v>
      </c>
      <c r="F73" s="14">
        <f t="shared" si="150"/>
        <v>3.2164027361756178E-2</v>
      </c>
      <c r="G73" s="14">
        <v>76.46917724609375</v>
      </c>
      <c r="H73" s="14"/>
      <c r="I73" s="14" t="s">
        <v>25</v>
      </c>
      <c r="J73" s="14">
        <v>22.157020568847656</v>
      </c>
      <c r="K73" s="14">
        <f>J73-23.27546</f>
        <v>-1.1184394311523427</v>
      </c>
      <c r="L73" s="14">
        <f t="shared" si="151"/>
        <v>2.1711199454928725</v>
      </c>
      <c r="M73" s="14">
        <v>76.175750732421875</v>
      </c>
      <c r="N73" s="14" t="s">
        <v>24</v>
      </c>
      <c r="O73" s="13" t="s">
        <v>25</v>
      </c>
      <c r="R73" s="14"/>
      <c r="S73" s="14"/>
      <c r="T73" s="14"/>
      <c r="U73" s="14"/>
      <c r="V73" s="14"/>
      <c r="W73" s="14"/>
      <c r="X73" s="14"/>
    </row>
    <row r="74" spans="1:24" x14ac:dyDescent="0.2">
      <c r="A74" s="15"/>
      <c r="B74" s="15" t="s">
        <v>108</v>
      </c>
      <c r="C74" s="14" t="s">
        <v>8</v>
      </c>
      <c r="D74" s="14">
        <v>28.580450057983398</v>
      </c>
      <c r="E74" s="14">
        <f>D74-23.82111</f>
        <v>4.7593400579833975</v>
      </c>
      <c r="F74" s="14">
        <f t="shared" si="150"/>
        <v>3.6922906708990698E-2</v>
      </c>
      <c r="G74" s="14">
        <v>76.471160888671875</v>
      </c>
      <c r="H74" s="14"/>
      <c r="I74" s="14" t="s">
        <v>25</v>
      </c>
      <c r="J74" s="14">
        <v>22.133773803710938</v>
      </c>
      <c r="K74" s="14">
        <f>J74-23.27546</f>
        <v>-1.1416861962890614</v>
      </c>
      <c r="L74" s="14">
        <f t="shared" si="151"/>
        <v>2.2063875117784022</v>
      </c>
      <c r="M74" s="14">
        <v>76.179428100585938</v>
      </c>
      <c r="N74" s="14" t="s">
        <v>24</v>
      </c>
      <c r="O74" s="13" t="s">
        <v>25</v>
      </c>
      <c r="R74" s="14"/>
      <c r="S74" s="14"/>
      <c r="T74" s="14"/>
      <c r="U74" s="14"/>
      <c r="V74" s="14"/>
      <c r="W74" s="14"/>
      <c r="X74" s="14"/>
    </row>
    <row r="75" spans="1:24" x14ac:dyDescent="0.2">
      <c r="B75" s="15" t="s">
        <v>109</v>
      </c>
      <c r="C75" s="14" t="s">
        <v>8</v>
      </c>
      <c r="D75" s="14">
        <v>24.318761825561523</v>
      </c>
      <c r="E75" s="14">
        <f>D75-19.79496</f>
        <v>4.5238018255615238</v>
      </c>
      <c r="F75" s="14">
        <f t="shared" si="150"/>
        <v>4.3471032563064504E-2</v>
      </c>
      <c r="G75" s="14">
        <v>76.170257568359375</v>
      </c>
      <c r="H75" s="14"/>
      <c r="I75" s="14" t="s">
        <v>25</v>
      </c>
      <c r="J75" s="14">
        <v>26.408050537109375</v>
      </c>
      <c r="K75" s="14">
        <f>J75-23.81017</f>
        <v>2.5978805371093756</v>
      </c>
      <c r="L75" s="14">
        <f t="shared" si="151"/>
        <v>0.16518097801230866</v>
      </c>
      <c r="M75" s="14">
        <v>76.179244995117188</v>
      </c>
      <c r="N75" s="14"/>
      <c r="O75" s="13" t="s">
        <v>25</v>
      </c>
    </row>
    <row r="76" spans="1:24" x14ac:dyDescent="0.2">
      <c r="B76" s="15" t="s">
        <v>109</v>
      </c>
      <c r="C76" s="14" t="s">
        <v>8</v>
      </c>
      <c r="D76" s="14">
        <v>24.188186645507813</v>
      </c>
      <c r="E76" s="14">
        <f>D76-19.79496</f>
        <v>4.3932266455078128</v>
      </c>
      <c r="F76" s="14">
        <f t="shared" si="150"/>
        <v>4.7589046351382232E-2</v>
      </c>
      <c r="G76" s="14">
        <v>76.319351196289063</v>
      </c>
      <c r="H76" s="14"/>
      <c r="I76" s="14" t="s">
        <v>25</v>
      </c>
      <c r="J76" s="14">
        <v>26.38287353515625</v>
      </c>
      <c r="K76" s="14">
        <f>J76-23.81017</f>
        <v>2.5727035351562506</v>
      </c>
      <c r="L76" s="14">
        <f t="shared" si="151"/>
        <v>0.16808891194462636</v>
      </c>
      <c r="M76" s="14">
        <v>76.179244995117188</v>
      </c>
      <c r="N76" s="14"/>
      <c r="O76" s="13" t="s">
        <v>25</v>
      </c>
    </row>
    <row r="77" spans="1:24" x14ac:dyDescent="0.2">
      <c r="B77" s="15" t="s">
        <v>13</v>
      </c>
      <c r="C77" s="14" t="s">
        <v>8</v>
      </c>
      <c r="D77" s="14">
        <v>23.408748626708984</v>
      </c>
      <c r="E77" s="14">
        <f>D77-19.9435</f>
        <v>3.4652486267089841</v>
      </c>
      <c r="F77" s="14">
        <f t="shared" si="150"/>
        <v>9.0543279547827024E-2</v>
      </c>
      <c r="G77" s="14">
        <v>76.320579528808594</v>
      </c>
      <c r="H77" s="14"/>
      <c r="I77" s="14" t="s">
        <v>25</v>
      </c>
      <c r="J77" s="14">
        <v>24.222936630249023</v>
      </c>
      <c r="K77" s="14">
        <f>J77-21.24923</f>
        <v>2.9737066302490227</v>
      </c>
      <c r="L77" s="14">
        <f t="shared" si="151"/>
        <v>0.12729903339557938</v>
      </c>
      <c r="M77" s="14">
        <v>76.177688598632813</v>
      </c>
      <c r="N77" s="14"/>
      <c r="O77" s="13" t="s">
        <v>25</v>
      </c>
    </row>
    <row r="78" spans="1:24" x14ac:dyDescent="0.2">
      <c r="B78" s="15" t="s">
        <v>13</v>
      </c>
      <c r="C78" s="14" t="s">
        <v>8</v>
      </c>
      <c r="D78" s="14">
        <v>23.446746826171875</v>
      </c>
      <c r="E78" s="14">
        <f>D78-19.9435</f>
        <v>3.5032468261718748</v>
      </c>
      <c r="F78" s="14">
        <f t="shared" si="150"/>
        <v>8.8189650831385524E-2</v>
      </c>
      <c r="G78" s="14">
        <v>76.324264526367188</v>
      </c>
      <c r="H78" s="14"/>
      <c r="I78" s="14" t="s">
        <v>25</v>
      </c>
      <c r="J78" s="14">
        <v>24.18757438659668</v>
      </c>
      <c r="K78" s="14">
        <f>J78-21.24923</f>
        <v>2.938344386596679</v>
      </c>
      <c r="L78" s="14">
        <f t="shared" si="151"/>
        <v>0.13045784554010642</v>
      </c>
      <c r="M78" s="14">
        <v>76.032073974609375</v>
      </c>
      <c r="N78" s="14"/>
      <c r="O78" s="13" t="s">
        <v>25</v>
      </c>
    </row>
    <row r="79" spans="1:24" x14ac:dyDescent="0.2">
      <c r="B79" s="15" t="s">
        <v>15</v>
      </c>
      <c r="C79" s="14" t="s">
        <v>9</v>
      </c>
      <c r="D79" s="14">
        <v>21.518304824829102</v>
      </c>
      <c r="E79" s="14">
        <f>D79-17.91326</f>
        <v>3.6050448248291005</v>
      </c>
      <c r="F79" s="14">
        <f>POWER(2,-E79)</f>
        <v>8.2181369081254341E-2</v>
      </c>
      <c r="G79" s="14">
        <v>76.91510009765625</v>
      </c>
      <c r="H79" s="14" t="s">
        <v>24</v>
      </c>
      <c r="I79" s="14" t="s">
        <v>25</v>
      </c>
      <c r="J79" s="14">
        <v>24.427881240844727</v>
      </c>
      <c r="K79" s="14">
        <f>J79-19.67693</f>
        <v>4.7509512408447279</v>
      </c>
      <c r="L79" s="14">
        <f>POWER(2,-K79)</f>
        <v>3.7138227182547362E-2</v>
      </c>
      <c r="M79" s="14">
        <v>76.771591186523438</v>
      </c>
      <c r="N79" s="14"/>
      <c r="O79" s="13" t="s">
        <v>25</v>
      </c>
    </row>
    <row r="80" spans="1:24" x14ac:dyDescent="0.2">
      <c r="B80" s="15" t="s">
        <v>15</v>
      </c>
      <c r="C80" s="14" t="s">
        <v>9</v>
      </c>
      <c r="D80" s="14">
        <v>21.444026947021484</v>
      </c>
      <c r="E80" s="14">
        <f>D80-17.91326</f>
        <v>3.5307669470214833</v>
      </c>
      <c r="F80" s="14">
        <f t="shared" ref="F80:F94" si="152">POWER(2,-E80)</f>
        <v>8.652333310488336E-2</v>
      </c>
      <c r="G80" s="14">
        <v>76.91510009765625</v>
      </c>
      <c r="H80" s="14" t="s">
        <v>24</v>
      </c>
      <c r="I80" s="14" t="s">
        <v>25</v>
      </c>
      <c r="J80" s="14">
        <v>24.471426010131836</v>
      </c>
      <c r="K80" s="14">
        <f>J80-19.67693</f>
        <v>4.7944960101318372</v>
      </c>
      <c r="L80" s="14">
        <f t="shared" ref="L80:L94" si="153">POWER(2,-K80)</f>
        <v>3.6034034238075892E-2</v>
      </c>
      <c r="M80" s="14">
        <v>76.771591186523438</v>
      </c>
      <c r="N80" s="14"/>
      <c r="O80" s="13" t="s">
        <v>25</v>
      </c>
    </row>
    <row r="81" spans="2:15" x14ac:dyDescent="0.2">
      <c r="B81" s="15" t="s">
        <v>108</v>
      </c>
      <c r="C81" s="14" t="s">
        <v>9</v>
      </c>
      <c r="D81" s="14">
        <v>26.009939193725586</v>
      </c>
      <c r="E81" s="14">
        <f>D81-23.10913</f>
        <v>2.9008091937255855</v>
      </c>
      <c r="F81" s="14">
        <f t="shared" si="152"/>
        <v>0.13389656046272072</v>
      </c>
      <c r="G81" s="14">
        <v>76.6146240234375</v>
      </c>
      <c r="H81" s="14" t="s">
        <v>24</v>
      </c>
      <c r="I81" s="14" t="s">
        <v>25</v>
      </c>
      <c r="J81" s="14">
        <v>23.557804107666016</v>
      </c>
      <c r="K81" s="14">
        <f>J81-23.39094</f>
        <v>0.16686410766601512</v>
      </c>
      <c r="L81" s="14">
        <f t="shared" si="153"/>
        <v>0.8907768019402138</v>
      </c>
      <c r="M81" s="14">
        <v>76.471267700195313</v>
      </c>
      <c r="N81" s="14"/>
      <c r="O81" s="13" t="s">
        <v>25</v>
      </c>
    </row>
    <row r="82" spans="2:15" x14ac:dyDescent="0.2">
      <c r="B82" s="15" t="s">
        <v>108</v>
      </c>
      <c r="C82" s="14" t="s">
        <v>9</v>
      </c>
      <c r="D82" s="14">
        <v>25.980792999267578</v>
      </c>
      <c r="E82" s="14">
        <f>D82-23.10913</f>
        <v>2.8716629992675777</v>
      </c>
      <c r="F82" s="14">
        <f t="shared" si="152"/>
        <v>0.13662912900990398</v>
      </c>
      <c r="G82" s="14">
        <v>76.764755249023438</v>
      </c>
      <c r="H82" s="14" t="s">
        <v>24</v>
      </c>
      <c r="I82" s="14" t="s">
        <v>25</v>
      </c>
      <c r="J82" s="14">
        <v>23.503595352172852</v>
      </c>
      <c r="K82" s="14">
        <f>J82-23.39094</f>
        <v>0.11265535217285105</v>
      </c>
      <c r="L82" s="14">
        <f t="shared" si="153"/>
        <v>0.92488419885510642</v>
      </c>
      <c r="M82" s="14">
        <v>76.471267700195313</v>
      </c>
      <c r="N82" s="14"/>
      <c r="O82" s="13" t="s">
        <v>25</v>
      </c>
    </row>
    <row r="83" spans="2:15" x14ac:dyDescent="0.2">
      <c r="B83" s="15" t="s">
        <v>109</v>
      </c>
      <c r="C83" s="14" t="s">
        <v>9</v>
      </c>
      <c r="D83" s="14">
        <v>22.59124755859375</v>
      </c>
      <c r="E83" s="14">
        <f>D83-19.82637</f>
        <v>2.7648775585937493</v>
      </c>
      <c r="F83" s="14">
        <f t="shared" si="152"/>
        <v>0.14712582817910372</v>
      </c>
      <c r="G83" s="14">
        <v>76.766098022460938</v>
      </c>
      <c r="H83" s="14" t="s">
        <v>24</v>
      </c>
      <c r="I83" s="14" t="s">
        <v>25</v>
      </c>
      <c r="J83" s="14">
        <v>25.929498672485352</v>
      </c>
      <c r="K83" s="14">
        <f>J83-23.30146</f>
        <v>2.6280386724853528</v>
      </c>
      <c r="L83" s="14">
        <f t="shared" si="153"/>
        <v>0.16176387055454114</v>
      </c>
      <c r="M83" s="14">
        <v>76.471763610839844</v>
      </c>
      <c r="N83" s="14"/>
      <c r="O83" s="13" t="s">
        <v>25</v>
      </c>
    </row>
    <row r="84" spans="2:15" x14ac:dyDescent="0.2">
      <c r="B84" s="15" t="s">
        <v>109</v>
      </c>
      <c r="C84" s="14" t="s">
        <v>9</v>
      </c>
      <c r="D84" s="14">
        <v>22.50483512878418</v>
      </c>
      <c r="E84" s="14">
        <f>D84-19.82637</f>
        <v>2.678465128784179</v>
      </c>
      <c r="F84" s="14">
        <f t="shared" si="152"/>
        <v>0.15620741800974317</v>
      </c>
      <c r="G84" s="14">
        <v>76.766098022460938</v>
      </c>
      <c r="H84" s="14" t="s">
        <v>24</v>
      </c>
      <c r="I84" s="14" t="s">
        <v>25</v>
      </c>
      <c r="J84" s="14">
        <v>25.925260543823242</v>
      </c>
      <c r="K84" s="14">
        <f>J84-23.30146</f>
        <v>2.6238005438232435</v>
      </c>
      <c r="L84" s="14">
        <f t="shared" si="153"/>
        <v>0.16223977436919026</v>
      </c>
      <c r="M84" s="14">
        <v>76.471763610839844</v>
      </c>
      <c r="N84" s="14"/>
      <c r="O84" s="13" t="s">
        <v>25</v>
      </c>
    </row>
    <row r="85" spans="2:15" x14ac:dyDescent="0.2">
      <c r="B85" s="15" t="s">
        <v>13</v>
      </c>
      <c r="C85" s="14" t="s">
        <v>9</v>
      </c>
      <c r="D85" s="14">
        <v>21.286026000976563</v>
      </c>
      <c r="E85" s="14">
        <f>D85-19.27515</f>
        <v>2.0108760009765625</v>
      </c>
      <c r="F85" s="14">
        <f t="shared" si="152"/>
        <v>0.24812241877106608</v>
      </c>
      <c r="G85" s="14">
        <v>76.912849426269531</v>
      </c>
      <c r="H85" s="14" t="s">
        <v>24</v>
      </c>
      <c r="I85" s="14" t="s">
        <v>25</v>
      </c>
      <c r="J85" s="14">
        <v>24.931791305541992</v>
      </c>
      <c r="K85" s="14">
        <f>J85-20.19345</f>
        <v>4.7383413055419936</v>
      </c>
      <c r="L85" s="14">
        <f t="shared" si="153"/>
        <v>3.7464258151591601E-2</v>
      </c>
      <c r="M85" s="14">
        <v>76.622398376464844</v>
      </c>
      <c r="N85" s="14"/>
      <c r="O85" s="13" t="s">
        <v>25</v>
      </c>
    </row>
    <row r="86" spans="2:15" x14ac:dyDescent="0.2">
      <c r="B86" s="15" t="s">
        <v>13</v>
      </c>
      <c r="C86" s="14" t="s">
        <v>9</v>
      </c>
      <c r="D86" s="14">
        <v>21.273052215576172</v>
      </c>
      <c r="E86" s="14">
        <f>D86-19.27515</f>
        <v>1.9979022155761719</v>
      </c>
      <c r="F86" s="14">
        <f t="shared" si="152"/>
        <v>0.25036378275901255</v>
      </c>
      <c r="G86" s="14">
        <v>76.915878295898438</v>
      </c>
      <c r="H86" s="14" t="s">
        <v>24</v>
      </c>
      <c r="I86" s="14" t="s">
        <v>25</v>
      </c>
      <c r="J86" s="14">
        <v>24.884843826293945</v>
      </c>
      <c r="K86" s="14">
        <f>J86-20.19345</f>
        <v>4.6913938262939467</v>
      </c>
      <c r="L86" s="14">
        <f t="shared" si="153"/>
        <v>3.8703455110441785E-2</v>
      </c>
      <c r="M86" s="14">
        <v>76.473236083984375</v>
      </c>
      <c r="N86" s="14"/>
      <c r="O86" s="13" t="s">
        <v>25</v>
      </c>
    </row>
    <row r="87" spans="2:15" x14ac:dyDescent="0.2">
      <c r="B87" s="15" t="s">
        <v>15</v>
      </c>
      <c r="C87" s="14" t="s">
        <v>10</v>
      </c>
      <c r="D87" s="14">
        <v>21.80003547668457</v>
      </c>
      <c r="E87" s="14">
        <f>D87-17.91326</f>
        <v>3.8867754766845692</v>
      </c>
      <c r="F87" s="14">
        <f t="shared" si="152"/>
        <v>6.7602692750894144E-2</v>
      </c>
      <c r="G87" s="14">
        <v>75.872100830078125</v>
      </c>
      <c r="H87" s="14" t="s">
        <v>24</v>
      </c>
      <c r="I87" s="14" t="s">
        <v>25</v>
      </c>
      <c r="J87" s="14">
        <v>21.193782806396484</v>
      </c>
      <c r="K87" s="14">
        <f>J87-19.67693</f>
        <v>1.5168528063964857</v>
      </c>
      <c r="L87" s="14">
        <f t="shared" si="153"/>
        <v>0.34944739415436848</v>
      </c>
      <c r="M87" s="14">
        <v>75.87677001953125</v>
      </c>
      <c r="N87" s="14"/>
      <c r="O87" s="13" t="s">
        <v>25</v>
      </c>
    </row>
    <row r="88" spans="2:15" x14ac:dyDescent="0.2">
      <c r="B88" s="15" t="s">
        <v>15</v>
      </c>
      <c r="C88" s="14" t="s">
        <v>10</v>
      </c>
      <c r="D88" s="14">
        <v>21.819004058837891</v>
      </c>
      <c r="E88" s="14">
        <f>D88-17.91326</f>
        <v>3.9057440588378896</v>
      </c>
      <c r="F88" s="14">
        <f t="shared" si="152"/>
        <v>6.6719668973504717E-2</v>
      </c>
      <c r="G88" s="14">
        <v>75.872100830078125</v>
      </c>
      <c r="H88" s="14" t="s">
        <v>24</v>
      </c>
      <c r="I88" s="14" t="s">
        <v>25</v>
      </c>
      <c r="J88" s="14">
        <v>21.191600799560547</v>
      </c>
      <c r="K88" s="14">
        <f>J88-19.67693</f>
        <v>1.5146707995605482</v>
      </c>
      <c r="L88" s="14">
        <f t="shared" si="153"/>
        <v>0.34997631640872173</v>
      </c>
      <c r="M88" s="14">
        <v>75.727630615234375</v>
      </c>
      <c r="N88" s="14"/>
      <c r="O88" s="13" t="s">
        <v>25</v>
      </c>
    </row>
    <row r="89" spans="2:15" x14ac:dyDescent="0.2">
      <c r="B89" s="15" t="s">
        <v>108</v>
      </c>
      <c r="C89" s="14" t="s">
        <v>10</v>
      </c>
      <c r="D89" s="14">
        <v>27.131999969482422</v>
      </c>
      <c r="E89" s="14">
        <f>D89-23.10913</f>
        <v>4.0228699694824215</v>
      </c>
      <c r="F89" s="14">
        <f t="shared" si="152"/>
        <v>6.1517045676214563E-2</v>
      </c>
      <c r="G89" s="14">
        <v>75.720687866210938</v>
      </c>
      <c r="H89" s="14" t="s">
        <v>24</v>
      </c>
      <c r="I89" s="14" t="s">
        <v>25</v>
      </c>
      <c r="J89" s="14">
        <v>24.120939254760742</v>
      </c>
      <c r="K89" s="14">
        <f>J89-23.39094</f>
        <v>0.72999925476074168</v>
      </c>
      <c r="L89" s="14">
        <f t="shared" si="153"/>
        <v>0.60290422528180232</v>
      </c>
      <c r="M89" s="14">
        <v>75.725677490234375</v>
      </c>
      <c r="N89" s="14"/>
      <c r="O89" s="13" t="s">
        <v>25</v>
      </c>
    </row>
    <row r="90" spans="2:15" x14ac:dyDescent="0.2">
      <c r="B90" s="15" t="s">
        <v>108</v>
      </c>
      <c r="C90" s="14" t="s">
        <v>10</v>
      </c>
      <c r="D90" s="14">
        <v>27.145624160766602</v>
      </c>
      <c r="E90" s="14">
        <f>D90-23.10913</f>
        <v>4.0364941607666012</v>
      </c>
      <c r="F90" s="14">
        <f t="shared" si="152"/>
        <v>6.0938839624628961E-2</v>
      </c>
      <c r="G90" s="14">
        <v>75.721755981445313</v>
      </c>
      <c r="H90" s="14" t="s">
        <v>24</v>
      </c>
      <c r="I90" s="14" t="s">
        <v>25</v>
      </c>
      <c r="J90" s="14">
        <v>24.093967437744141</v>
      </c>
      <c r="K90" s="14">
        <f>J90-23.39094</f>
        <v>0.70302743774414012</v>
      </c>
      <c r="L90" s="14">
        <f t="shared" si="153"/>
        <v>0.61428180745768113</v>
      </c>
      <c r="M90" s="14">
        <v>75.725677490234375</v>
      </c>
      <c r="N90" s="14"/>
      <c r="O90" s="13" t="s">
        <v>25</v>
      </c>
    </row>
    <row r="91" spans="2:15" x14ac:dyDescent="0.2">
      <c r="B91" s="15" t="s">
        <v>109</v>
      </c>
      <c r="C91" s="14" t="s">
        <v>10</v>
      </c>
      <c r="D91" s="14">
        <v>23.91063117980957</v>
      </c>
      <c r="E91" s="14">
        <f>D91-19.82637</f>
        <v>4.0842611798095696</v>
      </c>
      <c r="F91" s="14">
        <f t="shared" si="152"/>
        <v>5.8954216876344528E-2</v>
      </c>
      <c r="G91" s="14">
        <v>75.723037719726563</v>
      </c>
      <c r="H91" s="14" t="s">
        <v>24</v>
      </c>
      <c r="I91" s="14" t="s">
        <v>25</v>
      </c>
      <c r="J91" s="14">
        <v>24.483982086181641</v>
      </c>
      <c r="K91" s="14">
        <f>J91-23.30146</f>
        <v>1.1825220861816419</v>
      </c>
      <c r="L91" s="14">
        <f t="shared" si="153"/>
        <v>0.44058061165935392</v>
      </c>
      <c r="M91" s="14">
        <v>75.726173400878906</v>
      </c>
      <c r="N91" s="14"/>
      <c r="O91" s="13" t="s">
        <v>25</v>
      </c>
    </row>
    <row r="92" spans="2:15" x14ac:dyDescent="0.2">
      <c r="B92" s="15" t="s">
        <v>109</v>
      </c>
      <c r="C92" s="14" t="s">
        <v>10</v>
      </c>
      <c r="D92" s="14">
        <v>23.88043212890625</v>
      </c>
      <c r="E92" s="14">
        <f>D92-19.82637</f>
        <v>4.0540621289062493</v>
      </c>
      <c r="F92" s="14">
        <f t="shared" si="152"/>
        <v>6.0201275784027251E-2</v>
      </c>
      <c r="G92" s="14">
        <v>75.723037719726563</v>
      </c>
      <c r="H92" s="14" t="s">
        <v>24</v>
      </c>
      <c r="I92" s="14" t="s">
        <v>25</v>
      </c>
      <c r="J92" s="14">
        <v>24.445590972900391</v>
      </c>
      <c r="K92" s="14">
        <f>J92-23.30146</f>
        <v>1.1441309729003919</v>
      </c>
      <c r="L92" s="14">
        <f t="shared" si="153"/>
        <v>0.45246215348049185</v>
      </c>
      <c r="M92" s="14">
        <v>75.726173400878906</v>
      </c>
      <c r="N92" s="14"/>
      <c r="O92" s="13" t="s">
        <v>25</v>
      </c>
    </row>
    <row r="93" spans="2:15" x14ac:dyDescent="0.2">
      <c r="B93" s="15" t="s">
        <v>13</v>
      </c>
      <c r="C93" s="14" t="s">
        <v>10</v>
      </c>
      <c r="D93" s="14">
        <v>23.011587142944336</v>
      </c>
      <c r="E93" s="14">
        <f>D93-19.27515</f>
        <v>3.7364371429443359</v>
      </c>
      <c r="F93" s="14">
        <f t="shared" si="152"/>
        <v>7.50274771176387E-2</v>
      </c>
      <c r="G93" s="14">
        <v>76.01898193359375</v>
      </c>
      <c r="H93" s="14" t="s">
        <v>24</v>
      </c>
      <c r="I93" s="14" t="s">
        <v>25</v>
      </c>
      <c r="J93" s="14">
        <v>21.930274963378906</v>
      </c>
      <c r="K93" s="14">
        <f>J93-20.19345</f>
        <v>1.7368249633789077</v>
      </c>
      <c r="L93" s="14">
        <f t="shared" si="153"/>
        <v>0.30002924477545023</v>
      </c>
      <c r="M93" s="14">
        <v>75.578262329101563</v>
      </c>
      <c r="N93" s="14"/>
      <c r="O93" s="13" t="s">
        <v>25</v>
      </c>
    </row>
    <row r="94" spans="2:15" x14ac:dyDescent="0.2">
      <c r="B94" s="15" t="s">
        <v>13</v>
      </c>
      <c r="C94" s="14" t="s">
        <v>10</v>
      </c>
      <c r="D94" s="14">
        <v>22.990398406982422</v>
      </c>
      <c r="E94" s="14">
        <f>D94-19.27515</f>
        <v>3.7152484069824219</v>
      </c>
      <c r="F94" s="14">
        <f t="shared" si="152"/>
        <v>7.6137530793044556E-2</v>
      </c>
      <c r="G94" s="14">
        <v>75.872779846191406</v>
      </c>
      <c r="H94" s="14" t="s">
        <v>24</v>
      </c>
      <c r="I94" s="14" t="s">
        <v>25</v>
      </c>
      <c r="J94" s="14">
        <v>21.969854354858398</v>
      </c>
      <c r="K94" s="14">
        <f>J94-20.19345</f>
        <v>1.7764043548583999</v>
      </c>
      <c r="L94" s="14">
        <f t="shared" si="153"/>
        <v>0.29191002139604705</v>
      </c>
      <c r="M94" s="14">
        <v>75.578262329101563</v>
      </c>
      <c r="N94" s="14"/>
      <c r="O94" s="13" t="s">
        <v>25</v>
      </c>
    </row>
    <row r="95" spans="2:15" x14ac:dyDescent="0.2">
      <c r="B95" s="15" t="s">
        <v>15</v>
      </c>
      <c r="C95" s="14" t="s">
        <v>11</v>
      </c>
      <c r="D95" s="14">
        <v>21.979089736938477</v>
      </c>
      <c r="E95" s="14">
        <f>D95-18.14784</f>
        <v>3.8312497369384779</v>
      </c>
      <c r="F95" s="14">
        <f>POWER(2,-E95)</f>
        <v>7.0255270183256918E-2</v>
      </c>
      <c r="G95" s="14">
        <v>74.5330810546875</v>
      </c>
      <c r="H95" s="14"/>
      <c r="I95" s="14" t="s">
        <v>25</v>
      </c>
      <c r="J95" s="14">
        <v>21.017127990722656</v>
      </c>
      <c r="K95" s="14">
        <f>J95-20.09714</f>
        <v>0.91998799072265669</v>
      </c>
      <c r="L95" s="14">
        <f>POWER(2,-K95)</f>
        <v>0.52851341971206001</v>
      </c>
      <c r="M95" s="14">
        <v>74.693115234375</v>
      </c>
      <c r="N95" s="14"/>
      <c r="O95" s="13" t="s">
        <v>25</v>
      </c>
    </row>
    <row r="96" spans="2:15" x14ac:dyDescent="0.2">
      <c r="B96" s="15" t="s">
        <v>15</v>
      </c>
      <c r="C96" s="14" t="s">
        <v>11</v>
      </c>
      <c r="D96" s="14">
        <v>21.931259155273438</v>
      </c>
      <c r="E96" s="14">
        <f>D96-18.14784</f>
        <v>3.7834191552734389</v>
      </c>
      <c r="F96" s="14">
        <f t="shared" ref="F96:F117" si="154">POWER(2,-E96)</f>
        <v>7.2623528883376504E-2</v>
      </c>
      <c r="G96" s="14">
        <v>74.5330810546875</v>
      </c>
      <c r="H96" s="14"/>
      <c r="I96" s="14" t="s">
        <v>25</v>
      </c>
      <c r="J96" s="14">
        <v>20.956356048583984</v>
      </c>
      <c r="K96" s="14">
        <f t="shared" ref="K96:K97" si="155">J96-20.09714</f>
        <v>0.85921604858398481</v>
      </c>
      <c r="L96" s="14">
        <f t="shared" ref="L96:L130" si="156">POWER(2,-K96)</f>
        <v>0.55125202345130964</v>
      </c>
      <c r="M96" s="14">
        <v>74.693115234375</v>
      </c>
      <c r="N96" s="14"/>
      <c r="O96" s="13" t="s">
        <v>25</v>
      </c>
    </row>
    <row r="97" spans="2:15" x14ac:dyDescent="0.2">
      <c r="B97" s="15" t="s">
        <v>15</v>
      </c>
      <c r="C97" s="14" t="s">
        <v>11</v>
      </c>
      <c r="D97" s="14"/>
      <c r="E97" s="14"/>
      <c r="F97" s="14"/>
      <c r="G97" s="14"/>
      <c r="H97" s="14"/>
      <c r="I97" s="14"/>
      <c r="J97" s="14">
        <v>21.012628555297852</v>
      </c>
      <c r="K97" s="14">
        <f t="shared" si="155"/>
        <v>0.915488555297852</v>
      </c>
      <c r="L97" s="14">
        <f t="shared" si="156"/>
        <v>0.53016430505587897</v>
      </c>
      <c r="M97" s="14">
        <v>74.544059753417969</v>
      </c>
      <c r="N97" s="14"/>
      <c r="O97" s="13" t="s">
        <v>25</v>
      </c>
    </row>
    <row r="98" spans="2:15" x14ac:dyDescent="0.2">
      <c r="B98" s="31" t="s">
        <v>108</v>
      </c>
      <c r="C98" s="30" t="s">
        <v>11</v>
      </c>
      <c r="D98" s="30">
        <v>23.806428909301758</v>
      </c>
      <c r="E98" s="30">
        <f>D98-23.68806</f>
        <v>0.1183689093017577</v>
      </c>
      <c r="F98" s="30">
        <f t="shared" si="154"/>
        <v>0.92122859015016079</v>
      </c>
      <c r="G98" s="30">
        <v>69.014144897460938</v>
      </c>
      <c r="H98" s="14"/>
      <c r="I98" s="14" t="s">
        <v>145</v>
      </c>
      <c r="J98" s="14">
        <v>22.570896148681641</v>
      </c>
      <c r="K98" s="14">
        <f>J98-23.53124</f>
        <v>-0.96034385131835975</v>
      </c>
      <c r="L98" s="14">
        <f t="shared" si="156"/>
        <v>1.9457735944088097</v>
      </c>
      <c r="M98" s="14">
        <v>74.245956420898438</v>
      </c>
      <c r="N98" s="14"/>
      <c r="O98" s="13" t="s">
        <v>25</v>
      </c>
    </row>
    <row r="99" spans="2:15" x14ac:dyDescent="0.2">
      <c r="B99" s="31" t="s">
        <v>108</v>
      </c>
      <c r="C99" s="30" t="s">
        <v>11</v>
      </c>
      <c r="D99" s="30">
        <v>23.655288696289063</v>
      </c>
      <c r="E99" s="30">
        <f>D99-23.68806</f>
        <v>-3.2771303710937616E-2</v>
      </c>
      <c r="F99" s="30">
        <f t="shared" si="154"/>
        <v>1.022975294644765</v>
      </c>
      <c r="G99" s="30">
        <v>69.015670776367188</v>
      </c>
      <c r="H99" s="14"/>
      <c r="I99" s="14" t="s">
        <v>145</v>
      </c>
      <c r="J99" s="14">
        <v>22.712257385253906</v>
      </c>
      <c r="K99" s="14">
        <f t="shared" ref="K99:K100" si="157">J99-23.53124</f>
        <v>-0.81898261474609413</v>
      </c>
      <c r="L99" s="14">
        <f t="shared" si="156"/>
        <v>1.7641614711683653</v>
      </c>
      <c r="M99" s="14">
        <v>74.245956420898438</v>
      </c>
      <c r="N99" s="14"/>
      <c r="O99" s="13" t="s">
        <v>25</v>
      </c>
    </row>
    <row r="100" spans="2:15" x14ac:dyDescent="0.2">
      <c r="B100" s="15" t="s">
        <v>108</v>
      </c>
      <c r="C100" s="14" t="s">
        <v>11</v>
      </c>
      <c r="D100" s="14"/>
      <c r="E100" s="14"/>
      <c r="F100" s="14"/>
      <c r="G100" s="14"/>
      <c r="H100" s="14"/>
      <c r="I100" s="14"/>
      <c r="J100" s="14">
        <v>22.61907958984375</v>
      </c>
      <c r="K100" s="14">
        <f t="shared" si="157"/>
        <v>-0.91216041015625038</v>
      </c>
      <c r="L100" s="14">
        <f t="shared" si="156"/>
        <v>1.8818614435187968</v>
      </c>
      <c r="M100" s="14">
        <v>74.245956420898438</v>
      </c>
      <c r="N100" s="14"/>
      <c r="O100" s="13" t="s">
        <v>25</v>
      </c>
    </row>
    <row r="101" spans="2:15" x14ac:dyDescent="0.2">
      <c r="B101" s="15" t="s">
        <v>109</v>
      </c>
      <c r="C101" s="14" t="s">
        <v>11</v>
      </c>
      <c r="D101" s="14">
        <v>22.936922073364258</v>
      </c>
      <c r="E101" s="14">
        <f>D101-19.88271</f>
        <v>3.0542120733642584</v>
      </c>
      <c r="F101" s="14">
        <f t="shared" si="154"/>
        <v>0.12039003835031543</v>
      </c>
      <c r="G101" s="14">
        <v>73.939613342285156</v>
      </c>
      <c r="H101" s="14"/>
      <c r="I101" s="14" t="s">
        <v>25</v>
      </c>
      <c r="J101" s="14">
        <v>22.70067024230957</v>
      </c>
      <c r="K101" s="14">
        <f>J101-23.57607</f>
        <v>-0.8753997576904311</v>
      </c>
      <c r="L101" s="14">
        <f t="shared" si="156"/>
        <v>1.8345163438035126</v>
      </c>
      <c r="M101" s="14">
        <v>73.944557189941406</v>
      </c>
      <c r="N101" s="14"/>
      <c r="O101" s="13" t="s">
        <v>25</v>
      </c>
    </row>
    <row r="102" spans="2:15" x14ac:dyDescent="0.2">
      <c r="B102" s="15" t="s">
        <v>109</v>
      </c>
      <c r="C102" s="14" t="s">
        <v>11</v>
      </c>
      <c r="D102" s="14">
        <v>22.966632843017578</v>
      </c>
      <c r="E102" s="14">
        <f>D102-19.88271</f>
        <v>3.0839228430175787</v>
      </c>
      <c r="F102" s="14">
        <f t="shared" si="154"/>
        <v>0.11793608855029265</v>
      </c>
      <c r="G102" s="14">
        <v>73.939613342285156</v>
      </c>
      <c r="H102" s="14"/>
      <c r="I102" s="14" t="s">
        <v>25</v>
      </c>
      <c r="J102" s="14">
        <v>22.603586196899414</v>
      </c>
      <c r="K102" s="14">
        <f t="shared" ref="K102:K103" si="158">J102-23.57607</f>
        <v>-0.97248380310058735</v>
      </c>
      <c r="L102" s="14">
        <f t="shared" si="156"/>
        <v>1.9622159203982861</v>
      </c>
      <c r="M102" s="14">
        <v>73.944557189941406</v>
      </c>
      <c r="N102" s="14"/>
      <c r="O102" s="13" t="s">
        <v>25</v>
      </c>
    </row>
    <row r="103" spans="2:15" x14ac:dyDescent="0.2">
      <c r="B103" s="15" t="s">
        <v>109</v>
      </c>
      <c r="C103" s="14" t="s">
        <v>11</v>
      </c>
      <c r="D103" s="14"/>
      <c r="E103" s="14"/>
      <c r="F103" s="14"/>
      <c r="G103" s="14"/>
      <c r="H103" s="14"/>
      <c r="I103" s="14"/>
      <c r="J103" s="14">
        <v>22.646270751953125</v>
      </c>
      <c r="K103" s="14">
        <f t="shared" si="158"/>
        <v>-0.92979924804687641</v>
      </c>
      <c r="L103" s="14">
        <f t="shared" si="156"/>
        <v>1.9050108941390009</v>
      </c>
      <c r="M103" s="14">
        <v>73.795509338378906</v>
      </c>
      <c r="N103" s="14"/>
      <c r="O103" s="13" t="s">
        <v>25</v>
      </c>
    </row>
    <row r="104" spans="2:15" x14ac:dyDescent="0.2">
      <c r="B104" s="15" t="s">
        <v>125</v>
      </c>
      <c r="C104" s="14" t="s">
        <v>11</v>
      </c>
      <c r="D104" s="14">
        <v>22.473037719726563</v>
      </c>
      <c r="E104" s="14">
        <f>D104-19.3753</f>
        <v>3.0977377197265632</v>
      </c>
      <c r="F104" s="14">
        <f t="shared" si="154"/>
        <v>0.11681215274308393</v>
      </c>
      <c r="G104" s="14">
        <v>74.233108520507813</v>
      </c>
      <c r="H104" s="14"/>
      <c r="I104" s="14" t="s">
        <v>25</v>
      </c>
      <c r="J104" s="14">
        <v>21.782537460327148</v>
      </c>
      <c r="K104" s="14">
        <f>J104-21.02778</f>
        <v>0.75475746032714852</v>
      </c>
      <c r="L104" s="14">
        <f t="shared" si="156"/>
        <v>0.59264601018948959</v>
      </c>
      <c r="M104" s="14">
        <v>74.544059753417969</v>
      </c>
      <c r="N104" s="14"/>
      <c r="O104" s="13" t="s">
        <v>25</v>
      </c>
    </row>
    <row r="105" spans="2:15" x14ac:dyDescent="0.2">
      <c r="B105" s="15" t="s">
        <v>13</v>
      </c>
      <c r="C105" s="14" t="s">
        <v>11</v>
      </c>
      <c r="D105" s="14">
        <v>22.545999526977539</v>
      </c>
      <c r="E105" s="14">
        <f>D105-19.3753</f>
        <v>3.1706995269775398</v>
      </c>
      <c r="F105" s="14">
        <f t="shared" si="154"/>
        <v>0.11105147598807028</v>
      </c>
      <c r="G105" s="14">
        <v>74.239334106445313</v>
      </c>
      <c r="H105" s="14" t="s">
        <v>24</v>
      </c>
      <c r="I105" s="14" t="s">
        <v>25</v>
      </c>
      <c r="J105" s="14">
        <v>21.635595321655273</v>
      </c>
      <c r="K105" s="14">
        <f t="shared" ref="K105:K106" si="159">J105-21.02778</f>
        <v>0.60781532165527352</v>
      </c>
      <c r="L105" s="14">
        <f t="shared" si="156"/>
        <v>0.65618962027679562</v>
      </c>
      <c r="M105" s="14">
        <v>74.544059753417969</v>
      </c>
      <c r="N105" s="14"/>
      <c r="O105" s="13" t="s">
        <v>25</v>
      </c>
    </row>
    <row r="106" spans="2:15" x14ac:dyDescent="0.2">
      <c r="B106" s="15" t="s">
        <v>13</v>
      </c>
      <c r="C106" s="14" t="s">
        <v>11</v>
      </c>
      <c r="D106" s="14"/>
      <c r="E106" s="14"/>
      <c r="F106" s="14"/>
      <c r="G106" s="14"/>
      <c r="H106" s="14"/>
      <c r="I106" s="14"/>
      <c r="J106" s="14">
        <v>21.589744567871094</v>
      </c>
      <c r="K106" s="14">
        <f t="shared" si="159"/>
        <v>0.56196456787109383</v>
      </c>
      <c r="L106" s="14">
        <f t="shared" si="156"/>
        <v>0.67737912475310924</v>
      </c>
      <c r="M106" s="14">
        <v>74.541610717773438</v>
      </c>
      <c r="N106" s="14"/>
      <c r="O106" s="13" t="s">
        <v>25</v>
      </c>
    </row>
    <row r="107" spans="2:15" x14ac:dyDescent="0.2">
      <c r="B107" s="15" t="s">
        <v>15</v>
      </c>
      <c r="C107" s="14" t="s">
        <v>130</v>
      </c>
      <c r="D107" s="14">
        <v>21.587177276611328</v>
      </c>
      <c r="E107" s="14">
        <f>D107-18.14784</f>
        <v>3.4393372766113295</v>
      </c>
      <c r="F107" s="14">
        <f t="shared" si="154"/>
        <v>9.2184162519849414E-2</v>
      </c>
      <c r="G107" s="14">
        <v>76.024139404296875</v>
      </c>
      <c r="H107" s="14" t="s">
        <v>24</v>
      </c>
      <c r="I107" s="14" t="s">
        <v>25</v>
      </c>
      <c r="J107" s="14">
        <v>25.426589965820313</v>
      </c>
      <c r="K107" s="14">
        <f>J107-20.09714</f>
        <v>5.3294499658203129</v>
      </c>
      <c r="L107" s="14">
        <f t="shared" si="156"/>
        <v>2.4869995111134892E-2</v>
      </c>
      <c r="M107" s="14">
        <v>75.885513305664063</v>
      </c>
      <c r="N107" s="14"/>
      <c r="O107" s="13" t="s">
        <v>25</v>
      </c>
    </row>
    <row r="108" spans="2:15" x14ac:dyDescent="0.2">
      <c r="B108" s="15" t="s">
        <v>15</v>
      </c>
      <c r="C108" s="14" t="s">
        <v>130</v>
      </c>
      <c r="D108" s="14">
        <v>21.603897094726563</v>
      </c>
      <c r="E108" s="14">
        <f>D108-18.14784</f>
        <v>3.4560570947265639</v>
      </c>
      <c r="F108" s="14">
        <f t="shared" si="154"/>
        <v>9.1121979947880391E-2</v>
      </c>
      <c r="G108" s="14">
        <v>76.024139404296875</v>
      </c>
      <c r="H108" s="14" t="s">
        <v>24</v>
      </c>
      <c r="I108" s="14" t="s">
        <v>25</v>
      </c>
      <c r="J108" s="14">
        <v>25.431854248046875</v>
      </c>
      <c r="K108" s="14">
        <f t="shared" ref="K108:K109" si="160">J108-20.09714</f>
        <v>5.3347142480468754</v>
      </c>
      <c r="L108" s="14">
        <f t="shared" si="156"/>
        <v>2.4779411795559259E-2</v>
      </c>
      <c r="M108" s="14">
        <v>75.885513305664063</v>
      </c>
      <c r="N108" s="14"/>
      <c r="O108" s="13" t="s">
        <v>25</v>
      </c>
    </row>
    <row r="109" spans="2:15" x14ac:dyDescent="0.2">
      <c r="B109" s="15" t="s">
        <v>15</v>
      </c>
      <c r="C109" s="14" t="s">
        <v>130</v>
      </c>
      <c r="D109" s="14"/>
      <c r="E109" s="14"/>
      <c r="F109" s="14"/>
      <c r="G109" s="14"/>
      <c r="H109" s="14"/>
      <c r="I109" s="14"/>
      <c r="J109" s="14">
        <v>25.448280334472656</v>
      </c>
      <c r="K109" s="14">
        <f t="shared" si="160"/>
        <v>5.3511403344726567</v>
      </c>
      <c r="L109" s="14">
        <f t="shared" si="156"/>
        <v>2.4498881007927433E-2</v>
      </c>
      <c r="M109" s="14">
        <v>75.885513305664063</v>
      </c>
      <c r="N109" s="14"/>
      <c r="O109" s="13" t="s">
        <v>25</v>
      </c>
    </row>
    <row r="110" spans="2:15" x14ac:dyDescent="0.2">
      <c r="B110" s="15" t="s">
        <v>108</v>
      </c>
      <c r="C110" s="14" t="s">
        <v>130</v>
      </c>
      <c r="D110" s="14">
        <v>27.939865112304688</v>
      </c>
      <c r="E110" s="14">
        <f>D110-23.68806</f>
        <v>4.2518051123046874</v>
      </c>
      <c r="F110" s="14">
        <f t="shared" si="154"/>
        <v>5.2490308528390983E-2</v>
      </c>
      <c r="G110" s="14">
        <v>75.872550964355469</v>
      </c>
      <c r="H110" s="14" t="s">
        <v>24</v>
      </c>
      <c r="I110" s="14" t="s">
        <v>25</v>
      </c>
      <c r="J110" s="14">
        <v>26.947118759155273</v>
      </c>
      <c r="K110" s="14">
        <f>J110-23.53124</f>
        <v>3.4158787591552731</v>
      </c>
      <c r="L110" s="14">
        <f t="shared" si="156"/>
        <v>9.3695348725140043E-2</v>
      </c>
      <c r="M110" s="14">
        <v>75.736465454101563</v>
      </c>
      <c r="N110" s="14"/>
      <c r="O110" s="13" t="s">
        <v>25</v>
      </c>
    </row>
    <row r="111" spans="2:15" x14ac:dyDescent="0.2">
      <c r="B111" s="15" t="s">
        <v>108</v>
      </c>
      <c r="C111" s="14" t="s">
        <v>130</v>
      </c>
      <c r="D111" s="14">
        <v>28.242752075195313</v>
      </c>
      <c r="E111" s="14">
        <f>D111-23.68806</f>
        <v>4.5546920751953124</v>
      </c>
      <c r="F111" s="14">
        <f t="shared" si="154"/>
        <v>4.2550146956141753E-2</v>
      </c>
      <c r="G111" s="14">
        <v>76.023109436035156</v>
      </c>
      <c r="H111" s="14" t="s">
        <v>24</v>
      </c>
      <c r="I111" s="14" t="s">
        <v>25</v>
      </c>
      <c r="J111" s="14">
        <v>26.981477737426758</v>
      </c>
      <c r="K111" s="14">
        <f t="shared" ref="K111:K112" si="161">J111-23.53124</f>
        <v>3.4502377374267574</v>
      </c>
      <c r="L111" s="14">
        <f t="shared" si="156"/>
        <v>9.1490278343360834E-2</v>
      </c>
      <c r="M111" s="14">
        <v>75.885513305664063</v>
      </c>
      <c r="N111" s="14"/>
      <c r="O111" s="13" t="s">
        <v>25</v>
      </c>
    </row>
    <row r="112" spans="2:15" x14ac:dyDescent="0.2">
      <c r="B112" s="15" t="s">
        <v>108</v>
      </c>
      <c r="C112" s="14" t="s">
        <v>130</v>
      </c>
      <c r="D112" s="14"/>
      <c r="E112" s="14"/>
      <c r="F112" s="14"/>
      <c r="G112" s="14"/>
      <c r="H112" s="14"/>
      <c r="I112" s="14"/>
      <c r="J112" s="14">
        <v>26.971572875976563</v>
      </c>
      <c r="K112" s="14">
        <f t="shared" si="161"/>
        <v>3.4403328759765621</v>
      </c>
      <c r="L112" s="14">
        <f t="shared" si="156"/>
        <v>9.2120568461267593E-2</v>
      </c>
      <c r="M112" s="14">
        <v>75.736465454101563</v>
      </c>
      <c r="N112" s="14"/>
      <c r="O112" s="13" t="s">
        <v>25</v>
      </c>
    </row>
    <row r="113" spans="2:15" x14ac:dyDescent="0.2">
      <c r="B113" s="15" t="s">
        <v>109</v>
      </c>
      <c r="C113" s="14" t="s">
        <v>130</v>
      </c>
      <c r="D113" s="14">
        <v>23.343545913696289</v>
      </c>
      <c r="E113" s="14">
        <f>D113-19.88271</f>
        <v>3.4608359136962896</v>
      </c>
      <c r="F113" s="14">
        <f t="shared" si="154"/>
        <v>9.0820644583900184E-2</v>
      </c>
      <c r="G113" s="14">
        <v>75.877799987792969</v>
      </c>
      <c r="H113" s="14" t="s">
        <v>24</v>
      </c>
      <c r="I113" s="14" t="s">
        <v>25</v>
      </c>
      <c r="J113" s="14">
        <v>28.498847961425781</v>
      </c>
      <c r="K113" s="14">
        <f>J113-23.57607</f>
        <v>4.9227779614257798</v>
      </c>
      <c r="L113" s="14">
        <f t="shared" si="156"/>
        <v>3.2968271013262496E-2</v>
      </c>
      <c r="M113" s="14">
        <v>75.882217407226563</v>
      </c>
      <c r="N113" s="14"/>
      <c r="O113" s="13" t="s">
        <v>25</v>
      </c>
    </row>
    <row r="114" spans="2:15" x14ac:dyDescent="0.2">
      <c r="B114" s="15" t="s">
        <v>109</v>
      </c>
      <c r="C114" s="14" t="s">
        <v>130</v>
      </c>
      <c r="D114" s="14">
        <v>23.393161773681641</v>
      </c>
      <c r="E114" s="14">
        <f>D114-19.88271</f>
        <v>3.5104517736816412</v>
      </c>
      <c r="F114" s="14">
        <f t="shared" si="154"/>
        <v>8.7750321798888239E-2</v>
      </c>
      <c r="G114" s="14">
        <v>75.877799987792969</v>
      </c>
      <c r="H114" s="14" t="s">
        <v>24</v>
      </c>
      <c r="I114" s="14" t="s">
        <v>25</v>
      </c>
      <c r="J114" s="14">
        <v>28.513683319091797</v>
      </c>
      <c r="K114" s="14">
        <f t="shared" ref="K114:K115" si="162">J114-23.57607</f>
        <v>4.9376133190917955</v>
      </c>
      <c r="L114" s="14">
        <f t="shared" si="156"/>
        <v>3.2630992539856039E-2</v>
      </c>
      <c r="M114" s="14">
        <v>75.733169555664063</v>
      </c>
      <c r="N114" s="14"/>
      <c r="O114" s="13" t="s">
        <v>25</v>
      </c>
    </row>
    <row r="115" spans="2:15" x14ac:dyDescent="0.2">
      <c r="B115" s="15" t="s">
        <v>109</v>
      </c>
      <c r="C115" s="14" t="s">
        <v>130</v>
      </c>
      <c r="D115" s="14"/>
      <c r="E115" s="14"/>
      <c r="F115" s="14"/>
      <c r="G115" s="14"/>
      <c r="H115" s="14"/>
      <c r="I115" s="14"/>
      <c r="J115" s="14">
        <v>28.389141082763672</v>
      </c>
      <c r="K115" s="14">
        <f t="shared" si="162"/>
        <v>4.8130710827636705</v>
      </c>
      <c r="L115" s="14">
        <f t="shared" si="156"/>
        <v>3.5573060651640911E-2</v>
      </c>
      <c r="M115" s="14">
        <v>75.733169555664063</v>
      </c>
      <c r="N115" s="14"/>
      <c r="O115" s="13" t="s">
        <v>25</v>
      </c>
    </row>
    <row r="116" spans="2:15" x14ac:dyDescent="0.2">
      <c r="B116" s="15" t="s">
        <v>125</v>
      </c>
      <c r="C116" s="14" t="s">
        <v>130</v>
      </c>
      <c r="D116" s="14">
        <v>21.778076171875</v>
      </c>
      <c r="E116" s="14">
        <f>D116-19.3753</f>
        <v>2.4027761718750007</v>
      </c>
      <c r="F116" s="14">
        <f t="shared" si="154"/>
        <v>0.1891003355139888</v>
      </c>
      <c r="G116" s="14">
        <v>76.022148132324219</v>
      </c>
      <c r="H116" s="14" t="s">
        <v>24</v>
      </c>
      <c r="I116" s="14" t="s">
        <v>25</v>
      </c>
      <c r="J116" s="14">
        <v>25.928363800048828</v>
      </c>
      <c r="K116" s="14">
        <f>J116-21.02778</f>
        <v>4.9005838000488282</v>
      </c>
      <c r="L116" s="14">
        <f t="shared" si="156"/>
        <v>3.347937022232382E-2</v>
      </c>
      <c r="M116" s="14">
        <v>75.885513305664063</v>
      </c>
      <c r="N116" s="14"/>
      <c r="O116" s="13" t="s">
        <v>25</v>
      </c>
    </row>
    <row r="117" spans="2:15" x14ac:dyDescent="0.2">
      <c r="B117" s="15" t="s">
        <v>13</v>
      </c>
      <c r="C117" s="14" t="s">
        <v>130</v>
      </c>
      <c r="D117" s="14">
        <v>21.732950210571289</v>
      </c>
      <c r="E117" s="14">
        <f>D117-19.3753</f>
        <v>2.3576502105712898</v>
      </c>
      <c r="F117" s="14">
        <f t="shared" si="154"/>
        <v>0.19510866949018754</v>
      </c>
      <c r="G117" s="14">
        <v>75.879295349121094</v>
      </c>
      <c r="H117" s="14" t="s">
        <v>24</v>
      </c>
      <c r="I117" s="14" t="s">
        <v>25</v>
      </c>
      <c r="J117" s="14">
        <v>25.884914398193359</v>
      </c>
      <c r="K117" s="14">
        <f t="shared" ref="K117:K118" si="163">J117-21.02778</f>
        <v>4.8571343981933595</v>
      </c>
      <c r="L117" s="14">
        <f t="shared" si="156"/>
        <v>3.4502999603047452E-2</v>
      </c>
      <c r="M117" s="14">
        <v>75.885513305664063</v>
      </c>
      <c r="N117" s="14"/>
      <c r="O117" s="13" t="s">
        <v>25</v>
      </c>
    </row>
    <row r="118" spans="2:15" x14ac:dyDescent="0.2">
      <c r="B118" s="15" t="s">
        <v>13</v>
      </c>
      <c r="C118" s="14" t="s">
        <v>130</v>
      </c>
      <c r="D118" s="14"/>
      <c r="E118" s="14"/>
      <c r="F118" s="14"/>
      <c r="G118" s="14"/>
      <c r="H118" s="14"/>
      <c r="I118" s="14"/>
      <c r="J118" s="14">
        <v>26.010040283203125</v>
      </c>
      <c r="K118" s="14">
        <f t="shared" si="163"/>
        <v>4.9822602832031251</v>
      </c>
      <c r="L118" s="14">
        <f t="shared" si="156"/>
        <v>3.1636629505937292E-2</v>
      </c>
      <c r="M118" s="14">
        <v>76.032066345214844</v>
      </c>
      <c r="N118" s="14"/>
      <c r="O118" s="13" t="s">
        <v>25</v>
      </c>
    </row>
    <row r="119" spans="2:15" x14ac:dyDescent="0.2">
      <c r="B119" s="15" t="s">
        <v>15</v>
      </c>
      <c r="C119" s="14" t="s">
        <v>12</v>
      </c>
      <c r="D119" s="14">
        <v>20.241804122924805</v>
      </c>
      <c r="E119" s="14">
        <f>D119-17.80547</f>
        <v>2.436334122924805</v>
      </c>
      <c r="F119" s="14">
        <f>POWER(2,-E119)</f>
        <v>0.18475251094443076</v>
      </c>
      <c r="G119" s="14">
        <v>73.9730224609375</v>
      </c>
      <c r="H119" s="14"/>
      <c r="I119" s="14" t="s">
        <v>25</v>
      </c>
      <c r="J119" s="14">
        <v>20.819690704345703</v>
      </c>
      <c r="K119" s="14">
        <f>J119-20.09714</f>
        <v>0.72255070434570356</v>
      </c>
      <c r="L119" s="14">
        <f t="shared" si="156"/>
        <v>0.60602503400376739</v>
      </c>
      <c r="M119" s="14">
        <v>75.435882568359375</v>
      </c>
      <c r="N119" s="14" t="s">
        <v>24</v>
      </c>
      <c r="O119" s="13" t="s">
        <v>25</v>
      </c>
    </row>
    <row r="120" spans="2:15" x14ac:dyDescent="0.2">
      <c r="B120" s="15" t="s">
        <v>15</v>
      </c>
      <c r="C120" s="14" t="s">
        <v>12</v>
      </c>
      <c r="D120" s="14">
        <v>19.927993774414063</v>
      </c>
      <c r="E120" s="14">
        <f>D120-17.80547</f>
        <v>2.1225237744140628</v>
      </c>
      <c r="F120" s="14">
        <f t="shared" ref="F120:F129" si="164">POWER(2,-E120)</f>
        <v>0.22964483254360007</v>
      </c>
      <c r="G120" s="14">
        <v>73.9730224609375</v>
      </c>
      <c r="H120" s="14"/>
      <c r="I120" s="14" t="s">
        <v>25</v>
      </c>
      <c r="J120" s="14">
        <v>20.715330123901367</v>
      </c>
      <c r="K120" s="14">
        <f t="shared" ref="K120:K121" si="165">J120-20.09714</f>
        <v>0.61819012390136763</v>
      </c>
      <c r="L120" s="14">
        <f t="shared" si="156"/>
        <v>0.65148771346758449</v>
      </c>
      <c r="M120" s="14">
        <v>75.435882568359375</v>
      </c>
      <c r="N120" s="14" t="s">
        <v>24</v>
      </c>
      <c r="O120" s="13" t="s">
        <v>25</v>
      </c>
    </row>
    <row r="121" spans="2:15" x14ac:dyDescent="0.2">
      <c r="B121" s="15" t="s">
        <v>15</v>
      </c>
      <c r="C121" s="14" t="s">
        <v>12</v>
      </c>
      <c r="D121" s="14"/>
      <c r="E121" s="14"/>
      <c r="F121" s="14"/>
      <c r="G121" s="14"/>
      <c r="H121" s="14"/>
      <c r="I121" s="14"/>
      <c r="J121" s="14">
        <v>20.680915832519531</v>
      </c>
      <c r="K121" s="14">
        <f t="shared" si="165"/>
        <v>0.58377583251953169</v>
      </c>
      <c r="L121" s="14">
        <f t="shared" si="156"/>
        <v>0.66721524939565935</v>
      </c>
      <c r="M121" s="14">
        <v>75.435882568359375</v>
      </c>
      <c r="N121" s="14" t="s">
        <v>24</v>
      </c>
      <c r="O121" s="13" t="s">
        <v>25</v>
      </c>
    </row>
    <row r="122" spans="2:15" x14ac:dyDescent="0.2">
      <c r="B122" s="15" t="s">
        <v>108</v>
      </c>
      <c r="C122" s="14" t="s">
        <v>12</v>
      </c>
      <c r="D122" s="14">
        <v>25.165988922119141</v>
      </c>
      <c r="E122" s="14">
        <f>D122-23.65786</f>
        <v>1.5081289221191412</v>
      </c>
      <c r="F122" s="14">
        <f t="shared" si="164"/>
        <v>0.35156688185361784</v>
      </c>
      <c r="G122" s="14">
        <v>73.522193908691406</v>
      </c>
      <c r="H122" s="14"/>
      <c r="I122" s="14" t="s">
        <v>25</v>
      </c>
      <c r="J122" s="14">
        <v>22.743112564086914</v>
      </c>
      <c r="K122" s="14">
        <f>J122-23.53124</f>
        <v>-0.78812743591308632</v>
      </c>
      <c r="L122" s="14">
        <f t="shared" si="156"/>
        <v>1.7268316446354099</v>
      </c>
      <c r="M122" s="14">
        <v>74.243515014648438</v>
      </c>
      <c r="N122" s="14" t="s">
        <v>24</v>
      </c>
      <c r="O122" s="13" t="s">
        <v>25</v>
      </c>
    </row>
    <row r="123" spans="2:15" x14ac:dyDescent="0.2">
      <c r="B123" s="15" t="s">
        <v>108</v>
      </c>
      <c r="C123" s="14" t="s">
        <v>12</v>
      </c>
      <c r="D123" s="14">
        <v>24.872720718383789</v>
      </c>
      <c r="E123" s="14">
        <f>D123-23.65786</f>
        <v>1.2148607183837896</v>
      </c>
      <c r="F123" s="14">
        <f t="shared" si="164"/>
        <v>0.43081466984238503</v>
      </c>
      <c r="G123" s="14">
        <v>73.819625854492188</v>
      </c>
      <c r="H123" s="14"/>
      <c r="I123" s="14" t="s">
        <v>25</v>
      </c>
      <c r="J123" s="14">
        <v>22.760248184204102</v>
      </c>
      <c r="K123" s="14">
        <f t="shared" ref="K123:K124" si="166">J123-23.53124</f>
        <v>-0.77099181579589882</v>
      </c>
      <c r="L123" s="14">
        <f t="shared" si="156"/>
        <v>1.7064425157906034</v>
      </c>
      <c r="M123" s="14">
        <v>74.243515014648438</v>
      </c>
      <c r="N123" s="14" t="s">
        <v>24</v>
      </c>
      <c r="O123" s="13" t="s">
        <v>25</v>
      </c>
    </row>
    <row r="124" spans="2:15" x14ac:dyDescent="0.2">
      <c r="B124" s="15" t="s">
        <v>108</v>
      </c>
      <c r="C124" s="14" t="s">
        <v>12</v>
      </c>
      <c r="D124" s="14"/>
      <c r="E124" s="14"/>
      <c r="F124" s="14"/>
      <c r="G124" s="14"/>
      <c r="H124" s="14"/>
      <c r="I124" s="14"/>
      <c r="J124" s="14">
        <v>22.739551544189453</v>
      </c>
      <c r="K124" s="14">
        <f t="shared" si="166"/>
        <v>-0.79168845581054725</v>
      </c>
      <c r="L124" s="14">
        <f t="shared" si="156"/>
        <v>1.7310992667518805</v>
      </c>
      <c r="M124" s="14">
        <v>74.243515014648438</v>
      </c>
      <c r="N124" s="14" t="s">
        <v>24</v>
      </c>
      <c r="O124" s="13" t="s">
        <v>25</v>
      </c>
    </row>
    <row r="125" spans="2:15" x14ac:dyDescent="0.2">
      <c r="B125" s="15" t="s">
        <v>109</v>
      </c>
      <c r="C125" s="14" t="s">
        <v>12</v>
      </c>
      <c r="D125" s="14">
        <v>22.494838714599609</v>
      </c>
      <c r="E125" s="14">
        <f>D125-19.81648</f>
        <v>2.6783587145996108</v>
      </c>
      <c r="F125" s="14">
        <f t="shared" si="164"/>
        <v>0.15621894040193646</v>
      </c>
      <c r="G125" s="14">
        <v>73.370849609375</v>
      </c>
      <c r="H125" s="14"/>
      <c r="I125" s="14" t="s">
        <v>25</v>
      </c>
      <c r="J125" s="14">
        <v>23.440145492553711</v>
      </c>
      <c r="K125" s="14">
        <f>J125-23.57607</f>
        <v>-0.13592450744629048</v>
      </c>
      <c r="L125" s="14">
        <f t="shared" si="156"/>
        <v>1.0987967188413144</v>
      </c>
      <c r="M125" s="14">
        <v>75.139007568359375</v>
      </c>
      <c r="N125" s="14" t="s">
        <v>24</v>
      </c>
      <c r="O125" s="13" t="s">
        <v>25</v>
      </c>
    </row>
    <row r="126" spans="2:15" x14ac:dyDescent="0.2">
      <c r="B126" s="15" t="s">
        <v>109</v>
      </c>
      <c r="C126" s="14" t="s">
        <v>12</v>
      </c>
      <c r="D126" s="14">
        <v>21.967132568359375</v>
      </c>
      <c r="E126" s="14">
        <f>D126-19.81648</f>
        <v>2.1506525683593765</v>
      </c>
      <c r="F126" s="14">
        <f t="shared" si="164"/>
        <v>0.2252107239627632</v>
      </c>
      <c r="G126" s="14">
        <v>73.520156860351563</v>
      </c>
      <c r="H126" s="14"/>
      <c r="I126" s="14" t="s">
        <v>25</v>
      </c>
      <c r="J126" s="14">
        <v>23.433958053588867</v>
      </c>
      <c r="K126" s="14">
        <f t="shared" ref="K126:K127" si="167">J126-23.57607</f>
        <v>-0.14211194641113423</v>
      </c>
      <c r="L126" s="14">
        <f t="shared" si="156"/>
        <v>1.1035193646793529</v>
      </c>
      <c r="M126" s="14">
        <v>75.139007568359375</v>
      </c>
      <c r="N126" s="14" t="s">
        <v>24</v>
      </c>
      <c r="O126" s="13" t="s">
        <v>25</v>
      </c>
    </row>
    <row r="127" spans="2:15" x14ac:dyDescent="0.2">
      <c r="B127" s="15" t="s">
        <v>109</v>
      </c>
      <c r="C127" s="14" t="s">
        <v>12</v>
      </c>
      <c r="D127" s="14"/>
      <c r="E127" s="14"/>
      <c r="F127" s="14"/>
      <c r="G127" s="14"/>
      <c r="H127" s="14"/>
      <c r="I127" s="14"/>
      <c r="J127" s="14">
        <v>23.407194137573242</v>
      </c>
      <c r="K127" s="14">
        <f t="shared" si="167"/>
        <v>-0.16887586242675923</v>
      </c>
      <c r="L127" s="14">
        <f t="shared" si="156"/>
        <v>1.1241821886759302</v>
      </c>
      <c r="M127" s="14">
        <v>74.989959716796875</v>
      </c>
      <c r="N127" s="14" t="s">
        <v>24</v>
      </c>
      <c r="O127" s="13" t="s">
        <v>25</v>
      </c>
    </row>
    <row r="128" spans="2:15" x14ac:dyDescent="0.2">
      <c r="B128" s="15" t="s">
        <v>125</v>
      </c>
      <c r="C128" s="14" t="s">
        <v>12</v>
      </c>
      <c r="D128" s="14">
        <v>21.606698989868164</v>
      </c>
      <c r="E128" s="14">
        <f>D128-19.52794</f>
        <v>2.0787589898681631</v>
      </c>
      <c r="F128" s="14">
        <f t="shared" si="164"/>
        <v>0.23671794954010461</v>
      </c>
      <c r="G128" s="14">
        <v>73.67083740234375</v>
      </c>
      <c r="H128" s="14"/>
      <c r="I128" s="14" t="s">
        <v>25</v>
      </c>
      <c r="J128" s="14">
        <v>21.920602798461914</v>
      </c>
      <c r="K128" s="14">
        <f>J128-21.02778</f>
        <v>0.89282279846191415</v>
      </c>
      <c r="L128" s="14">
        <f t="shared" si="156"/>
        <v>0.53855933352496932</v>
      </c>
      <c r="M128" s="14">
        <v>75.584930419921875</v>
      </c>
      <c r="N128" s="14" t="s">
        <v>24</v>
      </c>
      <c r="O128" s="13" t="s">
        <v>25</v>
      </c>
    </row>
    <row r="129" spans="2:15" x14ac:dyDescent="0.2">
      <c r="B129" s="15" t="s">
        <v>13</v>
      </c>
      <c r="C129" s="14" t="s">
        <v>12</v>
      </c>
      <c r="D129" s="14">
        <v>21.641895294189453</v>
      </c>
      <c r="E129" s="14">
        <f>D129-19.52794</f>
        <v>2.1139552941894522</v>
      </c>
      <c r="F129" s="14">
        <f t="shared" si="164"/>
        <v>0.2310128015576941</v>
      </c>
      <c r="G129" s="14">
        <v>73.522705078125</v>
      </c>
      <c r="H129" s="14"/>
      <c r="I129" s="14" t="s">
        <v>25</v>
      </c>
      <c r="J129" s="14">
        <v>21.928726196289063</v>
      </c>
      <c r="K129" s="14">
        <f t="shared" ref="K129:K130" si="168">J129-21.02778</f>
        <v>0.90094619628906258</v>
      </c>
      <c r="L129" s="14">
        <f t="shared" si="156"/>
        <v>0.53553538342128115</v>
      </c>
      <c r="M129" s="14">
        <v>75.583625793457031</v>
      </c>
      <c r="N129" s="14" t="s">
        <v>24</v>
      </c>
      <c r="O129" s="13" t="s">
        <v>25</v>
      </c>
    </row>
    <row r="130" spans="2:15" ht="13.5" thickBot="1" x14ac:dyDescent="0.25">
      <c r="B130" s="12" t="s">
        <v>13</v>
      </c>
      <c r="C130" s="11" t="s">
        <v>12</v>
      </c>
      <c r="D130" s="11"/>
      <c r="E130" s="11"/>
      <c r="F130" s="11"/>
      <c r="G130" s="11"/>
      <c r="H130" s="11"/>
      <c r="I130" s="11"/>
      <c r="J130" s="11">
        <v>21.919792175292969</v>
      </c>
      <c r="K130" s="11">
        <f t="shared" si="168"/>
        <v>0.89201217529296883</v>
      </c>
      <c r="L130" s="11">
        <f t="shared" si="156"/>
        <v>0.53886202490052859</v>
      </c>
      <c r="M130" s="11">
        <v>75.583625793457031</v>
      </c>
      <c r="N130" s="11" t="s">
        <v>24</v>
      </c>
      <c r="O130" s="10" t="s">
        <v>25</v>
      </c>
    </row>
    <row r="131" spans="2:15" x14ac:dyDescent="0.2">
      <c r="J131" s="14"/>
    </row>
    <row r="132" spans="2:15" x14ac:dyDescent="0.2">
      <c r="J132" s="14"/>
    </row>
  </sheetData>
  <pageMargins left="0.75" right="0.75" top="1" bottom="1" header="0.5" footer="0.5"/>
  <pageSetup orientation="portrait" horizontalDpi="300" verticalDpi="300" r:id="rId1"/>
  <headerFooter alignWithMargins="0"/>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BE156"/>
  <sheetViews>
    <sheetView topLeftCell="A6" workbookViewId="0">
      <selection activeCell="M9" sqref="M9:O151"/>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2" spans="1:57" x14ac:dyDescent="0.2">
      <c r="G2" s="27"/>
      <c r="H2" s="17"/>
      <c r="I2" s="17"/>
      <c r="J2" s="17"/>
      <c r="K2" s="17"/>
      <c r="L2" s="17"/>
      <c r="M2" s="17"/>
      <c r="N2" s="17"/>
      <c r="O2" s="17"/>
      <c r="P2" s="17"/>
      <c r="Q2" s="17"/>
      <c r="R2" s="17"/>
      <c r="S2" s="17"/>
    </row>
    <row r="3" spans="1:57" x14ac:dyDescent="0.2">
      <c r="G3" s="17"/>
      <c r="H3" s="17"/>
      <c r="I3" s="17"/>
      <c r="J3" s="17"/>
      <c r="K3" s="27"/>
      <c r="L3" s="17"/>
      <c r="M3" s="17"/>
      <c r="N3" s="17"/>
      <c r="O3" s="27"/>
      <c r="P3" s="17"/>
      <c r="Q3" s="17"/>
      <c r="R3" s="17"/>
      <c r="S3" s="27"/>
    </row>
    <row r="4" spans="1:57" x14ac:dyDescent="0.2">
      <c r="G4" s="14"/>
      <c r="H4" s="14"/>
      <c r="I4" s="14"/>
      <c r="J4" s="14"/>
      <c r="K4" s="14"/>
      <c r="L4" s="14"/>
      <c r="M4" s="14"/>
      <c r="N4" s="14"/>
      <c r="O4" s="14"/>
      <c r="P4" s="14"/>
      <c r="Q4" s="14"/>
      <c r="R4" s="14"/>
      <c r="S4" s="14"/>
    </row>
    <row r="5" spans="1:57" x14ac:dyDescent="0.2">
      <c r="G5" s="14"/>
      <c r="H5" s="14"/>
      <c r="I5" s="14"/>
      <c r="J5" s="14"/>
      <c r="K5" s="14"/>
      <c r="L5" s="14"/>
      <c r="M5" s="14"/>
      <c r="N5" s="14"/>
      <c r="O5" s="14"/>
      <c r="P5" s="14"/>
      <c r="Q5" s="14"/>
      <c r="R5" s="14"/>
      <c r="S5" s="14"/>
    </row>
    <row r="6" spans="1:57" x14ac:dyDescent="0.2">
      <c r="G6" s="14"/>
      <c r="H6" s="14"/>
      <c r="I6" s="14"/>
      <c r="J6" s="14"/>
      <c r="K6" s="14"/>
      <c r="L6" s="14"/>
      <c r="M6" s="14"/>
      <c r="N6" s="14"/>
      <c r="O6" s="14"/>
      <c r="P6" s="14"/>
      <c r="Q6" s="14"/>
      <c r="R6" s="14"/>
      <c r="S6" s="14"/>
    </row>
    <row r="7" spans="1:57" x14ac:dyDescent="0.2">
      <c r="G7" s="14"/>
      <c r="H7" s="14"/>
      <c r="I7" s="14"/>
      <c r="J7" s="14"/>
      <c r="K7" s="14"/>
      <c r="L7" s="14"/>
      <c r="M7" s="14"/>
      <c r="N7" s="14"/>
      <c r="O7" s="14"/>
      <c r="P7" s="14"/>
      <c r="Q7" s="14"/>
      <c r="R7" s="14"/>
      <c r="S7" s="14"/>
    </row>
    <row r="8" spans="1:57" ht="13.5" thickBot="1" x14ac:dyDescent="0.25">
      <c r="G8" s="14"/>
      <c r="H8" s="14"/>
      <c r="I8" s="14"/>
      <c r="J8" s="14"/>
      <c r="K8" s="14"/>
      <c r="L8" s="14"/>
      <c r="M8" s="14"/>
      <c r="N8" s="14"/>
      <c r="O8" s="14"/>
      <c r="P8" s="14"/>
      <c r="Q8" s="14"/>
      <c r="R8" s="14"/>
      <c r="S8" s="14"/>
    </row>
    <row r="9" spans="1:57" ht="15" x14ac:dyDescent="0.25">
      <c r="A9" s="14"/>
      <c r="B9" s="22"/>
      <c r="C9" s="21"/>
      <c r="D9" s="29" t="s">
        <v>138</v>
      </c>
      <c r="E9" s="21"/>
      <c r="F9" s="21"/>
      <c r="G9" s="21"/>
      <c r="H9" s="21"/>
      <c r="I9" s="21"/>
      <c r="J9" s="21" t="s">
        <v>137</v>
      </c>
      <c r="K9" s="21"/>
      <c r="L9" s="21"/>
      <c r="M9" s="21"/>
      <c r="N9" s="21"/>
      <c r="O9" s="20"/>
      <c r="R9" s="17"/>
      <c r="S9" s="22" t="s">
        <v>143</v>
      </c>
      <c r="T9" s="21"/>
      <c r="U9" s="21"/>
      <c r="V9" s="21"/>
      <c r="W9" s="21"/>
      <c r="X9" s="21"/>
      <c r="Y9" s="21"/>
      <c r="Z9" s="21"/>
      <c r="AA9" s="21"/>
      <c r="AB9" s="21"/>
      <c r="AC9" s="21"/>
      <c r="AD9" s="24"/>
      <c r="AE9" s="24"/>
      <c r="AF9" s="24"/>
      <c r="AG9" s="24"/>
      <c r="AH9" s="24"/>
      <c r="AI9" s="24"/>
      <c r="AJ9" s="24"/>
      <c r="AK9" s="24"/>
      <c r="AL9" s="21"/>
      <c r="AM9" s="21"/>
      <c r="AN9" s="21"/>
      <c r="AO9" s="24"/>
      <c r="AP9" s="24"/>
      <c r="AQ9" s="24"/>
      <c r="AR9" s="24"/>
      <c r="AS9" s="24"/>
      <c r="AT9" s="24"/>
      <c r="AU9" s="24"/>
      <c r="AV9" s="24"/>
      <c r="AW9" s="24"/>
      <c r="AX9" s="24"/>
      <c r="AY9" s="24"/>
      <c r="AZ9" s="24"/>
      <c r="BA9" s="24"/>
      <c r="BB9" s="24"/>
      <c r="BC9" s="24"/>
      <c r="BD9" s="23"/>
    </row>
    <row r="10" spans="1:57" x14ac:dyDescent="0.2">
      <c r="A10" s="18"/>
      <c r="B10" s="18"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142</v>
      </c>
      <c r="W10" s="17" t="s">
        <v>133</v>
      </c>
      <c r="X10" s="17" t="s">
        <v>37</v>
      </c>
      <c r="Y10" s="17" t="s">
        <v>142</v>
      </c>
      <c r="Z10" s="17" t="s">
        <v>133</v>
      </c>
      <c r="AA10" s="17" t="s">
        <v>49</v>
      </c>
      <c r="AB10" s="17" t="s">
        <v>142</v>
      </c>
      <c r="AC10" s="17" t="s">
        <v>133</v>
      </c>
      <c r="AD10" s="17" t="s">
        <v>5</v>
      </c>
      <c r="AE10" s="17" t="s">
        <v>142</v>
      </c>
      <c r="AF10" s="17" t="s">
        <v>133</v>
      </c>
      <c r="AG10" s="17" t="s">
        <v>6</v>
      </c>
      <c r="AH10" s="17" t="s">
        <v>142</v>
      </c>
      <c r="AI10" s="17" t="s">
        <v>133</v>
      </c>
      <c r="AJ10" s="17" t="s">
        <v>7</v>
      </c>
      <c r="AK10" s="17" t="s">
        <v>142</v>
      </c>
      <c r="AL10" s="17" t="s">
        <v>133</v>
      </c>
      <c r="AM10" s="17" t="s">
        <v>8</v>
      </c>
      <c r="AN10" s="17" t="s">
        <v>142</v>
      </c>
      <c r="AO10" s="17" t="s">
        <v>133</v>
      </c>
      <c r="AP10" s="17" t="s">
        <v>9</v>
      </c>
      <c r="AQ10" s="17" t="s">
        <v>142</v>
      </c>
      <c r="AR10" s="17" t="s">
        <v>133</v>
      </c>
      <c r="AS10" s="17" t="s">
        <v>10</v>
      </c>
      <c r="AT10" s="17" t="s">
        <v>142</v>
      </c>
      <c r="AU10" s="17" t="s">
        <v>133</v>
      </c>
      <c r="AV10" s="17" t="s">
        <v>11</v>
      </c>
      <c r="AW10" s="17" t="s">
        <v>142</v>
      </c>
      <c r="AX10" s="17" t="s">
        <v>133</v>
      </c>
      <c r="AY10" s="17" t="s">
        <v>130</v>
      </c>
      <c r="AZ10" s="17" t="s">
        <v>142</v>
      </c>
      <c r="BA10" s="17" t="s">
        <v>133</v>
      </c>
      <c r="BB10" s="17" t="s">
        <v>12</v>
      </c>
      <c r="BC10" s="17" t="s">
        <v>142</v>
      </c>
      <c r="BD10" s="19" t="s">
        <v>133</v>
      </c>
      <c r="BE10" s="16"/>
    </row>
    <row r="11" spans="1:57" x14ac:dyDescent="0.2">
      <c r="A11" s="15"/>
      <c r="B11" s="15" t="s">
        <v>126</v>
      </c>
      <c r="C11" s="14" t="s">
        <v>3</v>
      </c>
      <c r="D11" s="14">
        <v>22.544319152832031</v>
      </c>
      <c r="E11" s="14">
        <f>D11-24.84462</f>
        <v>-2.3003008471679678</v>
      </c>
      <c r="F11" s="14">
        <f>POWER(2,-E11)</f>
        <v>4.925604689366847</v>
      </c>
      <c r="G11" s="14">
        <v>79.007034301757813</v>
      </c>
      <c r="H11" s="14" t="s">
        <v>24</v>
      </c>
      <c r="I11" s="14" t="s">
        <v>25</v>
      </c>
      <c r="J11" s="14">
        <v>16.57539176940918</v>
      </c>
      <c r="K11" s="14">
        <f>J11-18.31352</f>
        <v>-1.7381282305908208</v>
      </c>
      <c r="L11" s="14">
        <f>POWER(2,-K11)</f>
        <v>3.3360206765559592</v>
      </c>
      <c r="M11" s="14">
        <v>78.600692749023438</v>
      </c>
      <c r="N11" s="14" t="s">
        <v>24</v>
      </c>
      <c r="O11" s="13" t="s">
        <v>25</v>
      </c>
      <c r="R11" s="14"/>
      <c r="S11" s="15"/>
      <c r="T11" s="14" t="s">
        <v>117</v>
      </c>
      <c r="U11" s="14">
        <v>4.925604689366847</v>
      </c>
      <c r="V11" s="14">
        <f>U11/U11</f>
        <v>1</v>
      </c>
      <c r="W11" s="14">
        <f>AVERAGE(V11:V16)</f>
        <v>1</v>
      </c>
      <c r="X11" s="14">
        <v>0.13157590554178428</v>
      </c>
      <c r="Y11" s="14">
        <f>X11/X11</f>
        <v>1</v>
      </c>
      <c r="Z11" s="14">
        <f>AVERAGE(Y11:Y16)</f>
        <v>1</v>
      </c>
      <c r="AA11" s="14">
        <v>0.10008850800511453</v>
      </c>
      <c r="AB11" s="14">
        <f>AA11/AA11</f>
        <v>1</v>
      </c>
      <c r="AC11" s="14">
        <f>AVERAGE(AB11:AB16)</f>
        <v>1</v>
      </c>
      <c r="AD11" s="14">
        <v>0.17716792346908986</v>
      </c>
      <c r="AE11" s="14">
        <f>AD11/AD11</f>
        <v>1</v>
      </c>
      <c r="AF11" s="14">
        <f>AVERAGE(AE11:AE16)</f>
        <v>1</v>
      </c>
      <c r="AG11" s="14">
        <v>1.8996276277347066</v>
      </c>
      <c r="AH11" s="14">
        <f>AG11/AG11</f>
        <v>1</v>
      </c>
      <c r="AI11" s="14">
        <f>AVERAGE(AH11:AH16)</f>
        <v>1</v>
      </c>
      <c r="AJ11" s="14">
        <v>0.13525670422179947</v>
      </c>
      <c r="AK11" s="14">
        <f>AJ11/AJ11</f>
        <v>1</v>
      </c>
      <c r="AL11" s="14">
        <f>AVERAGE(AK11:AK16)</f>
        <v>1</v>
      </c>
      <c r="AM11" s="14">
        <v>5.302525763185443</v>
      </c>
      <c r="AN11" s="14">
        <f>AM11/AM11</f>
        <v>1</v>
      </c>
      <c r="AO11" s="14">
        <f>AVERAGE(AN11:AN16)</f>
        <v>1</v>
      </c>
      <c r="AP11" s="14">
        <v>1.5968550660861995E-2</v>
      </c>
      <c r="AQ11" s="14">
        <f>AP11/AP11</f>
        <v>1</v>
      </c>
      <c r="AR11" s="14">
        <f>AVERAGE(AQ11:AQ16)</f>
        <v>1</v>
      </c>
      <c r="AS11" s="14">
        <v>0.24276645574562639</v>
      </c>
      <c r="AT11" s="14">
        <f>AS11/AS11</f>
        <v>1</v>
      </c>
      <c r="AU11" s="14">
        <f>AVERAGE(AT11:AT16)</f>
        <v>1</v>
      </c>
      <c r="AV11" s="14">
        <v>1.2676735302837132</v>
      </c>
      <c r="AW11" s="14">
        <f>AV11/AV11</f>
        <v>1</v>
      </c>
      <c r="AX11" s="14">
        <f>AVERAGE(AW11:AW16)</f>
        <v>1</v>
      </c>
      <c r="AY11" s="14">
        <v>7.4069278555632487E-2</v>
      </c>
      <c r="AZ11" s="14">
        <f>AY11/AY11</f>
        <v>1</v>
      </c>
      <c r="BA11" s="14">
        <f>AVERAGE(AZ11:AZ16)</f>
        <v>1</v>
      </c>
      <c r="BB11" s="14">
        <v>0.92542823946692554</v>
      </c>
      <c r="BC11" s="14">
        <f>BB11/BB11</f>
        <v>1</v>
      </c>
      <c r="BD11" s="13">
        <f>AVERAGE(BC11:BC16)</f>
        <v>1</v>
      </c>
    </row>
    <row r="12" spans="1:57" x14ac:dyDescent="0.2">
      <c r="A12" s="15"/>
      <c r="B12" s="15" t="s">
        <v>126</v>
      </c>
      <c r="C12" s="14" t="s">
        <v>3</v>
      </c>
      <c r="D12" s="14">
        <v>22.486080169677734</v>
      </c>
      <c r="E12" s="14">
        <f t="shared" ref="E12:E13" si="0">D12-24.84462</f>
        <v>-2.3585398303222647</v>
      </c>
      <c r="F12" s="14">
        <f t="shared" ref="F12:F46" si="1">POWER(2,-E12)</f>
        <v>5.1285103332244368</v>
      </c>
      <c r="G12" s="14">
        <v>79.156219482421875</v>
      </c>
      <c r="H12" s="14" t="s">
        <v>24</v>
      </c>
      <c r="I12" s="14" t="s">
        <v>25</v>
      </c>
      <c r="J12" s="14">
        <v>16.588260650634766</v>
      </c>
      <c r="K12" s="14">
        <f t="shared" ref="K12:K13" si="2">J12-18.31352</f>
        <v>-1.7252593493652348</v>
      </c>
      <c r="L12" s="14">
        <f t="shared" ref="L12:L46" si="3">POWER(2,-K12)</f>
        <v>3.3063956009429121</v>
      </c>
      <c r="M12" s="14">
        <v>78.600692749023438</v>
      </c>
      <c r="N12" s="14" t="s">
        <v>24</v>
      </c>
      <c r="O12" s="13" t="s">
        <v>25</v>
      </c>
      <c r="R12" s="14"/>
      <c r="S12" s="15"/>
      <c r="T12" s="14" t="s">
        <v>117</v>
      </c>
      <c r="U12" s="14">
        <v>5.1285103332244368</v>
      </c>
      <c r="V12" s="14">
        <f t="shared" ref="V12:V16" si="4">U12/U12</f>
        <v>1</v>
      </c>
      <c r="W12" s="14">
        <f>STDEV(V11:V16)</f>
        <v>0</v>
      </c>
      <c r="X12" s="14">
        <v>0.13417292399958652</v>
      </c>
      <c r="Y12" s="14">
        <f t="shared" ref="Y12:Y16" si="5">X12/X12</f>
        <v>1</v>
      </c>
      <c r="Z12" s="14">
        <f>STDEV(Y11:Y16)</f>
        <v>0</v>
      </c>
      <c r="AA12" s="14">
        <v>0.11085269257946154</v>
      </c>
      <c r="AB12" s="14">
        <f t="shared" ref="AB12:AB16" si="6">AA12/AA12</f>
        <v>1</v>
      </c>
      <c r="AC12" s="14">
        <f>STDEV(AB11:AB16)</f>
        <v>0</v>
      </c>
      <c r="AD12" s="14">
        <v>0.17733664863043855</v>
      </c>
      <c r="AE12" s="14">
        <f t="shared" ref="AE12:AE15" si="7">AD12/AD12</f>
        <v>1</v>
      </c>
      <c r="AF12" s="14">
        <f>STDEV(AE11:AE16)</f>
        <v>0</v>
      </c>
      <c r="AG12" s="14">
        <v>1.4968725451879632</v>
      </c>
      <c r="AH12" s="14">
        <f t="shared" ref="AH12:AH15" si="8">AG12/AG12</f>
        <v>1</v>
      </c>
      <c r="AI12" s="14">
        <f>STDEV(AH11:AH16)</f>
        <v>0</v>
      </c>
      <c r="AJ12" s="14">
        <v>0.13406018364139602</v>
      </c>
      <c r="AK12" s="14">
        <f t="shared" ref="AK12:AK15" si="9">AJ12/AJ12</f>
        <v>1</v>
      </c>
      <c r="AL12" s="14">
        <f>STDEV(AK11:AK16)</f>
        <v>0</v>
      </c>
      <c r="AM12" s="14">
        <v>5.4550785962482662</v>
      </c>
      <c r="AN12" s="14">
        <f t="shared" ref="AN12:AN16" si="10">AM12/AM12</f>
        <v>1</v>
      </c>
      <c r="AO12" s="14">
        <f>STDEV(AN11:AN16)</f>
        <v>0</v>
      </c>
      <c r="AP12" s="14">
        <v>1.6195214995990605E-2</v>
      </c>
      <c r="AQ12" s="14">
        <f t="shared" ref="AQ12:AQ16" si="11">AP12/AP12</f>
        <v>1</v>
      </c>
      <c r="AR12" s="14">
        <f>STDEV(AQ11:AQ16)</f>
        <v>0</v>
      </c>
      <c r="AS12" s="14">
        <v>0.27052320173746958</v>
      </c>
      <c r="AT12" s="14">
        <f t="shared" ref="AT12:AT16" si="12">AS12/AS12</f>
        <v>1</v>
      </c>
      <c r="AU12" s="14">
        <f>STDEV(AT11:AT16)</f>
        <v>0</v>
      </c>
      <c r="AV12" s="14">
        <v>1.2958139446254009</v>
      </c>
      <c r="AW12" s="14">
        <f t="shared" ref="AW12:AW16" si="13">AV12/AV12</f>
        <v>1</v>
      </c>
      <c r="AX12" s="14">
        <f>STDEV(AW11:AW16)</f>
        <v>0</v>
      </c>
      <c r="AY12" s="14">
        <v>5.2243491701068581E-2</v>
      </c>
      <c r="AZ12" s="14">
        <f t="shared" ref="AZ12:AZ16" si="14">AY12/AY12</f>
        <v>1</v>
      </c>
      <c r="BA12" s="14">
        <f>STDEV(AZ11:AZ16)</f>
        <v>0</v>
      </c>
      <c r="BB12" s="14">
        <v>0.97486727211042412</v>
      </c>
      <c r="BC12" s="14">
        <f t="shared" ref="BC12:BC16" si="15">BB12/BB12</f>
        <v>1</v>
      </c>
      <c r="BD12" s="13">
        <f>STDEV(BC11:BC16)</f>
        <v>0</v>
      </c>
    </row>
    <row r="13" spans="1:57" x14ac:dyDescent="0.2">
      <c r="A13" s="15"/>
      <c r="B13" s="15" t="s">
        <v>126</v>
      </c>
      <c r="C13" s="14" t="s">
        <v>3</v>
      </c>
      <c r="D13" s="14">
        <v>22.468505859375</v>
      </c>
      <c r="E13" s="14">
        <f t="shared" si="0"/>
        <v>-2.376114140624999</v>
      </c>
      <c r="F13" s="14">
        <f t="shared" si="1"/>
        <v>5.1913657729146117</v>
      </c>
      <c r="G13" s="14">
        <v>79.004402160644531</v>
      </c>
      <c r="H13" s="14" t="s">
        <v>24</v>
      </c>
      <c r="I13" s="14" t="s">
        <v>25</v>
      </c>
      <c r="J13" s="14">
        <v>16.529352188110352</v>
      </c>
      <c r="K13" s="14">
        <f t="shared" si="2"/>
        <v>-1.7841678118896489</v>
      </c>
      <c r="L13" s="14">
        <f t="shared" si="3"/>
        <v>3.4441973533690895</v>
      </c>
      <c r="M13" s="14">
        <v>78.444503784179688</v>
      </c>
      <c r="N13" s="14" t="s">
        <v>24</v>
      </c>
      <c r="O13" s="13" t="s">
        <v>25</v>
      </c>
      <c r="R13" s="14"/>
      <c r="S13" s="15"/>
      <c r="T13" s="14" t="s">
        <v>117</v>
      </c>
      <c r="U13" s="14">
        <v>5.1913657729146117</v>
      </c>
      <c r="V13" s="14">
        <f t="shared" si="4"/>
        <v>1</v>
      </c>
      <c r="W13" s="14"/>
      <c r="X13" s="14">
        <v>0.14357334813274467</v>
      </c>
      <c r="Y13" s="14">
        <f t="shared" si="5"/>
        <v>1</v>
      </c>
      <c r="Z13" s="14"/>
      <c r="AA13" s="14">
        <v>0.10115539538951372</v>
      </c>
      <c r="AB13" s="14">
        <f t="shared" si="6"/>
        <v>1</v>
      </c>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3"/>
    </row>
    <row r="14" spans="1:57" x14ac:dyDescent="0.2">
      <c r="A14" s="15"/>
      <c r="B14" s="15" t="s">
        <v>127</v>
      </c>
      <c r="C14" s="14" t="s">
        <v>3</v>
      </c>
      <c r="D14" s="14">
        <v>18.518728256225586</v>
      </c>
      <c r="E14" s="14">
        <f>D14-20.82237</f>
        <v>-2.3036417437744134</v>
      </c>
      <c r="F14" s="14">
        <f t="shared" si="1"/>
        <v>4.9370242922755239</v>
      </c>
      <c r="G14" s="14">
        <v>78.855209350585938</v>
      </c>
      <c r="H14" s="14" t="s">
        <v>24</v>
      </c>
      <c r="I14" s="14" t="s">
        <v>25</v>
      </c>
      <c r="J14" s="14">
        <v>18.508148193359375</v>
      </c>
      <c r="K14" s="14">
        <f>J14-20.05365</f>
        <v>-1.5455018066406261</v>
      </c>
      <c r="L14" s="14">
        <f t="shared" si="3"/>
        <v>2.9190558350237721</v>
      </c>
      <c r="M14" s="14">
        <v>78.444503784179688</v>
      </c>
      <c r="N14" s="14" t="s">
        <v>24</v>
      </c>
      <c r="O14" s="13" t="s">
        <v>25</v>
      </c>
      <c r="R14" s="14"/>
      <c r="S14" s="15"/>
      <c r="T14" s="14" t="s">
        <v>117</v>
      </c>
      <c r="U14" s="14">
        <v>3.3360206765559592</v>
      </c>
      <c r="V14" s="14">
        <f t="shared" si="4"/>
        <v>1</v>
      </c>
      <c r="W14" s="14"/>
      <c r="X14" s="14">
        <v>0.10476310188466521</v>
      </c>
      <c r="Y14" s="14">
        <f t="shared" si="5"/>
        <v>1</v>
      </c>
      <c r="Z14" s="14"/>
      <c r="AA14" s="14">
        <v>0.11633553792089497</v>
      </c>
      <c r="AB14" s="14">
        <f t="shared" si="6"/>
        <v>1</v>
      </c>
      <c r="AC14" s="14"/>
      <c r="AD14" s="14">
        <v>0.30847336274471898</v>
      </c>
      <c r="AE14" s="14">
        <f t="shared" si="7"/>
        <v>1</v>
      </c>
      <c r="AF14" s="14"/>
      <c r="AG14" s="14">
        <v>0.10337318907858077</v>
      </c>
      <c r="AH14" s="14">
        <f t="shared" si="8"/>
        <v>1</v>
      </c>
      <c r="AI14" s="14"/>
      <c r="AJ14" s="14">
        <v>7.0956213554025593</v>
      </c>
      <c r="AK14" s="14">
        <f t="shared" si="9"/>
        <v>1</v>
      </c>
      <c r="AL14" s="14"/>
      <c r="AM14" s="14">
        <v>0.16092411380637331</v>
      </c>
      <c r="AN14" s="14">
        <f t="shared" si="10"/>
        <v>1</v>
      </c>
      <c r="AO14" s="14"/>
      <c r="AP14" s="14">
        <v>0.80824120545101563</v>
      </c>
      <c r="AQ14" s="14">
        <f t="shared" si="11"/>
        <v>1</v>
      </c>
      <c r="AR14" s="14"/>
      <c r="AS14" s="14">
        <v>1.4347142881543529</v>
      </c>
      <c r="AT14" s="14">
        <f t="shared" si="12"/>
        <v>1</v>
      </c>
      <c r="AU14" s="14"/>
      <c r="AV14" s="14">
        <v>1.3554503502789439</v>
      </c>
      <c r="AW14" s="14">
        <f t="shared" si="13"/>
        <v>1</v>
      </c>
      <c r="AX14" s="14"/>
      <c r="AY14" s="14">
        <v>7.8844175677206495E-3</v>
      </c>
      <c r="AZ14" s="14">
        <f t="shared" si="14"/>
        <v>1</v>
      </c>
      <c r="BA14" s="14"/>
      <c r="BB14" s="14">
        <v>1.1380752748516707</v>
      </c>
      <c r="BC14" s="14">
        <f t="shared" si="15"/>
        <v>1</v>
      </c>
      <c r="BD14" s="13"/>
    </row>
    <row r="15" spans="1:57" x14ac:dyDescent="0.2">
      <c r="A15" s="15"/>
      <c r="B15" s="15" t="s">
        <v>127</v>
      </c>
      <c r="C15" s="14" t="s">
        <v>3</v>
      </c>
      <c r="D15" s="14">
        <v>18.510866165161133</v>
      </c>
      <c r="E15" s="14">
        <f t="shared" ref="E15:E16" si="16">D15-20.82237</f>
        <v>-2.3115038348388666</v>
      </c>
      <c r="F15" s="14">
        <f t="shared" si="1"/>
        <v>4.9640024751984528</v>
      </c>
      <c r="G15" s="14">
        <v>78.854293823242188</v>
      </c>
      <c r="H15" s="14" t="s">
        <v>24</v>
      </c>
      <c r="I15" s="14" t="s">
        <v>25</v>
      </c>
      <c r="J15" s="14">
        <v>18.458232879638672</v>
      </c>
      <c r="K15" s="14">
        <f t="shared" ref="K15:K16" si="17">J15-20.05365</f>
        <v>-1.5954171203613292</v>
      </c>
      <c r="L15" s="14">
        <f t="shared" si="3"/>
        <v>3.021818730600494</v>
      </c>
      <c r="M15" s="14">
        <v>78.445831298828125</v>
      </c>
      <c r="N15" s="14" t="s">
        <v>24</v>
      </c>
      <c r="O15" s="13" t="s">
        <v>25</v>
      </c>
      <c r="R15" s="14"/>
      <c r="S15" s="15"/>
      <c r="T15" s="14" t="s">
        <v>117</v>
      </c>
      <c r="U15" s="14">
        <v>3.3063956009429121</v>
      </c>
      <c r="V15" s="14">
        <f t="shared" si="4"/>
        <v>1</v>
      </c>
      <c r="W15" s="14"/>
      <c r="X15" s="14">
        <v>0.10629384879220068</v>
      </c>
      <c r="Y15" s="14">
        <f t="shared" si="5"/>
        <v>1</v>
      </c>
      <c r="Z15" s="14"/>
      <c r="AA15" s="14">
        <v>0.11625374290182623</v>
      </c>
      <c r="AB15" s="14">
        <f t="shared" si="6"/>
        <v>1</v>
      </c>
      <c r="AC15" s="14"/>
      <c r="AD15" s="14">
        <v>0.32908735130703565</v>
      </c>
      <c r="AE15" s="14">
        <f t="shared" si="7"/>
        <v>1</v>
      </c>
      <c r="AF15" s="14"/>
      <c r="AG15" s="14">
        <v>9.5134121433195232E-2</v>
      </c>
      <c r="AH15" s="14">
        <f t="shared" si="8"/>
        <v>1</v>
      </c>
      <c r="AI15" s="14"/>
      <c r="AJ15" s="14">
        <v>6.6652323467966434</v>
      </c>
      <c r="AK15" s="14">
        <f t="shared" si="9"/>
        <v>1</v>
      </c>
      <c r="AL15" s="14"/>
      <c r="AM15" s="14">
        <v>0.16263882958071749</v>
      </c>
      <c r="AN15" s="14">
        <f t="shared" si="10"/>
        <v>1</v>
      </c>
      <c r="AO15" s="14"/>
      <c r="AP15" s="14">
        <v>0.8323740801948627</v>
      </c>
      <c r="AQ15" s="14">
        <f t="shared" si="11"/>
        <v>1</v>
      </c>
      <c r="AR15" s="14"/>
      <c r="AS15" s="14">
        <v>1.419212656416774</v>
      </c>
      <c r="AT15" s="14">
        <f t="shared" si="12"/>
        <v>1</v>
      </c>
      <c r="AU15" s="14"/>
      <c r="AV15" s="14">
        <v>1.3559199368483585</v>
      </c>
      <c r="AW15" s="14">
        <f t="shared" si="13"/>
        <v>1</v>
      </c>
      <c r="AX15" s="14"/>
      <c r="AY15" s="14">
        <v>8.097183059117434E-3</v>
      </c>
      <c r="AZ15" s="14">
        <f t="shared" si="14"/>
        <v>1</v>
      </c>
      <c r="BA15" s="14"/>
      <c r="BB15" s="14">
        <v>1.0995719252606813</v>
      </c>
      <c r="BC15" s="14">
        <f t="shared" si="15"/>
        <v>1</v>
      </c>
      <c r="BD15" s="13"/>
    </row>
    <row r="16" spans="1:57" x14ac:dyDescent="0.2">
      <c r="A16" s="15"/>
      <c r="B16" s="15" t="s">
        <v>127</v>
      </c>
      <c r="C16" s="14" t="s">
        <v>3</v>
      </c>
      <c r="D16" s="14">
        <v>18.481203079223633</v>
      </c>
      <c r="E16" s="14">
        <f t="shared" si="16"/>
        <v>-2.3411669207763666</v>
      </c>
      <c r="F16" s="14">
        <f t="shared" si="1"/>
        <v>5.0671232505106234</v>
      </c>
      <c r="G16" s="14">
        <v>79.003456115722656</v>
      </c>
      <c r="H16" s="14" t="s">
        <v>24</v>
      </c>
      <c r="I16" s="14" t="s">
        <v>25</v>
      </c>
      <c r="J16" s="14">
        <v>18.431598663330078</v>
      </c>
      <c r="K16" s="14">
        <f t="shared" si="17"/>
        <v>-1.622051336669923</v>
      </c>
      <c r="L16" s="14">
        <f t="shared" si="3"/>
        <v>3.0781239699300538</v>
      </c>
      <c r="M16" s="14">
        <v>78.445831298828125</v>
      </c>
      <c r="N16" s="14" t="s">
        <v>24</v>
      </c>
      <c r="O16" s="13" t="s">
        <v>25</v>
      </c>
      <c r="R16" s="14"/>
      <c r="S16" s="15"/>
      <c r="T16" s="14" t="s">
        <v>117</v>
      </c>
      <c r="U16" s="14">
        <v>3.4441973533690895</v>
      </c>
      <c r="V16" s="14">
        <f t="shared" si="4"/>
        <v>1</v>
      </c>
      <c r="W16" s="14"/>
      <c r="X16" s="14">
        <v>0.10355365235206242</v>
      </c>
      <c r="Y16" s="14">
        <f t="shared" si="5"/>
        <v>1</v>
      </c>
      <c r="Z16" s="14"/>
      <c r="AA16" s="14">
        <v>0.11870516887254413</v>
      </c>
      <c r="AB16" s="14">
        <f t="shared" si="6"/>
        <v>1</v>
      </c>
      <c r="AC16" s="14"/>
      <c r="AD16" s="14"/>
      <c r="AE16" s="14"/>
      <c r="AF16" s="14"/>
      <c r="AG16" s="14"/>
      <c r="AH16" s="14"/>
      <c r="AI16" s="14"/>
      <c r="AJ16" s="14"/>
      <c r="AK16" s="14"/>
      <c r="AL16" s="14"/>
      <c r="AM16" s="14">
        <v>0.16121457136464348</v>
      </c>
      <c r="AN16" s="14">
        <f t="shared" si="10"/>
        <v>1</v>
      </c>
      <c r="AO16" s="14"/>
      <c r="AP16" s="14">
        <v>0.8329641355653622</v>
      </c>
      <c r="AQ16" s="14">
        <f t="shared" si="11"/>
        <v>1</v>
      </c>
      <c r="AR16" s="14"/>
      <c r="AS16" s="14">
        <v>1.4496989313688351</v>
      </c>
      <c r="AT16" s="14">
        <f t="shared" si="12"/>
        <v>1</v>
      </c>
      <c r="AU16" s="14"/>
      <c r="AV16" s="14">
        <v>1.3825457149266551</v>
      </c>
      <c r="AW16" s="14">
        <f t="shared" si="13"/>
        <v>1</v>
      </c>
      <c r="AX16" s="14"/>
      <c r="AY16" s="14">
        <v>8.3089096456823268E-3</v>
      </c>
      <c r="AZ16" s="14">
        <f t="shared" si="14"/>
        <v>1</v>
      </c>
      <c r="BA16" s="14"/>
      <c r="BB16" s="14">
        <v>1.1162417493093511</v>
      </c>
      <c r="BC16" s="14">
        <f t="shared" si="15"/>
        <v>1</v>
      </c>
      <c r="BD16" s="13"/>
    </row>
    <row r="17" spans="1:56" x14ac:dyDescent="0.2">
      <c r="A17" s="15"/>
      <c r="B17" s="15" t="s">
        <v>128</v>
      </c>
      <c r="C17" s="14" t="s">
        <v>3</v>
      </c>
      <c r="D17" s="14">
        <v>19.558521270751953</v>
      </c>
      <c r="E17" s="14">
        <f>D17-22.00185</f>
        <v>-2.4433287292480479</v>
      </c>
      <c r="F17" s="14">
        <f t="shared" si="1"/>
        <v>5.4389521338482529</v>
      </c>
      <c r="G17" s="14">
        <v>78.8531494140625</v>
      </c>
      <c r="H17" s="14" t="s">
        <v>24</v>
      </c>
      <c r="I17" s="14" t="s">
        <v>25</v>
      </c>
      <c r="J17" s="14">
        <v>18.763769149780273</v>
      </c>
      <c r="K17" s="14">
        <f>J17-20.8619</f>
        <v>-2.0981308502197251</v>
      </c>
      <c r="L17" s="14">
        <f t="shared" si="3"/>
        <v>4.2815431054664392</v>
      </c>
      <c r="M17" s="14">
        <v>78.4444580078125</v>
      </c>
      <c r="N17" s="14" t="s">
        <v>24</v>
      </c>
      <c r="O17" s="13" t="s">
        <v>25</v>
      </c>
      <c r="R17" s="14"/>
      <c r="S17" s="15"/>
      <c r="T17" s="14" t="s">
        <v>4</v>
      </c>
      <c r="U17" s="14">
        <v>4.9370242922755239</v>
      </c>
      <c r="V17" s="14">
        <f>U17/U11</f>
        <v>1.0023184164440417</v>
      </c>
      <c r="W17" s="14">
        <f t="shared" ref="W17" si="18">AVERAGE(V17:V22)</f>
        <v>0.93816074548580086</v>
      </c>
      <c r="X17" s="14">
        <v>0.11988297064151417</v>
      </c>
      <c r="Y17" s="14">
        <f>X17/X11</f>
        <v>0.91113164030965521</v>
      </c>
      <c r="Z17" s="14">
        <f t="shared" ref="Z17" si="19">AVERAGE(Y17:Y22)</f>
        <v>0.97566399941936555</v>
      </c>
      <c r="AA17" s="14">
        <v>0.11249079682488149</v>
      </c>
      <c r="AB17" s="14">
        <f>AA17/AA11</f>
        <v>1.1239132150829265</v>
      </c>
      <c r="AC17" s="14">
        <f t="shared" ref="AC17" si="20">AVERAGE(AB17:AB22)</f>
        <v>1.0052310380931553</v>
      </c>
      <c r="AD17" s="14">
        <v>0.17291350747410461</v>
      </c>
      <c r="AE17" s="14">
        <f>AD17/AD11</f>
        <v>0.97598653350064524</v>
      </c>
      <c r="AF17" s="14">
        <f>AVERAGE(AE17:AE22)</f>
        <v>1.086433306005236</v>
      </c>
      <c r="AG17" s="14">
        <v>1.4076047219878898</v>
      </c>
      <c r="AH17" s="14">
        <f>AG17/AG11</f>
        <v>0.74098981370704164</v>
      </c>
      <c r="AI17" s="14">
        <f>AVERAGE(AH17:AH22)</f>
        <v>1.0054546230138872</v>
      </c>
      <c r="AJ17" s="14">
        <v>0.1327506176985864</v>
      </c>
      <c r="AK17" s="14">
        <f>AJ17/AJ11</f>
        <v>0.98147162805990384</v>
      </c>
      <c r="AL17" s="14">
        <f>AVERAGE(AK17:AK22)</f>
        <v>0.41538948641756229</v>
      </c>
      <c r="AM17" s="14">
        <v>4.0199930466311109</v>
      </c>
      <c r="AN17" s="14">
        <f>AM17/AM11</f>
        <v>0.75812796130878912</v>
      </c>
      <c r="AO17" s="14">
        <f>AVERAGE(AN17:AN22)</f>
        <v>0.91527767348780242</v>
      </c>
      <c r="AP17" s="14">
        <v>1.3918824459467011E-2</v>
      </c>
      <c r="AQ17" s="14">
        <f>AP17/AP11</f>
        <v>0.87163980971555888</v>
      </c>
      <c r="AR17" s="14">
        <f>AVERAGE(AQ17:AQ22)</f>
        <v>1.0640552669224352</v>
      </c>
      <c r="AS17" s="14">
        <v>0.28974048800094665</v>
      </c>
      <c r="AT17" s="14">
        <f>AS17/AS11</f>
        <v>1.1934947400827907</v>
      </c>
      <c r="AU17" s="14">
        <f>AVERAGE(AT17:AT22)</f>
        <v>0.96665964398076398</v>
      </c>
      <c r="AV17" s="14">
        <v>0.66262425982845696</v>
      </c>
      <c r="AW17" s="14">
        <f>AV17/AV11</f>
        <v>0.5227089183444239</v>
      </c>
      <c r="AX17" s="14">
        <f>AVERAGE(AW17:AW22)</f>
        <v>0.76501579039698608</v>
      </c>
      <c r="AY17" s="14">
        <v>9.2631308087937597E-2</v>
      </c>
      <c r="AZ17" s="14">
        <f>AY17/AY11</f>
        <v>1.2506036226390866</v>
      </c>
      <c r="BA17" s="14">
        <f>AVERAGE(AZ17:AZ22)</f>
        <v>1.1352957902950878</v>
      </c>
      <c r="BB17" s="14">
        <v>0.72030943984799989</v>
      </c>
      <c r="BC17" s="14">
        <f>BB17/BB11</f>
        <v>0.77835256060796221</v>
      </c>
      <c r="BD17" s="13">
        <f>AVERAGE(BC17:BC22)</f>
        <v>0.92607073172747256</v>
      </c>
    </row>
    <row r="18" spans="1:56" x14ac:dyDescent="0.2">
      <c r="A18" s="15"/>
      <c r="B18" s="15" t="s">
        <v>128</v>
      </c>
      <c r="C18" s="14" t="s">
        <v>3</v>
      </c>
      <c r="D18" s="14">
        <v>19.428960800170898</v>
      </c>
      <c r="E18" s="14">
        <f t="shared" ref="E18:E19" si="21">D18-22.00185</f>
        <v>-2.5728891998291026</v>
      </c>
      <c r="F18" s="14">
        <f t="shared" si="1"/>
        <v>5.9499980674232837</v>
      </c>
      <c r="G18" s="14">
        <v>78.8531494140625</v>
      </c>
      <c r="H18" s="14" t="s">
        <v>24</v>
      </c>
      <c r="I18" s="14" t="s">
        <v>25</v>
      </c>
      <c r="J18" s="14">
        <v>18.747024536132813</v>
      </c>
      <c r="K18" s="14">
        <f t="shared" ref="K18:K19" si="22">J18-20.8619</f>
        <v>-2.1148754638671861</v>
      </c>
      <c r="L18" s="14">
        <f t="shared" si="3"/>
        <v>4.3315262605212315</v>
      </c>
      <c r="M18" s="14">
        <v>78.4444580078125</v>
      </c>
      <c r="N18" s="14" t="s">
        <v>24</v>
      </c>
      <c r="O18" s="13" t="s">
        <v>25</v>
      </c>
      <c r="R18" s="14"/>
      <c r="S18" s="15"/>
      <c r="T18" s="14" t="s">
        <v>4</v>
      </c>
      <c r="U18" s="14">
        <v>4.9640024751984528</v>
      </c>
      <c r="V18" s="14">
        <f t="shared" ref="V18:V22" si="23">U18/U12</f>
        <v>0.96792287675424193</v>
      </c>
      <c r="W18" s="14">
        <f t="shared" ref="W18" si="24">STDEV(V17:V22)</f>
        <v>5.0969451197126169E-2</v>
      </c>
      <c r="X18" s="14">
        <v>0.12119321729583517</v>
      </c>
      <c r="Y18" s="14">
        <f t="shared" ref="Y18:Y22" si="25">X18/X12</f>
        <v>0.90326135618993175</v>
      </c>
      <c r="Z18" s="14">
        <f t="shared" ref="Z18" si="26">STDEV(Y17:Y22)</f>
        <v>0.10810843211640514</v>
      </c>
      <c r="AA18" s="14">
        <v>0.11293321745201745</v>
      </c>
      <c r="AB18" s="14">
        <f t="shared" ref="AB18:AB22" si="27">AA18/AA12</f>
        <v>1.0187683747155221</v>
      </c>
      <c r="AC18" s="14">
        <f t="shared" ref="AC18" si="28">STDEV(AB17:AB22)</f>
        <v>0.11276155504896342</v>
      </c>
      <c r="AD18" s="14">
        <v>0.17789314079034635</v>
      </c>
      <c r="AE18" s="14">
        <f t="shared" ref="AE18:AE21" si="29">AD18/AD12</f>
        <v>1.0031380550168596</v>
      </c>
      <c r="AF18" s="14">
        <f>STDEV(AE17:AE22)</f>
        <v>9.6970381976501749E-2</v>
      </c>
      <c r="AG18" s="14">
        <v>1.3520372340032205</v>
      </c>
      <c r="AH18" s="14">
        <f t="shared" ref="AH18:AH21" si="30">AG18/AG12</f>
        <v>0.90324138708379098</v>
      </c>
      <c r="AI18" s="14">
        <f>STDEV(AH17:AH22)</f>
        <v>0.17981747255987096</v>
      </c>
      <c r="AJ18" s="14">
        <v>0.13102910619922409</v>
      </c>
      <c r="AK18" s="14">
        <f t="shared" ref="AK18:AK21" si="31">AJ18/AJ12</f>
        <v>0.97739017387683202</v>
      </c>
      <c r="AL18" s="14">
        <f>STDEV(AK17:AK22)</f>
        <v>0.5148993319269568</v>
      </c>
      <c r="AM18" s="14">
        <v>4.2231234107900875</v>
      </c>
      <c r="AN18" s="14">
        <f t="shared" ref="AN18:AN21" si="32">AM18/AM12</f>
        <v>0.77416362317759146</v>
      </c>
      <c r="AO18" s="14">
        <f>STDEV(AN17:AN22)</f>
        <v>0.1365516140705311</v>
      </c>
      <c r="AP18" s="14">
        <v>1.4200984237366782E-2</v>
      </c>
      <c r="AQ18" s="14">
        <f t="shared" ref="AQ18:AQ21" si="33">AP18/AP12</f>
        <v>0.87686296482525683</v>
      </c>
      <c r="AR18" s="14">
        <f>STDEV(AQ17:AQ22)</f>
        <v>0.17371700357997136</v>
      </c>
      <c r="AS18" s="14">
        <v>0.29350918108452617</v>
      </c>
      <c r="AT18" s="14">
        <f t="shared" ref="AT18:AT21" si="34">AS18/AS12</f>
        <v>1.0849686060176216</v>
      </c>
      <c r="AU18" s="14">
        <f>STDEV(AT17:AT22)</f>
        <v>0.16240108209001813</v>
      </c>
      <c r="AV18" s="14">
        <v>0.69091720212396168</v>
      </c>
      <c r="AW18" s="14">
        <f t="shared" ref="AW18:AW21" si="35">AV18/AV12</f>
        <v>0.5331916707561708</v>
      </c>
      <c r="AX18" s="14">
        <f>STDEV(AW17:AW22)</f>
        <v>0.2169797316258287</v>
      </c>
      <c r="AY18" s="14">
        <v>8.9114627293495952E-2</v>
      </c>
      <c r="AZ18" s="14">
        <f t="shared" ref="AZ18:AZ21" si="36">AY18/AY12</f>
        <v>1.7057555762811545</v>
      </c>
      <c r="BA18" s="14">
        <f>STDEV(AZ17:AZ22)</f>
        <v>0.35414985721315151</v>
      </c>
      <c r="BB18" s="14">
        <v>0.72317393077255521</v>
      </c>
      <c r="BC18" s="14">
        <f t="shared" ref="BC18:BC21" si="37">BB18/BB12</f>
        <v>0.74181783660354594</v>
      </c>
      <c r="BD18" s="13">
        <f>STDEV(BC17:BC22)</f>
        <v>0.15236563644291815</v>
      </c>
    </row>
    <row r="19" spans="1:56" x14ac:dyDescent="0.2">
      <c r="A19" s="15"/>
      <c r="B19" s="15" t="s">
        <v>128</v>
      </c>
      <c r="C19" s="14" t="s">
        <v>3</v>
      </c>
      <c r="D19" s="14">
        <v>19.448932647705078</v>
      </c>
      <c r="E19" s="14">
        <f t="shared" si="21"/>
        <v>-2.5529173522949229</v>
      </c>
      <c r="F19" s="14">
        <f t="shared" si="1"/>
        <v>5.8681971954878449</v>
      </c>
      <c r="G19" s="14">
        <v>79.000381469726563</v>
      </c>
      <c r="H19" s="14" t="s">
        <v>24</v>
      </c>
      <c r="I19" s="14" t="s">
        <v>25</v>
      </c>
      <c r="J19" s="14">
        <v>18.681264877319336</v>
      </c>
      <c r="K19" s="14">
        <f t="shared" si="22"/>
        <v>-2.1806351226806626</v>
      </c>
      <c r="L19" s="14">
        <f t="shared" si="3"/>
        <v>4.5335309140968381</v>
      </c>
      <c r="M19" s="14">
        <v>78.592071533203125</v>
      </c>
      <c r="N19" s="14" t="s">
        <v>24</v>
      </c>
      <c r="O19" s="13" t="s">
        <v>25</v>
      </c>
      <c r="R19" s="14"/>
      <c r="S19" s="15"/>
      <c r="T19" s="14" t="s">
        <v>4</v>
      </c>
      <c r="U19" s="14">
        <v>5.0671232505106234</v>
      </c>
      <c r="V19" s="14">
        <f t="shared" si="23"/>
        <v>0.97606746897854701</v>
      </c>
      <c r="W19" s="14"/>
      <c r="X19" s="14">
        <v>0.11889929345024024</v>
      </c>
      <c r="Y19" s="14">
        <f t="shared" si="25"/>
        <v>0.82814321039799565</v>
      </c>
      <c r="Z19" s="14"/>
      <c r="AA19" s="14">
        <v>0.11659451639526187</v>
      </c>
      <c r="AB19" s="14">
        <f t="shared" si="27"/>
        <v>1.1526277560015217</v>
      </c>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3"/>
    </row>
    <row r="20" spans="1:56" x14ac:dyDescent="0.2">
      <c r="A20" s="15"/>
      <c r="B20" s="15" t="s">
        <v>129</v>
      </c>
      <c r="C20" s="14" t="s">
        <v>3</v>
      </c>
      <c r="D20" s="14">
        <v>22.444530487060547</v>
      </c>
      <c r="E20" s="14">
        <f>D20-24.98092</f>
        <v>-2.5363895129394542</v>
      </c>
      <c r="F20" s="14">
        <f t="shared" si="1"/>
        <v>5.8013534263178714</v>
      </c>
      <c r="G20" s="14">
        <v>79.000381469726563</v>
      </c>
      <c r="H20" s="14" t="s">
        <v>24</v>
      </c>
      <c r="I20" s="14" t="s">
        <v>25</v>
      </c>
      <c r="J20" s="14">
        <v>18.410255432128906</v>
      </c>
      <c r="K20" s="14">
        <f>J20-20.31398</f>
        <v>-1.9037245678710946</v>
      </c>
      <c r="L20" s="14">
        <f t="shared" si="3"/>
        <v>3.7417795612717026</v>
      </c>
      <c r="M20" s="14">
        <v>78.592071533203125</v>
      </c>
      <c r="N20" s="14" t="s">
        <v>24</v>
      </c>
      <c r="O20" s="13" t="s">
        <v>25</v>
      </c>
      <c r="R20" s="14"/>
      <c r="S20" s="15"/>
      <c r="T20" s="14" t="s">
        <v>4</v>
      </c>
      <c r="U20" s="14">
        <v>2.9190558350237721</v>
      </c>
      <c r="V20" s="14">
        <f t="shared" si="23"/>
        <v>0.87501131378998132</v>
      </c>
      <c r="W20" s="14"/>
      <c r="X20" s="14">
        <v>0.11217940936667783</v>
      </c>
      <c r="Y20" s="14">
        <f t="shared" si="25"/>
        <v>1.0707912170277023</v>
      </c>
      <c r="Z20" s="14"/>
      <c r="AA20" s="14">
        <v>0.10255868013526494</v>
      </c>
      <c r="AB20" s="14">
        <f t="shared" si="27"/>
        <v>0.88157653257254953</v>
      </c>
      <c r="AC20" s="14"/>
      <c r="AD20" s="14">
        <v>0.37303987345124134</v>
      </c>
      <c r="AE20" s="14">
        <f t="shared" si="29"/>
        <v>1.2093098416408654</v>
      </c>
      <c r="AF20" s="14"/>
      <c r="AG20" s="14">
        <v>0.11121522879154706</v>
      </c>
      <c r="AH20" s="14">
        <f t="shared" si="30"/>
        <v>1.0758614470818448</v>
      </c>
      <c r="AI20" s="14"/>
      <c r="AJ20" s="14">
        <v>0.27379861892407636</v>
      </c>
      <c r="AK20" s="14">
        <f t="shared" si="31"/>
        <v>3.858698276164467E-2</v>
      </c>
      <c r="AL20" s="14"/>
      <c r="AM20" s="14">
        <v>0.16144957176487776</v>
      </c>
      <c r="AN20" s="14">
        <f t="shared" si="32"/>
        <v>1.0032652530815656</v>
      </c>
      <c r="AO20" s="14"/>
      <c r="AP20" s="14">
        <v>0.96968301256219458</v>
      </c>
      <c r="AQ20" s="14">
        <f t="shared" si="33"/>
        <v>1.1997445886480027</v>
      </c>
      <c r="AR20" s="14"/>
      <c r="AS20" s="14">
        <v>1.2233634983742301</v>
      </c>
      <c r="AT20" s="14">
        <f t="shared" si="34"/>
        <v>0.8526878894807628</v>
      </c>
      <c r="AU20" s="14"/>
      <c r="AV20" s="14">
        <v>1.2238892586003063</v>
      </c>
      <c r="AW20" s="14">
        <f t="shared" si="35"/>
        <v>0.90293920271475592</v>
      </c>
      <c r="AX20" s="14"/>
      <c r="AY20" s="14">
        <v>7.6552063610558401E-3</v>
      </c>
      <c r="AZ20" s="14">
        <f t="shared" si="36"/>
        <v>0.97092858100220159</v>
      </c>
      <c r="BA20" s="14"/>
      <c r="BB20" s="14">
        <v>1.1679230739837894</v>
      </c>
      <c r="BC20" s="14">
        <f t="shared" si="37"/>
        <v>1.0262265596939613</v>
      </c>
      <c r="BD20" s="13"/>
    </row>
    <row r="21" spans="1:56" x14ac:dyDescent="0.2">
      <c r="A21" s="15"/>
      <c r="B21" s="15" t="s">
        <v>129</v>
      </c>
      <c r="C21" s="14" t="s">
        <v>3</v>
      </c>
      <c r="D21" s="14">
        <v>22.433540344238281</v>
      </c>
      <c r="E21" s="14">
        <f t="shared" ref="E21:E22" si="38">D21-24.98092</f>
        <v>-2.5473796557617199</v>
      </c>
      <c r="F21" s="14">
        <f t="shared" si="1"/>
        <v>5.8457156546573152</v>
      </c>
      <c r="G21" s="14">
        <v>79.000648498535156</v>
      </c>
      <c r="H21" s="14" t="s">
        <v>24</v>
      </c>
      <c r="I21" s="14" t="s">
        <v>25</v>
      </c>
      <c r="J21" s="14">
        <v>18.386690139770508</v>
      </c>
      <c r="K21" s="14">
        <f t="shared" ref="K21:K22" si="39">J21-20.31398</f>
        <v>-1.927289860229493</v>
      </c>
      <c r="L21" s="14">
        <f t="shared" si="3"/>
        <v>3.8034004914137851</v>
      </c>
      <c r="M21" s="14">
        <v>78.446243286132813</v>
      </c>
      <c r="N21" s="14" t="s">
        <v>24</v>
      </c>
      <c r="O21" s="13" t="s">
        <v>25</v>
      </c>
      <c r="R21" s="14"/>
      <c r="S21" s="15"/>
      <c r="T21" s="14" t="s">
        <v>4</v>
      </c>
      <c r="U21" s="14">
        <v>3.021818730600494</v>
      </c>
      <c r="V21" s="14">
        <f t="shared" si="23"/>
        <v>0.91393139094993259</v>
      </c>
      <c r="W21" s="14"/>
      <c r="X21" s="14">
        <v>0.11506324627839827</v>
      </c>
      <c r="Y21" s="14">
        <f t="shared" si="25"/>
        <v>1.0825014578533263</v>
      </c>
      <c r="Z21" s="14"/>
      <c r="AA21" s="14">
        <v>0.10872946586576326</v>
      </c>
      <c r="AB21" s="14">
        <f t="shared" si="27"/>
        <v>0.93527712013180464</v>
      </c>
      <c r="AC21" s="14"/>
      <c r="AD21" s="14">
        <v>0.36234078255059299</v>
      </c>
      <c r="AE21" s="14">
        <f t="shared" si="29"/>
        <v>1.1010474304511697</v>
      </c>
      <c r="AF21" s="14"/>
      <c r="AG21" s="14">
        <v>0.10906415998149395</v>
      </c>
      <c r="AH21" s="14">
        <f t="shared" si="30"/>
        <v>1.1464252608679486</v>
      </c>
      <c r="AI21" s="14"/>
      <c r="AJ21" s="14">
        <v>0.26766154146570059</v>
      </c>
      <c r="AK21" s="14">
        <f t="shared" si="31"/>
        <v>4.0157871104724588E-2</v>
      </c>
      <c r="AL21" s="14"/>
      <c r="AM21" s="14">
        <v>0.16466670595349028</v>
      </c>
      <c r="AN21" s="14">
        <f t="shared" si="32"/>
        <v>1.0124685868559227</v>
      </c>
      <c r="AO21" s="14"/>
      <c r="AP21" s="14">
        <v>1.0001835324636117</v>
      </c>
      <c r="AQ21" s="14">
        <f t="shared" si="33"/>
        <v>1.2016034091660615</v>
      </c>
      <c r="AR21" s="14"/>
      <c r="AS21" s="14">
        <v>1.2262328488116776</v>
      </c>
      <c r="AT21" s="14">
        <f t="shared" si="34"/>
        <v>0.8640233324212796</v>
      </c>
      <c r="AU21" s="14"/>
      <c r="AV21" s="14">
        <v>1.2825237449677065</v>
      </c>
      <c r="AW21" s="14">
        <f t="shared" si="35"/>
        <v>0.94586981879531107</v>
      </c>
      <c r="AX21" s="14"/>
      <c r="AY21" s="14">
        <v>7.0546325403744326E-3</v>
      </c>
      <c r="AZ21" s="14">
        <f t="shared" si="36"/>
        <v>0.87124528232456244</v>
      </c>
      <c r="BA21" s="14"/>
      <c r="BB21" s="14">
        <v>1.1564761439004407</v>
      </c>
      <c r="BC21" s="14">
        <f t="shared" si="37"/>
        <v>1.0517512473104194</v>
      </c>
      <c r="BD21" s="13"/>
    </row>
    <row r="22" spans="1:56" x14ac:dyDescent="0.2">
      <c r="A22" s="15"/>
      <c r="B22" s="15" t="s">
        <v>129</v>
      </c>
      <c r="C22" s="14" t="s">
        <v>3</v>
      </c>
      <c r="D22" s="14">
        <v>22.482671737670898</v>
      </c>
      <c r="E22" s="14">
        <f t="shared" si="38"/>
        <v>-2.4982482623291027</v>
      </c>
      <c r="F22" s="14">
        <f t="shared" si="1"/>
        <v>5.6499897973174669</v>
      </c>
      <c r="G22" s="14">
        <v>79.000648498535156</v>
      </c>
      <c r="H22" s="14" t="s">
        <v>24</v>
      </c>
      <c r="I22" s="14" t="s">
        <v>25</v>
      </c>
      <c r="J22" s="14">
        <v>18.443708419799805</v>
      </c>
      <c r="K22" s="14">
        <f t="shared" si="39"/>
        <v>-1.8702715802001961</v>
      </c>
      <c r="L22" s="14">
        <f t="shared" si="3"/>
        <v>3.6560139626754786</v>
      </c>
      <c r="M22" s="14">
        <v>78.446243286132813</v>
      </c>
      <c r="N22" s="14" t="s">
        <v>24</v>
      </c>
      <c r="O22" s="13" t="s">
        <v>25</v>
      </c>
      <c r="R22" s="14"/>
      <c r="S22" s="15"/>
      <c r="T22" s="14" t="s">
        <v>4</v>
      </c>
      <c r="U22" s="14">
        <v>3.0781239699300538</v>
      </c>
      <c r="V22" s="14">
        <f t="shared" si="23"/>
        <v>0.89371300599806069</v>
      </c>
      <c r="W22" s="14"/>
      <c r="X22" s="14">
        <v>0.10957582688609237</v>
      </c>
      <c r="Y22" s="14">
        <f t="shared" si="25"/>
        <v>1.0581551147375827</v>
      </c>
      <c r="Z22" s="14"/>
      <c r="AA22" s="14">
        <v>0.10911654875519758</v>
      </c>
      <c r="AB22" s="14">
        <f t="shared" si="27"/>
        <v>0.91922323005460671</v>
      </c>
      <c r="AC22" s="14"/>
      <c r="AD22" s="14">
        <v>0.37604307123747771</v>
      </c>
      <c r="AE22" s="14">
        <f>AD22/AD15</f>
        <v>1.1426846694166399</v>
      </c>
      <c r="AF22" s="14"/>
      <c r="AG22" s="14">
        <v>0.11042742675309856</v>
      </c>
      <c r="AH22" s="14">
        <f>AG22/AG15</f>
        <v>1.1607552063288096</v>
      </c>
      <c r="AI22" s="14"/>
      <c r="AJ22" s="14">
        <v>0.2622154146409133</v>
      </c>
      <c r="AK22" s="14">
        <f>AJ22/AJ15</f>
        <v>3.9340776284706086E-2</v>
      </c>
      <c r="AL22" s="14"/>
      <c r="AM22" s="14">
        <v>0.16578709106546963</v>
      </c>
      <c r="AN22" s="14">
        <f>AM22/AM16</f>
        <v>1.0283629430151433</v>
      </c>
      <c r="AO22" s="14"/>
      <c r="AP22" s="14">
        <v>0.97492251670925167</v>
      </c>
      <c r="AQ22" s="14">
        <f>AP22/AP16</f>
        <v>1.1704255622572961</v>
      </c>
      <c r="AR22" s="14"/>
      <c r="AS22" s="14">
        <v>1.2150269625163552</v>
      </c>
      <c r="AT22" s="14">
        <f>AS22/AS16</f>
        <v>0.83812365190136562</v>
      </c>
      <c r="AU22" s="14"/>
      <c r="AV22" s="14">
        <v>1.2724526890668628</v>
      </c>
      <c r="AW22" s="14">
        <f>AV22/AV16</f>
        <v>0.92036934137426851</v>
      </c>
      <c r="AX22" s="14"/>
      <c r="AY22" s="14">
        <v>7.2947730673972875E-3</v>
      </c>
      <c r="AZ22" s="14">
        <f>AY22/AY16</f>
        <v>0.87794588922843453</v>
      </c>
      <c r="BA22" s="14"/>
      <c r="BB22" s="14">
        <v>1.1521908220900796</v>
      </c>
      <c r="BC22" s="14">
        <f>BB22/BB16</f>
        <v>1.0322054544214738</v>
      </c>
      <c r="BD22" s="13"/>
    </row>
    <row r="23" spans="1:56" x14ac:dyDescent="0.2">
      <c r="A23" s="15"/>
      <c r="B23" s="15" t="s">
        <v>126</v>
      </c>
      <c r="C23" s="14" t="s">
        <v>37</v>
      </c>
      <c r="D23" s="14">
        <v>27.770652770996094</v>
      </c>
      <c r="E23" s="14">
        <f>D23-24.84462</f>
        <v>2.9260327709960947</v>
      </c>
      <c r="F23" s="14">
        <f t="shared" si="1"/>
        <v>0.13157590554178428</v>
      </c>
      <c r="G23" s="14">
        <v>77.962715148925781</v>
      </c>
      <c r="H23" s="14" t="s">
        <v>24</v>
      </c>
      <c r="I23" s="14" t="s">
        <v>25</v>
      </c>
      <c r="J23" s="14">
        <v>21.568317413330078</v>
      </c>
      <c r="K23" s="14">
        <f>J23-18.31352</f>
        <v>3.2547974133300777</v>
      </c>
      <c r="L23" s="14">
        <f t="shared" si="3"/>
        <v>0.10476310188466521</v>
      </c>
      <c r="M23" s="14">
        <v>77.555274963378906</v>
      </c>
      <c r="N23" s="14" t="s">
        <v>24</v>
      </c>
      <c r="O23" s="13" t="s">
        <v>25</v>
      </c>
      <c r="R23" s="14"/>
      <c r="S23" s="15"/>
      <c r="T23" s="14" t="s">
        <v>118</v>
      </c>
      <c r="U23" s="14">
        <v>5.4389521338482529</v>
      </c>
      <c r="V23" s="14">
        <f>U23/U11</f>
        <v>1.1042201875415611</v>
      </c>
      <c r="W23" s="14">
        <f t="shared" ref="W23" si="40">AVERAGE(V23:V28)</f>
        <v>1.2174218246997877</v>
      </c>
      <c r="X23" s="14">
        <v>0.21607442754442738</v>
      </c>
      <c r="Y23" s="14">
        <f>X23/X11</f>
        <v>1.6422036136077292</v>
      </c>
      <c r="Z23" s="14">
        <f t="shared" ref="Z23" si="41">AVERAGE(Y23:Y28)</f>
        <v>1.3678249464723615</v>
      </c>
      <c r="AA23" s="14">
        <v>0.11446527447585182</v>
      </c>
      <c r="AB23" s="14">
        <f>AA23/AA11</f>
        <v>1.1436405313385494</v>
      </c>
      <c r="AC23" s="14">
        <f t="shared" ref="AC23" si="42">AVERAGE(AB23:AB28)</f>
        <v>1.1044737593873997</v>
      </c>
      <c r="AD23" s="14">
        <v>0.23246554784892512</v>
      </c>
      <c r="AE23" s="14">
        <f>AD23/AD11</f>
        <v>1.3121198425598917</v>
      </c>
      <c r="AF23" s="14">
        <f>AVERAGE(AE23:AE28)</f>
        <v>1.5389029442783788</v>
      </c>
      <c r="AG23" s="14">
        <v>1.9066580963920245</v>
      </c>
      <c r="AH23" s="14">
        <f>AG23/AG11</f>
        <v>1.0037009719982342</v>
      </c>
      <c r="AI23" s="14">
        <f>AVERAGE(AH23:AH28)</f>
        <v>2.0014764568165981</v>
      </c>
      <c r="AJ23" s="14">
        <v>0.14709066557793601</v>
      </c>
      <c r="AK23" s="14">
        <f>AJ23/AJ11</f>
        <v>1.087492604704686</v>
      </c>
      <c r="AL23" s="14">
        <f>AVERAGE(AK23:AK28)</f>
        <v>0.50962255070486207</v>
      </c>
      <c r="AM23" s="14">
        <v>9.9478884676732608</v>
      </c>
      <c r="AN23" s="14">
        <f>AM23/AM11</f>
        <v>1.8760660319162994</v>
      </c>
      <c r="AO23" s="14">
        <f>AVERAGE(AN23:AN28)</f>
        <v>1.7710041193703223</v>
      </c>
      <c r="AP23" s="14">
        <v>3.3136433251990241E-2</v>
      </c>
      <c r="AQ23" s="14">
        <f>AP23/AP11</f>
        <v>2.0751058725201497</v>
      </c>
      <c r="AR23" s="14">
        <f>AVERAGE(AQ23:AQ28)</f>
        <v>2.0785965398068855</v>
      </c>
      <c r="AS23" s="14">
        <v>0.24714452948371921</v>
      </c>
      <c r="AT23" s="14">
        <f>AS23/AS11</f>
        <v>1.0180340966985992</v>
      </c>
      <c r="AU23" s="14">
        <f>AVERAGE(AT23:AT28)</f>
        <v>1.2594530766790935</v>
      </c>
      <c r="AV23" s="14">
        <v>0.61991930528718664</v>
      </c>
      <c r="AW23" s="14">
        <f>AV23/AV11</f>
        <v>0.48902125861099649</v>
      </c>
      <c r="AX23" s="14">
        <f>AVERAGE(AW23:AW28)</f>
        <v>1.2412153951898439</v>
      </c>
      <c r="AY23" s="14">
        <v>0.20566943769913357</v>
      </c>
      <c r="AZ23" s="14">
        <f>AY23/AY11</f>
        <v>2.7767171722167903</v>
      </c>
      <c r="BA23" s="14">
        <f>AVERAGE(AZ23:AZ28)</f>
        <v>7.0472597535620647</v>
      </c>
      <c r="BB23" s="14">
        <v>1.0405379802427246</v>
      </c>
      <c r="BC23" s="14">
        <f>BB23/BB11</f>
        <v>1.1243853773493078</v>
      </c>
      <c r="BD23" s="13">
        <f>AVERAGE(BC23:BC28)</f>
        <v>1.5793691462786177</v>
      </c>
    </row>
    <row r="24" spans="1:56" x14ac:dyDescent="0.2">
      <c r="A24" s="15"/>
      <c r="B24" s="15" t="s">
        <v>126</v>
      </c>
      <c r="C24" s="14" t="s">
        <v>37</v>
      </c>
      <c r="D24" s="14">
        <v>27.742454528808594</v>
      </c>
      <c r="E24" s="14">
        <f t="shared" ref="E24:E25" si="43">D24-24.84462</f>
        <v>2.8978345288085947</v>
      </c>
      <c r="F24" s="14">
        <f t="shared" si="1"/>
        <v>0.13417292399958652</v>
      </c>
      <c r="G24" s="14">
        <v>77.962715148925781</v>
      </c>
      <c r="H24" s="14" t="s">
        <v>24</v>
      </c>
      <c r="I24" s="14" t="s">
        <v>25</v>
      </c>
      <c r="J24" s="14">
        <v>21.547389984130859</v>
      </c>
      <c r="K24" s="14">
        <f t="shared" ref="K24:K25" si="44">J24-18.31352</f>
        <v>3.2338699841308589</v>
      </c>
      <c r="L24" s="14">
        <f t="shared" si="3"/>
        <v>0.10629384879220068</v>
      </c>
      <c r="M24" s="14">
        <v>77.405929565429688</v>
      </c>
      <c r="N24" s="14" t="s">
        <v>24</v>
      </c>
      <c r="O24" s="13" t="s">
        <v>25</v>
      </c>
      <c r="R24" s="14"/>
      <c r="S24" s="15"/>
      <c r="T24" s="14" t="s">
        <v>118</v>
      </c>
      <c r="U24" s="14">
        <v>5.9499980674232837</v>
      </c>
      <c r="V24" s="14">
        <f t="shared" ref="V24:V28" si="45">U24/U12</f>
        <v>1.1601805750252538</v>
      </c>
      <c r="W24" s="14">
        <f t="shared" ref="W24" si="46">STDEV(V23:V28)</f>
        <v>9.6308918004419236E-2</v>
      </c>
      <c r="X24" s="14">
        <v>0.22222532822199312</v>
      </c>
      <c r="Y24" s="14">
        <f t="shared" ref="Y24:Y28" si="47">X24/X12</f>
        <v>1.6562606045812787</v>
      </c>
      <c r="Z24" s="14">
        <f t="shared" ref="Z24" si="48">STDEV(Y23:Y28)</f>
        <v>0.27385625698303795</v>
      </c>
      <c r="AA24" s="14">
        <v>0.11424529880559182</v>
      </c>
      <c r="AB24" s="14">
        <f t="shared" ref="AB24:AB28" si="49">AA24/AA12</f>
        <v>1.0306046352793676</v>
      </c>
      <c r="AC24" s="14">
        <f t="shared" ref="AC24" si="50">STDEV(AB23:AB28)</f>
        <v>3.9888909279672105E-2</v>
      </c>
      <c r="AD24" s="14">
        <v>0.24855399267472897</v>
      </c>
      <c r="AE24" s="14">
        <f t="shared" ref="AE24:AE27" si="51">AD24/AD12</f>
        <v>1.4015940562444265</v>
      </c>
      <c r="AF24" s="14">
        <f>STDEV(AE23:AE28)</f>
        <v>0.17099004082428881</v>
      </c>
      <c r="AG24" s="14">
        <v>1.8387601567979202</v>
      </c>
      <c r="AH24" s="14">
        <f t="shared" ref="AH24:AH27" si="52">AG24/AG12</f>
        <v>1.2284012842035432</v>
      </c>
      <c r="AI24" s="14">
        <f>STDEV(AH23:AH28)</f>
        <v>0.81578986579142732</v>
      </c>
      <c r="AJ24" s="14">
        <v>0.15817715002629928</v>
      </c>
      <c r="AK24" s="14">
        <f t="shared" ref="AK24:AK27" si="53">AJ24/AJ12</f>
        <v>1.1798965638404233</v>
      </c>
      <c r="AL24" s="14">
        <f>STDEV(AK23:AK28)</f>
        <v>0.57064373868642226</v>
      </c>
      <c r="AM24" s="14">
        <v>10.346391285271549</v>
      </c>
      <c r="AN24" s="14">
        <f t="shared" ref="AN24:AN27" si="54">AM24/AM12</f>
        <v>1.8966530184161392</v>
      </c>
      <c r="AO24" s="14">
        <f>STDEV(AN23:AN28)</f>
        <v>0.1061260465468247</v>
      </c>
      <c r="AP24" s="14">
        <v>3.5380212307098868E-2</v>
      </c>
      <c r="AQ24" s="14">
        <f t="shared" ref="AQ24:AQ27" si="55">AP24/AP12</f>
        <v>2.1846089919681724</v>
      </c>
      <c r="AR24" s="14">
        <f>STDEV(AQ23:AQ28)</f>
        <v>6.6104252431686189E-2</v>
      </c>
      <c r="AS24" s="14">
        <v>0.25357137078851705</v>
      </c>
      <c r="AT24" s="14">
        <f t="shared" ref="AT24:AT27" si="56">AS24/AS12</f>
        <v>0.93733686855664411</v>
      </c>
      <c r="AU24" s="14">
        <f>STDEV(AT23:AT28)</f>
        <v>0.25896117383326739</v>
      </c>
      <c r="AV24" s="14">
        <v>0.6922661842426413</v>
      </c>
      <c r="AW24" s="14">
        <f t="shared" ref="AW24:AW27" si="57">AV24/AV12</f>
        <v>0.53423270147225066</v>
      </c>
      <c r="AX24" s="14">
        <f>STDEV(AW23:AW28)</f>
        <v>0.66751628136571839</v>
      </c>
      <c r="AY24" s="14">
        <v>0.19788855279102371</v>
      </c>
      <c r="AZ24" s="14">
        <f t="shared" ref="AZ24:AZ27" si="58">AY24/AY12</f>
        <v>3.7878125360249633</v>
      </c>
      <c r="BA24" s="14">
        <f>STDEV(AZ23:AZ28)</f>
        <v>3.480102086380044</v>
      </c>
      <c r="BB24" s="14">
        <v>1.05246823584661</v>
      </c>
      <c r="BC24" s="14">
        <f t="shared" ref="BC24:BC27" si="59">BB24/BB12</f>
        <v>1.0796015682916431</v>
      </c>
      <c r="BD24" s="13">
        <f>STDEV(BC23:BC28)</f>
        <v>0.4370132365426887</v>
      </c>
    </row>
    <row r="25" spans="1:56" x14ac:dyDescent="0.2">
      <c r="A25" s="15"/>
      <c r="B25" s="15" t="s">
        <v>126</v>
      </c>
      <c r="C25" s="14" t="s">
        <v>37</v>
      </c>
      <c r="D25" s="14">
        <v>27.644760131835938</v>
      </c>
      <c r="E25" s="14">
        <f t="shared" si="43"/>
        <v>2.8001401318359385</v>
      </c>
      <c r="F25" s="14">
        <f t="shared" si="1"/>
        <v>0.14357334813274467</v>
      </c>
      <c r="G25" s="14">
        <v>77.810882568359375</v>
      </c>
      <c r="H25" s="14" t="s">
        <v>24</v>
      </c>
      <c r="I25" s="14" t="s">
        <v>25</v>
      </c>
      <c r="J25" s="14">
        <v>21.58506965637207</v>
      </c>
      <c r="K25" s="14">
        <f t="shared" si="44"/>
        <v>3.2715496563720698</v>
      </c>
      <c r="L25" s="14">
        <f t="shared" si="3"/>
        <v>0.10355365235206242</v>
      </c>
      <c r="M25" s="14">
        <v>77.399246215820313</v>
      </c>
      <c r="N25" s="14" t="s">
        <v>24</v>
      </c>
      <c r="O25" s="13" t="s">
        <v>25</v>
      </c>
      <c r="R25" s="14"/>
      <c r="S25" s="15"/>
      <c r="T25" s="14" t="s">
        <v>118</v>
      </c>
      <c r="U25" s="14">
        <v>5.8681971954878449</v>
      </c>
      <c r="V25" s="14">
        <f t="shared" si="45"/>
        <v>1.1303763695682025</v>
      </c>
      <c r="W25" s="14"/>
      <c r="X25" s="14">
        <v>0.22200743686395855</v>
      </c>
      <c r="Y25" s="14">
        <f t="shared" si="47"/>
        <v>1.5462997816189081</v>
      </c>
      <c r="Z25" s="14"/>
      <c r="AA25" s="14">
        <v>0.11345823086509112</v>
      </c>
      <c r="AB25" s="14">
        <f t="shared" si="49"/>
        <v>1.1216231267566452</v>
      </c>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3"/>
    </row>
    <row r="26" spans="1:56" x14ac:dyDescent="0.2">
      <c r="A26" s="15"/>
      <c r="B26" s="15" t="s">
        <v>127</v>
      </c>
      <c r="C26" s="14" t="s">
        <v>37</v>
      </c>
      <c r="D26" s="14">
        <v>23.882671356201172</v>
      </c>
      <c r="E26" s="14">
        <f>D26-20.82237</f>
        <v>3.0603013562011725</v>
      </c>
      <c r="F26" s="14">
        <f t="shared" si="1"/>
        <v>0.11988297064151417</v>
      </c>
      <c r="G26" s="14">
        <v>77.810882568359375</v>
      </c>
      <c r="H26" s="14" t="s">
        <v>24</v>
      </c>
      <c r="I26" s="14" t="s">
        <v>25</v>
      </c>
      <c r="J26" s="14">
        <v>23.209770202636719</v>
      </c>
      <c r="K26" s="14">
        <f>J26-20.05365</f>
        <v>3.1561202026367177</v>
      </c>
      <c r="L26" s="14">
        <f t="shared" si="3"/>
        <v>0.11217940936667783</v>
      </c>
      <c r="M26" s="14">
        <v>77.249923706054688</v>
      </c>
      <c r="N26" s="14" t="s">
        <v>24</v>
      </c>
      <c r="O26" s="13" t="s">
        <v>25</v>
      </c>
      <c r="R26" s="14"/>
      <c r="S26" s="15"/>
      <c r="T26" s="14" t="s">
        <v>118</v>
      </c>
      <c r="U26" s="14">
        <v>4.2815431054664392</v>
      </c>
      <c r="V26" s="14">
        <f t="shared" si="45"/>
        <v>1.2834282279948632</v>
      </c>
      <c r="W26" s="14"/>
      <c r="X26" s="14">
        <v>0.11705200967331372</v>
      </c>
      <c r="Y26" s="14">
        <f t="shared" si="47"/>
        <v>1.1173018702918658</v>
      </c>
      <c r="Z26" s="14"/>
      <c r="AA26" s="14">
        <v>0.12761507406322242</v>
      </c>
      <c r="AB26" s="14">
        <f t="shared" si="49"/>
        <v>1.096956926008261</v>
      </c>
      <c r="AC26" s="14"/>
      <c r="AD26" s="14">
        <v>0.51360865671281775</v>
      </c>
      <c r="AE26" s="14">
        <f t="shared" si="51"/>
        <v>1.6650016459860784</v>
      </c>
      <c r="AF26" s="14"/>
      <c r="AG26" s="14">
        <v>0.25500242734258433</v>
      </c>
      <c r="AH26" s="14">
        <f t="shared" si="52"/>
        <v>2.4668139738703445</v>
      </c>
      <c r="AI26" s="14"/>
      <c r="AJ26" s="14">
        <v>0.62406667480104616</v>
      </c>
      <c r="AK26" s="14">
        <f t="shared" si="53"/>
        <v>8.7950955038755829E-2</v>
      </c>
      <c r="AL26" s="14"/>
      <c r="AM26" s="14">
        <v>0.27361220916734202</v>
      </c>
      <c r="AN26" s="14">
        <f t="shared" si="54"/>
        <v>1.700256118834726</v>
      </c>
      <c r="AO26" s="14"/>
      <c r="AP26" s="14">
        <v>1.6266175054197189</v>
      </c>
      <c r="AQ26" s="14">
        <f t="shared" si="55"/>
        <v>2.0125396904405934</v>
      </c>
      <c r="AR26" s="14"/>
      <c r="AS26" s="14">
        <v>2.0566059479371712</v>
      </c>
      <c r="AT26" s="14">
        <f t="shared" si="56"/>
        <v>1.4334602818954518</v>
      </c>
      <c r="AU26" s="14"/>
      <c r="AV26" s="14">
        <v>2.3894473616692551</v>
      </c>
      <c r="AW26" s="14">
        <f t="shared" si="57"/>
        <v>1.7628438851910146</v>
      </c>
      <c r="AX26" s="14"/>
      <c r="AY26" s="14">
        <v>8.0586787498120732E-2</v>
      </c>
      <c r="AZ26" s="14">
        <f t="shared" si="58"/>
        <v>10.221019727322487</v>
      </c>
      <c r="BA26" s="14"/>
      <c r="BB26" s="14">
        <v>2.178259648057387</v>
      </c>
      <c r="BC26" s="14">
        <f t="shared" si="59"/>
        <v>1.9139855650947932</v>
      </c>
      <c r="BD26" s="13"/>
    </row>
    <row r="27" spans="1:56" x14ac:dyDescent="0.2">
      <c r="A27" s="15"/>
      <c r="B27" s="15" t="s">
        <v>127</v>
      </c>
      <c r="C27" s="14" t="s">
        <v>37</v>
      </c>
      <c r="D27" s="14">
        <v>23.866989135742188</v>
      </c>
      <c r="E27" s="14">
        <f t="shared" ref="E27:E28" si="60">D27-20.82237</f>
        <v>3.0446191357421881</v>
      </c>
      <c r="F27" s="14">
        <f t="shared" si="1"/>
        <v>0.12119321729583517</v>
      </c>
      <c r="G27" s="14">
        <v>77.810188293457031</v>
      </c>
      <c r="H27" s="14" t="s">
        <v>24</v>
      </c>
      <c r="I27" s="14" t="s">
        <v>25</v>
      </c>
      <c r="J27" s="14">
        <v>23.173151016235352</v>
      </c>
      <c r="K27" s="14">
        <f t="shared" ref="K27:K28" si="61">J27-20.05365</f>
        <v>3.1195010162353505</v>
      </c>
      <c r="L27" s="14">
        <f t="shared" si="3"/>
        <v>0.11506324627839827</v>
      </c>
      <c r="M27" s="14">
        <v>77.400421142578125</v>
      </c>
      <c r="N27" s="14" t="s">
        <v>24</v>
      </c>
      <c r="O27" s="13" t="s">
        <v>25</v>
      </c>
      <c r="R27" s="14"/>
      <c r="S27" s="15"/>
      <c r="T27" s="14" t="s">
        <v>118</v>
      </c>
      <c r="U27" s="14">
        <v>4.3315262605212315</v>
      </c>
      <c r="V27" s="14">
        <f t="shared" si="45"/>
        <v>1.3100447687766021</v>
      </c>
      <c r="W27" s="14"/>
      <c r="X27" s="14">
        <v>0.11643017414017991</v>
      </c>
      <c r="Y27" s="14">
        <f t="shared" si="47"/>
        <v>1.0953613540497085</v>
      </c>
      <c r="Z27" s="14"/>
      <c r="AA27" s="14">
        <v>0.13128046486828979</v>
      </c>
      <c r="AB27" s="14">
        <f t="shared" si="49"/>
        <v>1.1292579627234307</v>
      </c>
      <c r="AC27" s="14"/>
      <c r="AD27" s="14">
        <v>0.55709957683015421</v>
      </c>
      <c r="AE27" s="14">
        <f t="shared" si="51"/>
        <v>1.6928623194344079</v>
      </c>
      <c r="AF27" s="14"/>
      <c r="AG27" s="14">
        <v>0.25327510895611205</v>
      </c>
      <c r="AH27" s="14">
        <f t="shared" si="52"/>
        <v>2.6622951380695312</v>
      </c>
      <c r="AI27" s="14"/>
      <c r="AJ27" s="14">
        <v>0.64650890922852877</v>
      </c>
      <c r="AK27" s="14">
        <f t="shared" si="53"/>
        <v>9.6997205137079046E-2</v>
      </c>
      <c r="AL27" s="14"/>
      <c r="AM27" s="14">
        <v>0.2773995060835493</v>
      </c>
      <c r="AN27" s="14">
        <f t="shared" si="54"/>
        <v>1.7056167140324643</v>
      </c>
      <c r="AO27" s="14"/>
      <c r="AP27" s="14">
        <v>1.6946054887663748</v>
      </c>
      <c r="AQ27" s="14">
        <f t="shared" si="55"/>
        <v>2.0358700842410418</v>
      </c>
      <c r="AR27" s="14"/>
      <c r="AS27" s="14">
        <v>2.071423152010289</v>
      </c>
      <c r="AT27" s="14">
        <f t="shared" si="56"/>
        <v>1.4595579757865289</v>
      </c>
      <c r="AU27" s="14"/>
      <c r="AV27" s="14">
        <v>2.3870571762888524</v>
      </c>
      <c r="AW27" s="14">
        <f t="shared" si="57"/>
        <v>1.7604705937411205</v>
      </c>
      <c r="AX27" s="14"/>
      <c r="AY27" s="14">
        <v>7.3854360796579727E-2</v>
      </c>
      <c r="AZ27" s="14">
        <f t="shared" si="58"/>
        <v>9.1209943331365917</v>
      </c>
      <c r="BA27" s="14"/>
      <c r="BB27" s="14">
        <v>2.1193884577756412</v>
      </c>
      <c r="BC27" s="14">
        <f t="shared" si="59"/>
        <v>1.9274668705943785</v>
      </c>
      <c r="BD27" s="13"/>
    </row>
    <row r="28" spans="1:56" x14ac:dyDescent="0.2">
      <c r="A28" s="15"/>
      <c r="B28" s="15" t="s">
        <v>127</v>
      </c>
      <c r="C28" s="14" t="s">
        <v>37</v>
      </c>
      <c r="D28" s="14">
        <v>23.894557952880859</v>
      </c>
      <c r="E28" s="14">
        <f t="shared" si="60"/>
        <v>3.07218795288086</v>
      </c>
      <c r="F28" s="14">
        <f t="shared" si="1"/>
        <v>0.11889929345024024</v>
      </c>
      <c r="G28" s="14">
        <v>77.810188293457031</v>
      </c>
      <c r="H28" s="14" t="s">
        <v>24</v>
      </c>
      <c r="I28" s="14" t="s">
        <v>25</v>
      </c>
      <c r="J28" s="14">
        <v>23.243648529052734</v>
      </c>
      <c r="K28" s="14">
        <f t="shared" si="61"/>
        <v>3.1899985290527333</v>
      </c>
      <c r="L28" s="14">
        <f t="shared" si="3"/>
        <v>0.10957582688609237</v>
      </c>
      <c r="M28" s="14">
        <v>77.400421142578125</v>
      </c>
      <c r="N28" s="14" t="s">
        <v>24</v>
      </c>
      <c r="O28" s="13" t="s">
        <v>25</v>
      </c>
      <c r="R28" s="14"/>
      <c r="S28" s="15"/>
      <c r="T28" s="14" t="s">
        <v>118</v>
      </c>
      <c r="U28" s="14">
        <v>4.5335309140968381</v>
      </c>
      <c r="V28" s="14">
        <f t="shared" si="45"/>
        <v>1.3162808192922424</v>
      </c>
      <c r="W28" s="14"/>
      <c r="X28" s="14">
        <v>0.11903724864330667</v>
      </c>
      <c r="Y28" s="14">
        <f t="shared" si="47"/>
        <v>1.149522454684679</v>
      </c>
      <c r="Z28" s="14"/>
      <c r="AA28" s="14">
        <v>0.13114064808009099</v>
      </c>
      <c r="AB28" s="14">
        <f t="shared" si="49"/>
        <v>1.1047593742181443</v>
      </c>
      <c r="AC28" s="14"/>
      <c r="AD28" s="14">
        <v>0.53408799166368226</v>
      </c>
      <c r="AE28" s="14">
        <f>AD28/AD15</f>
        <v>1.6229368571670892</v>
      </c>
      <c r="AF28" s="14"/>
      <c r="AG28" s="14">
        <v>0.25174114525015268</v>
      </c>
      <c r="AH28" s="14">
        <f>AG28/AG15</f>
        <v>2.6461709159413376</v>
      </c>
      <c r="AI28" s="14"/>
      <c r="AJ28" s="14">
        <v>0.63836545942758849</v>
      </c>
      <c r="AK28" s="14">
        <f>AJ28/AJ15</f>
        <v>9.5775424803366579E-2</v>
      </c>
      <c r="AL28" s="14"/>
      <c r="AM28" s="14">
        <v>0.27026473649478489</v>
      </c>
      <c r="AN28" s="14">
        <f>AM28/AM16</f>
        <v>1.6764287136519818</v>
      </c>
      <c r="AO28" s="14"/>
      <c r="AP28" s="14">
        <v>1.7366119916114851</v>
      </c>
      <c r="AQ28" s="14">
        <f>AP28/AP16</f>
        <v>2.0848580598644686</v>
      </c>
      <c r="AR28" s="14"/>
      <c r="AS28" s="14">
        <v>2.1004342215020966</v>
      </c>
      <c r="AT28" s="14">
        <f>AS28/AS16</f>
        <v>1.4488761604582436</v>
      </c>
      <c r="AU28" s="14"/>
      <c r="AV28" s="14">
        <v>2.2943464166220786</v>
      </c>
      <c r="AW28" s="14">
        <f>AV28/AV16</f>
        <v>1.6595085369338367</v>
      </c>
      <c r="AX28" s="14"/>
      <c r="AY28" s="14">
        <v>7.752009130395375E-2</v>
      </c>
      <c r="AZ28" s="14">
        <f>AY28/AY16</f>
        <v>9.3297549991094897</v>
      </c>
      <c r="BA28" s="14"/>
      <c r="BB28" s="14">
        <v>2.0666170628767251</v>
      </c>
      <c r="BC28" s="14">
        <f>BB28/BB16</f>
        <v>1.8514063500629652</v>
      </c>
      <c r="BD28" s="13"/>
    </row>
    <row r="29" spans="1:56" x14ac:dyDescent="0.2">
      <c r="A29" s="15"/>
      <c r="B29" s="15" t="s">
        <v>128</v>
      </c>
      <c r="C29" s="14" t="s">
        <v>37</v>
      </c>
      <c r="D29" s="14">
        <v>24.212249755859375</v>
      </c>
      <c r="E29" s="14">
        <f>D29-22.00185</f>
        <v>2.210399755859374</v>
      </c>
      <c r="F29" s="14">
        <f t="shared" si="1"/>
        <v>0.21607442754442738</v>
      </c>
      <c r="G29" s="14">
        <v>77.808914184570313</v>
      </c>
      <c r="H29" s="14" t="s">
        <v>24</v>
      </c>
      <c r="I29" s="14" t="s">
        <v>25</v>
      </c>
      <c r="J29" s="14">
        <v>23.95667839050293</v>
      </c>
      <c r="K29" s="14">
        <f>J29-20.8619</f>
        <v>3.0947783905029311</v>
      </c>
      <c r="L29" s="14">
        <f t="shared" si="3"/>
        <v>0.11705200967331372</v>
      </c>
      <c r="M29" s="14">
        <v>77.249801635742188</v>
      </c>
      <c r="N29" s="14" t="s">
        <v>24</v>
      </c>
      <c r="O29" s="13" t="s">
        <v>25</v>
      </c>
      <c r="R29" s="14"/>
      <c r="S29" s="15"/>
      <c r="T29" s="14" t="s">
        <v>16</v>
      </c>
      <c r="U29" s="14">
        <v>5.8013534263178714</v>
      </c>
      <c r="V29" s="14">
        <f>U29/U11</f>
        <v>1.177795172812294</v>
      </c>
      <c r="W29" s="14">
        <f t="shared" ref="W29" si="62">AVERAGE(V29:V34)</f>
        <v>1.1232384812909735</v>
      </c>
      <c r="X29" s="14">
        <v>0.20634663720136528</v>
      </c>
      <c r="Y29" s="14">
        <f>X29/X11</f>
        <v>1.5682706978280019</v>
      </c>
      <c r="Z29" s="14">
        <f t="shared" ref="Z29" si="63">AVERAGE(Y29:Y34)</f>
        <v>1.2492140604596536</v>
      </c>
      <c r="AA29" s="14">
        <v>0.10728719192037843</v>
      </c>
      <c r="AB29" s="14">
        <f>AA29/AA11</f>
        <v>1.0719231813795851</v>
      </c>
      <c r="AC29" s="14">
        <f t="shared" ref="AC29" si="64">AVERAGE(AB29:AB34)</f>
        <v>0.97089767386379366</v>
      </c>
      <c r="AD29" s="14">
        <v>0.20710694765483209</v>
      </c>
      <c r="AE29" s="14">
        <f>AD29/AD11</f>
        <v>1.168986708200402</v>
      </c>
      <c r="AF29" s="14">
        <f>AVERAGE(AE29:AE34)</f>
        <v>1.1734076971551193</v>
      </c>
      <c r="AG29" s="14">
        <v>1.7122090083315669</v>
      </c>
      <c r="AH29" s="14">
        <f>AG29/AG11</f>
        <v>0.90133928530686025</v>
      </c>
      <c r="AI29" s="14">
        <f>AVERAGE(AH29:AH34)</f>
        <v>1.6072771475295742</v>
      </c>
      <c r="AJ29" s="14">
        <v>0.14267997159044807</v>
      </c>
      <c r="AK29" s="14">
        <f>AJ29/AJ11</f>
        <v>1.0548828053393613</v>
      </c>
      <c r="AL29" s="14">
        <f>AVERAGE(AK29:AK34)</f>
        <v>0.47947981299285464</v>
      </c>
      <c r="AM29" s="14">
        <v>9.4339959087958665</v>
      </c>
      <c r="AN29" s="14">
        <f>AM29/AM11</f>
        <v>1.7791513573200408</v>
      </c>
      <c r="AO29" s="14">
        <f>AVERAGE(AN29:AN34)</f>
        <v>1.5608748517868756</v>
      </c>
      <c r="AP29" s="14">
        <v>3.0011134682384831E-2</v>
      </c>
      <c r="AQ29" s="14">
        <f>AP29/AP11</f>
        <v>1.8793900160232078</v>
      </c>
      <c r="AR29" s="14">
        <f>AVERAGE(AQ29:AQ34)</f>
        <v>1.2995663246106175</v>
      </c>
      <c r="AS29" s="14">
        <v>0.25651752029932734</v>
      </c>
      <c r="AT29" s="14">
        <f>AS29/AS11</f>
        <v>1.0566431820717006</v>
      </c>
      <c r="AU29" s="14">
        <f>AVERAGE(AT29:AT34)</f>
        <v>1.0200736471128153</v>
      </c>
      <c r="AV29" s="14">
        <v>1.3096592185532334</v>
      </c>
      <c r="AW29" s="14">
        <f>AV29/AV11</f>
        <v>1.0331202689545183</v>
      </c>
      <c r="AX29" s="14">
        <f>AVERAGE(AW29:AW34)</f>
        <v>1.1756601594123279</v>
      </c>
      <c r="AY29" s="14">
        <v>0.17481592121141773</v>
      </c>
      <c r="AZ29" s="14">
        <f>AY29/AY11</f>
        <v>2.3601677324306016</v>
      </c>
      <c r="BA29" s="14">
        <f>AVERAGE(AZ29:AZ34)</f>
        <v>4.5188431232926414</v>
      </c>
      <c r="BB29" s="14">
        <v>1.1420842562219649</v>
      </c>
      <c r="BC29" s="14">
        <f>BB29/BB11</f>
        <v>1.2341143348725123</v>
      </c>
      <c r="BD29" s="13">
        <f>AVERAGE(BC29:BC34)</f>
        <v>1.4062634197030106</v>
      </c>
    </row>
    <row r="30" spans="1:56" x14ac:dyDescent="0.2">
      <c r="A30" s="15"/>
      <c r="B30" s="15" t="s">
        <v>128</v>
      </c>
      <c r="C30" s="14" t="s">
        <v>37</v>
      </c>
      <c r="D30" s="14">
        <v>24.171754837036133</v>
      </c>
      <c r="E30" s="14">
        <f t="shared" ref="E30:E31" si="65">D30-22.00185</f>
        <v>2.1699048370361318</v>
      </c>
      <c r="F30" s="14">
        <f t="shared" si="1"/>
        <v>0.22222532822199312</v>
      </c>
      <c r="G30" s="14">
        <v>77.808914184570313</v>
      </c>
      <c r="H30" s="14" t="s">
        <v>24</v>
      </c>
      <c r="I30" s="14" t="s">
        <v>25</v>
      </c>
      <c r="J30" s="14">
        <v>23.964363098144531</v>
      </c>
      <c r="K30" s="14">
        <f t="shared" ref="K30:K31" si="66">J30-20.8619</f>
        <v>3.1024630981445327</v>
      </c>
      <c r="L30" s="14">
        <f t="shared" si="3"/>
        <v>0.11643017414017991</v>
      </c>
      <c r="M30" s="14">
        <v>77.249801635742188</v>
      </c>
      <c r="N30" s="14" t="s">
        <v>24</v>
      </c>
      <c r="O30" s="13" t="s">
        <v>25</v>
      </c>
      <c r="R30" s="14"/>
      <c r="S30" s="15"/>
      <c r="T30" s="14" t="s">
        <v>16</v>
      </c>
      <c r="U30" s="14">
        <v>5.8457156546573152</v>
      </c>
      <c r="V30" s="14">
        <f t="shared" ref="V30:V34" si="67">U30/U12</f>
        <v>1.1398467147051552</v>
      </c>
      <c r="W30" s="14">
        <f t="shared" ref="W30" si="68">STDEV(V29:V34)</f>
        <v>4.2467410846606275E-2</v>
      </c>
      <c r="X30" s="14">
        <v>0.11873407585667015</v>
      </c>
      <c r="Y30" s="14">
        <f>X30/X14</f>
        <v>1.1333577731154403</v>
      </c>
      <c r="Z30" s="14">
        <f t="shared" ref="Z30" si="69">STDEV(Y29:Y34)</f>
        <v>0.2145319601951792</v>
      </c>
      <c r="AA30" s="14">
        <v>0.10788272921041728</v>
      </c>
      <c r="AB30" s="14">
        <f t="shared" ref="AB30:AB34" si="70">AA30/AA12</f>
        <v>0.97320801777624544</v>
      </c>
      <c r="AC30" s="14">
        <f t="shared" ref="AC30" si="71">STDEV(AB29:AB34)</f>
        <v>5.1637461113676023E-2</v>
      </c>
      <c r="AD30" s="14">
        <v>0.21101476555373044</v>
      </c>
      <c r="AE30" s="14">
        <f t="shared" ref="AE30:AE33" si="72">AD30/AD12</f>
        <v>1.1899106427429762</v>
      </c>
      <c r="AF30" s="14">
        <f>STDEV(AE29:AE34)</f>
        <v>5.4217877702845703E-2</v>
      </c>
      <c r="AG30" s="14">
        <v>1.8804903629806249</v>
      </c>
      <c r="AH30" s="14">
        <f t="shared" ref="AH30:AH33" si="73">AG30/AG12</f>
        <v>1.2562795469967623</v>
      </c>
      <c r="AI30" s="14">
        <f>STDEV(AH29:AH34)</f>
        <v>0.50045935292533206</v>
      </c>
      <c r="AJ30" s="14">
        <v>0.14931009422462713</v>
      </c>
      <c r="AK30" s="14">
        <f t="shared" ref="AK30:AK33" si="74">AJ30/AJ12</f>
        <v>1.1137542122426434</v>
      </c>
      <c r="AL30" s="14">
        <f>STDEV(AK29:AK34)</f>
        <v>0.5525325914786704</v>
      </c>
      <c r="AM30" s="14">
        <v>8.8502914329993647</v>
      </c>
      <c r="AN30" s="14">
        <f t="shared" ref="AN30:AN33" si="75">AM30/AM12</f>
        <v>1.6223948522182903</v>
      </c>
      <c r="AO30" s="14">
        <f>STDEV(AN29:AN34)</f>
        <v>0.14166300961630138</v>
      </c>
      <c r="AP30" s="14">
        <v>3.0381805310873637E-2</v>
      </c>
      <c r="AQ30" s="14">
        <f t="shared" ref="AQ30:AQ33" si="76">AP30/AP12</f>
        <v>1.8759741885733012</v>
      </c>
      <c r="AR30" s="14">
        <f>STDEV(AQ29:AQ34)</f>
        <v>0.52816550792935013</v>
      </c>
      <c r="AS30" s="14">
        <v>0.25890898747198698</v>
      </c>
      <c r="AT30" s="14">
        <f t="shared" ref="AT30:AT33" si="77">AS30/AS12</f>
        <v>0.95706758536462366</v>
      </c>
      <c r="AU30" s="14">
        <f>STDEV(AT29:AT34)</f>
        <v>4.0860278322286364E-2</v>
      </c>
      <c r="AV30" s="14">
        <v>1.2219904773031065</v>
      </c>
      <c r="AW30" s="14">
        <f t="shared" ref="AW30:AW33" si="78">AV30/AV12</f>
        <v>0.94302926926470487</v>
      </c>
      <c r="AX30" s="14">
        <f>STDEV(AW29:AW34)</f>
        <v>0.17469584953507333</v>
      </c>
      <c r="AY30" s="14">
        <v>0.18609101465503625</v>
      </c>
      <c r="AZ30" s="14">
        <f t="shared" ref="AZ30:AZ33" si="79">AY30/AY12</f>
        <v>3.5619942043657464</v>
      </c>
      <c r="BA30" s="14">
        <f>STDEV(AZ29:AZ34)</f>
        <v>1.6297960902417548</v>
      </c>
      <c r="BB30" s="14">
        <v>1.1560496372638083</v>
      </c>
      <c r="BC30" s="14">
        <f t="shared" ref="BC30:BC33" si="80">BB30/BB12</f>
        <v>1.1858533672600935</v>
      </c>
      <c r="BD30" s="13">
        <f>STDEV(BC29:BC34)</f>
        <v>0.18590285003668672</v>
      </c>
    </row>
    <row r="31" spans="1:56" x14ac:dyDescent="0.2">
      <c r="A31" s="15"/>
      <c r="B31" s="15" t="s">
        <v>128</v>
      </c>
      <c r="C31" s="14" t="s">
        <v>37</v>
      </c>
      <c r="D31" s="14">
        <v>24.17317008972168</v>
      </c>
      <c r="E31" s="14">
        <f t="shared" si="65"/>
        <v>2.1713200897216787</v>
      </c>
      <c r="F31" s="14">
        <f t="shared" si="1"/>
        <v>0.22200743686395855</v>
      </c>
      <c r="G31" s="14">
        <v>77.806793212890625</v>
      </c>
      <c r="H31" s="14" t="s">
        <v>24</v>
      </c>
      <c r="I31" s="14" t="s">
        <v>25</v>
      </c>
      <c r="J31" s="14">
        <v>23.932415008544922</v>
      </c>
      <c r="K31" s="14">
        <f t="shared" si="66"/>
        <v>3.0705150085449233</v>
      </c>
      <c r="L31" s="14">
        <f t="shared" si="3"/>
        <v>0.11903724864330667</v>
      </c>
      <c r="M31" s="14">
        <v>77.397590637207031</v>
      </c>
      <c r="N31" s="14" t="s">
        <v>24</v>
      </c>
      <c r="O31" s="13" t="s">
        <v>25</v>
      </c>
      <c r="R31" s="14"/>
      <c r="S31" s="15"/>
      <c r="T31" s="14" t="s">
        <v>16</v>
      </c>
      <c r="U31" s="14">
        <v>5.6499897973174669</v>
      </c>
      <c r="V31" s="14">
        <f t="shared" si="67"/>
        <v>1.0883436160086575</v>
      </c>
      <c r="W31" s="14"/>
      <c r="X31" s="14">
        <v>0.11845342254531654</v>
      </c>
      <c r="Y31" s="14">
        <f>X31/X15</f>
        <v>1.1143958365538842</v>
      </c>
      <c r="Z31" s="14"/>
      <c r="AA31" s="14">
        <v>9.7428446964386711E-2</v>
      </c>
      <c r="AB31" s="14">
        <f t="shared" si="70"/>
        <v>0.96315620723169681</v>
      </c>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3"/>
    </row>
    <row r="32" spans="1:56" x14ac:dyDescent="0.2">
      <c r="A32" s="15"/>
      <c r="B32" s="15" t="s">
        <v>129</v>
      </c>
      <c r="C32" s="14" t="s">
        <v>37</v>
      </c>
      <c r="D32" s="14">
        <v>27.257778167724609</v>
      </c>
      <c r="E32" s="14">
        <f>D32-24.98092</f>
        <v>2.2768581677246083</v>
      </c>
      <c r="F32" s="14">
        <f t="shared" si="1"/>
        <v>0.20634663720136528</v>
      </c>
      <c r="G32" s="14">
        <v>77.95599365234375</v>
      </c>
      <c r="H32" s="14" t="s">
        <v>24</v>
      </c>
      <c r="I32" s="14" t="s">
        <v>25</v>
      </c>
      <c r="J32" s="14">
        <v>23.388174057006836</v>
      </c>
      <c r="K32" s="14">
        <f>J32-20.31398</f>
        <v>3.0741940570068351</v>
      </c>
      <c r="L32" s="14">
        <f t="shared" si="3"/>
        <v>0.11873407585667015</v>
      </c>
      <c r="M32" s="14">
        <v>77.397590637207031</v>
      </c>
      <c r="N32" s="14" t="s">
        <v>24</v>
      </c>
      <c r="O32" s="13" t="s">
        <v>25</v>
      </c>
      <c r="R32" s="14"/>
      <c r="S32" s="15"/>
      <c r="T32" s="14" t="s">
        <v>16</v>
      </c>
      <c r="U32" s="14">
        <v>3.7417795612717026</v>
      </c>
      <c r="V32" s="14">
        <f t="shared" si="67"/>
        <v>1.1216296072644971</v>
      </c>
      <c r="W32" s="14"/>
      <c r="X32" s="14">
        <v>0.12227945961499113</v>
      </c>
      <c r="Y32" s="14">
        <f>X32/X16</f>
        <v>1.1808319343412881</v>
      </c>
      <c r="Z32" s="14"/>
      <c r="AA32" s="14">
        <v>0.1091253338320866</v>
      </c>
      <c r="AB32" s="14">
        <f t="shared" si="70"/>
        <v>0.9380223428054193</v>
      </c>
      <c r="AC32" s="14"/>
      <c r="AD32" s="14">
        <v>0.38743798800715623</v>
      </c>
      <c r="AE32" s="14">
        <f t="shared" si="72"/>
        <v>1.255985231787373</v>
      </c>
      <c r="AF32" s="14"/>
      <c r="AG32" s="14">
        <v>0.19510745627180592</v>
      </c>
      <c r="AH32" s="14">
        <f t="shared" si="73"/>
        <v>1.8874086986277641</v>
      </c>
      <c r="AI32" s="14"/>
      <c r="AJ32" s="14">
        <v>0.53060623921189587</v>
      </c>
      <c r="AK32" s="14">
        <f t="shared" si="74"/>
        <v>7.4779390364156872E-2</v>
      </c>
      <c r="AL32" s="14"/>
      <c r="AM32" s="14">
        <v>0.23802312141430129</v>
      </c>
      <c r="AN32" s="14">
        <f t="shared" si="75"/>
        <v>1.4791016447708691</v>
      </c>
      <c r="AO32" s="14"/>
      <c r="AP32" s="14">
        <v>0.76459888812274757</v>
      </c>
      <c r="AQ32" s="14">
        <f t="shared" si="76"/>
        <v>0.94600335019554627</v>
      </c>
      <c r="AR32" s="14"/>
      <c r="AS32" s="14">
        <v>1.4584102022476619</v>
      </c>
      <c r="AT32" s="14">
        <f t="shared" si="77"/>
        <v>1.0165161205188749</v>
      </c>
      <c r="AU32" s="14"/>
      <c r="AV32" s="14">
        <v>1.7401258311238188</v>
      </c>
      <c r="AW32" s="14">
        <f t="shared" si="78"/>
        <v>1.2837990198355187</v>
      </c>
      <c r="AX32" s="14"/>
      <c r="AY32" s="14">
        <v>4.8817765705994089E-2</v>
      </c>
      <c r="AZ32" s="14">
        <f t="shared" si="79"/>
        <v>6.1916768469820012</v>
      </c>
      <c r="BA32" s="14"/>
      <c r="BB32" s="14">
        <v>1.7673405880133846</v>
      </c>
      <c r="BC32" s="14">
        <f t="shared" si="80"/>
        <v>1.5529206433587868</v>
      </c>
      <c r="BD32" s="13"/>
    </row>
    <row r="33" spans="1:56" x14ac:dyDescent="0.2">
      <c r="A33" s="15"/>
      <c r="B33" s="15" t="s">
        <v>129</v>
      </c>
      <c r="C33" s="14" t="s">
        <v>37</v>
      </c>
      <c r="D33" s="14" t="s">
        <v>119</v>
      </c>
      <c r="E33" s="14"/>
      <c r="F33" s="14"/>
      <c r="G33" s="14">
        <v>68.110237121582031</v>
      </c>
      <c r="H33" s="14">
        <v>86.907379150390625</v>
      </c>
      <c r="I33" s="14" t="s">
        <v>144</v>
      </c>
      <c r="J33" s="14">
        <v>23.39158821105957</v>
      </c>
      <c r="K33" s="14">
        <f t="shared" ref="K33:K34" si="81">J33-20.31398</f>
        <v>3.0776082110595695</v>
      </c>
      <c r="L33" s="14">
        <f t="shared" si="3"/>
        <v>0.11845342254531654</v>
      </c>
      <c r="M33" s="14">
        <v>77.251724243164063</v>
      </c>
      <c r="N33" s="14" t="s">
        <v>24</v>
      </c>
      <c r="O33" s="13" t="s">
        <v>25</v>
      </c>
      <c r="R33" s="14"/>
      <c r="S33" s="15"/>
      <c r="T33" s="14" t="s">
        <v>16</v>
      </c>
      <c r="U33" s="14">
        <v>3.8034004914137851</v>
      </c>
      <c r="V33" s="14">
        <f t="shared" si="67"/>
        <v>1.1503162205784263</v>
      </c>
      <c r="W33" s="14"/>
      <c r="X33" s="14"/>
      <c r="Y33" s="14"/>
      <c r="Z33" s="14"/>
      <c r="AA33" s="14">
        <v>0.1095222239031491</v>
      </c>
      <c r="AB33" s="14">
        <f t="shared" si="70"/>
        <v>0.94209632455135872</v>
      </c>
      <c r="AC33" s="14"/>
      <c r="AD33" s="14">
        <v>0.36756940840310126</v>
      </c>
      <c r="AE33" s="14">
        <f t="shared" si="72"/>
        <v>1.1169356918253663</v>
      </c>
      <c r="AF33" s="14"/>
      <c r="AG33" s="14">
        <v>0.19054593316426074</v>
      </c>
      <c r="AH33" s="14">
        <f t="shared" si="73"/>
        <v>2.0029189348015923</v>
      </c>
      <c r="AI33" s="14"/>
      <c r="AJ33" s="14">
        <v>0.51212097258560518</v>
      </c>
      <c r="AK33" s="14">
        <f t="shared" si="74"/>
        <v>7.68346767133683E-2</v>
      </c>
      <c r="AL33" s="14"/>
      <c r="AM33" s="14">
        <v>0.23194741990036433</v>
      </c>
      <c r="AN33" s="14">
        <f t="shared" si="75"/>
        <v>1.4261503264523252</v>
      </c>
      <c r="AO33" s="14"/>
      <c r="AP33" s="14">
        <v>0.75694284219519725</v>
      </c>
      <c r="AQ33" s="14">
        <f t="shared" si="76"/>
        <v>0.90937819930432406</v>
      </c>
      <c r="AR33" s="14"/>
      <c r="AS33" s="14">
        <v>1.4992362280877092</v>
      </c>
      <c r="AT33" s="14">
        <f t="shared" si="77"/>
        <v>1.0563858920712972</v>
      </c>
      <c r="AU33" s="14"/>
      <c r="AV33" s="14">
        <v>1.7915432772348305</v>
      </c>
      <c r="AW33" s="14">
        <f t="shared" si="78"/>
        <v>1.321275119974278</v>
      </c>
      <c r="AX33" s="14"/>
      <c r="AY33" s="14">
        <v>4.8730069263918388E-2</v>
      </c>
      <c r="AZ33" s="14">
        <f t="shared" si="79"/>
        <v>6.0181508690294825</v>
      </c>
      <c r="BA33" s="14"/>
      <c r="BB33" s="14">
        <v>1.7522365911782949</v>
      </c>
      <c r="BC33" s="14">
        <f t="shared" si="80"/>
        <v>1.5935625045745716</v>
      </c>
      <c r="BD33" s="13"/>
    </row>
    <row r="34" spans="1:56" ht="13.5" thickBot="1" x14ac:dyDescent="0.25">
      <c r="A34" s="15"/>
      <c r="B34" s="15" t="s">
        <v>129</v>
      </c>
      <c r="C34" s="14" t="s">
        <v>37</v>
      </c>
      <c r="D34" s="14" t="s">
        <v>119</v>
      </c>
      <c r="E34" s="14"/>
      <c r="F34" s="14"/>
      <c r="G34" s="14">
        <v>72.138198852539063</v>
      </c>
      <c r="H34" s="14">
        <v>75.569419860839844</v>
      </c>
      <c r="I34" s="14" t="s">
        <v>144</v>
      </c>
      <c r="J34" s="14">
        <v>23.345726013183594</v>
      </c>
      <c r="K34" s="14">
        <f t="shared" si="81"/>
        <v>3.0317460131835929</v>
      </c>
      <c r="L34" s="14">
        <f t="shared" si="3"/>
        <v>0.12227945961499113</v>
      </c>
      <c r="M34" s="14">
        <v>77.251724243164063</v>
      </c>
      <c r="N34" s="14" t="s">
        <v>24</v>
      </c>
      <c r="O34" s="13" t="s">
        <v>25</v>
      </c>
      <c r="R34" s="14"/>
      <c r="S34" s="12"/>
      <c r="T34" s="11" t="s">
        <v>16</v>
      </c>
      <c r="U34" s="11">
        <v>3.6560139626754786</v>
      </c>
      <c r="V34" s="11">
        <f t="shared" si="67"/>
        <v>1.0614995563768119</v>
      </c>
      <c r="W34" s="11"/>
      <c r="X34" s="11"/>
      <c r="Y34" s="11"/>
      <c r="Z34" s="11"/>
      <c r="AA34" s="11">
        <v>0.11122436550238328</v>
      </c>
      <c r="AB34" s="11">
        <f t="shared" si="70"/>
        <v>0.93697996943845696</v>
      </c>
      <c r="AC34" s="11"/>
      <c r="AD34" s="11">
        <v>0.3735866124604319</v>
      </c>
      <c r="AE34" s="11">
        <f>AD34/AD15</f>
        <v>1.1352202112194789</v>
      </c>
      <c r="AF34" s="11"/>
      <c r="AG34" s="11">
        <v>0.18916842315688559</v>
      </c>
      <c r="AH34" s="11">
        <f>AG34/AG15</f>
        <v>1.9884392719148913</v>
      </c>
      <c r="AI34" s="11"/>
      <c r="AJ34" s="11">
        <v>0.51420921381720375</v>
      </c>
      <c r="AK34" s="11">
        <f>AJ34/AJ15</f>
        <v>7.7147980304743055E-2</v>
      </c>
      <c r="AL34" s="11"/>
      <c r="AM34" s="11">
        <v>0.24143108552858011</v>
      </c>
      <c r="AN34" s="11">
        <f>AM34/AM16</f>
        <v>1.4975760781728518</v>
      </c>
      <c r="AO34" s="11"/>
      <c r="AP34" s="11">
        <v>0.73891071400777197</v>
      </c>
      <c r="AQ34" s="11">
        <f>AP34/AP16</f>
        <v>0.88708586895670738</v>
      </c>
      <c r="AR34" s="11"/>
      <c r="AS34" s="11">
        <v>1.4696402005621576</v>
      </c>
      <c r="AT34" s="11">
        <f>AS34/AS16</f>
        <v>1.013755455537581</v>
      </c>
      <c r="AU34" s="11"/>
      <c r="AV34" s="11">
        <v>1.7932684128479615</v>
      </c>
      <c r="AW34" s="11">
        <f>AV34/AV16</f>
        <v>1.2970771190326211</v>
      </c>
      <c r="AX34" s="11"/>
      <c r="AY34" s="11">
        <v>3.7076232350630255E-2</v>
      </c>
      <c r="AZ34" s="11">
        <f>AY34/AY16</f>
        <v>4.4622259636553743</v>
      </c>
      <c r="BA34" s="11"/>
      <c r="BB34" s="11">
        <v>1.6351448636730366</v>
      </c>
      <c r="BC34" s="11">
        <f>BB34/BB16</f>
        <v>1.4648662484490882</v>
      </c>
      <c r="BD34" s="10"/>
    </row>
    <row r="35" spans="1:56" x14ac:dyDescent="0.2">
      <c r="A35" s="15"/>
      <c r="B35" s="15" t="s">
        <v>126</v>
      </c>
      <c r="C35" s="14" t="s">
        <v>49</v>
      </c>
      <c r="D35" s="14">
        <v>28.165271759033203</v>
      </c>
      <c r="E35" s="14">
        <f>D35-24.84462</f>
        <v>3.3206517590332041</v>
      </c>
      <c r="F35" s="14">
        <f t="shared" si="1"/>
        <v>0.10008850800511453</v>
      </c>
      <c r="G35" s="14">
        <v>76.769218444824219</v>
      </c>
      <c r="H35" s="14" t="s">
        <v>24</v>
      </c>
      <c r="I35" s="14" t="s">
        <v>25</v>
      </c>
      <c r="J35" s="14">
        <v>21.417156219482422</v>
      </c>
      <c r="K35" s="14">
        <f>J35-18.31352</f>
        <v>3.1036362194824214</v>
      </c>
      <c r="L35" s="14">
        <f t="shared" si="3"/>
        <v>0.11633553792089497</v>
      </c>
      <c r="M35" s="14">
        <v>76.211166381835938</v>
      </c>
      <c r="N35" s="14" t="s">
        <v>24</v>
      </c>
      <c r="O35" s="13" t="s">
        <v>25</v>
      </c>
      <c r="R35" s="14"/>
      <c r="S35" s="14"/>
      <c r="T35" s="14"/>
      <c r="U35" s="14"/>
      <c r="V35" s="14"/>
      <c r="W35" s="14"/>
      <c r="X35" s="14"/>
      <c r="AA35" s="14"/>
      <c r="AB35" s="14"/>
      <c r="AC35" s="14"/>
      <c r="AD35" s="14"/>
      <c r="AE35" s="14"/>
      <c r="AF35" s="14"/>
      <c r="AG35" s="14"/>
      <c r="AH35" s="14"/>
      <c r="AI35" s="14"/>
      <c r="AJ35" s="14"/>
      <c r="AK35" s="14"/>
    </row>
    <row r="36" spans="1:56" x14ac:dyDescent="0.2">
      <c r="A36" s="15"/>
      <c r="B36" s="15" t="s">
        <v>126</v>
      </c>
      <c r="C36" s="14" t="s">
        <v>49</v>
      </c>
      <c r="D36" s="14">
        <v>28.017904281616211</v>
      </c>
      <c r="E36" s="14">
        <f t="shared" ref="E36:E37" si="82">D36-24.84462</f>
        <v>3.1732842816162119</v>
      </c>
      <c r="F36" s="14">
        <f t="shared" si="1"/>
        <v>0.11085269257946154</v>
      </c>
      <c r="G36" s="14">
        <v>76.769218444824219</v>
      </c>
      <c r="H36" s="14" t="s">
        <v>24</v>
      </c>
      <c r="I36" s="14" t="s">
        <v>25</v>
      </c>
      <c r="J36" s="14">
        <v>21.418170928955078</v>
      </c>
      <c r="K36" s="14">
        <f t="shared" ref="K36:K37" si="83">J36-18.31352</f>
        <v>3.1046509289550777</v>
      </c>
      <c r="L36" s="14">
        <f t="shared" si="3"/>
        <v>0.11625374290182623</v>
      </c>
      <c r="M36" s="14">
        <v>76.211166381835938</v>
      </c>
      <c r="N36" s="14" t="s">
        <v>24</v>
      </c>
      <c r="O36" s="13" t="s">
        <v>25</v>
      </c>
      <c r="R36" s="14"/>
      <c r="S36" s="14"/>
      <c r="T36" s="14"/>
      <c r="U36" s="14"/>
      <c r="V36" s="14"/>
      <c r="W36" s="14"/>
      <c r="X36" s="14"/>
      <c r="AA36" s="14"/>
      <c r="AB36" s="14"/>
      <c r="AC36" s="14"/>
      <c r="AD36" s="14"/>
      <c r="AE36" s="14"/>
      <c r="AF36" s="14"/>
      <c r="AG36" s="14"/>
      <c r="AH36" s="14"/>
      <c r="AI36" s="14"/>
      <c r="AJ36" s="14"/>
      <c r="AK36" s="14"/>
    </row>
    <row r="37" spans="1:56" x14ac:dyDescent="0.2">
      <c r="A37" s="15"/>
      <c r="B37" s="15" t="s">
        <v>126</v>
      </c>
      <c r="C37" s="14" t="s">
        <v>49</v>
      </c>
      <c r="D37" s="14">
        <v>28.149974822998047</v>
      </c>
      <c r="E37" s="14">
        <f t="shared" si="82"/>
        <v>3.3053548229980478</v>
      </c>
      <c r="F37" s="14">
        <f t="shared" si="1"/>
        <v>0.10115539538951372</v>
      </c>
      <c r="G37" s="14">
        <v>76.61737060546875</v>
      </c>
      <c r="H37" s="14" t="s">
        <v>24</v>
      </c>
      <c r="I37" s="14" t="s">
        <v>25</v>
      </c>
      <c r="J37" s="14">
        <v>21.388065338134766</v>
      </c>
      <c r="K37" s="14">
        <f t="shared" si="83"/>
        <v>3.0745453381347652</v>
      </c>
      <c r="L37" s="14">
        <f t="shared" si="3"/>
        <v>0.11870516887254413</v>
      </c>
      <c r="M37" s="14">
        <v>76.204658508300781</v>
      </c>
      <c r="N37" s="14" t="s">
        <v>24</v>
      </c>
      <c r="O37" s="13" t="s">
        <v>25</v>
      </c>
      <c r="R37" s="14"/>
      <c r="S37" s="14"/>
      <c r="T37" s="14"/>
      <c r="U37" s="14"/>
      <c r="V37" s="14"/>
      <c r="W37" s="14"/>
      <c r="X37" s="14"/>
      <c r="AA37" s="14"/>
      <c r="AB37" s="14"/>
      <c r="AC37" s="14"/>
      <c r="AD37" s="14"/>
      <c r="AE37" s="14"/>
      <c r="AF37" s="14"/>
      <c r="AG37" s="14"/>
      <c r="AH37" s="14"/>
      <c r="AI37" s="14"/>
      <c r="AJ37" s="14"/>
      <c r="AK37" s="14"/>
    </row>
    <row r="38" spans="1:56" x14ac:dyDescent="0.2">
      <c r="A38" s="15"/>
      <c r="B38" s="15" t="s">
        <v>127</v>
      </c>
      <c r="C38" s="14" t="s">
        <v>49</v>
      </c>
      <c r="D38" s="14">
        <v>23.974491119384766</v>
      </c>
      <c r="E38" s="14">
        <f>D38-20.82237</f>
        <v>3.1521211193847662</v>
      </c>
      <c r="F38" s="14">
        <f t="shared" si="1"/>
        <v>0.11249079682488149</v>
      </c>
      <c r="G38" s="14">
        <v>76.61737060546875</v>
      </c>
      <c r="H38" s="14" t="s">
        <v>24</v>
      </c>
      <c r="I38" s="14" t="s">
        <v>25</v>
      </c>
      <c r="J38" s="14">
        <v>23.339128494262695</v>
      </c>
      <c r="K38" s="14">
        <f>J38-20.05365</f>
        <v>3.2854784942626942</v>
      </c>
      <c r="L38" s="14">
        <f t="shared" si="3"/>
        <v>0.10255868013526494</v>
      </c>
      <c r="M38" s="14">
        <v>76.204658508300781</v>
      </c>
      <c r="N38" s="14" t="s">
        <v>24</v>
      </c>
      <c r="O38" s="13" t="s">
        <v>25</v>
      </c>
      <c r="R38" s="14"/>
      <c r="S38" s="14"/>
      <c r="T38" s="14"/>
      <c r="U38" s="14"/>
      <c r="V38" s="14"/>
      <c r="W38" s="14"/>
      <c r="X38" s="14"/>
      <c r="AA38" s="14"/>
      <c r="AB38" s="14"/>
      <c r="AC38" s="14"/>
      <c r="AD38" s="14"/>
      <c r="AE38" s="14"/>
      <c r="AF38" s="14"/>
      <c r="AG38" s="14"/>
      <c r="AH38" s="14"/>
      <c r="AI38" s="14"/>
      <c r="AJ38" s="14"/>
      <c r="AK38" s="14"/>
    </row>
    <row r="39" spans="1:56" x14ac:dyDescent="0.2">
      <c r="A39" s="15"/>
      <c r="B39" s="15" t="s">
        <v>127</v>
      </c>
      <c r="C39" s="14" t="s">
        <v>49</v>
      </c>
      <c r="D39" s="14">
        <v>23.968828201293945</v>
      </c>
      <c r="E39" s="14">
        <f t="shared" ref="E39:E40" si="84">D39-20.82237</f>
        <v>3.1464582012939459</v>
      </c>
      <c r="F39" s="14">
        <f t="shared" si="1"/>
        <v>0.11293321745201745</v>
      </c>
      <c r="G39" s="14">
        <v>76.766082763671875</v>
      </c>
      <c r="H39" s="14" t="s">
        <v>24</v>
      </c>
      <c r="I39" s="14" t="s">
        <v>25</v>
      </c>
      <c r="J39" s="14">
        <v>23.25483512878418</v>
      </c>
      <c r="K39" s="14">
        <f t="shared" ref="K39:K40" si="85">J39-20.05365</f>
        <v>3.2011851287841786</v>
      </c>
      <c r="L39" s="14">
        <f t="shared" si="3"/>
        <v>0.10872946586576326</v>
      </c>
      <c r="M39" s="14">
        <v>76.205673217773438</v>
      </c>
      <c r="N39" s="14" t="s">
        <v>24</v>
      </c>
      <c r="O39" s="13" t="s">
        <v>25</v>
      </c>
      <c r="R39" s="14"/>
      <c r="S39" s="14"/>
      <c r="T39" s="14"/>
      <c r="U39" s="14"/>
      <c r="V39" s="14"/>
      <c r="W39" s="14"/>
      <c r="X39" s="14"/>
      <c r="AA39" s="14"/>
      <c r="AB39" s="14"/>
      <c r="AC39" s="14"/>
      <c r="AD39" s="14"/>
      <c r="AE39" s="14"/>
      <c r="AF39" s="14"/>
      <c r="AG39" s="14"/>
      <c r="AH39" s="14"/>
      <c r="AI39" s="14"/>
      <c r="AJ39" s="14"/>
      <c r="AK39" s="14"/>
    </row>
    <row r="40" spans="1:56" x14ac:dyDescent="0.2">
      <c r="A40" s="15"/>
      <c r="B40" s="15" t="s">
        <v>127</v>
      </c>
      <c r="C40" s="14" t="s">
        <v>49</v>
      </c>
      <c r="D40" s="14">
        <v>23.922798156738281</v>
      </c>
      <c r="E40" s="14">
        <f t="shared" si="84"/>
        <v>3.1004281567382819</v>
      </c>
      <c r="F40" s="14">
        <f t="shared" si="1"/>
        <v>0.11659451639526187</v>
      </c>
      <c r="G40" s="14">
        <v>76.766082763671875</v>
      </c>
      <c r="H40" s="14" t="s">
        <v>24</v>
      </c>
      <c r="I40" s="14" t="s">
        <v>25</v>
      </c>
      <c r="J40" s="14">
        <v>23.24970817565918</v>
      </c>
      <c r="K40" s="14">
        <f t="shared" si="85"/>
        <v>3.1960581756591786</v>
      </c>
      <c r="L40" s="14">
        <f t="shared" si="3"/>
        <v>0.10911654875519758</v>
      </c>
      <c r="M40" s="14">
        <v>76.205673217773438</v>
      </c>
      <c r="N40" s="14" t="s">
        <v>24</v>
      </c>
      <c r="O40" s="13" t="s">
        <v>25</v>
      </c>
      <c r="R40" s="14"/>
      <c r="S40" s="14"/>
      <c r="T40" s="14"/>
      <c r="U40" s="14"/>
      <c r="V40" s="14"/>
      <c r="W40" s="14"/>
      <c r="X40" s="14"/>
      <c r="AA40" s="14"/>
      <c r="AB40" s="14"/>
      <c r="AC40" s="14"/>
      <c r="AD40" s="14"/>
      <c r="AE40" s="14"/>
      <c r="AF40" s="14"/>
      <c r="AG40" s="14"/>
      <c r="AH40" s="14"/>
      <c r="AI40" s="14"/>
      <c r="AJ40" s="14"/>
      <c r="AK40" s="14"/>
    </row>
    <row r="41" spans="1:56" x14ac:dyDescent="0.2">
      <c r="A41" s="15"/>
      <c r="B41" s="15" t="s">
        <v>128</v>
      </c>
      <c r="C41" s="14" t="s">
        <v>49</v>
      </c>
      <c r="D41" s="14">
        <v>25.128868103027344</v>
      </c>
      <c r="E41" s="14">
        <f>D41-22.00185</f>
        <v>3.1270181030273427</v>
      </c>
      <c r="F41" s="14">
        <f t="shared" si="1"/>
        <v>0.11446527447585182</v>
      </c>
      <c r="G41" s="14">
        <v>76.615509033203125</v>
      </c>
      <c r="H41" s="14" t="s">
        <v>24</v>
      </c>
      <c r="I41" s="14" t="s">
        <v>25</v>
      </c>
      <c r="J41" s="14">
        <v>23.832029342651367</v>
      </c>
      <c r="K41" s="14">
        <f>J41-20.8619</f>
        <v>2.9701293426513686</v>
      </c>
      <c r="L41" s="14">
        <f t="shared" si="3"/>
        <v>0.12761507406322242</v>
      </c>
      <c r="M41" s="14">
        <v>76.204475402832031</v>
      </c>
      <c r="N41" s="14" t="s">
        <v>24</v>
      </c>
      <c r="O41" s="13" t="s">
        <v>25</v>
      </c>
      <c r="R41" s="14"/>
      <c r="S41" s="14"/>
      <c r="T41" s="14"/>
      <c r="U41" s="14"/>
      <c r="V41" s="14"/>
      <c r="W41" s="14"/>
      <c r="X41" s="14"/>
      <c r="AA41" s="14"/>
      <c r="AB41" s="14"/>
      <c r="AC41" s="14"/>
      <c r="AD41" s="14"/>
      <c r="AE41" s="14"/>
      <c r="AF41" s="14"/>
      <c r="AG41" s="14"/>
      <c r="AH41" s="14"/>
      <c r="AI41" s="14"/>
      <c r="AJ41" s="14"/>
      <c r="AK41" s="14"/>
    </row>
    <row r="42" spans="1:56" x14ac:dyDescent="0.2">
      <c r="A42" s="15"/>
      <c r="B42" s="15" t="s">
        <v>128</v>
      </c>
      <c r="C42" s="14" t="s">
        <v>49</v>
      </c>
      <c r="D42" s="14">
        <v>25.131643295288086</v>
      </c>
      <c r="E42" s="14">
        <f t="shared" ref="E42:E43" si="86">D42-22.00185</f>
        <v>3.1297932952880849</v>
      </c>
      <c r="F42" s="14">
        <f t="shared" si="1"/>
        <v>0.11424529880559182</v>
      </c>
      <c r="G42" s="14">
        <v>76.615509033203125</v>
      </c>
      <c r="H42" s="14" t="s">
        <v>24</v>
      </c>
      <c r="I42" s="14" t="s">
        <v>25</v>
      </c>
      <c r="J42" s="14">
        <v>23.791175842285156</v>
      </c>
      <c r="K42" s="14">
        <f t="shared" ref="K42:K43" si="87">J42-20.8619</f>
        <v>2.9292758422851577</v>
      </c>
      <c r="L42" s="14">
        <f t="shared" si="3"/>
        <v>0.13128046486828979</v>
      </c>
      <c r="M42" s="14">
        <v>76.204475402832031</v>
      </c>
      <c r="N42" s="14" t="s">
        <v>24</v>
      </c>
      <c r="O42" s="13" t="s">
        <v>25</v>
      </c>
      <c r="R42" s="14"/>
      <c r="S42" s="14"/>
      <c r="T42" s="14"/>
      <c r="U42" s="14"/>
      <c r="V42" s="14"/>
      <c r="W42" s="14"/>
      <c r="X42" s="14"/>
      <c r="AA42" s="14"/>
      <c r="AB42" s="14"/>
      <c r="AC42" s="14"/>
      <c r="AD42" s="14"/>
      <c r="AE42" s="14"/>
      <c r="AF42" s="14"/>
      <c r="AG42" s="14"/>
      <c r="AH42" s="14"/>
      <c r="AI42" s="14"/>
      <c r="AJ42" s="14"/>
      <c r="AK42" s="14"/>
    </row>
    <row r="43" spans="1:56" x14ac:dyDescent="0.2">
      <c r="A43" s="15"/>
      <c r="B43" s="15" t="s">
        <v>128</v>
      </c>
      <c r="C43" s="14" t="s">
        <v>49</v>
      </c>
      <c r="D43" s="14">
        <v>25.141616821289063</v>
      </c>
      <c r="E43" s="14">
        <f t="shared" si="86"/>
        <v>3.1397668212890615</v>
      </c>
      <c r="F43" s="14">
        <f t="shared" si="1"/>
        <v>0.11345823086509112</v>
      </c>
      <c r="G43" s="14">
        <v>76.61322021484375</v>
      </c>
      <c r="H43" s="14" t="s">
        <v>24</v>
      </c>
      <c r="I43" s="14" t="s">
        <v>25</v>
      </c>
      <c r="J43" s="14">
        <v>23.792713165283203</v>
      </c>
      <c r="K43" s="14">
        <f t="shared" si="87"/>
        <v>2.9308131652832046</v>
      </c>
      <c r="L43" s="14">
        <f t="shared" si="3"/>
        <v>0.13114064808009099</v>
      </c>
      <c r="M43" s="14">
        <v>76.053802490234375</v>
      </c>
      <c r="N43" s="14" t="s">
        <v>24</v>
      </c>
      <c r="O43" s="13" t="s">
        <v>25</v>
      </c>
      <c r="R43" s="14"/>
      <c r="S43" s="14"/>
      <c r="T43" s="14"/>
      <c r="U43" s="14"/>
      <c r="V43" s="14"/>
      <c r="W43" s="14"/>
      <c r="X43" s="14"/>
      <c r="AA43" s="14"/>
      <c r="AB43" s="14"/>
      <c r="AC43" s="14"/>
      <c r="AD43" s="14"/>
      <c r="AE43" s="14"/>
      <c r="AF43" s="14"/>
      <c r="AG43" s="14"/>
      <c r="AH43" s="14"/>
      <c r="AI43" s="14"/>
      <c r="AJ43" s="14"/>
      <c r="AK43" s="14"/>
    </row>
    <row r="44" spans="1:56" x14ac:dyDescent="0.2">
      <c r="A44" s="15"/>
      <c r="B44" s="15" t="s">
        <v>129</v>
      </c>
      <c r="C44" s="14" t="s">
        <v>49</v>
      </c>
      <c r="D44" s="14">
        <v>28.201370239257813</v>
      </c>
      <c r="E44" s="14">
        <f>D44-24.98092</f>
        <v>3.2204502392578114</v>
      </c>
      <c r="F44" s="14">
        <f t="shared" si="1"/>
        <v>0.10728719192037843</v>
      </c>
      <c r="G44" s="14">
        <v>76.762413024902344</v>
      </c>
      <c r="H44" s="14" t="s">
        <v>24</v>
      </c>
      <c r="I44" s="14" t="s">
        <v>25</v>
      </c>
      <c r="J44" s="14">
        <v>23.509922027587891</v>
      </c>
      <c r="K44" s="14">
        <f>J44-20.31398</f>
        <v>3.1959420275878898</v>
      </c>
      <c r="L44" s="14">
        <f t="shared" si="3"/>
        <v>0.1091253338320866</v>
      </c>
      <c r="M44" s="14">
        <v>76.053802490234375</v>
      </c>
      <c r="N44" s="14" t="s">
        <v>24</v>
      </c>
      <c r="O44" s="13" t="s">
        <v>25</v>
      </c>
      <c r="R44" s="14"/>
      <c r="S44" s="14"/>
      <c r="T44" s="14"/>
      <c r="U44" s="14"/>
      <c r="V44" s="14"/>
      <c r="W44" s="14"/>
      <c r="X44" s="14"/>
      <c r="AA44" s="14"/>
      <c r="AB44" s="14"/>
      <c r="AC44" s="14"/>
      <c r="AD44" s="14"/>
      <c r="AE44" s="14"/>
      <c r="AF44" s="14"/>
      <c r="AG44" s="14"/>
      <c r="AH44" s="14"/>
      <c r="AI44" s="14"/>
      <c r="AJ44" s="14"/>
      <c r="AK44" s="14"/>
    </row>
    <row r="45" spans="1:56" x14ac:dyDescent="0.2">
      <c r="A45" s="15"/>
      <c r="B45" s="15" t="s">
        <v>129</v>
      </c>
      <c r="C45" s="14" t="s">
        <v>49</v>
      </c>
      <c r="D45" s="14">
        <v>28.193384170532227</v>
      </c>
      <c r="E45" s="14">
        <f t="shared" ref="E45:E46" si="88">D45-24.98092</f>
        <v>3.2124641705322254</v>
      </c>
      <c r="F45" s="14">
        <f t="shared" si="1"/>
        <v>0.10788272921041728</v>
      </c>
      <c r="G45" s="14">
        <v>76.61370849609375</v>
      </c>
      <c r="H45" s="14" t="s">
        <v>24</v>
      </c>
      <c r="I45" s="14" t="s">
        <v>25</v>
      </c>
      <c r="J45" s="14">
        <v>23.504684448242188</v>
      </c>
      <c r="K45" s="14">
        <f t="shared" ref="K45:K46" si="89">J45-20.31398</f>
        <v>3.1907044482421867</v>
      </c>
      <c r="L45" s="14">
        <f t="shared" si="3"/>
        <v>0.1095222239031491</v>
      </c>
      <c r="M45" s="14">
        <v>76.057212829589844</v>
      </c>
      <c r="N45" s="14" t="s">
        <v>24</v>
      </c>
      <c r="O45" s="13" t="s">
        <v>25</v>
      </c>
      <c r="R45" s="14"/>
      <c r="S45" s="14"/>
      <c r="T45" s="14"/>
      <c r="U45" s="14"/>
      <c r="V45" s="14"/>
      <c r="W45" s="14"/>
      <c r="X45" s="14"/>
      <c r="AA45" s="14"/>
      <c r="AB45" s="14"/>
      <c r="AC45" s="14"/>
      <c r="AD45" s="14"/>
      <c r="AE45" s="14"/>
      <c r="AF45" s="14"/>
      <c r="AG45" s="14"/>
      <c r="AH45" s="14"/>
      <c r="AI45" s="14"/>
      <c r="AJ45" s="14"/>
      <c r="AK45" s="14"/>
    </row>
    <row r="46" spans="1:56" x14ac:dyDescent="0.2">
      <c r="A46" s="15"/>
      <c r="B46" s="15" t="s">
        <v>129</v>
      </c>
      <c r="C46" s="14" t="s">
        <v>49</v>
      </c>
      <c r="D46" s="14">
        <v>28.340433120727539</v>
      </c>
      <c r="E46" s="14">
        <f t="shared" si="88"/>
        <v>3.3595131207275379</v>
      </c>
      <c r="F46" s="14">
        <f t="shared" si="1"/>
        <v>9.7428446964386711E-2</v>
      </c>
      <c r="G46" s="14">
        <v>76.61370849609375</v>
      </c>
      <c r="H46" s="14" t="s">
        <v>24</v>
      </c>
      <c r="I46" s="14" t="s">
        <v>25</v>
      </c>
      <c r="J46" s="14">
        <v>23.48243522644043</v>
      </c>
      <c r="K46" s="14">
        <f t="shared" si="89"/>
        <v>3.1684552264404289</v>
      </c>
      <c r="L46" s="14">
        <f t="shared" si="3"/>
        <v>0.11122436550238328</v>
      </c>
      <c r="M46" s="14">
        <v>76.057212829589844</v>
      </c>
      <c r="N46" s="14" t="s">
        <v>24</v>
      </c>
      <c r="O46" s="13" t="s">
        <v>25</v>
      </c>
      <c r="R46" s="14"/>
      <c r="S46" s="14"/>
      <c r="T46" s="14"/>
      <c r="U46" s="14"/>
      <c r="V46" s="14"/>
      <c r="W46" s="14"/>
      <c r="X46" s="14"/>
      <c r="AA46" s="14"/>
      <c r="AB46" s="14"/>
      <c r="AC46" s="14"/>
      <c r="AD46" s="14"/>
      <c r="AE46" s="14"/>
      <c r="AF46" s="14"/>
      <c r="AG46" s="14"/>
      <c r="AH46" s="14"/>
      <c r="AI46" s="14"/>
      <c r="AJ46" s="14"/>
      <c r="AK46" s="14"/>
    </row>
    <row r="47" spans="1:56" x14ac:dyDescent="0.2">
      <c r="B47" s="15" t="s">
        <v>126</v>
      </c>
      <c r="C47" s="14" t="s">
        <v>5</v>
      </c>
      <c r="D47" s="14">
        <v>27.227670669555664</v>
      </c>
      <c r="E47" s="14">
        <f>D47-24.73086</f>
        <v>2.4968106695556642</v>
      </c>
      <c r="F47" s="14">
        <f>POWER(2,-E47)</f>
        <v>0.17716792346908986</v>
      </c>
      <c r="G47" s="14">
        <v>77.367996215820313</v>
      </c>
      <c r="H47" s="14" t="s">
        <v>24</v>
      </c>
      <c r="I47" s="14" t="s">
        <v>25</v>
      </c>
      <c r="J47" s="14">
        <v>20.23756217956543</v>
      </c>
      <c r="K47" s="14">
        <f>J47-18.54078</f>
        <v>1.6967821795654281</v>
      </c>
      <c r="L47" s="14">
        <f>POWER(2,-K47)</f>
        <v>0.30847336274471898</v>
      </c>
      <c r="M47" s="14">
        <v>77.363037109375</v>
      </c>
      <c r="N47" s="14" t="s">
        <v>24</v>
      </c>
      <c r="O47" s="13" t="s">
        <v>25</v>
      </c>
      <c r="R47" s="14"/>
      <c r="S47" s="14"/>
      <c r="T47" s="14"/>
      <c r="U47" s="14"/>
      <c r="V47" s="14"/>
      <c r="W47" s="14"/>
      <c r="X47" s="14"/>
    </row>
    <row r="48" spans="1:56" x14ac:dyDescent="0.2">
      <c r="B48" s="15" t="s">
        <v>126</v>
      </c>
      <c r="C48" s="14" t="s">
        <v>5</v>
      </c>
      <c r="D48" s="14">
        <v>27.226297378540039</v>
      </c>
      <c r="E48" s="14">
        <f>D48-24.73086</f>
        <v>2.4954373785400392</v>
      </c>
      <c r="F48" s="14">
        <f t="shared" ref="F48:F67" si="90">POWER(2,-E48)</f>
        <v>0.17733664863043855</v>
      </c>
      <c r="G48" s="14">
        <v>77.218856811523438</v>
      </c>
      <c r="H48" s="14" t="s">
        <v>24</v>
      </c>
      <c r="I48" s="14" t="s">
        <v>25</v>
      </c>
      <c r="J48" s="14">
        <v>20.144237518310547</v>
      </c>
      <c r="K48" s="14">
        <f>J48-18.54078</f>
        <v>1.6034575183105453</v>
      </c>
      <c r="L48" s="14">
        <f t="shared" ref="L48" si="91">POWER(2,-K48)</f>
        <v>0.32908735130703565</v>
      </c>
      <c r="M48" s="14">
        <v>77.661331176757813</v>
      </c>
      <c r="N48" s="14" t="s">
        <v>24</v>
      </c>
      <c r="O48" s="13" t="s">
        <v>25</v>
      </c>
      <c r="R48" s="14"/>
      <c r="S48" s="14"/>
      <c r="T48" s="14"/>
      <c r="U48" s="14"/>
      <c r="V48" s="14"/>
      <c r="W48" s="14"/>
      <c r="X48" s="14"/>
    </row>
    <row r="49" spans="1:24" x14ac:dyDescent="0.2">
      <c r="B49" s="15" t="s">
        <v>127</v>
      </c>
      <c r="C49" s="14" t="s">
        <v>5</v>
      </c>
      <c r="D49" s="14">
        <v>23.430757522583008</v>
      </c>
      <c r="E49" s="14">
        <f>D49-20.89888</f>
        <v>2.5318775225830095</v>
      </c>
      <c r="F49" s="14">
        <f t="shared" si="90"/>
        <v>0.17291350747410461</v>
      </c>
      <c r="G49" s="14">
        <v>77.064910888671875</v>
      </c>
      <c r="H49" s="14" t="s">
        <v>24</v>
      </c>
      <c r="I49" s="14" t="s">
        <v>25</v>
      </c>
      <c r="J49" s="14">
        <v>22.189018249511719</v>
      </c>
      <c r="K49" s="14">
        <f>J49-20.76642</f>
        <v>1.4225982495117186</v>
      </c>
      <c r="L49" s="14">
        <f>POWER(2,-K49)</f>
        <v>0.37303987345124134</v>
      </c>
      <c r="M49" s="14">
        <v>77.380462646484375</v>
      </c>
      <c r="N49" s="14" t="s">
        <v>24</v>
      </c>
      <c r="O49" s="13" t="s">
        <v>25</v>
      </c>
      <c r="R49" s="14"/>
      <c r="S49" s="14"/>
      <c r="T49" s="14"/>
      <c r="U49" s="14"/>
      <c r="V49" s="14"/>
      <c r="W49" s="14"/>
      <c r="X49" s="14"/>
    </row>
    <row r="50" spans="1:24" x14ac:dyDescent="0.2">
      <c r="B50" s="15" t="s">
        <v>127</v>
      </c>
      <c r="C50" s="14" t="s">
        <v>5</v>
      </c>
      <c r="D50" s="14">
        <v>23.389797210693359</v>
      </c>
      <c r="E50" s="14">
        <f>D50-20.89888</f>
        <v>2.490917210693361</v>
      </c>
      <c r="F50" s="14">
        <f t="shared" si="90"/>
        <v>0.17789314079034635</v>
      </c>
      <c r="G50" s="14">
        <v>77.067413330078125</v>
      </c>
      <c r="H50" s="14" t="s">
        <v>24</v>
      </c>
      <c r="I50" s="14" t="s">
        <v>25</v>
      </c>
      <c r="J50" s="14">
        <v>22.231000900268555</v>
      </c>
      <c r="K50" s="14">
        <f>J50-20.76642</f>
        <v>1.4645809002685546</v>
      </c>
      <c r="L50" s="14">
        <f t="shared" ref="L50:L51" si="92">POWER(2,-K50)</f>
        <v>0.36234078255059299</v>
      </c>
      <c r="M50" s="14">
        <v>77.380462646484375</v>
      </c>
      <c r="N50" s="14" t="s">
        <v>24</v>
      </c>
      <c r="O50" s="13" t="s">
        <v>25</v>
      </c>
      <c r="R50" s="14"/>
      <c r="S50" s="14"/>
      <c r="T50" s="14"/>
      <c r="U50" s="14"/>
      <c r="V50" s="14"/>
      <c r="W50" s="14"/>
      <c r="X50" s="14"/>
    </row>
    <row r="51" spans="1:24" x14ac:dyDescent="0.2">
      <c r="B51" s="15" t="s">
        <v>127</v>
      </c>
      <c r="C51" s="14" t="s">
        <v>5</v>
      </c>
      <c r="D51" s="14"/>
      <c r="E51" s="14"/>
      <c r="F51" s="14"/>
      <c r="G51" s="14"/>
      <c r="H51" s="14"/>
      <c r="I51" s="14"/>
      <c r="J51" s="14">
        <v>22.177450180053711</v>
      </c>
      <c r="K51" s="14">
        <f>J51-20.76642</f>
        <v>1.4110301800537108</v>
      </c>
      <c r="L51" s="14">
        <f t="shared" si="92"/>
        <v>0.37604307123747771</v>
      </c>
      <c r="M51" s="14">
        <v>77.380462646484375</v>
      </c>
      <c r="N51" s="14"/>
      <c r="O51" s="13" t="s">
        <v>25</v>
      </c>
      <c r="R51" s="14"/>
      <c r="S51" s="14"/>
      <c r="T51" s="14"/>
      <c r="U51" s="14"/>
      <c r="V51" s="14"/>
      <c r="W51" s="14"/>
      <c r="X51" s="14"/>
    </row>
    <row r="52" spans="1:24" x14ac:dyDescent="0.2">
      <c r="B52" s="15" t="s">
        <v>128</v>
      </c>
      <c r="C52" s="14" t="s">
        <v>5</v>
      </c>
      <c r="D52" s="14">
        <v>23.574251174926758</v>
      </c>
      <c r="E52" s="14">
        <f>D52-21.46934</f>
        <v>2.1049111749267588</v>
      </c>
      <c r="F52" s="14">
        <f t="shared" si="90"/>
        <v>0.23246554784892512</v>
      </c>
      <c r="G52" s="14">
        <v>77.065452575683594</v>
      </c>
      <c r="H52" s="14" t="s">
        <v>24</v>
      </c>
      <c r="I52" s="14" t="s">
        <v>25</v>
      </c>
      <c r="J52" s="14">
        <v>22.926618576049805</v>
      </c>
      <c r="K52" s="14">
        <f>J52-21.96536</f>
        <v>0.96125857604980425</v>
      </c>
      <c r="L52" s="14">
        <f>POWER(2,-K52)</f>
        <v>0.51360865671281775</v>
      </c>
      <c r="M52" s="14">
        <v>77.60675048828125</v>
      </c>
      <c r="N52" s="14" t="s">
        <v>24</v>
      </c>
      <c r="O52" s="13" t="s">
        <v>25</v>
      </c>
      <c r="R52" s="14"/>
      <c r="S52" s="14"/>
      <c r="T52" s="14"/>
      <c r="U52" s="14"/>
      <c r="V52" s="14"/>
      <c r="W52" s="14"/>
      <c r="X52" s="14"/>
    </row>
    <row r="53" spans="1:24" x14ac:dyDescent="0.2">
      <c r="B53" s="15" t="s">
        <v>128</v>
      </c>
      <c r="C53" s="14" t="s">
        <v>5</v>
      </c>
      <c r="D53" s="14">
        <v>23.47770881652832</v>
      </c>
      <c r="E53" s="14">
        <f>D53-21.46934</f>
        <v>2.0083688165283213</v>
      </c>
      <c r="F53" s="14">
        <f t="shared" si="90"/>
        <v>0.24855399267472897</v>
      </c>
      <c r="G53" s="14">
        <v>77.065452575683594</v>
      </c>
      <c r="H53" s="14" t="s">
        <v>24</v>
      </c>
      <c r="I53" s="14" t="s">
        <v>25</v>
      </c>
      <c r="J53" s="14">
        <v>22.809352874755859</v>
      </c>
      <c r="K53" s="14">
        <f t="shared" ref="K53:K54" si="93">J53-21.96536</f>
        <v>0.84399287475585894</v>
      </c>
      <c r="L53" s="14">
        <f t="shared" ref="L53:L57" si="94">POWER(2,-K53)</f>
        <v>0.55709957683015421</v>
      </c>
      <c r="M53" s="14">
        <v>77.60675048828125</v>
      </c>
      <c r="N53" s="14" t="s">
        <v>24</v>
      </c>
      <c r="O53" s="13" t="s">
        <v>25</v>
      </c>
      <c r="R53" s="14"/>
      <c r="S53" s="14"/>
      <c r="T53" s="14"/>
      <c r="U53" s="14"/>
      <c r="V53" s="14"/>
      <c r="W53" s="14"/>
      <c r="X53" s="14"/>
    </row>
    <row r="54" spans="1:24" x14ac:dyDescent="0.2">
      <c r="B54" s="15" t="s">
        <v>128</v>
      </c>
      <c r="C54" s="14" t="s">
        <v>5</v>
      </c>
      <c r="D54" s="14"/>
      <c r="E54" s="14"/>
      <c r="F54" s="14"/>
      <c r="G54" s="14"/>
      <c r="H54" s="14"/>
      <c r="I54" s="14"/>
      <c r="J54" s="14">
        <v>22.870210647583008</v>
      </c>
      <c r="K54" s="14">
        <f t="shared" si="93"/>
        <v>0.90485064758300737</v>
      </c>
      <c r="L54" s="14">
        <f t="shared" si="94"/>
        <v>0.53408799166368226</v>
      </c>
      <c r="M54" s="14">
        <v>77.4571533203125</v>
      </c>
      <c r="N54" s="14"/>
      <c r="O54" s="13" t="s">
        <v>25</v>
      </c>
      <c r="R54" s="14"/>
      <c r="S54" s="14"/>
      <c r="T54" s="14"/>
      <c r="U54" s="14"/>
      <c r="V54" s="14"/>
      <c r="W54" s="14"/>
      <c r="X54" s="14"/>
    </row>
    <row r="55" spans="1:24" x14ac:dyDescent="0.2">
      <c r="B55" s="15" t="s">
        <v>129</v>
      </c>
      <c r="C55" s="14" t="s">
        <v>5</v>
      </c>
      <c r="D55" s="14">
        <v>27.045822143554688</v>
      </c>
      <c r="E55" s="14">
        <f>D55-24.77427</f>
        <v>2.2715521435546862</v>
      </c>
      <c r="F55" s="14">
        <f t="shared" si="90"/>
        <v>0.20710694765483209</v>
      </c>
      <c r="G55" s="14">
        <v>77.213958740234375</v>
      </c>
      <c r="H55" s="14" t="s">
        <v>24</v>
      </c>
      <c r="I55" s="14" t="s">
        <v>25</v>
      </c>
      <c r="J55" s="14">
        <v>22.741792678833008</v>
      </c>
      <c r="K55" s="14">
        <f>J55-21.37383</f>
        <v>1.3679626788330062</v>
      </c>
      <c r="L55" s="14">
        <f t="shared" si="94"/>
        <v>0.38743798800715623</v>
      </c>
      <c r="M55" s="14">
        <v>77.4571533203125</v>
      </c>
      <c r="N55" s="14" t="s">
        <v>24</v>
      </c>
      <c r="O55" s="13" t="s">
        <v>25</v>
      </c>
      <c r="R55" s="14"/>
      <c r="S55" s="14"/>
      <c r="T55" s="14"/>
      <c r="U55" s="14"/>
      <c r="V55" s="14"/>
      <c r="W55" s="14"/>
      <c r="X55" s="14"/>
    </row>
    <row r="56" spans="1:24" x14ac:dyDescent="0.2">
      <c r="B56" s="15" t="s">
        <v>129</v>
      </c>
      <c r="C56" s="14" t="s">
        <v>5</v>
      </c>
      <c r="D56" s="14">
        <v>27.018854141235352</v>
      </c>
      <c r="E56" s="14">
        <f>D56-24.77427</f>
        <v>2.2445841412353502</v>
      </c>
      <c r="F56" s="14">
        <f t="shared" si="90"/>
        <v>0.21101476555373044</v>
      </c>
      <c r="G56" s="14">
        <v>77.068031311035156</v>
      </c>
      <c r="H56" s="14" t="s">
        <v>24</v>
      </c>
      <c r="I56" s="14" t="s">
        <v>25</v>
      </c>
      <c r="J56" s="14">
        <v>22.817741394042969</v>
      </c>
      <c r="K56" s="14">
        <f t="shared" ref="K56:K57" si="95">J56-21.37383</f>
        <v>1.4439113940429671</v>
      </c>
      <c r="L56" s="14">
        <f t="shared" si="94"/>
        <v>0.36756940840310126</v>
      </c>
      <c r="M56" s="14">
        <v>77.4571533203125</v>
      </c>
      <c r="N56" s="14" t="s">
        <v>24</v>
      </c>
      <c r="O56" s="13" t="s">
        <v>25</v>
      </c>
      <c r="R56" s="14"/>
      <c r="S56" s="14"/>
      <c r="T56" s="14"/>
      <c r="U56" s="14"/>
      <c r="V56" s="14"/>
      <c r="W56" s="14"/>
      <c r="X56" s="14"/>
    </row>
    <row r="57" spans="1:24" x14ac:dyDescent="0.2">
      <c r="B57" s="15" t="s">
        <v>129</v>
      </c>
      <c r="C57" s="14" t="s">
        <v>5</v>
      </c>
      <c r="D57" s="14"/>
      <c r="E57" s="14"/>
      <c r="F57" s="14"/>
      <c r="G57" s="14"/>
      <c r="H57" s="14"/>
      <c r="I57" s="14"/>
      <c r="J57" s="14">
        <v>22.794315338134766</v>
      </c>
      <c r="K57" s="14">
        <f t="shared" si="95"/>
        <v>1.420485338134764</v>
      </c>
      <c r="L57" s="14">
        <f t="shared" si="94"/>
        <v>0.3735866124604319</v>
      </c>
      <c r="M57" s="14">
        <v>77.4571533203125</v>
      </c>
      <c r="N57" s="14"/>
      <c r="O57" s="13" t="s">
        <v>25</v>
      </c>
      <c r="R57" s="14"/>
      <c r="S57" s="14"/>
      <c r="T57" s="14"/>
      <c r="U57" s="14"/>
      <c r="V57" s="14"/>
      <c r="W57" s="14"/>
      <c r="X57" s="14"/>
    </row>
    <row r="58" spans="1:24" x14ac:dyDescent="0.2">
      <c r="B58" s="15" t="s">
        <v>126</v>
      </c>
      <c r="C58" s="14" t="s">
        <v>6</v>
      </c>
      <c r="D58" s="14">
        <v>23.805143356323242</v>
      </c>
      <c r="E58" s="14">
        <f>D58-24.73086</f>
        <v>-0.92571664367675766</v>
      </c>
      <c r="F58" s="14">
        <f t="shared" si="90"/>
        <v>1.8996276277347066</v>
      </c>
      <c r="G58" s="14">
        <v>73.78875732421875</v>
      </c>
      <c r="H58" s="14" t="s">
        <v>24</v>
      </c>
      <c r="I58" s="14" t="s">
        <v>25</v>
      </c>
      <c r="J58" s="14">
        <v>21.814846038818359</v>
      </c>
      <c r="K58" s="14">
        <f>J58-18.54078</f>
        <v>3.2740660388183578</v>
      </c>
      <c r="L58" s="14">
        <f t="shared" ref="L58:L68" si="96">POWER(2,-K58)</f>
        <v>0.10337318907858077</v>
      </c>
      <c r="M58" s="14">
        <v>73.7860107421875</v>
      </c>
      <c r="N58" s="14" t="s">
        <v>24</v>
      </c>
      <c r="O58" s="13" t="s">
        <v>25</v>
      </c>
      <c r="R58" s="14"/>
      <c r="S58" s="14"/>
      <c r="T58" s="14"/>
      <c r="U58" s="14"/>
      <c r="V58" s="14"/>
      <c r="W58" s="14"/>
      <c r="X58" s="14"/>
    </row>
    <row r="59" spans="1:24" x14ac:dyDescent="0.2">
      <c r="B59" s="15" t="s">
        <v>126</v>
      </c>
      <c r="C59" s="14" t="s">
        <v>6</v>
      </c>
      <c r="D59" s="14">
        <v>24.148908615112305</v>
      </c>
      <c r="E59" s="14">
        <f>D59-24.73086</f>
        <v>-0.58195138488769516</v>
      </c>
      <c r="F59" s="14">
        <f t="shared" si="90"/>
        <v>1.4968725451879632</v>
      </c>
      <c r="G59" s="14">
        <v>73.78875732421875</v>
      </c>
      <c r="H59" s="14" t="s">
        <v>24</v>
      </c>
      <c r="I59" s="14" t="s">
        <v>25</v>
      </c>
      <c r="J59" s="14">
        <v>21.934673309326172</v>
      </c>
      <c r="K59" s="14">
        <f>J59-18.54078</f>
        <v>3.3938933093261703</v>
      </c>
      <c r="L59" s="14">
        <f t="shared" si="96"/>
        <v>9.5134121433195232E-2</v>
      </c>
      <c r="M59" s="14">
        <v>73.7860107421875</v>
      </c>
      <c r="N59" s="14" t="s">
        <v>24</v>
      </c>
      <c r="O59" s="13" t="s">
        <v>25</v>
      </c>
      <c r="R59" s="14"/>
      <c r="S59" s="14"/>
      <c r="T59" s="14"/>
      <c r="U59" s="14"/>
      <c r="V59" s="14"/>
      <c r="W59" s="14"/>
      <c r="X59" s="14"/>
    </row>
    <row r="60" spans="1:24" x14ac:dyDescent="0.2">
      <c r="B60" s="15" t="s">
        <v>127</v>
      </c>
      <c r="C60" s="14" t="s">
        <v>6</v>
      </c>
      <c r="D60" s="14">
        <v>20.405637741088867</v>
      </c>
      <c r="E60" s="14">
        <f>D60-20.89888</f>
        <v>-0.49324225891113116</v>
      </c>
      <c r="F60" s="14">
        <f t="shared" si="90"/>
        <v>1.4076047219878898</v>
      </c>
      <c r="G60" s="14">
        <v>73.634994506835938</v>
      </c>
      <c r="H60" s="14" t="s">
        <v>24</v>
      </c>
      <c r="I60" s="14" t="s">
        <v>25</v>
      </c>
      <c r="J60" s="14">
        <v>23.934993743896484</v>
      </c>
      <c r="K60" s="14">
        <f>J60-20.76642</f>
        <v>3.1685737438964843</v>
      </c>
      <c r="L60" s="14">
        <f t="shared" si="96"/>
        <v>0.11121522879154706</v>
      </c>
      <c r="M60" s="14">
        <v>73.804641723632813</v>
      </c>
      <c r="N60" s="14" t="s">
        <v>24</v>
      </c>
      <c r="O60" s="13" t="s">
        <v>25</v>
      </c>
      <c r="R60" s="14"/>
      <c r="S60" s="14"/>
      <c r="T60" s="14"/>
      <c r="U60" s="14"/>
      <c r="V60" s="14"/>
      <c r="W60" s="14"/>
      <c r="X60" s="14"/>
    </row>
    <row r="61" spans="1:24" x14ac:dyDescent="0.2">
      <c r="A61" s="15"/>
      <c r="B61" s="15" t="s">
        <v>127</v>
      </c>
      <c r="C61" s="14" t="s">
        <v>6</v>
      </c>
      <c r="D61" s="14">
        <v>20.4637451171875</v>
      </c>
      <c r="E61" s="14">
        <f>D61-20.89888</f>
        <v>-0.43513488281249835</v>
      </c>
      <c r="F61" s="14">
        <f t="shared" si="90"/>
        <v>1.3520372340032205</v>
      </c>
      <c r="G61" s="14">
        <v>73.637565612792969</v>
      </c>
      <c r="H61" s="14" t="s">
        <v>24</v>
      </c>
      <c r="I61" s="14" t="s">
        <v>25</v>
      </c>
      <c r="J61" s="14">
        <v>23.963171005249023</v>
      </c>
      <c r="K61" s="14">
        <f t="shared" ref="K61:K62" si="97">J61-20.76642</f>
        <v>3.1967510052490233</v>
      </c>
      <c r="L61" s="14">
        <f t="shared" si="96"/>
        <v>0.10906415998149395</v>
      </c>
      <c r="M61" s="14">
        <v>73.804641723632813</v>
      </c>
      <c r="N61" s="14" t="s">
        <v>24</v>
      </c>
      <c r="O61" s="13" t="s">
        <v>25</v>
      </c>
      <c r="R61" s="14"/>
      <c r="S61" s="14"/>
      <c r="T61" s="14"/>
      <c r="U61" s="14"/>
      <c r="V61" s="14"/>
      <c r="W61" s="14"/>
      <c r="X61" s="14"/>
    </row>
    <row r="62" spans="1:24" x14ac:dyDescent="0.2">
      <c r="A62" s="15"/>
      <c r="B62" s="15" t="s">
        <v>127</v>
      </c>
      <c r="C62" s="14" t="s">
        <v>6</v>
      </c>
      <c r="D62" s="14"/>
      <c r="E62" s="14"/>
      <c r="F62" s="14"/>
      <c r="G62" s="14"/>
      <c r="H62" s="14"/>
      <c r="I62" s="14"/>
      <c r="J62" s="14">
        <v>23.945249557495117</v>
      </c>
      <c r="K62" s="14">
        <f t="shared" si="97"/>
        <v>3.1788295574951171</v>
      </c>
      <c r="L62" s="14">
        <f t="shared" si="96"/>
        <v>0.11042742675309856</v>
      </c>
      <c r="M62" s="14">
        <v>73.804641723632813</v>
      </c>
      <c r="N62" s="14"/>
      <c r="O62" s="13" t="s">
        <v>25</v>
      </c>
      <c r="R62" s="14"/>
      <c r="S62" s="14"/>
      <c r="T62" s="14"/>
      <c r="U62" s="14"/>
      <c r="V62" s="14"/>
      <c r="W62" s="14"/>
      <c r="X62" s="14"/>
    </row>
    <row r="63" spans="1:24" x14ac:dyDescent="0.2">
      <c r="A63" s="15"/>
      <c r="B63" s="15" t="s">
        <v>128</v>
      </c>
      <c r="C63" s="14" t="s">
        <v>6</v>
      </c>
      <c r="D63" s="14">
        <v>20.538293838500977</v>
      </c>
      <c r="E63" s="14">
        <f>D63-21.46934</f>
        <v>-0.93104616149902242</v>
      </c>
      <c r="F63" s="14">
        <f t="shared" si="90"/>
        <v>1.9066580963920245</v>
      </c>
      <c r="G63" s="14">
        <v>73.635185241699219</v>
      </c>
      <c r="H63" s="14" t="s">
        <v>24</v>
      </c>
      <c r="I63" s="14" t="s">
        <v>25</v>
      </c>
      <c r="J63" s="14">
        <v>23.936777114868164</v>
      </c>
      <c r="K63" s="14">
        <f>J63-21.96536</f>
        <v>1.9714171148681636</v>
      </c>
      <c r="L63" s="14">
        <f t="shared" si="96"/>
        <v>0.25500242734258433</v>
      </c>
      <c r="M63" s="14">
        <v>73.86669921875</v>
      </c>
      <c r="N63" s="14" t="s">
        <v>24</v>
      </c>
      <c r="O63" s="13" t="s">
        <v>25</v>
      </c>
      <c r="R63" s="14"/>
      <c r="S63" s="14"/>
      <c r="T63" s="14"/>
      <c r="U63" s="14"/>
      <c r="V63" s="14"/>
      <c r="W63" s="14"/>
      <c r="X63" s="14"/>
    </row>
    <row r="64" spans="1:24" x14ac:dyDescent="0.2">
      <c r="A64" s="15"/>
      <c r="B64" s="15" t="s">
        <v>128</v>
      </c>
      <c r="C64" s="14" t="s">
        <v>6</v>
      </c>
      <c r="D64" s="14">
        <v>20.590606689453125</v>
      </c>
      <c r="E64" s="14">
        <f>D64-21.46934</f>
        <v>-0.87873331054687398</v>
      </c>
      <c r="F64" s="14">
        <f t="shared" si="90"/>
        <v>1.8387601567979202</v>
      </c>
      <c r="G64" s="14">
        <v>73.635185241699219</v>
      </c>
      <c r="H64" s="14" t="s">
        <v>24</v>
      </c>
      <c r="I64" s="14" t="s">
        <v>25</v>
      </c>
      <c r="J64" s="14">
        <v>23.946582794189453</v>
      </c>
      <c r="K64" s="14">
        <f t="shared" ref="K64:K65" si="98">J64-21.96536</f>
        <v>1.9812227941894527</v>
      </c>
      <c r="L64" s="14">
        <f t="shared" si="96"/>
        <v>0.25327510895611205</v>
      </c>
      <c r="M64" s="14">
        <v>73.86669921875</v>
      </c>
      <c r="N64" s="14" t="s">
        <v>24</v>
      </c>
      <c r="O64" s="13" t="s">
        <v>25</v>
      </c>
      <c r="R64" s="14"/>
      <c r="S64" s="14"/>
      <c r="T64" s="14"/>
      <c r="U64" s="14"/>
      <c r="V64" s="14"/>
      <c r="W64" s="14"/>
      <c r="X64" s="14"/>
    </row>
    <row r="65" spans="1:24" x14ac:dyDescent="0.2">
      <c r="A65" s="15"/>
      <c r="B65" s="15" t="s">
        <v>128</v>
      </c>
      <c r="C65" s="14" t="s">
        <v>6</v>
      </c>
      <c r="D65" s="14"/>
      <c r="E65" s="14"/>
      <c r="F65" s="14"/>
      <c r="G65" s="14"/>
      <c r="H65" s="14"/>
      <c r="I65" s="14"/>
      <c r="J65" s="14">
        <v>23.955347061157227</v>
      </c>
      <c r="K65" s="14">
        <f t="shared" si="98"/>
        <v>1.9899870611572261</v>
      </c>
      <c r="L65" s="14">
        <f t="shared" si="96"/>
        <v>0.25174114525015268</v>
      </c>
      <c r="M65" s="14">
        <v>73.86669921875</v>
      </c>
      <c r="N65" s="14"/>
      <c r="O65" s="13" t="s">
        <v>25</v>
      </c>
      <c r="R65" s="14"/>
      <c r="S65" s="14"/>
      <c r="T65" s="14"/>
      <c r="U65" s="14"/>
      <c r="V65" s="14"/>
      <c r="W65" s="14"/>
      <c r="X65" s="14"/>
    </row>
    <row r="66" spans="1:24" x14ac:dyDescent="0.2">
      <c r="A66" s="15"/>
      <c r="B66" s="15" t="s">
        <v>129</v>
      </c>
      <c r="C66" s="14" t="s">
        <v>6</v>
      </c>
      <c r="D66" s="14">
        <v>23.998411178588867</v>
      </c>
      <c r="E66" s="14">
        <f>D66-24.77427</f>
        <v>-0.77585882141113416</v>
      </c>
      <c r="F66" s="14">
        <f t="shared" si="90"/>
        <v>1.7122090083315669</v>
      </c>
      <c r="G66" s="14">
        <v>73.7838134765625</v>
      </c>
      <c r="H66" s="14" t="s">
        <v>24</v>
      </c>
      <c r="I66" s="14" t="s">
        <v>25</v>
      </c>
      <c r="J66" s="14">
        <v>23.731489181518555</v>
      </c>
      <c r="K66" s="14">
        <f>J66-21.37383</f>
        <v>2.357659181518553</v>
      </c>
      <c r="L66" s="14">
        <f t="shared" si="96"/>
        <v>0.19510745627180592</v>
      </c>
      <c r="M66" s="14">
        <v>73.86669921875</v>
      </c>
      <c r="N66" s="14" t="s">
        <v>24</v>
      </c>
      <c r="O66" s="13" t="s">
        <v>25</v>
      </c>
      <c r="R66" s="14"/>
      <c r="S66" s="14"/>
      <c r="T66" s="14"/>
      <c r="U66" s="14"/>
      <c r="V66" s="14"/>
      <c r="W66" s="14"/>
      <c r="X66" s="14"/>
    </row>
    <row r="67" spans="1:24" x14ac:dyDescent="0.2">
      <c r="A67" s="15"/>
      <c r="B67" s="15" t="s">
        <v>129</v>
      </c>
      <c r="C67" s="14" t="s">
        <v>6</v>
      </c>
      <c r="D67" s="14">
        <v>23.863161087036133</v>
      </c>
      <c r="E67" s="14">
        <f>D67-24.77427</f>
        <v>-0.91110891296386853</v>
      </c>
      <c r="F67" s="14">
        <f t="shared" si="90"/>
        <v>1.8804903629806249</v>
      </c>
      <c r="G67" s="14">
        <v>73.638275146484375</v>
      </c>
      <c r="H67" s="14" t="s">
        <v>24</v>
      </c>
      <c r="I67" s="14" t="s">
        <v>25</v>
      </c>
      <c r="J67" s="14">
        <v>23.765619277954102</v>
      </c>
      <c r="K67" s="14">
        <f t="shared" ref="K67:K68" si="99">J67-21.37383</f>
        <v>2.3917892779540999</v>
      </c>
      <c r="L67" s="14">
        <f t="shared" si="96"/>
        <v>0.19054593316426074</v>
      </c>
      <c r="M67" s="14">
        <v>73.86669921875</v>
      </c>
      <c r="N67" s="14" t="s">
        <v>24</v>
      </c>
      <c r="O67" s="13" t="s">
        <v>25</v>
      </c>
      <c r="R67" s="14"/>
      <c r="S67" s="14"/>
      <c r="T67" s="14"/>
      <c r="U67" s="14"/>
      <c r="V67" s="14"/>
      <c r="W67" s="14"/>
      <c r="X67" s="14"/>
    </row>
    <row r="68" spans="1:24" x14ac:dyDescent="0.2">
      <c r="A68" s="15"/>
      <c r="B68" s="15" t="s">
        <v>129</v>
      </c>
      <c r="C68" s="14" t="s">
        <v>6</v>
      </c>
      <c r="D68" s="14"/>
      <c r="E68" s="14"/>
      <c r="F68" s="14"/>
      <c r="G68" s="14"/>
      <c r="H68" s="14"/>
      <c r="I68" s="14"/>
      <c r="J68" s="14">
        <v>23.776086807250977</v>
      </c>
      <c r="K68" s="14">
        <f t="shared" si="99"/>
        <v>2.4022568072509749</v>
      </c>
      <c r="L68" s="14">
        <f t="shared" si="96"/>
        <v>0.18916842315688559</v>
      </c>
      <c r="M68" s="14">
        <v>73.86669921875</v>
      </c>
      <c r="N68" s="14"/>
      <c r="O68" s="13" t="s">
        <v>25</v>
      </c>
      <c r="R68" s="14"/>
      <c r="S68" s="14"/>
      <c r="T68" s="14"/>
      <c r="U68" s="14"/>
      <c r="V68" s="14"/>
      <c r="W68" s="14"/>
      <c r="X68" s="14"/>
    </row>
    <row r="69" spans="1:24" x14ac:dyDescent="0.2">
      <c r="A69" s="15"/>
      <c r="B69" s="15" t="s">
        <v>126</v>
      </c>
      <c r="C69" s="14" t="s">
        <v>7</v>
      </c>
      <c r="D69" s="14">
        <v>27.073657989501953</v>
      </c>
      <c r="E69" s="14">
        <f>D69-24.18743</f>
        <v>2.886227989501954</v>
      </c>
      <c r="F69" s="14">
        <f>POWER(2,-E69)</f>
        <v>0.13525670422179947</v>
      </c>
      <c r="G69" s="14">
        <v>74.687286376953125</v>
      </c>
      <c r="H69" s="14" t="s">
        <v>24</v>
      </c>
      <c r="I69" s="14" t="s">
        <v>25</v>
      </c>
      <c r="J69" s="14">
        <v>15.713850975036621</v>
      </c>
      <c r="K69" s="14">
        <f>J69-18.54078</f>
        <v>-2.8269290249633805</v>
      </c>
      <c r="L69" s="14">
        <f t="shared" ref="L69:L79" si="100">POWER(2,-K69)</f>
        <v>7.0956213554025593</v>
      </c>
      <c r="M69" s="14">
        <v>73.932647705078125</v>
      </c>
      <c r="N69" s="14" t="s">
        <v>24</v>
      </c>
      <c r="O69" s="13" t="s">
        <v>25</v>
      </c>
      <c r="R69" s="14"/>
      <c r="S69" s="14"/>
      <c r="T69" s="14"/>
      <c r="U69" s="14"/>
      <c r="V69" s="14"/>
      <c r="W69" s="14"/>
      <c r="X69" s="14"/>
    </row>
    <row r="70" spans="1:24" x14ac:dyDescent="0.2">
      <c r="A70" s="15"/>
      <c r="B70" s="15" t="s">
        <v>126</v>
      </c>
      <c r="C70" s="14" t="s">
        <v>7</v>
      </c>
      <c r="D70" s="14">
        <v>27.086477279663086</v>
      </c>
      <c r="E70" s="14">
        <f>D70-24.18743</f>
        <v>2.8990472796630868</v>
      </c>
      <c r="F70" s="14">
        <f t="shared" ref="F70:F90" si="101">POWER(2,-E70)</f>
        <v>0.13406018364139602</v>
      </c>
      <c r="G70" s="14">
        <v>74.836380004882813</v>
      </c>
      <c r="H70" s="14" t="s">
        <v>24</v>
      </c>
      <c r="I70" s="14" t="s">
        <v>25</v>
      </c>
      <c r="J70" s="14">
        <v>15.80412483215332</v>
      </c>
      <c r="K70" s="14">
        <f>J70-18.54078</f>
        <v>-2.7366551678466813</v>
      </c>
      <c r="L70" s="14">
        <f t="shared" si="100"/>
        <v>6.6652323467966434</v>
      </c>
      <c r="M70" s="14">
        <v>74.230941772460938</v>
      </c>
      <c r="N70" s="14" t="s">
        <v>24</v>
      </c>
      <c r="O70" s="13" t="s">
        <v>25</v>
      </c>
      <c r="R70" s="14"/>
      <c r="S70" s="14"/>
      <c r="T70" s="14"/>
      <c r="U70" s="14"/>
      <c r="V70" s="14"/>
      <c r="W70" s="14"/>
      <c r="X70" s="14"/>
    </row>
    <row r="71" spans="1:24" x14ac:dyDescent="0.2">
      <c r="A71" s="15"/>
      <c r="B71" s="15" t="s">
        <v>127</v>
      </c>
      <c r="C71" s="14" t="s">
        <v>7</v>
      </c>
      <c r="D71" s="14">
        <v>23.266149520874023</v>
      </c>
      <c r="E71" s="14">
        <f>D71-20.35294</f>
        <v>2.9132095208740232</v>
      </c>
      <c r="F71" s="14">
        <f t="shared" si="101"/>
        <v>0.1327506176985864</v>
      </c>
      <c r="G71" s="14">
        <v>74.535842895507813</v>
      </c>
      <c r="H71" s="14" t="s">
        <v>24</v>
      </c>
      <c r="I71" s="14" t="s">
        <v>25</v>
      </c>
      <c r="J71" s="14">
        <v>22.635232925415039</v>
      </c>
      <c r="K71" s="14">
        <f>J71-20.76642</f>
        <v>1.868812925415039</v>
      </c>
      <c r="L71" s="14">
        <f t="shared" si="100"/>
        <v>0.27379861892407636</v>
      </c>
      <c r="M71" s="14">
        <v>73.651786804199219</v>
      </c>
      <c r="N71" s="14" t="s">
        <v>24</v>
      </c>
      <c r="O71" s="13" t="s">
        <v>25</v>
      </c>
      <c r="R71" s="14"/>
      <c r="S71" s="14"/>
      <c r="T71" s="14"/>
      <c r="U71" s="14"/>
      <c r="V71" s="14"/>
      <c r="W71" s="14"/>
      <c r="X71" s="14"/>
    </row>
    <row r="72" spans="1:24" x14ac:dyDescent="0.2">
      <c r="A72" s="15"/>
      <c r="B72" s="15" t="s">
        <v>127</v>
      </c>
      <c r="C72" s="14" t="s">
        <v>7</v>
      </c>
      <c r="D72" s="14">
        <v>23.284980773925781</v>
      </c>
      <c r="E72" s="14">
        <f>D72-20.35294</f>
        <v>2.932040773925781</v>
      </c>
      <c r="F72" s="14">
        <f t="shared" si="101"/>
        <v>0.13102910619922409</v>
      </c>
      <c r="G72" s="14">
        <v>74.535408020019531</v>
      </c>
      <c r="H72" s="14" t="s">
        <v>24</v>
      </c>
      <c r="I72" s="14" t="s">
        <v>25</v>
      </c>
      <c r="J72" s="14">
        <v>22.667938232421875</v>
      </c>
      <c r="K72" s="14">
        <f t="shared" ref="K72:K73" si="102">J72-20.76642</f>
        <v>1.9015182324218749</v>
      </c>
      <c r="L72" s="14">
        <f t="shared" si="100"/>
        <v>0.26766154146570059</v>
      </c>
      <c r="M72" s="14">
        <v>73.651786804199219</v>
      </c>
      <c r="N72" s="14" t="s">
        <v>24</v>
      </c>
      <c r="O72" s="13" t="s">
        <v>25</v>
      </c>
      <c r="R72" s="14"/>
      <c r="S72" s="14"/>
      <c r="T72" s="14"/>
      <c r="U72" s="14"/>
      <c r="V72" s="14"/>
      <c r="W72" s="14"/>
      <c r="X72" s="14"/>
    </row>
    <row r="73" spans="1:24" x14ac:dyDescent="0.2">
      <c r="A73" s="15"/>
      <c r="B73" s="15" t="s">
        <v>127</v>
      </c>
      <c r="C73" s="14" t="s">
        <v>7</v>
      </c>
      <c r="D73" s="14"/>
      <c r="E73" s="14"/>
      <c r="F73" s="14"/>
      <c r="G73" s="14"/>
      <c r="H73" s="14"/>
      <c r="I73" s="14"/>
      <c r="J73" s="14">
        <v>22.697595596313477</v>
      </c>
      <c r="K73" s="14">
        <f t="shared" si="102"/>
        <v>1.9311755963134765</v>
      </c>
      <c r="L73" s="14">
        <f t="shared" si="100"/>
        <v>0.2622154146409133</v>
      </c>
      <c r="M73" s="14">
        <v>73.651786804199219</v>
      </c>
      <c r="N73" s="14"/>
      <c r="O73" s="13" t="s">
        <v>25</v>
      </c>
      <c r="R73" s="14"/>
      <c r="S73" s="14"/>
      <c r="T73" s="14"/>
      <c r="U73" s="14"/>
      <c r="V73" s="14"/>
      <c r="W73" s="14"/>
      <c r="X73" s="14"/>
    </row>
    <row r="74" spans="1:24" x14ac:dyDescent="0.2">
      <c r="A74" s="15"/>
      <c r="B74" s="15" t="s">
        <v>128</v>
      </c>
      <c r="C74" s="14" t="s">
        <v>7</v>
      </c>
      <c r="D74" s="14">
        <v>24.468412399291992</v>
      </c>
      <c r="E74" s="14">
        <f>D74-21.70319</f>
        <v>2.7652223992919929</v>
      </c>
      <c r="F74" s="14">
        <f t="shared" si="101"/>
        <v>0.14709066557793601</v>
      </c>
      <c r="G74" s="14">
        <v>74.535781860351563</v>
      </c>
      <c r="H74" s="14" t="s">
        <v>24</v>
      </c>
      <c r="I74" s="14" t="s">
        <v>25</v>
      </c>
      <c r="J74" s="14">
        <v>22.645587921142578</v>
      </c>
      <c r="K74" s="14">
        <f>J74-21.96536</f>
        <v>0.68022792114257769</v>
      </c>
      <c r="L74" s="14">
        <f t="shared" si="100"/>
        <v>0.62406667480104616</v>
      </c>
      <c r="M74" s="14">
        <v>73.711868286132813</v>
      </c>
      <c r="N74" s="14" t="s">
        <v>24</v>
      </c>
      <c r="O74" s="13" t="s">
        <v>25</v>
      </c>
      <c r="R74" s="14"/>
      <c r="S74" s="14"/>
      <c r="T74" s="14"/>
      <c r="U74" s="14"/>
      <c r="V74" s="14"/>
      <c r="W74" s="14"/>
      <c r="X74" s="14"/>
    </row>
    <row r="75" spans="1:24" x14ac:dyDescent="0.2">
      <c r="A75" s="15"/>
      <c r="B75" s="15" t="s">
        <v>128</v>
      </c>
      <c r="C75" s="14" t="s">
        <v>7</v>
      </c>
      <c r="D75" s="14">
        <v>24.363576889038086</v>
      </c>
      <c r="E75" s="14">
        <f>D75-21.70319</f>
        <v>2.6603868890380866</v>
      </c>
      <c r="F75" s="14">
        <f t="shared" si="101"/>
        <v>0.15817715002629928</v>
      </c>
      <c r="G75" s="14">
        <v>74.684913635253906</v>
      </c>
      <c r="H75" s="14" t="s">
        <v>24</v>
      </c>
      <c r="I75" s="14" t="s">
        <v>25</v>
      </c>
      <c r="J75" s="14">
        <v>22.59461784362793</v>
      </c>
      <c r="K75" s="14">
        <f t="shared" ref="K75:K76" si="103">J75-21.96536</f>
        <v>0.62925784362792925</v>
      </c>
      <c r="L75" s="14">
        <f t="shared" si="100"/>
        <v>0.64650890922852877</v>
      </c>
      <c r="M75" s="14">
        <v>73.562255859375</v>
      </c>
      <c r="N75" s="14" t="s">
        <v>24</v>
      </c>
      <c r="O75" s="13" t="s">
        <v>25</v>
      </c>
      <c r="R75" s="14"/>
      <c r="S75" s="14"/>
      <c r="T75" s="14"/>
      <c r="U75" s="14"/>
      <c r="V75" s="14"/>
      <c r="W75" s="14"/>
      <c r="X75" s="14"/>
    </row>
    <row r="76" spans="1:24" x14ac:dyDescent="0.2">
      <c r="A76" s="15"/>
      <c r="B76" s="15" t="s">
        <v>128</v>
      </c>
      <c r="C76" s="14" t="s">
        <v>7</v>
      </c>
      <c r="D76" s="14"/>
      <c r="E76" s="14"/>
      <c r="F76" s="14"/>
      <c r="G76" s="14"/>
      <c r="H76" s="14"/>
      <c r="I76" s="14"/>
      <c r="J76" s="14">
        <v>22.612905502319336</v>
      </c>
      <c r="K76" s="14">
        <f t="shared" si="103"/>
        <v>0.6475455023193355</v>
      </c>
      <c r="L76" s="14">
        <f t="shared" si="100"/>
        <v>0.63836545942758849</v>
      </c>
      <c r="M76" s="14">
        <v>73.562255859375</v>
      </c>
      <c r="N76" s="14"/>
      <c r="O76" s="13" t="s">
        <v>25</v>
      </c>
      <c r="R76" s="14"/>
      <c r="S76" s="14"/>
      <c r="T76" s="14"/>
      <c r="U76" s="14"/>
      <c r="V76" s="14"/>
      <c r="W76" s="14"/>
      <c r="X76" s="14"/>
    </row>
    <row r="77" spans="1:24" x14ac:dyDescent="0.2">
      <c r="A77" s="15"/>
      <c r="B77" s="15" t="s">
        <v>129</v>
      </c>
      <c r="C77" s="14" t="s">
        <v>7</v>
      </c>
      <c r="D77" s="14">
        <v>27.480705261230469</v>
      </c>
      <c r="E77" s="14">
        <f>D77-24.67156</f>
        <v>2.8091452612304693</v>
      </c>
      <c r="F77" s="14">
        <f t="shared" si="101"/>
        <v>0.14267997159044807</v>
      </c>
      <c r="G77" s="14">
        <v>74.683502197265625</v>
      </c>
      <c r="H77" s="14"/>
      <c r="I77" s="14" t="s">
        <v>25</v>
      </c>
      <c r="J77" s="14">
        <v>22.288116455078125</v>
      </c>
      <c r="K77" s="14">
        <f>J77-21.37383</f>
        <v>0.91428645507812334</v>
      </c>
      <c r="L77" s="14">
        <f t="shared" si="100"/>
        <v>0.53060623921189587</v>
      </c>
      <c r="M77" s="14">
        <v>73.711868286132813</v>
      </c>
      <c r="N77" s="14" t="s">
        <v>24</v>
      </c>
      <c r="O77" s="13" t="s">
        <v>25</v>
      </c>
      <c r="R77" s="14"/>
      <c r="S77" s="14"/>
      <c r="T77" s="14"/>
      <c r="U77" s="14"/>
      <c r="V77" s="14"/>
      <c r="W77" s="14"/>
      <c r="X77" s="14"/>
    </row>
    <row r="78" spans="1:24" x14ac:dyDescent="0.2">
      <c r="A78" s="15"/>
      <c r="B78" s="15" t="s">
        <v>129</v>
      </c>
      <c r="C78" s="14" t="s">
        <v>7</v>
      </c>
      <c r="D78" s="14">
        <v>27.415176391601563</v>
      </c>
      <c r="E78" s="14">
        <f>D78-24.67156</f>
        <v>2.743616391601563</v>
      </c>
      <c r="F78" s="14">
        <f t="shared" si="101"/>
        <v>0.14931009422462713</v>
      </c>
      <c r="G78" s="14">
        <v>74.686874389648438</v>
      </c>
      <c r="H78" s="14"/>
      <c r="I78" s="14" t="s">
        <v>25</v>
      </c>
      <c r="J78" s="14">
        <v>22.339273452758789</v>
      </c>
      <c r="K78" s="14">
        <f t="shared" ref="K78:K79" si="104">J78-21.37383</f>
        <v>0.9654434527587874</v>
      </c>
      <c r="L78" s="14">
        <f t="shared" si="100"/>
        <v>0.51212097258560518</v>
      </c>
      <c r="M78" s="14">
        <v>73.711868286132813</v>
      </c>
      <c r="N78" s="14" t="s">
        <v>24</v>
      </c>
      <c r="O78" s="13" t="s">
        <v>25</v>
      </c>
      <c r="R78" s="14"/>
      <c r="S78" s="14"/>
      <c r="T78" s="14"/>
      <c r="U78" s="14"/>
      <c r="V78" s="14"/>
      <c r="W78" s="14"/>
      <c r="X78" s="14"/>
    </row>
    <row r="79" spans="1:24" x14ac:dyDescent="0.2">
      <c r="A79" s="15"/>
      <c r="B79" s="15" t="s">
        <v>129</v>
      </c>
      <c r="C79" s="14" t="s">
        <v>7</v>
      </c>
      <c r="D79" s="14"/>
      <c r="E79" s="14"/>
      <c r="F79" s="14"/>
      <c r="G79" s="14"/>
      <c r="H79" s="14"/>
      <c r="I79" s="14"/>
      <c r="J79" s="14">
        <v>22.333402633666992</v>
      </c>
      <c r="K79" s="14">
        <f t="shared" si="104"/>
        <v>0.95957263366699053</v>
      </c>
      <c r="L79" s="14">
        <f t="shared" si="100"/>
        <v>0.51420921381720375</v>
      </c>
      <c r="M79" s="14">
        <v>73.711868286132813</v>
      </c>
      <c r="N79" s="14"/>
      <c r="O79" s="13" t="s">
        <v>25</v>
      </c>
      <c r="R79" s="14"/>
      <c r="S79" s="14"/>
      <c r="T79" s="14"/>
      <c r="U79" s="14"/>
      <c r="V79" s="14"/>
      <c r="W79" s="14"/>
      <c r="X79" s="14"/>
    </row>
    <row r="80" spans="1:24" x14ac:dyDescent="0.2">
      <c r="A80" s="15"/>
      <c r="B80" s="15" t="s">
        <v>126</v>
      </c>
      <c r="C80" s="14" t="s">
        <v>8</v>
      </c>
      <c r="D80" s="14">
        <v>21.780750274658203</v>
      </c>
      <c r="E80" s="14">
        <f>D80-24.18743</f>
        <v>-2.406679725341796</v>
      </c>
      <c r="F80" s="14">
        <f t="shared" si="101"/>
        <v>5.302525763185443</v>
      </c>
      <c r="G80" s="14">
        <v>77.22186279296875</v>
      </c>
      <c r="H80" s="14" t="s">
        <v>24</v>
      </c>
      <c r="I80" s="14" t="s">
        <v>25</v>
      </c>
      <c r="J80" s="14">
        <v>21.619697570800781</v>
      </c>
      <c r="K80" s="14">
        <f>J80-18.98415</f>
        <v>2.6355475708007816</v>
      </c>
      <c r="L80" s="14">
        <f t="shared" ref="L80:L91" si="105">POWER(2,-K80)</f>
        <v>0.16092411380637331</v>
      </c>
      <c r="M80" s="14">
        <v>76.184860229492188</v>
      </c>
      <c r="N80" s="14" t="s">
        <v>24</v>
      </c>
      <c r="O80" s="13" t="s">
        <v>25</v>
      </c>
      <c r="R80" s="14"/>
      <c r="S80" s="14"/>
      <c r="T80" s="14"/>
      <c r="U80" s="14"/>
      <c r="V80" s="14"/>
      <c r="W80" s="14"/>
      <c r="X80" s="14"/>
    </row>
    <row r="81" spans="1:24" x14ac:dyDescent="0.2">
      <c r="A81" s="15"/>
      <c r="B81" s="15" t="s">
        <v>126</v>
      </c>
      <c r="C81" s="14" t="s">
        <v>8</v>
      </c>
      <c r="D81" s="14">
        <v>21.739830017089844</v>
      </c>
      <c r="E81" s="14">
        <f>D81-24.18743</f>
        <v>-2.4475999829101553</v>
      </c>
      <c r="F81" s="14">
        <f t="shared" si="101"/>
        <v>5.4550785962482662</v>
      </c>
      <c r="G81" s="14">
        <v>77.22186279296875</v>
      </c>
      <c r="H81" s="14" t="s">
        <v>24</v>
      </c>
      <c r="I81" s="14" t="s">
        <v>25</v>
      </c>
      <c r="J81" s="14">
        <v>21.604406356811523</v>
      </c>
      <c r="K81" s="14">
        <f t="shared" ref="K81:K82" si="106">J81-18.98415</f>
        <v>2.6202563568115238</v>
      </c>
      <c r="L81" s="14">
        <f t="shared" si="105"/>
        <v>0.16263882958071749</v>
      </c>
      <c r="M81" s="14">
        <v>76.035858154296875</v>
      </c>
      <c r="N81" s="14" t="s">
        <v>24</v>
      </c>
      <c r="O81" s="13" t="s">
        <v>25</v>
      </c>
      <c r="R81" s="14"/>
      <c r="S81" s="14"/>
      <c r="T81" s="14"/>
      <c r="U81" s="14"/>
      <c r="V81" s="14"/>
      <c r="W81" s="14"/>
      <c r="X81" s="14"/>
    </row>
    <row r="82" spans="1:24" x14ac:dyDescent="0.2">
      <c r="A82" s="15"/>
      <c r="B82" s="15" t="s">
        <v>126</v>
      </c>
      <c r="C82" s="14" t="s">
        <v>8</v>
      </c>
      <c r="D82" s="14"/>
      <c r="E82" s="14"/>
      <c r="F82" s="14"/>
      <c r="G82" s="14"/>
      <c r="H82" s="14"/>
      <c r="I82" s="14"/>
      <c r="J82" s="14">
        <v>21.617095947265625</v>
      </c>
      <c r="K82" s="14">
        <f t="shared" si="106"/>
        <v>2.6329459472656254</v>
      </c>
      <c r="L82" s="14">
        <f t="shared" si="105"/>
        <v>0.16121457136464348</v>
      </c>
      <c r="M82" s="14">
        <v>76.035858154296875</v>
      </c>
      <c r="N82" s="14"/>
      <c r="O82" s="13" t="s">
        <v>25</v>
      </c>
      <c r="R82" s="14"/>
      <c r="S82" s="14"/>
      <c r="T82" s="14"/>
      <c r="U82" s="14"/>
      <c r="V82" s="14"/>
      <c r="W82" s="14"/>
      <c r="X82" s="14"/>
    </row>
    <row r="83" spans="1:24" x14ac:dyDescent="0.2">
      <c r="A83" s="15"/>
      <c r="B83" s="15" t="s">
        <v>127</v>
      </c>
      <c r="C83" s="14" t="s">
        <v>8</v>
      </c>
      <c r="D83" s="14">
        <v>18.345746994018555</v>
      </c>
      <c r="E83" s="14">
        <f>D83-20.35294</f>
        <v>-2.0071930059814456</v>
      </c>
      <c r="F83" s="14">
        <f t="shared" si="101"/>
        <v>4.0199930466311109</v>
      </c>
      <c r="G83" s="14">
        <v>76.921249389648438</v>
      </c>
      <c r="H83" s="14" t="s">
        <v>24</v>
      </c>
      <c r="I83" s="14" t="s">
        <v>25</v>
      </c>
      <c r="J83" s="14">
        <v>23.39726448059082</v>
      </c>
      <c r="K83" s="14">
        <f>J83-20.76642</f>
        <v>2.6308444805908202</v>
      </c>
      <c r="L83" s="14">
        <f t="shared" si="105"/>
        <v>0.16144957176487776</v>
      </c>
      <c r="M83" s="14">
        <v>76.035858154296875</v>
      </c>
      <c r="N83" s="14" t="s">
        <v>24</v>
      </c>
      <c r="O83" s="13" t="s">
        <v>25</v>
      </c>
      <c r="R83" s="14"/>
      <c r="S83" s="14"/>
      <c r="T83" s="14"/>
      <c r="U83" s="14"/>
      <c r="V83" s="14"/>
      <c r="W83" s="14"/>
      <c r="X83" s="14"/>
    </row>
    <row r="84" spans="1:24" x14ac:dyDescent="0.2">
      <c r="A84" s="15"/>
      <c r="B84" s="15" t="s">
        <v>127</v>
      </c>
      <c r="C84" s="14" t="s">
        <v>8</v>
      </c>
      <c r="D84" s="14">
        <v>18.274629592895508</v>
      </c>
      <c r="E84" s="14">
        <f>D84-20.35294</f>
        <v>-2.0783104071044924</v>
      </c>
      <c r="F84" s="14">
        <f t="shared" si="101"/>
        <v>4.2231234107900875</v>
      </c>
      <c r="G84" s="14">
        <v>77.069808959960938</v>
      </c>
      <c r="H84" s="14" t="s">
        <v>24</v>
      </c>
      <c r="I84" s="14" t="s">
        <v>25</v>
      </c>
      <c r="J84" s="14">
        <v>23.368799209594727</v>
      </c>
      <c r="K84" s="14">
        <f t="shared" ref="K84:K85" si="107">J84-20.76642</f>
        <v>2.6023792095947265</v>
      </c>
      <c r="L84" s="14">
        <f t="shared" si="105"/>
        <v>0.16466670595349028</v>
      </c>
      <c r="M84" s="14">
        <v>76.184860229492188</v>
      </c>
      <c r="N84" s="14" t="s">
        <v>24</v>
      </c>
      <c r="O84" s="13" t="s">
        <v>25</v>
      </c>
      <c r="R84" s="14"/>
      <c r="S84" s="14"/>
      <c r="T84" s="14"/>
      <c r="U84" s="14"/>
      <c r="V84" s="14"/>
      <c r="W84" s="14"/>
      <c r="X84" s="14"/>
    </row>
    <row r="85" spans="1:24" x14ac:dyDescent="0.2">
      <c r="A85" s="14"/>
      <c r="B85" s="15" t="s">
        <v>127</v>
      </c>
      <c r="C85" s="14" t="s">
        <v>8</v>
      </c>
      <c r="D85" s="14"/>
      <c r="E85" s="14"/>
      <c r="F85" s="14"/>
      <c r="G85" s="14"/>
      <c r="H85" s="14"/>
      <c r="I85" s="14"/>
      <c r="J85" s="14">
        <v>23.359016418457031</v>
      </c>
      <c r="K85" s="14">
        <f t="shared" si="107"/>
        <v>2.5925964184570311</v>
      </c>
      <c r="L85" s="14">
        <f t="shared" si="105"/>
        <v>0.16578709106546963</v>
      </c>
      <c r="M85" s="14">
        <v>76.184860229492188</v>
      </c>
      <c r="N85" s="14"/>
      <c r="O85" s="13" t="s">
        <v>25</v>
      </c>
      <c r="R85" s="14"/>
      <c r="S85" s="14"/>
      <c r="T85" s="14"/>
      <c r="U85" s="14"/>
      <c r="V85" s="14"/>
      <c r="W85" s="14"/>
      <c r="X85" s="14"/>
    </row>
    <row r="86" spans="1:24" x14ac:dyDescent="0.2">
      <c r="B86" s="15" t="s">
        <v>128</v>
      </c>
      <c r="C86" s="14" t="s">
        <v>8</v>
      </c>
      <c r="D86" s="14">
        <v>18.388799667358398</v>
      </c>
      <c r="E86" s="14">
        <f>D86-21.70319</f>
        <v>-3.3143903326416009</v>
      </c>
      <c r="F86" s="14">
        <f t="shared" si="101"/>
        <v>9.9478884676732608</v>
      </c>
      <c r="G86" s="14">
        <v>77.220123291015625</v>
      </c>
      <c r="H86" s="14" t="s">
        <v>24</v>
      </c>
      <c r="I86" s="14" t="s">
        <v>25</v>
      </c>
      <c r="J86" s="14">
        <v>23.835155487060547</v>
      </c>
      <c r="K86" s="14">
        <f>J86-21.96536</f>
        <v>1.8697954870605464</v>
      </c>
      <c r="L86" s="14">
        <f t="shared" si="105"/>
        <v>0.27361220916734202</v>
      </c>
      <c r="M86" s="14">
        <v>76.255287170410156</v>
      </c>
      <c r="N86" s="14"/>
      <c r="O86" s="13" t="s">
        <v>25</v>
      </c>
    </row>
    <row r="87" spans="1:24" x14ac:dyDescent="0.2">
      <c r="B87" s="15" t="s">
        <v>128</v>
      </c>
      <c r="C87" s="14" t="s">
        <v>8</v>
      </c>
      <c r="D87" s="14">
        <v>18.332134246826172</v>
      </c>
      <c r="E87" s="14">
        <f>D87-21.70319</f>
        <v>-3.3710557531738274</v>
      </c>
      <c r="F87" s="14">
        <f t="shared" si="101"/>
        <v>10.346391285271549</v>
      </c>
      <c r="G87" s="14">
        <v>77.220123291015625</v>
      </c>
      <c r="H87" s="14" t="s">
        <v>24</v>
      </c>
      <c r="I87" s="14" t="s">
        <v>25</v>
      </c>
      <c r="J87" s="14">
        <v>23.815322875976563</v>
      </c>
      <c r="K87" s="14">
        <f t="shared" ref="K87:K88" si="108">J87-21.96536</f>
        <v>1.8499628759765621</v>
      </c>
      <c r="L87" s="14">
        <f t="shared" si="105"/>
        <v>0.2773995060835493</v>
      </c>
      <c r="M87" s="14">
        <v>76.105674743652344</v>
      </c>
      <c r="N87" s="14"/>
      <c r="O87" s="13" t="s">
        <v>25</v>
      </c>
    </row>
    <row r="88" spans="1:24" x14ac:dyDescent="0.2">
      <c r="B88" s="15" t="s">
        <v>128</v>
      </c>
      <c r="C88" s="14" t="s">
        <v>8</v>
      </c>
      <c r="D88" s="14"/>
      <c r="E88" s="14"/>
      <c r="F88" s="14"/>
      <c r="G88" s="14"/>
      <c r="H88" s="14"/>
      <c r="I88" s="14"/>
      <c r="J88" s="14">
        <v>23.852914810180664</v>
      </c>
      <c r="K88" s="14">
        <f t="shared" si="108"/>
        <v>1.8875548101806636</v>
      </c>
      <c r="L88" s="14">
        <f t="shared" si="105"/>
        <v>0.27026473649478489</v>
      </c>
      <c r="M88" s="14">
        <v>76.105674743652344</v>
      </c>
      <c r="N88" s="14"/>
      <c r="O88" s="13" t="s">
        <v>25</v>
      </c>
    </row>
    <row r="89" spans="1:24" x14ac:dyDescent="0.2">
      <c r="B89" s="15" t="s">
        <v>129</v>
      </c>
      <c r="C89" s="14" t="s">
        <v>8</v>
      </c>
      <c r="D89" s="14">
        <v>21.433691024780273</v>
      </c>
      <c r="E89" s="14">
        <f>D89-24.67156</f>
        <v>-3.2378689752197261</v>
      </c>
      <c r="F89" s="14">
        <f t="shared" si="101"/>
        <v>9.4339959087958665</v>
      </c>
      <c r="G89" s="14">
        <v>77.217941284179688</v>
      </c>
      <c r="H89" s="14" t="s">
        <v>24</v>
      </c>
      <c r="I89" s="14" t="s">
        <v>25</v>
      </c>
      <c r="J89" s="14">
        <v>23.444656372070313</v>
      </c>
      <c r="K89" s="14">
        <f>J89-21.37383</f>
        <v>2.0708263720703108</v>
      </c>
      <c r="L89" s="14">
        <f t="shared" si="105"/>
        <v>0.23802312141430129</v>
      </c>
      <c r="M89" s="14">
        <v>76.105674743652344</v>
      </c>
      <c r="N89" s="14"/>
      <c r="O89" s="13" t="s">
        <v>25</v>
      </c>
    </row>
    <row r="90" spans="1:24" x14ac:dyDescent="0.2">
      <c r="B90" s="15" t="s">
        <v>129</v>
      </c>
      <c r="C90" s="14" t="s">
        <v>8</v>
      </c>
      <c r="D90" s="14">
        <v>21.525835037231445</v>
      </c>
      <c r="E90" s="14">
        <f>D90-24.67156</f>
        <v>-3.1457249627685542</v>
      </c>
      <c r="F90" s="14">
        <f t="shared" si="101"/>
        <v>8.8502914329993647</v>
      </c>
      <c r="G90" s="14">
        <v>77.072616577148438</v>
      </c>
      <c r="H90" s="14" t="s">
        <v>24</v>
      </c>
      <c r="I90" s="14" t="s">
        <v>25</v>
      </c>
      <c r="J90" s="14">
        <v>23.481960296630859</v>
      </c>
      <c r="K90" s="14">
        <f t="shared" ref="K90:K91" si="109">J90-21.37383</f>
        <v>2.1081302966308577</v>
      </c>
      <c r="L90" s="14">
        <f t="shared" si="105"/>
        <v>0.23194741990036433</v>
      </c>
      <c r="M90" s="14">
        <v>76.105674743652344</v>
      </c>
      <c r="N90" s="14"/>
      <c r="O90" s="13" t="s">
        <v>25</v>
      </c>
    </row>
    <row r="91" spans="1:24" x14ac:dyDescent="0.2">
      <c r="B91" s="15" t="s">
        <v>129</v>
      </c>
      <c r="C91" s="14" t="s">
        <v>8</v>
      </c>
      <c r="D91" s="14"/>
      <c r="E91" s="14"/>
      <c r="F91" s="14"/>
      <c r="G91" s="14"/>
      <c r="H91" s="14"/>
      <c r="I91" s="14"/>
      <c r="J91" s="14">
        <v>23.42414665222168</v>
      </c>
      <c r="K91" s="14">
        <f t="shared" si="109"/>
        <v>2.050316652221678</v>
      </c>
      <c r="L91" s="14">
        <f t="shared" si="105"/>
        <v>0.24143108552858011</v>
      </c>
      <c r="M91" s="14">
        <v>76.255287170410156</v>
      </c>
      <c r="N91" s="14"/>
      <c r="O91" s="13" t="s">
        <v>25</v>
      </c>
    </row>
    <row r="92" spans="1:24" x14ac:dyDescent="0.2">
      <c r="B92" s="15" t="s">
        <v>126</v>
      </c>
      <c r="C92" s="14" t="s">
        <v>9</v>
      </c>
      <c r="D92" s="14">
        <v>29.919574737548828</v>
      </c>
      <c r="E92" s="14">
        <f>D92-23.96112</f>
        <v>5.958454737548827</v>
      </c>
      <c r="F92" s="14">
        <f>POWER(2,-E92)</f>
        <v>1.6081494116967875E-2</v>
      </c>
      <c r="G92" s="14">
        <v>77.367324829101563</v>
      </c>
      <c r="H92" s="14" t="s">
        <v>24</v>
      </c>
      <c r="I92" s="14" t="s">
        <v>25</v>
      </c>
      <c r="J92" s="14">
        <v>19.291292190551758</v>
      </c>
      <c r="K92" s="14">
        <f>J92-18.98415</f>
        <v>0.30714219055175818</v>
      </c>
      <c r="L92" s="14">
        <f t="shared" ref="L92:L103" si="110">POWER(2,-K92)</f>
        <v>0.80824120545101563</v>
      </c>
      <c r="M92" s="14">
        <v>76.631233215332031</v>
      </c>
      <c r="N92" s="14"/>
      <c r="O92" s="13" t="s">
        <v>25</v>
      </c>
    </row>
    <row r="93" spans="1:24" x14ac:dyDescent="0.2">
      <c r="B93" s="15" t="s">
        <v>126</v>
      </c>
      <c r="C93" s="14" t="s">
        <v>9</v>
      </c>
      <c r="D93" s="14">
        <v>29.919574737548828</v>
      </c>
      <c r="E93" s="14">
        <f>D93-23.96112</f>
        <v>5.958454737548827</v>
      </c>
      <c r="F93" s="14">
        <f t="shared" ref="F93:F114" si="111">POWER(2,-E93)</f>
        <v>1.6081494116967875E-2</v>
      </c>
      <c r="G93" s="14">
        <v>77.5164794921875</v>
      </c>
      <c r="H93" s="14" t="s">
        <v>24</v>
      </c>
      <c r="I93" s="14" t="s">
        <v>25</v>
      </c>
      <c r="J93" s="14">
        <v>19.248846054077148</v>
      </c>
      <c r="K93" s="14">
        <f t="shared" ref="K93:K94" si="112">J93-18.98415</f>
        <v>0.2646960540771488</v>
      </c>
      <c r="L93" s="14">
        <f t="shared" si="110"/>
        <v>0.8323740801948627</v>
      </c>
      <c r="M93" s="14">
        <v>76.631233215332031</v>
      </c>
      <c r="N93" s="14"/>
      <c r="O93" s="13" t="s">
        <v>25</v>
      </c>
    </row>
    <row r="94" spans="1:24" x14ac:dyDescent="0.2">
      <c r="B94" s="15" t="s">
        <v>126</v>
      </c>
      <c r="C94" s="14" t="s">
        <v>9</v>
      </c>
      <c r="D94" s="14"/>
      <c r="E94" s="14"/>
      <c r="F94" s="14"/>
      <c r="G94" s="14"/>
      <c r="H94" s="14"/>
      <c r="I94" s="14"/>
      <c r="J94" s="14">
        <v>19.247823715209961</v>
      </c>
      <c r="K94" s="14">
        <f t="shared" si="112"/>
        <v>0.2636737152099613</v>
      </c>
      <c r="L94" s="14">
        <f t="shared" si="110"/>
        <v>0.8329641355653622</v>
      </c>
      <c r="M94" s="14">
        <v>76.631233215332031</v>
      </c>
      <c r="N94" s="14"/>
      <c r="O94" s="13" t="s">
        <v>25</v>
      </c>
    </row>
    <row r="95" spans="1:24" x14ac:dyDescent="0.2">
      <c r="B95" s="15" t="s">
        <v>127</v>
      </c>
      <c r="C95" s="14" t="s">
        <v>9</v>
      </c>
      <c r="D95" s="14">
        <v>25.97517204284668</v>
      </c>
      <c r="E95" s="14">
        <f>D95-19.82283</f>
        <v>6.15234204284668</v>
      </c>
      <c r="F95" s="14">
        <f t="shared" si="111"/>
        <v>1.4059196518704981E-2</v>
      </c>
      <c r="G95" s="14">
        <v>77.21533203125</v>
      </c>
      <c r="H95" s="14" t="s">
        <v>24</v>
      </c>
      <c r="I95" s="14" t="s">
        <v>25</v>
      </c>
      <c r="J95" s="14">
        <v>20.810834884643555</v>
      </c>
      <c r="K95" s="14">
        <f>J95-20.76642</f>
        <v>4.4414884643554586E-2</v>
      </c>
      <c r="L95" s="14">
        <f t="shared" si="110"/>
        <v>0.96968301256219458</v>
      </c>
      <c r="M95" s="14">
        <v>76.631233215332031</v>
      </c>
      <c r="N95" s="14"/>
      <c r="O95" s="13" t="s">
        <v>25</v>
      </c>
    </row>
    <row r="96" spans="1:24" x14ac:dyDescent="0.2">
      <c r="B96" s="15" t="s">
        <v>127</v>
      </c>
      <c r="C96" s="14" t="s">
        <v>9</v>
      </c>
      <c r="D96" s="14">
        <v>25.97517204284668</v>
      </c>
      <c r="E96" s="14">
        <f>D96-19.82283</f>
        <v>6.15234204284668</v>
      </c>
      <c r="F96" s="14">
        <f t="shared" si="111"/>
        <v>1.4059196518704981E-2</v>
      </c>
      <c r="G96" s="14">
        <v>77.216262817382813</v>
      </c>
      <c r="H96" s="14" t="s">
        <v>24</v>
      </c>
      <c r="I96" s="14" t="s">
        <v>25</v>
      </c>
      <c r="J96" s="14">
        <v>20.766155242919922</v>
      </c>
      <c r="K96" s="14">
        <f t="shared" ref="K96:K97" si="113">J96-20.76642</f>
        <v>-2.6475708007822618E-4</v>
      </c>
      <c r="L96" s="14">
        <f t="shared" si="110"/>
        <v>1.0001835324636117</v>
      </c>
      <c r="M96" s="14">
        <v>76.482223510742188</v>
      </c>
      <c r="N96" s="14"/>
      <c r="O96" s="13" t="s">
        <v>25</v>
      </c>
    </row>
    <row r="97" spans="2:15" x14ac:dyDescent="0.2">
      <c r="B97" s="15" t="s">
        <v>127</v>
      </c>
      <c r="C97" s="14" t="s">
        <v>9</v>
      </c>
      <c r="D97" s="14"/>
      <c r="E97" s="14"/>
      <c r="F97" s="14"/>
      <c r="G97" s="14"/>
      <c r="H97" s="14"/>
      <c r="I97" s="14"/>
      <c r="J97" s="14">
        <v>20.803060531616211</v>
      </c>
      <c r="K97" s="14">
        <f t="shared" si="113"/>
        <v>3.6640531616210836E-2</v>
      </c>
      <c r="L97" s="14">
        <f t="shared" si="110"/>
        <v>0.97492251670925167</v>
      </c>
      <c r="M97" s="14">
        <v>76.631233215332031</v>
      </c>
      <c r="N97" s="14"/>
      <c r="O97" s="13" t="s">
        <v>25</v>
      </c>
    </row>
    <row r="98" spans="2:15" x14ac:dyDescent="0.2">
      <c r="B98" s="15" t="s">
        <v>128</v>
      </c>
      <c r="C98" s="14" t="s">
        <v>9</v>
      </c>
      <c r="D98" s="14">
        <v>25.885505676269531</v>
      </c>
      <c r="E98" s="14">
        <f>D98-21.01733</f>
        <v>4.8681756762695301</v>
      </c>
      <c r="F98" s="14">
        <f t="shared" si="111"/>
        <v>3.423994806589848E-2</v>
      </c>
      <c r="G98" s="14">
        <v>77.217483520507813</v>
      </c>
      <c r="H98" s="14" t="s">
        <v>24</v>
      </c>
      <c r="I98" s="14" t="s">
        <v>25</v>
      </c>
      <c r="J98" s="14">
        <v>21.263484954833984</v>
      </c>
      <c r="K98" s="14">
        <f>J98-21.96536</f>
        <v>-0.70187504516601606</v>
      </c>
      <c r="L98" s="14">
        <f t="shared" si="110"/>
        <v>1.6266175054197189</v>
      </c>
      <c r="M98" s="14">
        <v>76.557449340820313</v>
      </c>
      <c r="N98" s="14"/>
      <c r="O98" s="13" t="s">
        <v>25</v>
      </c>
    </row>
    <row r="99" spans="2:15" x14ac:dyDescent="0.2">
      <c r="B99" s="15" t="s">
        <v>128</v>
      </c>
      <c r="C99" s="14" t="s">
        <v>9</v>
      </c>
      <c r="D99" s="14">
        <v>25.885505676269531</v>
      </c>
      <c r="E99" s="14">
        <f>D99-21.01733</f>
        <v>4.8681756762695301</v>
      </c>
      <c r="F99" s="14">
        <f t="shared" si="111"/>
        <v>3.423994806589848E-2</v>
      </c>
      <c r="G99" s="14">
        <v>77.217483520507813</v>
      </c>
      <c r="H99" s="14" t="s">
        <v>24</v>
      </c>
      <c r="I99" s="14" t="s">
        <v>25</v>
      </c>
      <c r="J99" s="14">
        <v>21.204410552978516</v>
      </c>
      <c r="K99" s="14">
        <f t="shared" ref="K99:K100" si="114">J99-21.96536</f>
        <v>-0.76094944702148481</v>
      </c>
      <c r="L99" s="14">
        <f t="shared" si="110"/>
        <v>1.6946054887663748</v>
      </c>
      <c r="M99" s="14">
        <v>76.557449340820313</v>
      </c>
      <c r="N99" s="14"/>
      <c r="O99" s="13" t="s">
        <v>25</v>
      </c>
    </row>
    <row r="100" spans="2:15" x14ac:dyDescent="0.2">
      <c r="B100" s="15" t="s">
        <v>128</v>
      </c>
      <c r="C100" s="14" t="s">
        <v>9</v>
      </c>
      <c r="D100" s="14"/>
      <c r="E100" s="14"/>
      <c r="F100" s="14"/>
      <c r="G100" s="14"/>
      <c r="H100" s="14"/>
      <c r="I100" s="14"/>
      <c r="J100" s="14">
        <v>21.169084548950195</v>
      </c>
      <c r="K100" s="14">
        <f t="shared" si="114"/>
        <v>-0.79627545104980513</v>
      </c>
      <c r="L100" s="14">
        <f t="shared" si="110"/>
        <v>1.7366119916114851</v>
      </c>
      <c r="M100" s="14">
        <v>76.557449340820313</v>
      </c>
      <c r="N100" s="14"/>
      <c r="O100" s="13" t="s">
        <v>25</v>
      </c>
    </row>
    <row r="101" spans="2:15" x14ac:dyDescent="0.2">
      <c r="B101" s="15" t="s">
        <v>129</v>
      </c>
      <c r="C101" s="14" t="s">
        <v>9</v>
      </c>
      <c r="D101" s="14">
        <v>29.025722503662109</v>
      </c>
      <c r="E101" s="14">
        <f>D101-23.97622</f>
        <v>5.049502503662108</v>
      </c>
      <c r="F101" s="14">
        <f t="shared" si="111"/>
        <v>3.0195921190384317E-2</v>
      </c>
      <c r="G101" s="14">
        <v>77.215934753417969</v>
      </c>
      <c r="H101" s="14" t="s">
        <v>24</v>
      </c>
      <c r="I101" s="14" t="s">
        <v>25</v>
      </c>
      <c r="J101" s="14">
        <v>21.761054992675781</v>
      </c>
      <c r="K101" s="14">
        <f>J101-21.37383</f>
        <v>0.38722499267577959</v>
      </c>
      <c r="L101" s="14">
        <f t="shared" si="110"/>
        <v>0.76459888812274757</v>
      </c>
      <c r="M101" s="14">
        <v>76.557449340820313</v>
      </c>
      <c r="N101" s="14"/>
      <c r="O101" s="13" t="s">
        <v>25</v>
      </c>
    </row>
    <row r="102" spans="2:15" x14ac:dyDescent="0.2">
      <c r="B102" s="15" t="s">
        <v>129</v>
      </c>
      <c r="C102" s="14" t="s">
        <v>9</v>
      </c>
      <c r="D102" s="14">
        <v>29.025722503662109</v>
      </c>
      <c r="E102" s="14">
        <f>D102-23.97622</f>
        <v>5.049502503662108</v>
      </c>
      <c r="F102" s="14">
        <f t="shared" si="111"/>
        <v>3.0195921190384317E-2</v>
      </c>
      <c r="G102" s="14">
        <v>77.215431213378906</v>
      </c>
      <c r="H102" s="14" t="s">
        <v>24</v>
      </c>
      <c r="I102" s="14" t="s">
        <v>25</v>
      </c>
      <c r="J102" s="14">
        <v>21.77557373046875</v>
      </c>
      <c r="K102" s="14">
        <f t="shared" ref="K102:K103" si="115">J102-21.37383</f>
        <v>0.40174373046874834</v>
      </c>
      <c r="L102" s="14">
        <f t="shared" si="110"/>
        <v>0.75694284219519725</v>
      </c>
      <c r="M102" s="14">
        <v>76.557449340820313</v>
      </c>
      <c r="N102" s="14"/>
      <c r="O102" s="13" t="s">
        <v>25</v>
      </c>
    </row>
    <row r="103" spans="2:15" x14ac:dyDescent="0.2">
      <c r="B103" s="15" t="s">
        <v>129</v>
      </c>
      <c r="C103" s="14" t="s">
        <v>9</v>
      </c>
      <c r="D103" s="14"/>
      <c r="E103" s="14"/>
      <c r="F103" s="14"/>
      <c r="G103" s="14"/>
      <c r="H103" s="14"/>
      <c r="I103" s="14"/>
      <c r="J103" s="14">
        <v>21.810358047485352</v>
      </c>
      <c r="K103" s="14">
        <f t="shared" si="115"/>
        <v>0.4365280474853499</v>
      </c>
      <c r="L103" s="14">
        <f t="shared" si="110"/>
        <v>0.73891071400777197</v>
      </c>
      <c r="M103" s="14">
        <v>76.557449340820313</v>
      </c>
      <c r="N103" s="14"/>
      <c r="O103" s="13" t="s">
        <v>25</v>
      </c>
    </row>
    <row r="104" spans="2:15" x14ac:dyDescent="0.2">
      <c r="B104" s="15" t="s">
        <v>126</v>
      </c>
      <c r="C104" s="14" t="s">
        <v>10</v>
      </c>
      <c r="D104" s="14">
        <v>25.925388336181641</v>
      </c>
      <c r="E104" s="14">
        <f>D104-23.96112</f>
        <v>1.9642683361816395</v>
      </c>
      <c r="F104" s="14">
        <f t="shared" si="111"/>
        <v>0.25626913988428773</v>
      </c>
      <c r="G104" s="14">
        <v>76.472450256347656</v>
      </c>
      <c r="H104" s="14" t="s">
        <v>24</v>
      </c>
      <c r="I104" s="14" t="s">
        <v>25</v>
      </c>
      <c r="J104" s="14">
        <v>18.463386535644531</v>
      </c>
      <c r="K104" s="14">
        <f>J104-18.98415</f>
        <v>-0.52076346435546839</v>
      </c>
      <c r="L104" s="14">
        <f t="shared" ref="L104:L115" si="116">POWER(2,-K104)</f>
        <v>1.4347142881543529</v>
      </c>
      <c r="M104" s="14">
        <v>75.588165283203125</v>
      </c>
      <c r="N104" s="14"/>
      <c r="O104" s="13" t="s">
        <v>25</v>
      </c>
    </row>
    <row r="105" spans="2:15" x14ac:dyDescent="0.2">
      <c r="B105" s="15" t="s">
        <v>126</v>
      </c>
      <c r="C105" s="14" t="s">
        <v>10</v>
      </c>
      <c r="D105" s="14">
        <v>25.925388336181641</v>
      </c>
      <c r="E105" s="14">
        <f>D105-23.96112</f>
        <v>1.9642683361816395</v>
      </c>
      <c r="F105" s="14">
        <f t="shared" si="111"/>
        <v>0.25626913988428773</v>
      </c>
      <c r="G105" s="14">
        <v>76.32330322265625</v>
      </c>
      <c r="H105" s="14" t="s">
        <v>24</v>
      </c>
      <c r="I105" s="14" t="s">
        <v>25</v>
      </c>
      <c r="J105" s="14">
        <v>18.479059219360352</v>
      </c>
      <c r="K105" s="14">
        <f t="shared" ref="K105:K106" si="117">J105-18.98415</f>
        <v>-0.50509078063964807</v>
      </c>
      <c r="L105" s="14">
        <f t="shared" si="116"/>
        <v>1.419212656416774</v>
      </c>
      <c r="M105" s="14">
        <v>75.588165283203125</v>
      </c>
      <c r="N105" s="14"/>
      <c r="O105" s="13" t="s">
        <v>25</v>
      </c>
    </row>
    <row r="106" spans="2:15" x14ac:dyDescent="0.2">
      <c r="B106" s="15" t="s">
        <v>126</v>
      </c>
      <c r="C106" s="14" t="s">
        <v>10</v>
      </c>
      <c r="D106" s="14"/>
      <c r="E106" s="14"/>
      <c r="F106" s="14"/>
      <c r="G106" s="14"/>
      <c r="H106" s="14"/>
      <c r="I106" s="14"/>
      <c r="J106" s="14">
        <v>18.448396682739258</v>
      </c>
      <c r="K106" s="14">
        <f t="shared" si="117"/>
        <v>-0.53575331726074182</v>
      </c>
      <c r="L106" s="14">
        <f t="shared" si="116"/>
        <v>1.4496989313688351</v>
      </c>
      <c r="M106" s="14">
        <v>75.588165283203125</v>
      </c>
      <c r="N106" s="14"/>
      <c r="O106" s="13" t="s">
        <v>25</v>
      </c>
    </row>
    <row r="107" spans="2:15" x14ac:dyDescent="0.2">
      <c r="B107" s="15" t="s">
        <v>127</v>
      </c>
      <c r="C107" s="14" t="s">
        <v>10</v>
      </c>
      <c r="D107" s="14">
        <v>21.600673675537109</v>
      </c>
      <c r="E107" s="14">
        <f>D107-19.82283</f>
        <v>1.7778436755371096</v>
      </c>
      <c r="F107" s="14">
        <f t="shared" si="111"/>
        <v>0.2916189393564026</v>
      </c>
      <c r="G107" s="14">
        <v>76.171279907226563</v>
      </c>
      <c r="H107" s="14" t="s">
        <v>24</v>
      </c>
      <c r="I107" s="14" t="s">
        <v>25</v>
      </c>
      <c r="J107" s="14">
        <v>20.475566864013672</v>
      </c>
      <c r="K107" s="14">
        <f>J107-20.76642</f>
        <v>-0.29085313598632823</v>
      </c>
      <c r="L107" s="14">
        <f t="shared" si="116"/>
        <v>1.2233634983742301</v>
      </c>
      <c r="M107" s="14">
        <v>75.588165283203125</v>
      </c>
      <c r="N107" s="14"/>
      <c r="O107" s="13" t="s">
        <v>25</v>
      </c>
    </row>
    <row r="108" spans="2:15" x14ac:dyDescent="0.2">
      <c r="B108" s="15" t="s">
        <v>127</v>
      </c>
      <c r="C108" s="14" t="s">
        <v>10</v>
      </c>
      <c r="D108" s="14">
        <v>21.600673675537109</v>
      </c>
      <c r="E108" s="14">
        <f>D108-19.82283</f>
        <v>1.7778436755371096</v>
      </c>
      <c r="F108" s="14">
        <f t="shared" si="111"/>
        <v>0.2916189393564026</v>
      </c>
      <c r="G108" s="14">
        <v>76.321441650390625</v>
      </c>
      <c r="H108" s="14" t="s">
        <v>24</v>
      </c>
      <c r="I108" s="14" t="s">
        <v>25</v>
      </c>
      <c r="J108" s="14">
        <v>20.472187042236328</v>
      </c>
      <c r="K108" s="14">
        <f t="shared" ref="K108:K109" si="118">J108-20.76642</f>
        <v>-0.29423295776367198</v>
      </c>
      <c r="L108" s="14">
        <f t="shared" si="116"/>
        <v>1.2262328488116776</v>
      </c>
      <c r="M108" s="14">
        <v>75.588165283203125</v>
      </c>
      <c r="N108" s="14"/>
      <c r="O108" s="13" t="s">
        <v>25</v>
      </c>
    </row>
    <row r="109" spans="2:15" x14ac:dyDescent="0.2">
      <c r="B109" s="15" t="s">
        <v>127</v>
      </c>
      <c r="C109" s="14" t="s">
        <v>10</v>
      </c>
      <c r="D109" s="14"/>
      <c r="E109" s="14"/>
      <c r="F109" s="14"/>
      <c r="G109" s="14"/>
      <c r="H109" s="14"/>
      <c r="I109" s="14"/>
      <c r="J109" s="14">
        <v>20.485431671142578</v>
      </c>
      <c r="K109" s="14">
        <f t="shared" si="118"/>
        <v>-0.28098832885742198</v>
      </c>
      <c r="L109" s="14">
        <f t="shared" si="116"/>
        <v>1.2150269625163552</v>
      </c>
      <c r="M109" s="14">
        <v>75.588165283203125</v>
      </c>
      <c r="N109" s="14"/>
      <c r="O109" s="13" t="s">
        <v>25</v>
      </c>
    </row>
    <row r="110" spans="2:15" x14ac:dyDescent="0.2">
      <c r="B110" s="15" t="s">
        <v>128</v>
      </c>
      <c r="C110" s="14" t="s">
        <v>10</v>
      </c>
      <c r="D110" s="14">
        <v>23.015384674072266</v>
      </c>
      <c r="E110" s="14">
        <f>D110-21.01733</f>
        <v>1.9980546740722644</v>
      </c>
      <c r="F110" s="14">
        <f t="shared" si="111"/>
        <v>0.25033732666957542</v>
      </c>
      <c r="G110" s="14">
        <v>76.173583984375</v>
      </c>
      <c r="H110" s="14" t="s">
        <v>24</v>
      </c>
      <c r="I110" s="14" t="s">
        <v>25</v>
      </c>
      <c r="J110" s="14">
        <v>20.925094604492188</v>
      </c>
      <c r="K110" s="14">
        <f>J110-21.96536</f>
        <v>-1.0402653955078129</v>
      </c>
      <c r="L110" s="14">
        <f t="shared" si="116"/>
        <v>2.0566059479371712</v>
      </c>
      <c r="M110" s="14">
        <v>75.659843444824219</v>
      </c>
      <c r="N110" s="14"/>
      <c r="O110" s="13" t="s">
        <v>25</v>
      </c>
    </row>
    <row r="111" spans="2:15" x14ac:dyDescent="0.2">
      <c r="B111" s="15" t="s">
        <v>128</v>
      </c>
      <c r="C111" s="14" t="s">
        <v>10</v>
      </c>
      <c r="D111" s="14">
        <v>23.015384674072266</v>
      </c>
      <c r="E111" s="14">
        <f>D111-21.01733</f>
        <v>1.9980546740722644</v>
      </c>
      <c r="F111" s="14">
        <f t="shared" si="111"/>
        <v>0.25033732666957542</v>
      </c>
      <c r="G111" s="14">
        <v>76.173583984375</v>
      </c>
      <c r="H111" s="14" t="s">
        <v>24</v>
      </c>
      <c r="I111" s="14" t="s">
        <v>25</v>
      </c>
      <c r="J111" s="14">
        <v>20.914737701416016</v>
      </c>
      <c r="K111" s="14">
        <f t="shared" ref="K111:K112" si="119">J111-21.96536</f>
        <v>-1.0506222985839848</v>
      </c>
      <c r="L111" s="14">
        <f t="shared" si="116"/>
        <v>2.071423152010289</v>
      </c>
      <c r="M111" s="14">
        <v>75.659843444824219</v>
      </c>
      <c r="N111" s="14"/>
      <c r="O111" s="13" t="s">
        <v>25</v>
      </c>
    </row>
    <row r="112" spans="2:15" x14ac:dyDescent="0.2">
      <c r="B112" s="15" t="s">
        <v>128</v>
      </c>
      <c r="C112" s="14" t="s">
        <v>10</v>
      </c>
      <c r="D112" s="14"/>
      <c r="E112" s="14"/>
      <c r="F112" s="14"/>
      <c r="G112" s="14"/>
      <c r="H112" s="14"/>
      <c r="I112" s="14"/>
      <c r="J112" s="14">
        <v>20.894672393798828</v>
      </c>
      <c r="K112" s="14">
        <f t="shared" si="119"/>
        <v>-1.0706876062011723</v>
      </c>
      <c r="L112" s="14">
        <f t="shared" si="116"/>
        <v>2.1004342215020966</v>
      </c>
      <c r="M112" s="14">
        <v>75.659843444824219</v>
      </c>
      <c r="N112" s="14"/>
      <c r="O112" s="13" t="s">
        <v>25</v>
      </c>
    </row>
    <row r="113" spans="2:15" x14ac:dyDescent="0.2">
      <c r="B113" s="15" t="s">
        <v>129</v>
      </c>
      <c r="C113" s="14" t="s">
        <v>10</v>
      </c>
      <c r="D113" s="14">
        <v>25.932395935058594</v>
      </c>
      <c r="E113" s="14">
        <f>D113-23.97622</f>
        <v>1.9561759350585923</v>
      </c>
      <c r="F113" s="14">
        <f t="shared" si="111"/>
        <v>0.25771065025464862</v>
      </c>
      <c r="G113" s="14">
        <v>76.321189880371094</v>
      </c>
      <c r="H113" s="14" t="s">
        <v>24</v>
      </c>
      <c r="I113" s="14" t="s">
        <v>25</v>
      </c>
      <c r="J113" s="14">
        <v>20.829433441162109</v>
      </c>
      <c r="K113" s="14">
        <f>J113-21.37383</f>
        <v>-0.54439655883789229</v>
      </c>
      <c r="L113" s="14">
        <f t="shared" si="116"/>
        <v>1.4584102022476619</v>
      </c>
      <c r="M113" s="14">
        <v>75.659843444824219</v>
      </c>
      <c r="N113" s="14"/>
      <c r="O113" s="13" t="s">
        <v>25</v>
      </c>
    </row>
    <row r="114" spans="2:15" x14ac:dyDescent="0.2">
      <c r="B114" s="15" t="s">
        <v>129</v>
      </c>
      <c r="C114" s="14" t="s">
        <v>10</v>
      </c>
      <c r="D114" s="14">
        <v>25.932395935058594</v>
      </c>
      <c r="E114" s="14">
        <f>D114-23.97622</f>
        <v>1.9561759350585923</v>
      </c>
      <c r="F114" s="14">
        <f t="shared" si="111"/>
        <v>0.25771065025464862</v>
      </c>
      <c r="G114" s="14">
        <v>76.0225830078125</v>
      </c>
      <c r="H114" s="14" t="s">
        <v>24</v>
      </c>
      <c r="I114" s="14" t="s">
        <v>25</v>
      </c>
      <c r="J114" s="14">
        <v>20.789602279663086</v>
      </c>
      <c r="K114" s="14">
        <f t="shared" ref="K114:K115" si="120">J114-21.37383</f>
        <v>-0.58422772033691572</v>
      </c>
      <c r="L114" s="14">
        <f t="shared" si="116"/>
        <v>1.4992362280877092</v>
      </c>
      <c r="M114" s="14">
        <v>75.659843444824219</v>
      </c>
      <c r="N114" s="14"/>
      <c r="O114" s="13" t="s">
        <v>25</v>
      </c>
    </row>
    <row r="115" spans="2:15" x14ac:dyDescent="0.2">
      <c r="B115" s="15" t="s">
        <v>129</v>
      </c>
      <c r="C115" s="14" t="s">
        <v>10</v>
      </c>
      <c r="D115" s="14"/>
      <c r="E115" s="14"/>
      <c r="F115" s="14"/>
      <c r="G115" s="14"/>
      <c r="H115" s="14"/>
      <c r="I115" s="14"/>
      <c r="J115" s="14">
        <v>20.818367004394531</v>
      </c>
      <c r="K115" s="14">
        <f t="shared" si="120"/>
        <v>-0.55546299560547041</v>
      </c>
      <c r="L115" s="14">
        <f t="shared" si="116"/>
        <v>1.4696402005621576</v>
      </c>
      <c r="M115" s="14">
        <v>75.659843444824219</v>
      </c>
      <c r="N115" s="14"/>
      <c r="O115" s="13" t="s">
        <v>25</v>
      </c>
    </row>
    <row r="116" spans="2:15" x14ac:dyDescent="0.2">
      <c r="B116" s="15" t="s">
        <v>126</v>
      </c>
      <c r="C116" s="14" t="s">
        <v>11</v>
      </c>
      <c r="D116" s="14">
        <v>25.107856750488281</v>
      </c>
      <c r="E116" s="14">
        <f>D116-25.45004</f>
        <v>-0.34218324951172008</v>
      </c>
      <c r="F116" s="14">
        <f>POWER(2,-E116)</f>
        <v>1.2676735302837132</v>
      </c>
      <c r="G116" s="14">
        <v>74.677139282226563</v>
      </c>
      <c r="H116" s="14"/>
      <c r="I116" s="14" t="s">
        <v>25</v>
      </c>
      <c r="J116" s="14">
        <v>18.545377731323242</v>
      </c>
      <c r="K116" s="14">
        <f>J116-18.98415</f>
        <v>-0.43877226867675745</v>
      </c>
      <c r="L116" s="14">
        <f t="shared" ref="L116:L127" si="121">POWER(2,-K116)</f>
        <v>1.3554503502789439</v>
      </c>
      <c r="M116" s="14">
        <v>74.547271728515625</v>
      </c>
      <c r="N116" s="14"/>
      <c r="O116" s="13" t="s">
        <v>25</v>
      </c>
    </row>
    <row r="117" spans="2:15" x14ac:dyDescent="0.2">
      <c r="B117" s="15" t="s">
        <v>126</v>
      </c>
      <c r="C117" s="14" t="s">
        <v>11</v>
      </c>
      <c r="D117" s="14">
        <v>25.076181411743164</v>
      </c>
      <c r="E117" s="14">
        <f>D117-25.45004</f>
        <v>-0.37385858825683727</v>
      </c>
      <c r="F117" s="14">
        <f t="shared" ref="F117:F138" si="122">POWER(2,-E117)</f>
        <v>1.2958139446254009</v>
      </c>
      <c r="G117" s="14">
        <v>74.826065063476563</v>
      </c>
      <c r="H117" s="14"/>
      <c r="I117" s="14" t="s">
        <v>25</v>
      </c>
      <c r="J117" s="14">
        <v>18.544878005981445</v>
      </c>
      <c r="K117" s="14">
        <f t="shared" ref="K117:K118" si="123">J117-18.98415</f>
        <v>-0.43927199401855432</v>
      </c>
      <c r="L117" s="14">
        <f t="shared" si="121"/>
        <v>1.3559199368483585</v>
      </c>
      <c r="M117" s="14">
        <v>74.547271728515625</v>
      </c>
      <c r="N117" s="14"/>
      <c r="O117" s="13" t="s">
        <v>25</v>
      </c>
    </row>
    <row r="118" spans="2:15" x14ac:dyDescent="0.2">
      <c r="B118" s="15" t="s">
        <v>126</v>
      </c>
      <c r="C118" s="14" t="s">
        <v>11</v>
      </c>
      <c r="D118" s="14"/>
      <c r="E118" s="14"/>
      <c r="F118" s="14"/>
      <c r="G118" s="14"/>
      <c r="H118" s="14"/>
      <c r="I118" s="14"/>
      <c r="J118" s="14">
        <v>18.516822814941406</v>
      </c>
      <c r="K118" s="14">
        <f t="shared" si="123"/>
        <v>-0.46732718505859339</v>
      </c>
      <c r="L118" s="14">
        <f t="shared" si="121"/>
        <v>1.3825457149266551</v>
      </c>
      <c r="M118" s="14">
        <v>74.547271728515625</v>
      </c>
      <c r="N118" s="14"/>
      <c r="O118" s="13" t="s">
        <v>25</v>
      </c>
    </row>
    <row r="119" spans="2:15" x14ac:dyDescent="0.2">
      <c r="B119" s="15" t="s">
        <v>127</v>
      </c>
      <c r="C119" s="14" t="s">
        <v>11</v>
      </c>
      <c r="D119" s="14">
        <v>21.784357070922852</v>
      </c>
      <c r="E119" s="14">
        <f>D119-21.19062</f>
        <v>0.59373707092285244</v>
      </c>
      <c r="F119" s="14">
        <f t="shared" si="122"/>
        <v>0.66262425982845696</v>
      </c>
      <c r="G119" s="14">
        <v>75.119850158691406</v>
      </c>
      <c r="H119" s="14"/>
      <c r="I119" s="14" t="s">
        <v>25</v>
      </c>
      <c r="J119" s="14">
        <v>20.474946975708008</v>
      </c>
      <c r="K119" s="14">
        <f>J119-20.76642</f>
        <v>-0.29147302429199229</v>
      </c>
      <c r="L119" s="14">
        <f t="shared" si="121"/>
        <v>1.2238892586003063</v>
      </c>
      <c r="M119" s="14">
        <v>74.39825439453125</v>
      </c>
      <c r="N119" s="14"/>
      <c r="O119" s="13" t="s">
        <v>25</v>
      </c>
    </row>
    <row r="120" spans="2:15" x14ac:dyDescent="0.2">
      <c r="B120" s="15" t="s">
        <v>127</v>
      </c>
      <c r="C120" s="14" t="s">
        <v>11</v>
      </c>
      <c r="D120" s="14">
        <v>21.724035263061523</v>
      </c>
      <c r="E120" s="14">
        <f>D120-21.19062</f>
        <v>0.53341526306152431</v>
      </c>
      <c r="F120" s="14">
        <f t="shared" si="122"/>
        <v>0.69091720212396168</v>
      </c>
      <c r="G120" s="14">
        <v>75.271865844726563</v>
      </c>
      <c r="H120" s="14"/>
      <c r="I120" s="14" t="s">
        <v>25</v>
      </c>
      <c r="J120" s="14">
        <v>20.407434463500977</v>
      </c>
      <c r="K120" s="14">
        <f t="shared" ref="K120:K121" si="124">J120-20.76642</f>
        <v>-0.35898553649902354</v>
      </c>
      <c r="L120" s="14">
        <f t="shared" si="121"/>
        <v>1.2825237449677065</v>
      </c>
      <c r="M120" s="14">
        <v>74.39825439453125</v>
      </c>
      <c r="N120" s="14"/>
      <c r="O120" s="13" t="s">
        <v>25</v>
      </c>
    </row>
    <row r="121" spans="2:15" x14ac:dyDescent="0.2">
      <c r="B121" s="15" t="s">
        <v>127</v>
      </c>
      <c r="C121" s="14" t="s">
        <v>11</v>
      </c>
      <c r="D121" s="14"/>
      <c r="E121" s="14"/>
      <c r="F121" s="14"/>
      <c r="G121" s="14"/>
      <c r="H121" s="14"/>
      <c r="I121" s="14"/>
      <c r="J121" s="14">
        <v>20.418807983398438</v>
      </c>
      <c r="K121" s="14">
        <f t="shared" si="124"/>
        <v>-0.3476120166015626</v>
      </c>
      <c r="L121" s="14">
        <f t="shared" si="121"/>
        <v>1.2724526890668628</v>
      </c>
      <c r="M121" s="14">
        <v>74.39825439453125</v>
      </c>
      <c r="N121" s="14"/>
      <c r="O121" s="13" t="s">
        <v>25</v>
      </c>
    </row>
    <row r="122" spans="2:15" x14ac:dyDescent="0.2">
      <c r="B122" s="15" t="s">
        <v>128</v>
      </c>
      <c r="C122" s="14" t="s">
        <v>11</v>
      </c>
      <c r="D122" s="14">
        <v>23.004947662353516</v>
      </c>
      <c r="E122" s="14">
        <f>D122-22.3151</f>
        <v>0.68984766235351458</v>
      </c>
      <c r="F122" s="14">
        <f t="shared" si="122"/>
        <v>0.61991930528718664</v>
      </c>
      <c r="G122" s="14">
        <v>74.970375061035156</v>
      </c>
      <c r="H122" s="14"/>
      <c r="I122" s="14" t="s">
        <v>25</v>
      </c>
      <c r="J122" s="14">
        <v>20.708683013916016</v>
      </c>
      <c r="K122" s="14">
        <f>J122-21.96536</f>
        <v>-1.2566769860839848</v>
      </c>
      <c r="L122" s="14">
        <f t="shared" si="121"/>
        <v>2.3894473616692551</v>
      </c>
      <c r="M122" s="14">
        <v>74.612327575683594</v>
      </c>
      <c r="N122" s="14"/>
      <c r="O122" s="13" t="s">
        <v>25</v>
      </c>
    </row>
    <row r="123" spans="2:15" x14ac:dyDescent="0.2">
      <c r="B123" s="15" t="s">
        <v>128</v>
      </c>
      <c r="C123" s="14" t="s">
        <v>11</v>
      </c>
      <c r="D123" s="14">
        <v>22.845701217651367</v>
      </c>
      <c r="E123" s="14">
        <f>D123-22.3151</f>
        <v>0.53060121765136614</v>
      </c>
      <c r="F123" s="14">
        <f t="shared" si="122"/>
        <v>0.6922661842426413</v>
      </c>
      <c r="G123" s="14">
        <v>75.119300842285156</v>
      </c>
      <c r="H123" s="14"/>
      <c r="I123" s="14" t="s">
        <v>25</v>
      </c>
      <c r="J123" s="14">
        <v>20.710126876831055</v>
      </c>
      <c r="K123" s="14">
        <f t="shared" ref="K123:K124" si="125">J123-21.96536</f>
        <v>-1.2552331231689458</v>
      </c>
      <c r="L123" s="14">
        <f t="shared" si="121"/>
        <v>2.3870571762888524</v>
      </c>
      <c r="M123" s="14">
        <v>74.462722778320313</v>
      </c>
      <c r="N123" s="14"/>
      <c r="O123" s="13" t="s">
        <v>25</v>
      </c>
    </row>
    <row r="124" spans="2:15" x14ac:dyDescent="0.2">
      <c r="B124" s="15" t="s">
        <v>128</v>
      </c>
      <c r="C124" s="14" t="s">
        <v>11</v>
      </c>
      <c r="D124" s="14"/>
      <c r="E124" s="14"/>
      <c r="F124" s="14"/>
      <c r="G124" s="14"/>
      <c r="H124" s="14"/>
      <c r="I124" s="14"/>
      <c r="J124" s="14">
        <v>20.767276763916016</v>
      </c>
      <c r="K124" s="14">
        <f t="shared" si="125"/>
        <v>-1.1980832360839848</v>
      </c>
      <c r="L124" s="14">
        <f t="shared" si="121"/>
        <v>2.2943464166220786</v>
      </c>
      <c r="M124" s="14">
        <v>74.313125610351563</v>
      </c>
      <c r="N124" s="14"/>
      <c r="O124" s="13" t="s">
        <v>25</v>
      </c>
    </row>
    <row r="125" spans="2:15" x14ac:dyDescent="0.2">
      <c r="B125" s="15" t="s">
        <v>129</v>
      </c>
      <c r="C125" s="14" t="s">
        <v>11</v>
      </c>
      <c r="D125" s="14">
        <v>24.847938537597656</v>
      </c>
      <c r="E125" s="14">
        <f>D125-25.23713</f>
        <v>-0.38919146240234426</v>
      </c>
      <c r="F125" s="14">
        <f t="shared" si="122"/>
        <v>1.3096592185532334</v>
      </c>
      <c r="G125" s="14">
        <v>74.824462890625</v>
      </c>
      <c r="H125" s="14" t="s">
        <v>24</v>
      </c>
      <c r="I125" s="14" t="s">
        <v>25</v>
      </c>
      <c r="J125" s="14">
        <v>20.574638366699219</v>
      </c>
      <c r="K125" s="14">
        <f>J125-21.37383</f>
        <v>-0.79919163330078291</v>
      </c>
      <c r="L125" s="14">
        <f t="shared" si="121"/>
        <v>1.7401258311238188</v>
      </c>
      <c r="M125" s="14">
        <v>74.462722778320313</v>
      </c>
      <c r="N125" s="14"/>
      <c r="O125" s="13" t="s">
        <v>25</v>
      </c>
    </row>
    <row r="126" spans="2:15" x14ac:dyDescent="0.2">
      <c r="B126" s="15" t="s">
        <v>129</v>
      </c>
      <c r="C126" s="14" t="s">
        <v>11</v>
      </c>
      <c r="D126" s="14">
        <v>24.947896957397461</v>
      </c>
      <c r="E126" s="14">
        <f>D126-25.23713</f>
        <v>-0.28923304260253957</v>
      </c>
      <c r="F126" s="14">
        <f t="shared" si="122"/>
        <v>1.2219904773031065</v>
      </c>
      <c r="G126" s="14">
        <v>74.675186157226563</v>
      </c>
      <c r="H126" s="14" t="s">
        <v>24</v>
      </c>
      <c r="I126" s="14" t="s">
        <v>25</v>
      </c>
      <c r="J126" s="14">
        <v>20.532627105712891</v>
      </c>
      <c r="K126" s="14">
        <f t="shared" ref="K126:K127" si="126">J126-21.37383</f>
        <v>-0.84120289428711104</v>
      </c>
      <c r="L126" s="14">
        <f t="shared" si="121"/>
        <v>1.7915432772348305</v>
      </c>
      <c r="M126" s="14">
        <v>74.462722778320313</v>
      </c>
      <c r="N126" s="14"/>
      <c r="O126" s="13" t="s">
        <v>25</v>
      </c>
    </row>
    <row r="127" spans="2:15" x14ac:dyDescent="0.2">
      <c r="B127" s="15" t="s">
        <v>129</v>
      </c>
      <c r="C127" s="14" t="s">
        <v>11</v>
      </c>
      <c r="D127" s="14"/>
      <c r="E127" s="14"/>
      <c r="F127" s="14"/>
      <c r="G127" s="14"/>
      <c r="H127" s="14"/>
      <c r="I127" s="14"/>
      <c r="J127" s="14">
        <v>20.531238555908203</v>
      </c>
      <c r="K127" s="14">
        <f t="shared" si="126"/>
        <v>-0.84259144409179854</v>
      </c>
      <c r="L127" s="14">
        <f t="shared" si="121"/>
        <v>1.7932684128479615</v>
      </c>
      <c r="M127" s="14">
        <v>74.462722778320313</v>
      </c>
      <c r="N127" s="14"/>
      <c r="O127" s="13" t="s">
        <v>25</v>
      </c>
    </row>
    <row r="128" spans="2:15" x14ac:dyDescent="0.2">
      <c r="B128" s="15" t="s">
        <v>126</v>
      </c>
      <c r="C128" s="14" t="s">
        <v>130</v>
      </c>
      <c r="D128" s="14">
        <v>29.205020904541016</v>
      </c>
      <c r="E128" s="14">
        <f>D128-25.45004</f>
        <v>3.7549809045410143</v>
      </c>
      <c r="F128" s="14">
        <f t="shared" si="122"/>
        <v>7.4069278555632487E-2</v>
      </c>
      <c r="G128" s="14">
        <v>76.464309692382813</v>
      </c>
      <c r="H128" s="14" t="s">
        <v>24</v>
      </c>
      <c r="I128" s="14" t="s">
        <v>25</v>
      </c>
      <c r="J128" s="14">
        <v>25.970930099487305</v>
      </c>
      <c r="K128" s="14">
        <f>J128-18.98415</f>
        <v>6.9867800994873051</v>
      </c>
      <c r="L128" s="14">
        <f t="shared" ref="L128:L139" si="127">POWER(2,-K128)</f>
        <v>7.8844175677206495E-3</v>
      </c>
      <c r="M128" s="14">
        <v>75.590400695800781</v>
      </c>
      <c r="N128" s="14"/>
      <c r="O128" s="13" t="s">
        <v>25</v>
      </c>
    </row>
    <row r="129" spans="2:15" x14ac:dyDescent="0.2">
      <c r="B129" s="15" t="s">
        <v>126</v>
      </c>
      <c r="C129" s="14" t="s">
        <v>130</v>
      </c>
      <c r="D129" s="14">
        <v>29.708644866943359</v>
      </c>
      <c r="E129" s="14">
        <f>D129-25.45004</f>
        <v>4.258604866943358</v>
      </c>
      <c r="F129" s="14">
        <f t="shared" si="122"/>
        <v>5.2243491701068581E-2</v>
      </c>
      <c r="G129" s="14">
        <v>76.464309692382813</v>
      </c>
      <c r="H129" s="14" t="s">
        <v>24</v>
      </c>
      <c r="I129" s="14" t="s">
        <v>25</v>
      </c>
      <c r="J129" s="14">
        <v>25.932514190673828</v>
      </c>
      <c r="K129" s="14">
        <f t="shared" ref="K129:K130" si="128">J129-18.98415</f>
        <v>6.9483641906738285</v>
      </c>
      <c r="L129" s="14">
        <f t="shared" si="127"/>
        <v>8.097183059117434E-3</v>
      </c>
      <c r="M129" s="14">
        <v>75.590400695800781</v>
      </c>
      <c r="N129" s="14"/>
      <c r="O129" s="13" t="s">
        <v>25</v>
      </c>
    </row>
    <row r="130" spans="2:15" x14ac:dyDescent="0.2">
      <c r="B130" s="15" t="s">
        <v>126</v>
      </c>
      <c r="C130" s="14" t="s">
        <v>130</v>
      </c>
      <c r="D130" s="14"/>
      <c r="E130" s="14"/>
      <c r="F130" s="14"/>
      <c r="G130" s="14"/>
      <c r="H130" s="14"/>
      <c r="I130" s="14"/>
      <c r="J130" s="14">
        <v>25.895275115966797</v>
      </c>
      <c r="K130" s="14">
        <f t="shared" si="128"/>
        <v>6.9111251159667972</v>
      </c>
      <c r="L130" s="14">
        <f t="shared" si="127"/>
        <v>8.3089096456823268E-3</v>
      </c>
      <c r="M130" s="14">
        <v>75.590400695800781</v>
      </c>
      <c r="N130" s="14"/>
      <c r="O130" s="13" t="s">
        <v>25</v>
      </c>
    </row>
    <row r="131" spans="2:15" x14ac:dyDescent="0.2">
      <c r="B131" s="15" t="s">
        <v>127</v>
      </c>
      <c r="C131" s="14" t="s">
        <v>130</v>
      </c>
      <c r="D131" s="14">
        <v>24.622976303100586</v>
      </c>
      <c r="E131" s="14">
        <f>D131-21.19062</f>
        <v>3.4323563031005868</v>
      </c>
      <c r="F131" s="14">
        <f t="shared" si="122"/>
        <v>9.2631308087937597E-2</v>
      </c>
      <c r="G131" s="14">
        <v>76.31146240234375</v>
      </c>
      <c r="H131" s="14" t="s">
        <v>24</v>
      </c>
      <c r="I131" s="14" t="s">
        <v>25</v>
      </c>
      <c r="J131" s="14">
        <v>27.79576301574707</v>
      </c>
      <c r="K131" s="14">
        <f>J131-20.76642</f>
        <v>7.0293430157470702</v>
      </c>
      <c r="L131" s="14">
        <f t="shared" si="127"/>
        <v>7.6552063610558401E-3</v>
      </c>
      <c r="M131" s="14">
        <v>75.590400695800781</v>
      </c>
      <c r="N131" s="14"/>
      <c r="O131" s="13" t="s">
        <v>25</v>
      </c>
    </row>
    <row r="132" spans="2:15" x14ac:dyDescent="0.2">
      <c r="B132" s="15" t="s">
        <v>127</v>
      </c>
      <c r="C132" s="14" t="s">
        <v>130</v>
      </c>
      <c r="D132" s="14">
        <v>24.678813934326172</v>
      </c>
      <c r="E132" s="14">
        <f>D132-21.19062</f>
        <v>3.4881939343261728</v>
      </c>
      <c r="F132" s="14">
        <f t="shared" si="122"/>
        <v>8.9114627293495952E-2</v>
      </c>
      <c r="G132" s="14">
        <v>76.314476013183594</v>
      </c>
      <c r="H132" s="14" t="s">
        <v>24</v>
      </c>
      <c r="I132" s="14" t="s">
        <v>25</v>
      </c>
      <c r="J132" s="14">
        <v>27.913633346557617</v>
      </c>
      <c r="K132" s="14">
        <f t="shared" ref="K132:K133" si="129">J132-20.76642</f>
        <v>7.1472133465576171</v>
      </c>
      <c r="L132" s="14">
        <f t="shared" si="127"/>
        <v>7.0546325403744326E-3</v>
      </c>
      <c r="M132" s="14">
        <v>75.590400695800781</v>
      </c>
      <c r="N132" s="14"/>
      <c r="O132" s="13" t="s">
        <v>25</v>
      </c>
    </row>
    <row r="133" spans="2:15" x14ac:dyDescent="0.2">
      <c r="B133" s="15" t="s">
        <v>127</v>
      </c>
      <c r="C133" s="14" t="s">
        <v>130</v>
      </c>
      <c r="D133" s="14"/>
      <c r="E133" s="14"/>
      <c r="F133" s="14"/>
      <c r="G133" s="14"/>
      <c r="H133" s="14"/>
      <c r="I133" s="14"/>
      <c r="J133" s="14">
        <v>27.865341186523438</v>
      </c>
      <c r="K133" s="14">
        <f t="shared" si="129"/>
        <v>7.0989211865234374</v>
      </c>
      <c r="L133" s="14">
        <f t="shared" si="127"/>
        <v>7.2947730673972875E-3</v>
      </c>
      <c r="M133" s="14">
        <v>75.590400695800781</v>
      </c>
      <c r="N133" s="14"/>
      <c r="O133" s="13" t="s">
        <v>25</v>
      </c>
    </row>
    <row r="134" spans="2:15" x14ac:dyDescent="0.2">
      <c r="B134" s="15" t="s">
        <v>128</v>
      </c>
      <c r="C134" s="14" t="s">
        <v>130</v>
      </c>
      <c r="D134" s="14">
        <v>24.596700668334961</v>
      </c>
      <c r="E134" s="14">
        <f>D134-22.3151</f>
        <v>2.2816006683349599</v>
      </c>
      <c r="F134" s="14">
        <f t="shared" si="122"/>
        <v>0.20566943769913357</v>
      </c>
      <c r="G134" s="14">
        <v>76.310745239257813</v>
      </c>
      <c r="H134" s="14" t="s">
        <v>24</v>
      </c>
      <c r="I134" s="14" t="s">
        <v>25</v>
      </c>
      <c r="J134" s="14">
        <v>25.598672866821289</v>
      </c>
      <c r="K134" s="14">
        <f>J134-21.96536</f>
        <v>3.6333128668212886</v>
      </c>
      <c r="L134" s="14">
        <f t="shared" si="127"/>
        <v>8.0586787498120732E-2</v>
      </c>
      <c r="M134" s="14">
        <v>75.659538269042969</v>
      </c>
      <c r="N134" s="14"/>
      <c r="O134" s="13" t="s">
        <v>25</v>
      </c>
    </row>
    <row r="135" spans="2:15" x14ac:dyDescent="0.2">
      <c r="B135" s="15" t="s">
        <v>128</v>
      </c>
      <c r="C135" s="14" t="s">
        <v>130</v>
      </c>
      <c r="D135" s="14">
        <v>24.652339935302734</v>
      </c>
      <c r="E135" s="14">
        <f>D135-22.3151</f>
        <v>2.3372399353027333</v>
      </c>
      <c r="F135" s="14">
        <f t="shared" si="122"/>
        <v>0.19788855279102371</v>
      </c>
      <c r="G135" s="14">
        <v>76.310745239257813</v>
      </c>
      <c r="H135" s="14" t="s">
        <v>24</v>
      </c>
      <c r="I135" s="14" t="s">
        <v>25</v>
      </c>
      <c r="J135" s="14">
        <v>25.724533081054688</v>
      </c>
      <c r="K135" s="14">
        <f t="shared" ref="K135:K136" si="130">J135-21.96536</f>
        <v>3.7591730810546871</v>
      </c>
      <c r="L135" s="14">
        <f t="shared" si="127"/>
        <v>7.3854360796579727E-2</v>
      </c>
      <c r="M135" s="14">
        <v>75.659538269042969</v>
      </c>
      <c r="N135" s="14"/>
      <c r="O135" s="13" t="s">
        <v>25</v>
      </c>
    </row>
    <row r="136" spans="2:15" x14ac:dyDescent="0.2">
      <c r="B136" s="15" t="s">
        <v>128</v>
      </c>
      <c r="C136" s="14" t="s">
        <v>130</v>
      </c>
      <c r="D136" s="14"/>
      <c r="E136" s="14"/>
      <c r="F136" s="14"/>
      <c r="G136" s="14"/>
      <c r="H136" s="14"/>
      <c r="I136" s="14"/>
      <c r="J136" s="14">
        <v>25.654645919799805</v>
      </c>
      <c r="K136" s="14">
        <f t="shared" si="130"/>
        <v>3.6892859197998042</v>
      </c>
      <c r="L136" s="14">
        <f t="shared" si="127"/>
        <v>7.752009130395375E-2</v>
      </c>
      <c r="M136" s="14">
        <v>75.659538269042969</v>
      </c>
      <c r="N136" s="14"/>
      <c r="O136" s="13" t="s">
        <v>25</v>
      </c>
    </row>
    <row r="137" spans="2:15" x14ac:dyDescent="0.2">
      <c r="B137" s="15" t="s">
        <v>129</v>
      </c>
      <c r="C137" s="14" t="s">
        <v>130</v>
      </c>
      <c r="D137" s="14">
        <v>27.75322151184082</v>
      </c>
      <c r="E137" s="14">
        <f>D137-25.23713</f>
        <v>2.5160915118408198</v>
      </c>
      <c r="F137" s="14">
        <f t="shared" si="122"/>
        <v>0.17481592121141773</v>
      </c>
      <c r="G137" s="14">
        <v>76.462921142578125</v>
      </c>
      <c r="H137" s="14" t="s">
        <v>24</v>
      </c>
      <c r="I137" s="14" t="s">
        <v>25</v>
      </c>
      <c r="J137" s="14">
        <v>25.730279922485352</v>
      </c>
      <c r="K137" s="14">
        <f>J137-21.37383</f>
        <v>4.3564499224853499</v>
      </c>
      <c r="L137" s="14">
        <f t="shared" si="127"/>
        <v>4.8817765705994089E-2</v>
      </c>
      <c r="M137" s="14">
        <v>75.659538269042969</v>
      </c>
      <c r="N137" s="14"/>
      <c r="O137" s="13" t="s">
        <v>25</v>
      </c>
    </row>
    <row r="138" spans="2:15" x14ac:dyDescent="0.2">
      <c r="B138" s="15" t="s">
        <v>129</v>
      </c>
      <c r="C138" s="14" t="s">
        <v>130</v>
      </c>
      <c r="D138" s="14">
        <v>27.663049697875977</v>
      </c>
      <c r="E138" s="14">
        <f>D138-25.23713</f>
        <v>2.4259196978759761</v>
      </c>
      <c r="F138" s="14">
        <f t="shared" si="122"/>
        <v>0.18609101465503625</v>
      </c>
      <c r="G138" s="14">
        <v>76.313430786132813</v>
      </c>
      <c r="H138" s="14" t="s">
        <v>24</v>
      </c>
      <c r="I138" s="14" t="s">
        <v>25</v>
      </c>
      <c r="J138" s="14">
        <v>25.732873916625977</v>
      </c>
      <c r="K138" s="14">
        <f t="shared" ref="K138:K139" si="131">J138-21.37383</f>
        <v>4.3590439166259749</v>
      </c>
      <c r="L138" s="14">
        <f t="shared" si="127"/>
        <v>4.8730069263918388E-2</v>
      </c>
      <c r="M138" s="14">
        <v>75.659538269042969</v>
      </c>
      <c r="N138" s="14"/>
      <c r="O138" s="13" t="s">
        <v>25</v>
      </c>
    </row>
    <row r="139" spans="2:15" x14ac:dyDescent="0.2">
      <c r="B139" s="15" t="s">
        <v>129</v>
      </c>
      <c r="C139" s="14" t="s">
        <v>130</v>
      </c>
      <c r="D139" s="14"/>
      <c r="E139" s="14"/>
      <c r="F139" s="14"/>
      <c r="G139" s="14"/>
      <c r="H139" s="14"/>
      <c r="I139" s="14"/>
      <c r="J139" s="14">
        <v>26.127191543579102</v>
      </c>
      <c r="K139" s="14">
        <f t="shared" si="131"/>
        <v>4.7533615435790999</v>
      </c>
      <c r="L139" s="14">
        <f t="shared" si="127"/>
        <v>3.7076232350630255E-2</v>
      </c>
      <c r="M139" s="14">
        <v>75.509933471679688</v>
      </c>
      <c r="N139" s="14"/>
      <c r="O139" s="13" t="s">
        <v>25</v>
      </c>
    </row>
    <row r="140" spans="2:15" x14ac:dyDescent="0.2">
      <c r="B140" s="15" t="s">
        <v>126</v>
      </c>
      <c r="C140" s="14" t="s">
        <v>12</v>
      </c>
      <c r="D140" s="14">
        <v>24.782176971435547</v>
      </c>
      <c r="E140" s="14">
        <f>D140-24.67037</f>
        <v>0.11180697143554852</v>
      </c>
      <c r="F140" s="14">
        <f>POWER(2,-E140)</f>
        <v>0.92542823946692554</v>
      </c>
      <c r="G140" s="14">
        <v>75.72808837890625</v>
      </c>
      <c r="H140" s="14"/>
      <c r="I140" s="14" t="s">
        <v>25</v>
      </c>
      <c r="J140" s="14">
        <v>18.797554016113281</v>
      </c>
      <c r="K140" s="14">
        <f>J140-18.98415</f>
        <v>-0.18659598388671839</v>
      </c>
      <c r="L140" s="14">
        <f t="shared" ref="L140:L151" si="132">POWER(2,-K140)</f>
        <v>1.1380752748516707</v>
      </c>
      <c r="M140" s="14">
        <v>75.439979553222656</v>
      </c>
      <c r="N140" s="14"/>
      <c r="O140" s="13" t="s">
        <v>25</v>
      </c>
    </row>
    <row r="141" spans="2:15" x14ac:dyDescent="0.2">
      <c r="B141" s="15" t="s">
        <v>126</v>
      </c>
      <c r="C141" s="14" t="s">
        <v>12</v>
      </c>
      <c r="D141" s="14">
        <v>24.70709228515625</v>
      </c>
      <c r="E141" s="14">
        <f>D141-24.67037</f>
        <v>3.6722285156251644E-2</v>
      </c>
      <c r="F141" s="14">
        <f t="shared" ref="F141:F150" si="133">POWER(2,-E141)</f>
        <v>0.97486727211042412</v>
      </c>
      <c r="G141" s="14">
        <v>75.72808837890625</v>
      </c>
      <c r="H141" s="14"/>
      <c r="I141" s="14" t="s">
        <v>25</v>
      </c>
      <c r="J141" s="14">
        <v>18.847208023071289</v>
      </c>
      <c r="K141" s="14">
        <f t="shared" ref="K141:K142" si="134">J141-18.98415</f>
        <v>-0.13694197692871057</v>
      </c>
      <c r="L141" s="14">
        <f t="shared" si="132"/>
        <v>1.0995719252606813</v>
      </c>
      <c r="M141" s="14">
        <v>75.290992736816406</v>
      </c>
      <c r="N141" s="14"/>
      <c r="O141" s="13" t="s">
        <v>25</v>
      </c>
    </row>
    <row r="142" spans="2:15" x14ac:dyDescent="0.2">
      <c r="B142" s="15" t="s">
        <v>126</v>
      </c>
      <c r="C142" s="14" t="s">
        <v>12</v>
      </c>
      <c r="D142" s="14"/>
      <c r="E142" s="14"/>
      <c r="F142" s="14"/>
      <c r="G142" s="14"/>
      <c r="H142" s="14"/>
      <c r="I142" s="14"/>
      <c r="J142" s="14">
        <v>18.82550048828125</v>
      </c>
      <c r="K142" s="14">
        <f t="shared" si="134"/>
        <v>-0.15864951171874964</v>
      </c>
      <c r="L142" s="14">
        <f t="shared" si="132"/>
        <v>1.1162417493093511</v>
      </c>
      <c r="M142" s="14">
        <v>75.290992736816406</v>
      </c>
      <c r="N142" s="14"/>
      <c r="O142" s="13" t="s">
        <v>25</v>
      </c>
    </row>
    <row r="143" spans="2:15" x14ac:dyDescent="0.2">
      <c r="B143" s="15" t="s">
        <v>127</v>
      </c>
      <c r="C143" s="14" t="s">
        <v>12</v>
      </c>
      <c r="D143" s="14">
        <v>21.230581283569336</v>
      </c>
      <c r="E143" s="14">
        <f>D143-20.75727</f>
        <v>0.4733112835693376</v>
      </c>
      <c r="F143" s="14">
        <f t="shared" si="133"/>
        <v>0.72030943984799989</v>
      </c>
      <c r="G143" s="14">
        <v>75.725479125976563</v>
      </c>
      <c r="H143" s="14"/>
      <c r="I143" s="14" t="s">
        <v>25</v>
      </c>
      <c r="J143" s="14">
        <v>20.542474746704102</v>
      </c>
      <c r="K143" s="14">
        <f>J143-20.76642</f>
        <v>-0.22394525329589854</v>
      </c>
      <c r="L143" s="14">
        <f t="shared" si="132"/>
        <v>1.1679230739837894</v>
      </c>
      <c r="M143" s="14">
        <v>75.290992736816406</v>
      </c>
      <c r="N143" s="14"/>
      <c r="O143" s="13" t="s">
        <v>25</v>
      </c>
    </row>
    <row r="144" spans="2:15" x14ac:dyDescent="0.2">
      <c r="B144" s="15" t="s">
        <v>127</v>
      </c>
      <c r="C144" s="14" t="s">
        <v>12</v>
      </c>
      <c r="D144" s="14">
        <v>21.224855422973633</v>
      </c>
      <c r="E144" s="14">
        <f>D144-20.75727</f>
        <v>0.46758542297363448</v>
      </c>
      <c r="F144" s="14">
        <f t="shared" si="133"/>
        <v>0.72317393077255521</v>
      </c>
      <c r="G144" s="14">
        <v>75.87445068359375</v>
      </c>
      <c r="H144" s="14"/>
      <c r="I144" s="14" t="s">
        <v>25</v>
      </c>
      <c r="J144" s="14">
        <v>20.556684494018555</v>
      </c>
      <c r="K144" s="14">
        <f t="shared" ref="K144:K145" si="135">J144-20.76642</f>
        <v>-0.20973550598144541</v>
      </c>
      <c r="L144" s="14">
        <f t="shared" si="132"/>
        <v>1.1564761439004407</v>
      </c>
      <c r="M144" s="14">
        <v>75.290992736816406</v>
      </c>
      <c r="N144" s="14"/>
      <c r="O144" s="13" t="s">
        <v>25</v>
      </c>
    </row>
    <row r="145" spans="2:15" x14ac:dyDescent="0.2">
      <c r="B145" s="15" t="s">
        <v>127</v>
      </c>
      <c r="C145" s="14" t="s">
        <v>12</v>
      </c>
      <c r="D145" s="14"/>
      <c r="E145" s="14"/>
      <c r="F145" s="14"/>
      <c r="G145" s="14"/>
      <c r="H145" s="14"/>
      <c r="I145" s="14"/>
      <c r="J145" s="14">
        <v>20.562040328979492</v>
      </c>
      <c r="K145" s="14">
        <f t="shared" si="135"/>
        <v>-0.20437967102050791</v>
      </c>
      <c r="L145" s="14">
        <f t="shared" si="132"/>
        <v>1.1521908220900796</v>
      </c>
      <c r="M145" s="14">
        <v>75.290992736816406</v>
      </c>
      <c r="N145" s="14"/>
      <c r="O145" s="13" t="s">
        <v>25</v>
      </c>
    </row>
    <row r="146" spans="2:15" x14ac:dyDescent="0.2">
      <c r="B146" s="15" t="s">
        <v>128</v>
      </c>
      <c r="C146" s="14" t="s">
        <v>12</v>
      </c>
      <c r="D146" s="14">
        <v>21.926540374755859</v>
      </c>
      <c r="E146" s="14">
        <f>D146-21.98387</f>
        <v>-5.7329625244140203E-2</v>
      </c>
      <c r="F146" s="14">
        <f t="shared" si="133"/>
        <v>1.0405379802427246</v>
      </c>
      <c r="G146" s="14">
        <v>75.874000549316406</v>
      </c>
      <c r="H146" s="14"/>
      <c r="I146" s="14" t="s">
        <v>25</v>
      </c>
      <c r="J146" s="14">
        <v>20.842184066772461</v>
      </c>
      <c r="K146" s="14">
        <f>J146-21.96536</f>
        <v>-1.1231759332275395</v>
      </c>
      <c r="L146" s="14">
        <f t="shared" si="132"/>
        <v>2.178259648057387</v>
      </c>
      <c r="M146" s="14">
        <v>75.35986328125</v>
      </c>
      <c r="N146" s="14"/>
      <c r="O146" s="13" t="s">
        <v>25</v>
      </c>
    </row>
    <row r="147" spans="2:15" x14ac:dyDescent="0.2">
      <c r="B147" s="15" t="s">
        <v>128</v>
      </c>
      <c r="C147" s="14" t="s">
        <v>12</v>
      </c>
      <c r="D147" s="14">
        <v>21.910093307495117</v>
      </c>
      <c r="E147" s="14">
        <f>D147-21.98387</f>
        <v>-7.3776692504882391E-2</v>
      </c>
      <c r="F147" s="14">
        <f t="shared" si="133"/>
        <v>1.05246823584661</v>
      </c>
      <c r="G147" s="14">
        <v>75.874000549316406</v>
      </c>
      <c r="H147" s="14"/>
      <c r="I147" s="14" t="s">
        <v>25</v>
      </c>
      <c r="J147" s="14">
        <v>20.881711959838867</v>
      </c>
      <c r="K147" s="14">
        <f t="shared" ref="K147:K148" si="136">J147-21.96536</f>
        <v>-1.0836480401611333</v>
      </c>
      <c r="L147" s="14">
        <f t="shared" si="132"/>
        <v>2.1193884577756412</v>
      </c>
      <c r="M147" s="14">
        <v>75.35986328125</v>
      </c>
      <c r="N147" s="14"/>
      <c r="O147" s="13" t="s">
        <v>25</v>
      </c>
    </row>
    <row r="148" spans="2:15" x14ac:dyDescent="0.2">
      <c r="B148" s="15" t="s">
        <v>128</v>
      </c>
      <c r="C148" s="14" t="s">
        <v>12</v>
      </c>
      <c r="D148" s="14"/>
      <c r="E148" s="14"/>
      <c r="F148" s="14"/>
      <c r="G148" s="14"/>
      <c r="H148" s="14"/>
      <c r="I148" s="14"/>
      <c r="J148" s="14">
        <v>20.918088912963867</v>
      </c>
      <c r="K148" s="14">
        <f t="shared" si="136"/>
        <v>-1.0472710870361333</v>
      </c>
      <c r="L148" s="14">
        <f t="shared" si="132"/>
        <v>2.0666170628767251</v>
      </c>
      <c r="M148" s="14">
        <v>75.35986328125</v>
      </c>
      <c r="N148" s="14"/>
      <c r="O148" s="13" t="s">
        <v>25</v>
      </c>
    </row>
    <row r="149" spans="2:15" x14ac:dyDescent="0.2">
      <c r="B149" s="15" t="s">
        <v>129</v>
      </c>
      <c r="C149" s="14" t="s">
        <v>12</v>
      </c>
      <c r="D149" s="14">
        <v>25.084590911865234</v>
      </c>
      <c r="E149" s="14">
        <f>D149-25.27626</f>
        <v>-0.19166908813476624</v>
      </c>
      <c r="F149" s="14">
        <f t="shared" si="133"/>
        <v>1.1420842562219649</v>
      </c>
      <c r="G149" s="14">
        <v>75.724853515625</v>
      </c>
      <c r="H149" s="14"/>
      <c r="I149" s="14" t="s">
        <v>25</v>
      </c>
      <c r="J149" s="14">
        <v>20.552249908447266</v>
      </c>
      <c r="K149" s="14">
        <f>J149-21.37383</f>
        <v>-0.82158009155273604</v>
      </c>
      <c r="L149" s="14">
        <f t="shared" si="132"/>
        <v>1.7673405880133846</v>
      </c>
      <c r="M149" s="14">
        <v>75.210258483886719</v>
      </c>
      <c r="N149" s="14"/>
      <c r="O149" s="13" t="s">
        <v>25</v>
      </c>
    </row>
    <row r="150" spans="2:15" x14ac:dyDescent="0.2">
      <c r="B150" s="15" t="s">
        <v>129</v>
      </c>
      <c r="C150" s="14" t="s">
        <v>12</v>
      </c>
      <c r="D150" s="14">
        <v>25.067056655883789</v>
      </c>
      <c r="E150" s="14">
        <f>D150-25.27626</f>
        <v>-0.20920334411621155</v>
      </c>
      <c r="F150" s="14">
        <f t="shared" si="133"/>
        <v>1.1560496372638083</v>
      </c>
      <c r="G150" s="14">
        <v>75.580039978027344</v>
      </c>
      <c r="H150" s="14"/>
      <c r="I150" s="14" t="s">
        <v>25</v>
      </c>
      <c r="J150" s="14">
        <v>20.564632415771484</v>
      </c>
      <c r="K150" s="14">
        <f t="shared" ref="K150:K151" si="137">J150-21.37383</f>
        <v>-0.80919758422851729</v>
      </c>
      <c r="L150" s="14">
        <f t="shared" si="132"/>
        <v>1.7522365911782949</v>
      </c>
      <c r="M150" s="14">
        <v>75.210258483886719</v>
      </c>
      <c r="N150" s="14"/>
      <c r="O150" s="13" t="s">
        <v>25</v>
      </c>
    </row>
    <row r="151" spans="2:15" ht="13.5" thickBot="1" x14ac:dyDescent="0.25">
      <c r="B151" s="12" t="s">
        <v>129</v>
      </c>
      <c r="C151" s="11" t="s">
        <v>12</v>
      </c>
      <c r="D151" s="11"/>
      <c r="E151" s="11"/>
      <c r="F151" s="11"/>
      <c r="G151" s="11"/>
      <c r="H151" s="11"/>
      <c r="I151" s="11"/>
      <c r="J151" s="11">
        <v>20.664411544799805</v>
      </c>
      <c r="K151" s="11">
        <f t="shared" si="137"/>
        <v>-0.70941845520019697</v>
      </c>
      <c r="L151" s="11">
        <f t="shared" si="132"/>
        <v>1.6351448636730366</v>
      </c>
      <c r="M151" s="11">
        <v>75.210258483886719</v>
      </c>
      <c r="N151" s="11"/>
      <c r="O151" s="10" t="s">
        <v>25</v>
      </c>
    </row>
    <row r="152" spans="2:15" x14ac:dyDescent="0.2">
      <c r="J152" s="14"/>
    </row>
    <row r="153" spans="2:15" x14ac:dyDescent="0.2">
      <c r="J153" s="14"/>
    </row>
    <row r="154" spans="2:15" x14ac:dyDescent="0.2">
      <c r="J154" s="14"/>
    </row>
    <row r="155" spans="2:15" x14ac:dyDescent="0.2">
      <c r="J155" s="14"/>
    </row>
    <row r="156" spans="2:15" x14ac:dyDescent="0.2">
      <c r="J156" s="14"/>
    </row>
  </sheetData>
  <pageMargins left="0.75" right="0.75" top="1" bottom="1" header="0.5" footer="0.5"/>
  <pageSetup orientation="portrait" horizontalDpi="300" verticalDpi="300" r:id="rId1"/>
  <headerFooter alignWithMargins="0"/>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R50"/>
  <sheetViews>
    <sheetView topLeftCell="F1" zoomScale="78" zoomScaleNormal="78" workbookViewId="0">
      <selection activeCell="G28" sqref="G28"/>
    </sheetView>
  </sheetViews>
  <sheetFormatPr defaultRowHeight="15" x14ac:dyDescent="0.25"/>
  <cols>
    <col min="6" max="7" width="9.140625" customWidth="1"/>
    <col min="9" max="10" width="9.140625" customWidth="1"/>
    <col min="12" max="13" width="9.140625" customWidth="1"/>
    <col min="15" max="16" width="9.140625" customWidth="1"/>
    <col min="18" max="19" width="9.140625" customWidth="1"/>
    <col min="21" max="22" width="9.140625" customWidth="1"/>
    <col min="24" max="25" width="9.140625" customWidth="1"/>
    <col min="27" max="28" width="9.140625" customWidth="1"/>
    <col min="30" max="31" width="9.140625" customWidth="1"/>
    <col min="33" max="34" width="9.140625" customWidth="1"/>
    <col min="36" max="37" width="9.140625" customWidth="1"/>
    <col min="39" max="40" width="0" hidden="1" customWidth="1"/>
    <col min="42" max="42" width="9.5703125" customWidth="1"/>
    <col min="43" max="44" width="9.140625" customWidth="1"/>
    <col min="45" max="45" width="9.85546875" customWidth="1"/>
    <col min="46" max="46" width="10.85546875" customWidth="1"/>
    <col min="47" max="47" width="9.140625" customWidth="1"/>
    <col min="49" max="50" width="9.140625" customWidth="1"/>
    <col min="52" max="53" width="9.140625" customWidth="1"/>
    <col min="55" max="56" width="9.140625" customWidth="1"/>
    <col min="57" max="57" width="10.28515625" customWidth="1"/>
    <col min="58" max="59" width="9.140625" customWidth="1"/>
    <col min="61" max="61" width="9.140625" customWidth="1"/>
    <col min="62" max="62" width="11.5703125" customWidth="1"/>
    <col min="63" max="63" width="12.42578125" customWidth="1"/>
    <col min="64" max="64" width="14.28515625" customWidth="1"/>
    <col min="65" max="65" width="13.42578125" customWidth="1"/>
    <col min="67" max="68" width="9.140625" customWidth="1"/>
    <col min="70" max="71" width="9.140625" customWidth="1"/>
    <col min="73" max="74" width="9.140625" customWidth="1"/>
    <col min="76" max="77" width="0" hidden="1" customWidth="1"/>
  </cols>
  <sheetData>
    <row r="1" spans="1:96" x14ac:dyDescent="0.25">
      <c r="AL1" s="3" t="s">
        <v>131</v>
      </c>
    </row>
    <row r="2" spans="1:96" x14ac:dyDescent="0.25">
      <c r="A2" s="1" t="s">
        <v>110</v>
      </c>
      <c r="B2" s="1" t="s">
        <v>111</v>
      </c>
      <c r="C2" s="1" t="s">
        <v>112</v>
      </c>
      <c r="D2" s="1" t="s">
        <v>114</v>
      </c>
      <c r="E2" s="1" t="s">
        <v>113</v>
      </c>
      <c r="F2" s="1" t="s">
        <v>121</v>
      </c>
      <c r="G2" s="1" t="s">
        <v>122</v>
      </c>
      <c r="H2" s="1" t="s">
        <v>37</v>
      </c>
      <c r="I2" s="1" t="s">
        <v>121</v>
      </c>
      <c r="J2" s="1" t="s">
        <v>122</v>
      </c>
      <c r="K2" s="1" t="s">
        <v>49</v>
      </c>
      <c r="L2" s="1" t="s">
        <v>121</v>
      </c>
      <c r="M2" s="1" t="s">
        <v>122</v>
      </c>
      <c r="N2" s="1" t="s">
        <v>5</v>
      </c>
      <c r="O2" s="1" t="s">
        <v>121</v>
      </c>
      <c r="P2" s="1" t="s">
        <v>122</v>
      </c>
      <c r="Q2" s="1" t="s">
        <v>6</v>
      </c>
      <c r="R2" s="1" t="s">
        <v>121</v>
      </c>
      <c r="S2" s="1" t="s">
        <v>122</v>
      </c>
      <c r="T2" s="1" t="s">
        <v>7</v>
      </c>
      <c r="U2" s="1" t="s">
        <v>121</v>
      </c>
      <c r="V2" s="1" t="s">
        <v>122</v>
      </c>
      <c r="W2" s="1" t="s">
        <v>8</v>
      </c>
      <c r="X2" s="1" t="s">
        <v>121</v>
      </c>
      <c r="Y2" s="1" t="s">
        <v>122</v>
      </c>
      <c r="Z2" s="1" t="s">
        <v>9</v>
      </c>
      <c r="AA2" s="1" t="s">
        <v>121</v>
      </c>
      <c r="AB2" s="1" t="s">
        <v>122</v>
      </c>
      <c r="AC2" s="1" t="s">
        <v>10</v>
      </c>
      <c r="AD2" s="1" t="s">
        <v>121</v>
      </c>
      <c r="AE2" s="1" t="s">
        <v>122</v>
      </c>
      <c r="AF2" s="1" t="s">
        <v>11</v>
      </c>
      <c r="AG2" s="1" t="s">
        <v>121</v>
      </c>
      <c r="AH2" s="1" t="s">
        <v>122</v>
      </c>
      <c r="AI2" s="1" t="s">
        <v>0</v>
      </c>
      <c r="AJ2" s="1" t="s">
        <v>121</v>
      </c>
      <c r="AK2" s="1" t="s">
        <v>122</v>
      </c>
      <c r="AL2" s="1" t="s">
        <v>12</v>
      </c>
      <c r="AM2" s="1" t="s">
        <v>121</v>
      </c>
      <c r="AN2" s="1" t="s">
        <v>122</v>
      </c>
      <c r="AO2" s="5" t="s">
        <v>115</v>
      </c>
      <c r="AP2" s="5" t="s">
        <v>113</v>
      </c>
      <c r="AQ2" s="5" t="s">
        <v>121</v>
      </c>
      <c r="AR2" s="5" t="s">
        <v>122</v>
      </c>
      <c r="AS2" s="5" t="s">
        <v>37</v>
      </c>
      <c r="AT2" s="5" t="s">
        <v>121</v>
      </c>
      <c r="AU2" s="5" t="s">
        <v>122</v>
      </c>
      <c r="AV2" s="5" t="s">
        <v>49</v>
      </c>
      <c r="AW2" s="5" t="s">
        <v>121</v>
      </c>
      <c r="AX2" s="5" t="s">
        <v>122</v>
      </c>
      <c r="AY2" s="5" t="s">
        <v>5</v>
      </c>
      <c r="AZ2" s="5" t="s">
        <v>121</v>
      </c>
      <c r="BA2" s="5" t="s">
        <v>122</v>
      </c>
      <c r="BB2" s="5" t="s">
        <v>6</v>
      </c>
      <c r="BC2" s="5" t="s">
        <v>121</v>
      </c>
      <c r="BD2" s="5" t="s">
        <v>122</v>
      </c>
      <c r="BE2" s="5" t="s">
        <v>7</v>
      </c>
      <c r="BF2" s="5" t="s">
        <v>121</v>
      </c>
      <c r="BG2" s="5" t="s">
        <v>122</v>
      </c>
      <c r="BH2" s="5" t="s">
        <v>8</v>
      </c>
      <c r="BI2" s="5" t="s">
        <v>121</v>
      </c>
      <c r="BJ2" s="5" t="s">
        <v>122</v>
      </c>
      <c r="BK2" s="5" t="s">
        <v>9</v>
      </c>
      <c r="BL2" s="5" t="s">
        <v>121</v>
      </c>
      <c r="BM2" s="5" t="s">
        <v>122</v>
      </c>
      <c r="BN2" s="5" t="s">
        <v>10</v>
      </c>
      <c r="BO2" s="5" t="s">
        <v>121</v>
      </c>
      <c r="BP2" s="5" t="s">
        <v>122</v>
      </c>
      <c r="BQ2" s="5" t="s">
        <v>11</v>
      </c>
      <c r="BR2" s="5" t="s">
        <v>121</v>
      </c>
      <c r="BS2" s="5" t="s">
        <v>122</v>
      </c>
      <c r="BT2" s="5" t="s">
        <v>0</v>
      </c>
      <c r="BU2" s="5" t="s">
        <v>121</v>
      </c>
      <c r="BV2" s="5" t="s">
        <v>122</v>
      </c>
      <c r="BW2" s="5" t="s">
        <v>12</v>
      </c>
      <c r="BX2" s="5" t="s">
        <v>121</v>
      </c>
      <c r="BY2" s="5" t="s">
        <v>122</v>
      </c>
      <c r="BZ2" s="1" t="s">
        <v>116</v>
      </c>
      <c r="CA2" s="1" t="s">
        <v>113</v>
      </c>
      <c r="CB2" s="1" t="s">
        <v>121</v>
      </c>
      <c r="CC2" s="1" t="s">
        <v>122</v>
      </c>
      <c r="CD2" s="1" t="s">
        <v>37</v>
      </c>
      <c r="CE2" s="1" t="s">
        <v>121</v>
      </c>
      <c r="CF2" s="1" t="s">
        <v>122</v>
      </c>
      <c r="CG2" s="1" t="s">
        <v>49</v>
      </c>
      <c r="CH2" s="1" t="s">
        <v>121</v>
      </c>
      <c r="CI2" s="1" t="s">
        <v>122</v>
      </c>
      <c r="CJ2" s="1" t="s">
        <v>5</v>
      </c>
      <c r="CK2" s="1" t="s">
        <v>6</v>
      </c>
      <c r="CL2" s="1" t="s">
        <v>7</v>
      </c>
      <c r="CM2" s="1" t="s">
        <v>8</v>
      </c>
      <c r="CN2" s="1" t="s">
        <v>9</v>
      </c>
      <c r="CO2" s="1" t="s">
        <v>10</v>
      </c>
      <c r="CP2" s="1" t="s">
        <v>11</v>
      </c>
      <c r="CQ2" s="1" t="s">
        <v>0</v>
      </c>
      <c r="CR2" s="1" t="s">
        <v>12</v>
      </c>
    </row>
    <row r="3" spans="1:96" x14ac:dyDescent="0.25">
      <c r="A3" s="1"/>
      <c r="B3" s="1" t="s">
        <v>117</v>
      </c>
      <c r="C3" s="1">
        <v>6</v>
      </c>
      <c r="D3" s="1"/>
      <c r="E3" s="1">
        <v>1.9579787450384616</v>
      </c>
      <c r="F3" s="1">
        <f>AVERAGE(E3:E5)</f>
        <v>2.0147381881513198</v>
      </c>
      <c r="G3" s="1">
        <f>F3/F3</f>
        <v>1</v>
      </c>
      <c r="H3" s="1">
        <v>6.8376815938806346E-2</v>
      </c>
      <c r="I3" s="1">
        <f>AVERAGE(H3:H5)</f>
        <v>6.7136078309739319E-2</v>
      </c>
      <c r="J3" s="1">
        <f>I3/I3</f>
        <v>1</v>
      </c>
      <c r="K3" s="1">
        <v>5.9224483251509759E-2</v>
      </c>
      <c r="L3" s="1">
        <f>AVERAGE(K3:K5)</f>
        <v>5.9454172850204656E-2</v>
      </c>
      <c r="M3" s="1">
        <f>L3/L3</f>
        <v>1</v>
      </c>
      <c r="N3" s="1">
        <v>3.6371740782718347E-3</v>
      </c>
      <c r="O3" s="1">
        <f>AVERAGE(N3:N5)</f>
        <v>4.373999004763901E-3</v>
      </c>
      <c r="P3" s="1">
        <f>O3/O3</f>
        <v>1</v>
      </c>
      <c r="Q3" s="1">
        <v>7.0128349324997024E-3</v>
      </c>
      <c r="R3" s="1">
        <f>AVERAGE(Q3:Q5)</f>
        <v>7.7549084816313039E-3</v>
      </c>
      <c r="S3" s="1">
        <f>R3/R3</f>
        <v>1</v>
      </c>
      <c r="T3" s="1">
        <v>2.5976684640216094E-3</v>
      </c>
      <c r="U3" s="1">
        <f>AVERAGE(T3:T5)</f>
        <v>2.6729183886283741E-3</v>
      </c>
      <c r="V3" s="1">
        <f>U3/U3</f>
        <v>1</v>
      </c>
      <c r="W3" s="1">
        <v>9.2536644390719291E-2</v>
      </c>
      <c r="X3" s="1">
        <f>AVERAGE(W3:W5)</f>
        <v>9.3093497053926139E-2</v>
      </c>
      <c r="Y3" s="1">
        <f>X3/X3</f>
        <v>1</v>
      </c>
      <c r="Z3" s="1">
        <v>0.3120615295212058</v>
      </c>
      <c r="AA3" s="1">
        <f>AVERAGE(Z3:Z5)</f>
        <v>0.31450471112418432</v>
      </c>
      <c r="AB3" s="1">
        <f>AA3/AA3</f>
        <v>1</v>
      </c>
      <c r="AC3" s="1">
        <v>2.7511585405323977E-2</v>
      </c>
      <c r="AD3" s="1">
        <f>AVERAGE(AC3:AC5)</f>
        <v>2.760602150235613E-2</v>
      </c>
      <c r="AE3" s="1">
        <f>AD3/AD3</f>
        <v>1</v>
      </c>
      <c r="AF3" s="1">
        <v>7.6546492751251416E-2</v>
      </c>
      <c r="AG3" s="1">
        <f>AVERAGE(AF3:AF5)</f>
        <v>7.9306036469694557E-2</v>
      </c>
      <c r="AH3" s="1">
        <f>AG3/AG3</f>
        <v>1</v>
      </c>
      <c r="AI3" s="1">
        <v>2.9446023157364123E-2</v>
      </c>
      <c r="AJ3" s="1">
        <f>AVERAGE(AI3:AI5)</f>
        <v>3.1666718929155735E-2</v>
      </c>
      <c r="AK3" s="1">
        <f>AJ3/AJ3</f>
        <v>1</v>
      </c>
      <c r="AL3" s="1">
        <v>0.39245261986171753</v>
      </c>
      <c r="AM3" s="1">
        <f>AVERAGE(AL3:AL5)</f>
        <v>0.38836242265987259</v>
      </c>
      <c r="AN3" s="1">
        <f>AM3/AM3</f>
        <v>1</v>
      </c>
      <c r="AO3" s="1"/>
      <c r="AP3" s="1">
        <v>2.0254559340481393</v>
      </c>
      <c r="AQ3" s="1">
        <f>AVERAGE(AP3:AP5)</f>
        <v>2.0352648526325421</v>
      </c>
      <c r="AR3" s="1">
        <f>AQ3/AQ3</f>
        <v>1</v>
      </c>
      <c r="AS3" s="1">
        <v>6.1131289879158432E-2</v>
      </c>
      <c r="AT3" s="1">
        <f>AVERAGE(AS3:AS5)</f>
        <v>6.1068874366930335E-2</v>
      </c>
      <c r="AU3" s="1">
        <f>AT3/AT3</f>
        <v>1</v>
      </c>
      <c r="AV3" s="1">
        <v>5.0795712319273469E-2</v>
      </c>
      <c r="AW3" s="1">
        <f>AVERAGE(AV3:AV5)</f>
        <v>5.2583014982395669E-2</v>
      </c>
      <c r="AX3" s="1">
        <f>AW3/AW3</f>
        <v>1</v>
      </c>
      <c r="AY3" s="1">
        <v>8.0481696638556432E-3</v>
      </c>
      <c r="AZ3" s="1">
        <f>AVERAGE(AY3:AY5)</f>
        <v>8.2200856284381854E-3</v>
      </c>
      <c r="BA3" s="1">
        <f>AZ3/AZ3</f>
        <v>1</v>
      </c>
      <c r="BB3" s="1">
        <v>1.6818276813325077E-2</v>
      </c>
      <c r="BC3" s="1">
        <f>AVERAGE(BB3:BB5)</f>
        <v>1.6628463791893068E-2</v>
      </c>
      <c r="BD3" s="1">
        <f>BC3/BC3</f>
        <v>1</v>
      </c>
      <c r="BE3" s="1">
        <v>1.9459892216019938E-2</v>
      </c>
      <c r="BF3" s="1">
        <f>AVERAGE(BE3:BE5)</f>
        <v>1.9828213928574333E-2</v>
      </c>
      <c r="BG3" s="1">
        <f>BF3/BF3</f>
        <v>1</v>
      </c>
      <c r="BH3" s="1">
        <v>1.8516583465011265E-2</v>
      </c>
      <c r="BI3" s="1">
        <f>AVERAGE(BH3:BH5)</f>
        <v>1.8382445761778669E-2</v>
      </c>
      <c r="BJ3" s="1">
        <f>BI3/BI3</f>
        <v>1</v>
      </c>
      <c r="BK3" s="1">
        <v>5.1749905656981836E-2</v>
      </c>
      <c r="BL3" s="1">
        <f>AVERAGE(BK3:BK5)</f>
        <v>5.3116980890096102E-2</v>
      </c>
      <c r="BM3" s="1">
        <f>BL3/BL3</f>
        <v>1</v>
      </c>
      <c r="BN3" s="1">
        <v>4.2569660388082999E-2</v>
      </c>
      <c r="BO3" s="1">
        <f>AVERAGE(BN3:BN5)</f>
        <v>4.2291638753230498E-2</v>
      </c>
      <c r="BP3" s="1">
        <f>BO3/BO3</f>
        <v>1</v>
      </c>
      <c r="BQ3" s="1">
        <v>5.637835412157071E-2</v>
      </c>
      <c r="BR3" s="1">
        <f>AVERAGE(BQ3:BQ5)</f>
        <v>5.7328592639610404E-2</v>
      </c>
      <c r="BS3" s="1">
        <f>BR3/BR3</f>
        <v>1</v>
      </c>
      <c r="BT3" s="1">
        <v>7.3975821961653795E-2</v>
      </c>
      <c r="BU3" s="1">
        <f>AVERAGE(BT3:BT5)</f>
        <v>7.3549632545343607E-2</v>
      </c>
      <c r="BV3" s="1">
        <f>BU3/BU3</f>
        <v>1</v>
      </c>
      <c r="BW3" s="1">
        <v>0.19314963180474545</v>
      </c>
      <c r="BX3" s="1">
        <f>AVERAGE(BW3:BW5)</f>
        <v>0.21661598509925573</v>
      </c>
      <c r="BY3" s="1">
        <f>BX3/BX3</f>
        <v>1</v>
      </c>
      <c r="CA3" s="1">
        <v>0.90694715371196089</v>
      </c>
      <c r="CB3" s="1">
        <f>AVERAGE(CA3:CA5)</f>
        <v>0.92148583413858554</v>
      </c>
      <c r="CC3" s="1">
        <f>CB3/CB3</f>
        <v>1</v>
      </c>
      <c r="CD3" s="1">
        <v>0.24435978011395637</v>
      </c>
      <c r="CE3" s="1">
        <f>AVERAGE(CD3:CD5)</f>
        <v>0.24390717915645335</v>
      </c>
      <c r="CF3" s="1">
        <f>CE3/CE3</f>
        <v>1</v>
      </c>
      <c r="CG3" s="1">
        <v>3.4922826753442486E-2</v>
      </c>
      <c r="CH3" s="1">
        <f>AVERAGE(CG3:CG5)</f>
        <v>3.6695815898242314E-2</v>
      </c>
      <c r="CI3" s="1">
        <f>CH3/CH3</f>
        <v>1</v>
      </c>
      <c r="CJ3" s="1">
        <v>1.9470166593609794E-2</v>
      </c>
      <c r="CK3" s="1">
        <v>6.1297622146700434E-3</v>
      </c>
      <c r="CL3" s="1">
        <v>1.1040859203825124E-2</v>
      </c>
      <c r="CM3" s="1">
        <v>2.8296569926880469E-2</v>
      </c>
      <c r="CN3" s="1">
        <v>2.9468102682313459E-2</v>
      </c>
      <c r="CO3" s="1">
        <v>4.32508882288742E-3</v>
      </c>
      <c r="CP3" s="1">
        <v>8.0343822584883914E-2</v>
      </c>
      <c r="CQ3" s="1">
        <v>0.35344110992830402</v>
      </c>
      <c r="CR3" s="1">
        <v>4.4555662569920385E-2</v>
      </c>
    </row>
    <row r="4" spans="1:96" x14ac:dyDescent="0.25">
      <c r="A4" s="1"/>
      <c r="B4" s="1" t="s">
        <v>117</v>
      </c>
      <c r="C4" s="1">
        <v>6</v>
      </c>
      <c r="D4" s="1"/>
      <c r="E4" s="1">
        <v>2.049458842947494</v>
      </c>
      <c r="F4" s="1"/>
      <c r="G4" s="1">
        <f>AVERAGE(G3,G6)</f>
        <v>1</v>
      </c>
      <c r="H4" s="1">
        <v>6.6848686394368528E-2</v>
      </c>
      <c r="I4" s="1"/>
      <c r="J4" s="1">
        <f>AVERAGE(J3,J6)</f>
        <v>1</v>
      </c>
      <c r="K4" s="1">
        <v>5.8758722078863228E-2</v>
      </c>
      <c r="L4" s="1"/>
      <c r="M4" s="1">
        <f>AVERAGE(M3,M6)</f>
        <v>1</v>
      </c>
      <c r="N4" s="1">
        <v>5.1108239312559678E-3</v>
      </c>
      <c r="O4" s="1"/>
      <c r="P4" s="1">
        <f>AVERAGE(P3,P6)</f>
        <v>1</v>
      </c>
      <c r="Q4" s="1">
        <v>8.4969820307629045E-3</v>
      </c>
      <c r="R4" s="1"/>
      <c r="S4" s="1">
        <f>AVERAGE(S3,S6)</f>
        <v>1</v>
      </c>
      <c r="T4" s="1">
        <v>2.7481683132351384E-3</v>
      </c>
      <c r="U4" s="1"/>
      <c r="V4" s="1">
        <f>AVERAGE(V3,V6)</f>
        <v>1</v>
      </c>
      <c r="W4" s="1">
        <v>9.3650349717132986E-2</v>
      </c>
      <c r="X4" s="1"/>
      <c r="Y4" s="1">
        <f>AVERAGE(Y3,Y6)</f>
        <v>1</v>
      </c>
      <c r="Z4" s="1">
        <v>0.31694789272716278</v>
      </c>
      <c r="AA4" s="1"/>
      <c r="AB4" s="1">
        <f>AVERAGE(AB3,AB6)</f>
        <v>1</v>
      </c>
      <c r="AC4" s="1">
        <v>2.770045759938828E-2</v>
      </c>
      <c r="AD4" s="1"/>
      <c r="AE4" s="1">
        <f>AVERAGE(AE3,AE6)</f>
        <v>1</v>
      </c>
      <c r="AF4" s="1">
        <v>8.2065580188137699E-2</v>
      </c>
      <c r="AG4" s="1"/>
      <c r="AH4" s="1">
        <f>AVERAGE(AH3,AH6)</f>
        <v>1</v>
      </c>
      <c r="AI4" s="1">
        <v>3.3887414700947339E-2</v>
      </c>
      <c r="AJ4" s="1"/>
      <c r="AK4" s="1">
        <f>AVERAGE(AK3,AK6)</f>
        <v>1</v>
      </c>
      <c r="AL4" s="1">
        <v>0.38427222545802764</v>
      </c>
      <c r="AM4" s="1"/>
      <c r="AN4" s="1">
        <f>AVERAGE(AN3,AN6)</f>
        <v>1</v>
      </c>
      <c r="AP4" s="1">
        <v>1.9872839765209165</v>
      </c>
      <c r="AQ4" s="1"/>
      <c r="AR4" s="1">
        <f>AVERAGE(AR3,AR6)</f>
        <v>1</v>
      </c>
      <c r="AS4" s="1">
        <v>6.1184735280069687E-2</v>
      </c>
      <c r="AT4" s="1"/>
      <c r="AU4" s="1">
        <f>AVERAGE(AU3,AU6)</f>
        <v>1</v>
      </c>
      <c r="AV4" s="1">
        <v>5.3365243158322181E-2</v>
      </c>
      <c r="AW4" s="1"/>
      <c r="AX4" s="1">
        <f>AVERAGE(AX3,AX6)</f>
        <v>1</v>
      </c>
      <c r="AY4" s="1">
        <v>8.3920015930207259E-3</v>
      </c>
      <c r="AZ4" s="1"/>
      <c r="BA4" s="1">
        <f>AVERAGE(BA3,BA6)</f>
        <v>1</v>
      </c>
      <c r="BB4" s="1">
        <v>1.6438650770461062E-2</v>
      </c>
      <c r="BC4" s="1"/>
      <c r="BD4" s="1">
        <f>AVERAGE(BD3,BD6)</f>
        <v>1</v>
      </c>
      <c r="BE4" s="1">
        <v>2.0196535641128725E-2</v>
      </c>
      <c r="BF4" s="1"/>
      <c r="BG4" s="1">
        <f>AVERAGE(BG3,BG6)</f>
        <v>1</v>
      </c>
      <c r="BH4" s="1">
        <v>1.8248308058546072E-2</v>
      </c>
      <c r="BI4" s="1"/>
      <c r="BJ4" s="1">
        <f>AVERAGE(BJ3,BJ6)</f>
        <v>1</v>
      </c>
      <c r="BK4" s="1">
        <v>5.4484056123210375E-2</v>
      </c>
      <c r="BL4" s="1"/>
      <c r="BM4" s="1">
        <f>AVERAGE(BM3,BM6)</f>
        <v>1</v>
      </c>
      <c r="BN4" s="1">
        <v>4.2013617118377991E-2</v>
      </c>
      <c r="BO4" s="1"/>
      <c r="BP4" s="1">
        <f>AVERAGE(BP3,BP6)</f>
        <v>1</v>
      </c>
      <c r="BQ4" s="1">
        <v>5.8278831157650098E-2</v>
      </c>
      <c r="BR4" s="1"/>
      <c r="BS4" s="1">
        <f>AVERAGE(BS3,BS6)</f>
        <v>1</v>
      </c>
      <c r="BT4" s="1">
        <v>7.3123443129033433E-2</v>
      </c>
      <c r="BU4" s="1"/>
      <c r="BV4" s="1">
        <f>AVERAGE(BV3,BV6)</f>
        <v>1</v>
      </c>
      <c r="BW4" s="1">
        <v>0.24008233839376597</v>
      </c>
      <c r="BX4" s="1"/>
      <c r="BY4" s="1">
        <f>AVERAGE(BY3,BY6)</f>
        <v>1</v>
      </c>
      <c r="CA4" s="1">
        <v>0.93681970355044475</v>
      </c>
      <c r="CB4" s="1"/>
      <c r="CC4" s="1">
        <f>AVERAGE(CC3,CC6)</f>
        <v>1</v>
      </c>
      <c r="CD4" s="1">
        <v>0.24581886513573598</v>
      </c>
      <c r="CE4" s="1"/>
      <c r="CF4" s="1">
        <f>AVERAGE(CF3,CF6)</f>
        <v>1</v>
      </c>
      <c r="CG4" s="1">
        <v>3.8525759554440334E-2</v>
      </c>
      <c r="CH4" s="1"/>
      <c r="CI4" s="1">
        <f>AVERAGE(CI3,CI6)</f>
        <v>1</v>
      </c>
      <c r="CJ4" s="1">
        <v>1.9396199147924367E-2</v>
      </c>
      <c r="CK4" s="1">
        <v>6.4169355825749869E-3</v>
      </c>
      <c r="CL4" s="1">
        <v>1.1396709708348553E-2</v>
      </c>
      <c r="CM4" s="1">
        <v>2.81374646686911E-2</v>
      </c>
      <c r="CN4" s="1">
        <v>3.0333054390717578E-2</v>
      </c>
      <c r="CO4" s="1">
        <v>4.2999056447209257E-3</v>
      </c>
      <c r="CP4" s="1">
        <v>8.7106102105298719E-2</v>
      </c>
      <c r="CQ4" s="1">
        <v>0.34536953878809429</v>
      </c>
      <c r="CR4" s="1">
        <v>4.55972665877186E-2</v>
      </c>
    </row>
    <row r="5" spans="1:96" x14ac:dyDescent="0.25">
      <c r="A5" s="1"/>
      <c r="B5" s="1" t="s">
        <v>117</v>
      </c>
      <c r="C5" s="1">
        <v>6</v>
      </c>
      <c r="D5" s="1"/>
      <c r="E5" s="1">
        <v>2.0367769764680044</v>
      </c>
      <c r="F5" s="1"/>
      <c r="G5" s="1">
        <f>STDEVA(G3,G6)</f>
        <v>0</v>
      </c>
      <c r="H5" s="1">
        <v>6.6182732596043056E-2</v>
      </c>
      <c r="I5" s="1"/>
      <c r="J5" s="1">
        <f>STDEVA(J3,J6)</f>
        <v>0</v>
      </c>
      <c r="K5" s="1">
        <v>6.0379313220240982E-2</v>
      </c>
      <c r="L5" s="1"/>
      <c r="M5" s="1">
        <f>STDEVA(M3,M6)</f>
        <v>0</v>
      </c>
      <c r="O5" s="1"/>
      <c r="P5" s="1">
        <f>STDEVA(P3,P6)</f>
        <v>0</v>
      </c>
      <c r="R5" s="1"/>
      <c r="S5" s="1">
        <f>STDEVA(S3,S6)</f>
        <v>0</v>
      </c>
      <c r="U5" s="1"/>
      <c r="V5" s="1">
        <f>STDEVA(V3,V6)</f>
        <v>0</v>
      </c>
      <c r="X5" s="1"/>
      <c r="Y5" s="1">
        <f>STDEVA(Y3,Y6)</f>
        <v>0</v>
      </c>
      <c r="AA5" s="1"/>
      <c r="AB5" s="1">
        <f>STDEVA(AB3,AB6)</f>
        <v>0</v>
      </c>
      <c r="AD5" s="1"/>
      <c r="AE5" s="1">
        <f>STDEVA(AE3,AE6)</f>
        <v>0</v>
      </c>
      <c r="AG5" s="1"/>
      <c r="AH5" s="1">
        <f>STDEVA(AH3,AH6)</f>
        <v>0</v>
      </c>
      <c r="AJ5" s="1"/>
      <c r="AK5" s="1">
        <f>STDEVA(AK3,AK6)</f>
        <v>0</v>
      </c>
      <c r="AM5" s="1"/>
      <c r="AN5" s="1">
        <f>STDEVA(AN3,AN6)</f>
        <v>0</v>
      </c>
      <c r="AP5" s="1">
        <v>2.0930546473285712</v>
      </c>
      <c r="AQ5" s="1"/>
      <c r="AR5" s="1">
        <f>STDEVA(AR3,AR6)</f>
        <v>0</v>
      </c>
      <c r="AS5" s="1">
        <v>6.0890597941562888E-2</v>
      </c>
      <c r="AT5" s="1"/>
      <c r="AU5" s="1">
        <f>STDEVA(AU3,AU6)</f>
        <v>0</v>
      </c>
      <c r="AV5" s="1">
        <v>5.358808946959133E-2</v>
      </c>
      <c r="AW5" s="1"/>
      <c r="AX5" s="1">
        <f>STDEVA(AX3,AX6)</f>
        <v>0</v>
      </c>
      <c r="AZ5" s="1"/>
      <c r="BA5" s="1">
        <f>STDEVA(BA3,BA6)</f>
        <v>0</v>
      </c>
      <c r="BC5" s="1"/>
      <c r="BD5" s="1">
        <f>STDEVA(BD3,BD6)</f>
        <v>0</v>
      </c>
      <c r="BF5" s="1"/>
      <c r="BG5" s="1">
        <f>STDEVA(BG3,BG6)</f>
        <v>0</v>
      </c>
      <c r="BI5" s="1"/>
      <c r="BJ5" s="1">
        <f>STDEVA(BJ3,BJ6)</f>
        <v>0</v>
      </c>
      <c r="BL5" s="1"/>
      <c r="BM5" s="1">
        <f>STDEVA(BM3,BM6)</f>
        <v>0</v>
      </c>
      <c r="BO5" s="1"/>
      <c r="BP5" s="1">
        <f>STDEVA(BP3,BP6)</f>
        <v>0</v>
      </c>
      <c r="BR5" s="1"/>
      <c r="BS5" s="1">
        <f>STDEVA(BS3,BS6)</f>
        <v>0</v>
      </c>
      <c r="BU5" s="1"/>
      <c r="BV5" s="1">
        <f>STDEVA(BV3,BV6)</f>
        <v>0</v>
      </c>
      <c r="BX5" s="1"/>
      <c r="BY5" s="1">
        <f>STDEVA(BY3,BY6)</f>
        <v>0</v>
      </c>
      <c r="CA5" s="1">
        <v>0.92069064515335131</v>
      </c>
      <c r="CB5" s="1"/>
      <c r="CC5" s="1">
        <f>STDEVA(CC3,CC6)</f>
        <v>0</v>
      </c>
      <c r="CD5" s="1">
        <v>0.24154289221966777</v>
      </c>
      <c r="CE5" s="1"/>
      <c r="CF5" s="1">
        <f>STDEVA(CF3,CF6)</f>
        <v>0</v>
      </c>
      <c r="CG5" s="1">
        <v>3.6638861386844135E-2</v>
      </c>
      <c r="CH5" s="1"/>
      <c r="CI5" s="1">
        <f>STDEVA(CI3,CI6)</f>
        <v>0</v>
      </c>
      <c r="CJ5" s="1">
        <v>2.01180864415062E-2</v>
      </c>
      <c r="CK5" s="1">
        <v>6.3905886712083112E-3</v>
      </c>
      <c r="CL5" s="1">
        <v>1.1790436720208883E-2</v>
      </c>
      <c r="CM5" s="1">
        <v>2.7789215668036653E-2</v>
      </c>
      <c r="CN5" s="1">
        <v>2.9217267499513533E-2</v>
      </c>
      <c r="CO5" s="1">
        <v>4.2449356547233034E-3</v>
      </c>
      <c r="CP5" s="1">
        <v>8.7855084224489066E-2</v>
      </c>
      <c r="CQ5" s="1">
        <v>0.34360336050460927</v>
      </c>
      <c r="CR5" s="1">
        <v>4.5737458625522698E-2</v>
      </c>
    </row>
    <row r="6" spans="1:96" x14ac:dyDescent="0.25">
      <c r="A6" s="1"/>
      <c r="B6" s="1" t="s">
        <v>117</v>
      </c>
      <c r="C6" s="1">
        <v>6</v>
      </c>
      <c r="D6" s="1"/>
      <c r="E6" s="1">
        <v>4.9485387515982566</v>
      </c>
      <c r="F6" s="1">
        <f>AVERAGE(E6:E8)</f>
        <v>5.0626514709254105</v>
      </c>
      <c r="G6" s="1">
        <f>F6/F6</f>
        <v>1</v>
      </c>
      <c r="H6" s="1">
        <v>0.16026650647260968</v>
      </c>
      <c r="I6" s="1">
        <f>AVERAGE(H6:H8)</f>
        <v>0.15910164794547946</v>
      </c>
      <c r="J6" s="1">
        <f>I6/I6</f>
        <v>1</v>
      </c>
      <c r="K6" s="1">
        <v>0.17056261290451563</v>
      </c>
      <c r="L6" s="1">
        <f>AVERAGE(K6:K8)</f>
        <v>0.16993734319213127</v>
      </c>
      <c r="M6" s="1">
        <f>L6/L6</f>
        <v>1</v>
      </c>
      <c r="N6" s="1">
        <v>2.6667369335510822E-3</v>
      </c>
      <c r="O6" s="1">
        <f>AVERAGE(N6:N8)</f>
        <v>3.2884265100667763E-3</v>
      </c>
      <c r="P6" s="1">
        <f>O6/O6</f>
        <v>1</v>
      </c>
      <c r="Q6" s="1">
        <v>2.0858767264340813E-3</v>
      </c>
      <c r="R6" s="1">
        <f>AVERAGE(Q6:Q8)</f>
        <v>1.7523186539438801E-3</v>
      </c>
      <c r="S6" s="1">
        <f>R6/R6</f>
        <v>1</v>
      </c>
      <c r="T6" s="1">
        <v>2.72907520854429E-3</v>
      </c>
      <c r="U6" s="1">
        <f>AVERAGE(T6:T8)</f>
        <v>2.6392829856092931E-3</v>
      </c>
      <c r="V6" s="1">
        <f>U6/U6</f>
        <v>1</v>
      </c>
      <c r="W6" s="1">
        <v>2.51043979753044E-2</v>
      </c>
      <c r="X6" s="1">
        <f>AVERAGE(W6:W8)</f>
        <v>2.4668699295108815E-2</v>
      </c>
      <c r="Y6" s="1">
        <f>X6/X6</f>
        <v>1</v>
      </c>
      <c r="Z6" s="1">
        <v>1.0671165211371073E-2</v>
      </c>
      <c r="AA6" s="1">
        <f>AVERAGE(Z6:Z8)</f>
        <v>1.0851331686306358E-2</v>
      </c>
      <c r="AB6" s="1">
        <f>AA6/AA6</f>
        <v>1</v>
      </c>
      <c r="AC6" s="1">
        <v>2.7687423222129703E-2</v>
      </c>
      <c r="AD6" s="1">
        <f>AVERAGE(AC6:AC8)</f>
        <v>2.789389846752054E-2</v>
      </c>
      <c r="AE6" s="1">
        <f>AD6/AD6</f>
        <v>1</v>
      </c>
      <c r="AF6" s="1">
        <v>5.8080414380239767E-2</v>
      </c>
      <c r="AG6" s="1">
        <f>AVERAGE(AF6:AF8)</f>
        <v>7.9245647451218995E-2</v>
      </c>
      <c r="AH6" s="1">
        <f>AG6/AG6</f>
        <v>1</v>
      </c>
      <c r="AI6" s="1">
        <v>1.5602252124893185E-2</v>
      </c>
      <c r="AJ6" s="1">
        <f>AVERAGE(AI6:AI8)</f>
        <v>1.509129031767408E-2</v>
      </c>
      <c r="AK6" s="1">
        <f>AJ6/AJ6</f>
        <v>1</v>
      </c>
      <c r="AL6" s="1">
        <v>0.28478298866302465</v>
      </c>
      <c r="AM6" s="1">
        <f>AVERAGE(AL6:AL8)</f>
        <v>0.2852845427794673</v>
      </c>
      <c r="AN6" s="1">
        <f>AM6/AM6</f>
        <v>1</v>
      </c>
      <c r="AP6" s="1">
        <v>4.3047510743977924</v>
      </c>
      <c r="AQ6" s="1">
        <f>AVERAGE(AP6:AP8)</f>
        <v>4.3293329948993575</v>
      </c>
      <c r="AR6" s="1">
        <f>AQ6/AQ6</f>
        <v>1</v>
      </c>
      <c r="AS6" s="1">
        <v>0.11713280283731459</v>
      </c>
      <c r="AT6" s="1">
        <f>AVERAGE(AS6:AS8)</f>
        <v>0.11242165822928495</v>
      </c>
      <c r="AU6" s="1">
        <f>AT6/AT6</f>
        <v>1</v>
      </c>
      <c r="AV6" s="1">
        <v>4.9369465050629245E-2</v>
      </c>
      <c r="AW6" s="1">
        <f>AVERAGE(AV6:AV8)</f>
        <v>4.9425353337235439E-2</v>
      </c>
      <c r="AX6" s="1">
        <f>AW6/AW6</f>
        <v>1</v>
      </c>
      <c r="AY6" s="1">
        <v>5.9880343947451668E-2</v>
      </c>
      <c r="AZ6" s="1">
        <f>AVERAGE(AY6:AY8)</f>
        <v>6.0406621096392291E-2</v>
      </c>
      <c r="BA6" s="1">
        <f>AZ6/AZ6</f>
        <v>1</v>
      </c>
      <c r="BB6" s="1">
        <v>2.9027993016692715E-2</v>
      </c>
      <c r="BC6" s="1">
        <f>AVERAGE(BB6:BB8)</f>
        <v>2.9502579221887683E-2</v>
      </c>
      <c r="BD6" s="1">
        <f>BC6/BC6</f>
        <v>1</v>
      </c>
      <c r="BE6" s="1">
        <v>6.084652444847434E-2</v>
      </c>
      <c r="BF6" s="1">
        <f>AVERAGE(BE6:BE8)</f>
        <v>6.2313705555584097E-2</v>
      </c>
      <c r="BG6" s="1">
        <f>BF6/BF6</f>
        <v>1</v>
      </c>
      <c r="BH6">
        <v>4.649172960833705E-2</v>
      </c>
      <c r="BI6" s="1">
        <f>AVERAGE(BH6:BH8)</f>
        <v>4.6716450999816611E-2</v>
      </c>
      <c r="BJ6" s="1">
        <f>BI6/BI6</f>
        <v>1</v>
      </c>
      <c r="BK6" s="1">
        <v>1.6114450001244406E-2</v>
      </c>
      <c r="BL6" s="1">
        <f>AVERAGE(BK6:BK8)</f>
        <v>1.5874892766754571E-2</v>
      </c>
      <c r="BM6" s="1">
        <f>BL6/BL6</f>
        <v>1</v>
      </c>
      <c r="BN6">
        <v>0.15162685427838635</v>
      </c>
      <c r="BO6" s="1">
        <f>AVERAGE(BN6:BN8)</f>
        <v>0.15174160519501501</v>
      </c>
      <c r="BP6" s="1">
        <f>BO6/BO6</f>
        <v>1</v>
      </c>
      <c r="BQ6">
        <v>0.24216495570951743</v>
      </c>
      <c r="BR6" s="1">
        <f>AVERAGE(BQ6:BQ8)</f>
        <v>0.2458900453182776</v>
      </c>
      <c r="BS6" s="1">
        <f>BR6/BR6</f>
        <v>1</v>
      </c>
      <c r="BT6">
        <v>1.1395436785436969E-2</v>
      </c>
      <c r="BU6" s="1">
        <f>AVERAGE(BT6:BT8)</f>
        <v>1.1324920168576216E-2</v>
      </c>
      <c r="BV6" s="1">
        <f>BU6/BU6</f>
        <v>1</v>
      </c>
      <c r="BW6">
        <v>0.27768079304085891</v>
      </c>
      <c r="BX6" s="1">
        <f>AVERAGE(BW6:BW8)</f>
        <v>0.29397025236565444</v>
      </c>
      <c r="BY6" s="1">
        <f>BX6/BX6</f>
        <v>1</v>
      </c>
      <c r="CA6" s="1">
        <v>2.3817887249874081</v>
      </c>
      <c r="CB6" s="1">
        <f>AVERAGE(CA6:CA8)</f>
        <v>2.4148645014314858</v>
      </c>
      <c r="CC6" s="1">
        <f>CB6/CB6</f>
        <v>1</v>
      </c>
      <c r="CD6" s="1">
        <v>0.11560444968549814</v>
      </c>
      <c r="CE6" s="1">
        <f>AVERAGE(CD6:CD8)</f>
        <v>0.11746677010181004</v>
      </c>
      <c r="CF6" s="1">
        <f>CE6/CE6</f>
        <v>1</v>
      </c>
      <c r="CG6">
        <v>4.1959329274048635E-2</v>
      </c>
      <c r="CH6" s="1">
        <f>AVERAGE(CG6:CG8)</f>
        <v>4.2766309905688082E-2</v>
      </c>
      <c r="CI6" s="1">
        <f>CH6/CH6</f>
        <v>1</v>
      </c>
      <c r="CJ6" s="1"/>
      <c r="CK6" s="1"/>
      <c r="CL6" s="1"/>
      <c r="CM6" s="1"/>
      <c r="CN6" s="1"/>
      <c r="CO6" s="1"/>
      <c r="CP6" s="1"/>
      <c r="CQ6" s="1"/>
      <c r="CR6" s="1"/>
    </row>
    <row r="7" spans="1:96" x14ac:dyDescent="0.25">
      <c r="A7" s="1"/>
      <c r="B7" s="1" t="s">
        <v>117</v>
      </c>
      <c r="C7" s="1">
        <v>6</v>
      </c>
      <c r="D7" s="1"/>
      <c r="E7" s="1">
        <v>5.0772627295891093</v>
      </c>
      <c r="F7" s="1"/>
      <c r="G7" s="1"/>
      <c r="H7" s="1">
        <v>0.15894936832447884</v>
      </c>
      <c r="I7" s="1"/>
      <c r="J7" s="1"/>
      <c r="K7" s="1">
        <v>0.16870033300762413</v>
      </c>
      <c r="L7" s="1"/>
      <c r="M7" s="1"/>
      <c r="N7" s="1">
        <v>3.5791073630654989E-3</v>
      </c>
      <c r="O7" s="1"/>
      <c r="P7" s="1"/>
      <c r="Q7" s="1">
        <v>2.1770488692021716E-3</v>
      </c>
      <c r="R7" s="1"/>
      <c r="S7" s="1"/>
      <c r="T7" s="1">
        <v>2.5269962727890944E-3</v>
      </c>
      <c r="U7" s="1"/>
      <c r="V7" s="1"/>
      <c r="W7" s="1">
        <v>2.4489640902328986E-2</v>
      </c>
      <c r="X7" s="1"/>
      <c r="Y7" s="1"/>
      <c r="Z7" s="1">
        <v>1.1119453235817539E-2</v>
      </c>
      <c r="AA7" s="1"/>
      <c r="AB7" s="1"/>
      <c r="AC7" s="1">
        <v>2.7623073662436493E-2</v>
      </c>
      <c r="AD7" s="1"/>
      <c r="AE7" s="1"/>
      <c r="AF7" s="1">
        <v>6.6728643987803177E-2</v>
      </c>
      <c r="AG7" s="1"/>
      <c r="AH7" s="1"/>
      <c r="AI7" s="1">
        <v>1.5092403957905997E-2</v>
      </c>
      <c r="AJ7" s="1"/>
      <c r="AK7" s="1"/>
      <c r="AL7" s="1">
        <v>0.28421653775007688</v>
      </c>
      <c r="AM7" s="1"/>
      <c r="AN7" s="1"/>
      <c r="AP7" s="1">
        <v>4.2891060180585905</v>
      </c>
      <c r="AQ7" s="1"/>
      <c r="AR7" s="1"/>
      <c r="AS7" s="1">
        <v>0.11680403665371061</v>
      </c>
      <c r="AT7" s="1"/>
      <c r="AU7" s="1"/>
      <c r="AV7" s="1">
        <v>4.9069290567608684E-2</v>
      </c>
      <c r="AW7" s="1"/>
      <c r="AX7" s="1"/>
      <c r="AY7" s="1">
        <v>6.0932898245332906E-2</v>
      </c>
      <c r="AZ7" s="1"/>
      <c r="BA7" s="1"/>
      <c r="BB7" s="1">
        <v>2.9977165427082651E-2</v>
      </c>
      <c r="BC7" s="1"/>
      <c r="BD7" s="1"/>
      <c r="BE7">
        <v>6.3780886662693853E-2</v>
      </c>
      <c r="BF7" s="1"/>
      <c r="BG7" s="1"/>
      <c r="BH7">
        <v>4.6941172391296172E-2</v>
      </c>
      <c r="BI7" s="1"/>
      <c r="BJ7" s="1"/>
      <c r="BK7" s="1">
        <v>1.5635335532264732E-2</v>
      </c>
      <c r="BL7" s="1"/>
      <c r="BM7" s="1"/>
      <c r="BN7">
        <v>0.15185635611164364</v>
      </c>
      <c r="BO7" s="1"/>
      <c r="BP7" s="1"/>
      <c r="BQ7">
        <v>0.25258378853766333</v>
      </c>
      <c r="BR7" s="1"/>
      <c r="BS7" s="1"/>
      <c r="BT7">
        <v>1.1353931491935913E-2</v>
      </c>
      <c r="BU7" s="1"/>
      <c r="BV7" s="1"/>
      <c r="BW7">
        <v>0.29851180195788762</v>
      </c>
      <c r="BX7" s="1"/>
      <c r="BY7" s="1"/>
      <c r="CA7" s="1">
        <v>2.3952725491781774</v>
      </c>
      <c r="CB7" s="1"/>
      <c r="CC7" s="1"/>
      <c r="CD7" s="1">
        <v>0.12026057075988292</v>
      </c>
      <c r="CE7" s="1"/>
      <c r="CF7" s="1"/>
      <c r="CG7">
        <v>3.9090002891982764E-2</v>
      </c>
      <c r="CH7" s="1"/>
      <c r="CI7" s="1"/>
      <c r="CJ7" s="1"/>
      <c r="CK7" s="1"/>
      <c r="CL7" s="1"/>
      <c r="CM7" s="1"/>
      <c r="CN7" s="1"/>
      <c r="CO7" s="1"/>
      <c r="CP7" s="1"/>
      <c r="CQ7" s="1"/>
      <c r="CR7" s="1"/>
    </row>
    <row r="8" spans="1:96" x14ac:dyDescent="0.25">
      <c r="A8" s="1"/>
      <c r="B8" s="1" t="s">
        <v>117</v>
      </c>
      <c r="C8" s="1">
        <v>6</v>
      </c>
      <c r="D8" s="1"/>
      <c r="E8" s="1">
        <v>5.1621529315888663</v>
      </c>
      <c r="F8" s="1"/>
      <c r="G8" s="1"/>
      <c r="H8" s="1">
        <v>0.15808906903934983</v>
      </c>
      <c r="I8" s="1"/>
      <c r="J8" s="1"/>
      <c r="K8" s="1">
        <v>0.17054908366425403</v>
      </c>
      <c r="L8" s="1"/>
      <c r="M8" s="1"/>
      <c r="N8" s="1">
        <v>3.619435233583749E-3</v>
      </c>
      <c r="O8" s="1"/>
      <c r="P8" s="1"/>
      <c r="Q8" s="1">
        <v>9.940303661953873E-4</v>
      </c>
      <c r="R8" s="1"/>
      <c r="S8" s="1"/>
      <c r="T8" s="1">
        <v>2.6617774754944955E-3</v>
      </c>
      <c r="U8" s="1"/>
      <c r="V8" s="1"/>
      <c r="W8" s="1">
        <v>2.4412059007693047E-2</v>
      </c>
      <c r="X8" s="1"/>
      <c r="Y8" s="1"/>
      <c r="Z8" s="1">
        <v>1.0763376611730461E-2</v>
      </c>
      <c r="AA8" s="1"/>
      <c r="AB8" s="1"/>
      <c r="AC8" s="1">
        <v>2.8371198517995425E-2</v>
      </c>
      <c r="AD8" s="1"/>
      <c r="AE8" s="1"/>
      <c r="AF8" s="1">
        <v>0.11292788398561404</v>
      </c>
      <c r="AG8" s="1"/>
      <c r="AH8" s="1"/>
      <c r="AI8" s="1">
        <v>1.4579214870223055E-2</v>
      </c>
      <c r="AJ8" s="1"/>
      <c r="AK8" s="1"/>
      <c r="AL8" s="1">
        <v>0.28685410192530031</v>
      </c>
      <c r="AM8" s="1"/>
      <c r="AN8" s="1"/>
      <c r="AP8" s="1">
        <v>4.3941418922416897</v>
      </c>
      <c r="AQ8" s="1"/>
      <c r="AR8" s="1"/>
      <c r="AS8" s="1">
        <v>0.10332813519682964</v>
      </c>
      <c r="AT8" s="1"/>
      <c r="AU8" s="1"/>
      <c r="AV8" s="1">
        <v>4.9837304393468403E-2</v>
      </c>
      <c r="AW8" s="1"/>
      <c r="AX8" s="1"/>
      <c r="AY8" s="1"/>
      <c r="AZ8" s="1"/>
      <c r="BA8" s="1"/>
      <c r="BB8" s="1"/>
      <c r="BC8" s="1"/>
      <c r="BD8" s="1"/>
      <c r="BE8" s="1"/>
      <c r="BF8" s="1"/>
      <c r="BG8" s="1"/>
      <c r="BH8" s="1"/>
      <c r="BI8" s="1"/>
      <c r="BJ8" s="1"/>
      <c r="BK8" s="1"/>
      <c r="BL8" s="1"/>
      <c r="BM8" s="1"/>
      <c r="BN8" s="1"/>
      <c r="BO8" s="1"/>
      <c r="BP8" s="1"/>
      <c r="BQ8">
        <v>0.24292139170765198</v>
      </c>
      <c r="BR8" s="1"/>
      <c r="BS8" s="1"/>
      <c r="BT8">
        <v>1.1225392228355762E-2</v>
      </c>
      <c r="BU8" s="1"/>
      <c r="BV8" s="1"/>
      <c r="BW8">
        <v>0.30571816209821684</v>
      </c>
      <c r="BX8" s="1"/>
      <c r="BY8" s="1"/>
      <c r="CA8" s="1">
        <v>2.4675322301288709</v>
      </c>
      <c r="CB8" s="1"/>
      <c r="CC8" s="1"/>
      <c r="CD8" s="1">
        <v>0.11653528986004907</v>
      </c>
      <c r="CE8" s="1"/>
      <c r="CF8" s="1"/>
      <c r="CG8">
        <v>4.7249597551032842E-2</v>
      </c>
      <c r="CH8" s="1"/>
      <c r="CI8" s="1"/>
      <c r="CJ8" s="1"/>
      <c r="CK8" s="1"/>
      <c r="CL8" s="1"/>
      <c r="CM8" s="1"/>
      <c r="CN8" s="1"/>
      <c r="CO8" s="1"/>
      <c r="CP8" s="1"/>
      <c r="CQ8" s="1"/>
      <c r="CR8" s="1"/>
    </row>
    <row r="9" spans="1:96" x14ac:dyDescent="0.25">
      <c r="A9" s="1"/>
      <c r="B9" s="1" t="s">
        <v>4</v>
      </c>
      <c r="C9" s="1">
        <v>6</v>
      </c>
      <c r="D9" s="1"/>
      <c r="E9" s="1">
        <v>1.9030305243017356</v>
      </c>
      <c r="F9" s="1">
        <f>AVERAGE(E9:E11)</f>
        <v>1.8350617933473021</v>
      </c>
      <c r="G9" s="1">
        <f>F9/F3</f>
        <v>0.91081898588079835</v>
      </c>
      <c r="H9" s="1">
        <v>7.158989210381278E-2</v>
      </c>
      <c r="I9" s="1">
        <f>AVERAGE(H9:H11)</f>
        <v>7.2691435407013075E-2</v>
      </c>
      <c r="J9" s="1">
        <f>I9/I3</f>
        <v>1.0827477153438057</v>
      </c>
      <c r="K9" s="1">
        <v>5.0677745900447713E-2</v>
      </c>
      <c r="L9" s="1">
        <f>AVERAGE(K9:K11)</f>
        <v>5.0509706825202332E-2</v>
      </c>
      <c r="M9" s="1">
        <f>L9/L3</f>
        <v>0.8495569680611319</v>
      </c>
      <c r="N9" s="1">
        <v>3.9700409350295297E-3</v>
      </c>
      <c r="O9" s="1">
        <f>AVERAGE(N9:N11)</f>
        <v>3.8875268439327133E-3</v>
      </c>
      <c r="P9" s="1">
        <f>O9/O3</f>
        <v>0.8887809164333712</v>
      </c>
      <c r="Q9" s="1">
        <v>6.0811669772696192E-3</v>
      </c>
      <c r="R9" s="1">
        <f>AVERAGE(Q9:Q11)</f>
        <v>6.2836704048571546E-3</v>
      </c>
      <c r="S9" s="1">
        <f>R9/R3</f>
        <v>0.81028298654213604</v>
      </c>
      <c r="T9" s="1">
        <v>2.0386423556228062E-3</v>
      </c>
      <c r="U9" s="1">
        <f>AVERAGE(T9:T11)</f>
        <v>2.0779053472345724E-3</v>
      </c>
      <c r="V9" s="1">
        <f>U9/U3</f>
        <v>0.77739199074494125</v>
      </c>
      <c r="W9" s="1">
        <v>8.0361568666413793E-2</v>
      </c>
      <c r="X9" s="1">
        <f>AVERAGE(W9:W11)</f>
        <v>8.2874407561014551E-2</v>
      </c>
      <c r="Y9" s="1">
        <f>X9/X3</f>
        <v>0.89022767630061217</v>
      </c>
      <c r="Z9" s="1">
        <v>0.30113442286206654</v>
      </c>
      <c r="AA9" s="1">
        <f>AVERAGE(Z9:Z11)</f>
        <v>0.28671922772154412</v>
      </c>
      <c r="AB9" s="1">
        <f>AA9/AA3</f>
        <v>0.91165320448357634</v>
      </c>
      <c r="AC9" s="1">
        <v>2.3141906530512235E-2</v>
      </c>
      <c r="AD9" s="1">
        <f>AVERAGE(AC9:AC11)</f>
        <v>2.3461494336240611E-2</v>
      </c>
      <c r="AE9" s="1">
        <f>AD9/AD3</f>
        <v>0.84986872643847677</v>
      </c>
      <c r="AF9" s="1">
        <v>7.1102002967035852E-2</v>
      </c>
      <c r="AG9" s="1">
        <f>AVERAGE(AF9:AF11)</f>
        <v>6.7513561600013025E-2</v>
      </c>
      <c r="AH9" s="1">
        <f>AG9/AG3</f>
        <v>0.85130419581379757</v>
      </c>
      <c r="AI9" s="1">
        <v>2.73290372093699E-2</v>
      </c>
      <c r="AJ9" s="1">
        <f>AVERAGE(AI9:AI11)</f>
        <v>2.7128852906169516E-2</v>
      </c>
      <c r="AK9" s="1">
        <f>AJ9/AJ3</f>
        <v>0.85669920419800172</v>
      </c>
      <c r="AL9" s="1">
        <v>0.34232679599450633</v>
      </c>
      <c r="AM9" s="1">
        <f>AVERAGE(AL9:AL11)</f>
        <v>0.34680937341577756</v>
      </c>
      <c r="AN9" s="1">
        <f>AM9/AM3</f>
        <v>0.8930044545517547</v>
      </c>
      <c r="AP9" s="1">
        <v>1.8962079302792048</v>
      </c>
      <c r="AQ9" s="1">
        <f>AVERAGE(AP9:AP11)</f>
        <v>1.9276837696249798</v>
      </c>
      <c r="AR9" s="1">
        <f>AQ9/AQ3</f>
        <v>0.94714148241276308</v>
      </c>
      <c r="AS9" s="1">
        <v>5.6136605263452689E-2</v>
      </c>
      <c r="AT9" s="1">
        <f>AVERAGE(AS9:AS11)</f>
        <v>5.6772906314110472E-2</v>
      </c>
      <c r="AU9" s="1">
        <f>AT9/AT3</f>
        <v>0.92965372135389823</v>
      </c>
      <c r="AV9" s="1">
        <v>3.9284431747238988E-2</v>
      </c>
      <c r="AW9" s="1">
        <f>AVERAGE(AV9:AV11)</f>
        <v>4.3876100789676555E-2</v>
      </c>
      <c r="AX9" s="1">
        <f>AW9/AW3</f>
        <v>0.83441584329780039</v>
      </c>
      <c r="AY9" s="1">
        <v>1.1484430565964482E-2</v>
      </c>
      <c r="AZ9" s="1">
        <f>AVERAGE(AY9:AY11)</f>
        <v>1.0495369384203833E-2</v>
      </c>
      <c r="BA9" s="1">
        <f>AZ9/AZ3</f>
        <v>1.2767956270302201</v>
      </c>
      <c r="BB9" s="1">
        <v>1.8394023968472766E-2</v>
      </c>
      <c r="BC9" s="1">
        <f>AVERAGE(BB9:BB11)</f>
        <v>1.9040649249631697E-2</v>
      </c>
      <c r="BD9" s="1">
        <f>BC9/BC3</f>
        <v>1.1450636383449113</v>
      </c>
      <c r="BE9" s="1">
        <v>4.7733659054553422E-2</v>
      </c>
      <c r="BF9" s="1">
        <f>AVERAGE(BE9:BE11)</f>
        <v>4.625882471331598E-2</v>
      </c>
      <c r="BG9" s="1">
        <f>BF9/BF3</f>
        <v>2.3329799083240994</v>
      </c>
      <c r="BH9" s="1">
        <v>1.9587932399907138E-2</v>
      </c>
      <c r="BI9" s="1">
        <f>AVERAGE(BH9:BH11)</f>
        <v>2.1037014100785505E-2</v>
      </c>
      <c r="BJ9" s="1">
        <f>BI9/BI3</f>
        <v>1.1444077884633987</v>
      </c>
      <c r="BK9" s="1">
        <v>8.4829915449243787E-2</v>
      </c>
      <c r="BL9" s="1">
        <f>AVERAGE(BK9:BK11)</f>
        <v>8.569552229536348E-2</v>
      </c>
      <c r="BM9" s="1">
        <f>BL9/BL3</f>
        <v>1.6133357141038449</v>
      </c>
      <c r="BN9" s="1">
        <v>3.8974009230457213E-2</v>
      </c>
      <c r="BO9" s="1">
        <f>AVERAGE(BN9:BN11)</f>
        <v>3.8790848549186741E-2</v>
      </c>
      <c r="BP9" s="1">
        <f>BO9/BO3</f>
        <v>0.91722264004781928</v>
      </c>
      <c r="BQ9" s="1"/>
      <c r="BR9" s="1" t="e">
        <f>AVERAGE(BQ9:BQ11)</f>
        <v>#DIV/0!</v>
      </c>
      <c r="BS9" s="1"/>
      <c r="BT9" s="1">
        <v>4.3420923648389384E-2</v>
      </c>
      <c r="BU9" s="1">
        <f>AVERAGE(BT9:BT11)</f>
        <v>3.9309583776498194E-2</v>
      </c>
      <c r="BV9" s="1">
        <f>BU9/BU3</f>
        <v>0.53446336053771171</v>
      </c>
      <c r="BW9" s="1">
        <v>0.37625033871801872</v>
      </c>
      <c r="BX9" s="1">
        <f>AVERAGE(BW9:BW11)</f>
        <v>0.41865622023367621</v>
      </c>
      <c r="BY9" s="1">
        <f>BX9/BX3</f>
        <v>1.9327115680860003</v>
      </c>
      <c r="CA9" s="1">
        <v>1.9512212116338037</v>
      </c>
      <c r="CB9" s="1">
        <f>AVERAGE(CA9:CA11)</f>
        <v>2.0078734045611046</v>
      </c>
      <c r="CC9" s="1">
        <f>CB9/CB3</f>
        <v>2.1789520035737557</v>
      </c>
      <c r="CD9" s="1">
        <v>7.0742798099516779E-2</v>
      </c>
      <c r="CE9" s="1">
        <f>AVERAGE(CD9:CD11)</f>
        <v>7.1801286748819915E-2</v>
      </c>
      <c r="CF9" s="1">
        <f>CE9/CE3</f>
        <v>0.29437955453850434</v>
      </c>
      <c r="CG9" s="1">
        <v>2.699557844057146E-2</v>
      </c>
      <c r="CH9" s="1">
        <f>AVERAGE(CG9:CG11)</f>
        <v>2.7369405243355464E-2</v>
      </c>
      <c r="CI9" s="1">
        <f>CH9/CH3</f>
        <v>0.74584539336176547</v>
      </c>
      <c r="CJ9" s="1">
        <v>7.2911375322180921E-3</v>
      </c>
      <c r="CK9" s="1">
        <v>3.8551133082760512E-3</v>
      </c>
      <c r="CL9" s="1">
        <v>3.5207840054872247E-3</v>
      </c>
      <c r="CM9" s="1">
        <v>2.0410827680078743E-2</v>
      </c>
      <c r="CN9" s="1">
        <v>1.2909905492529314E-2</v>
      </c>
      <c r="CO9" s="1">
        <v>2.8396144845309833E-3</v>
      </c>
      <c r="CP9" s="1">
        <v>1.876234811666528E-2</v>
      </c>
      <c r="CQ9" s="1">
        <v>1.8713469399838518</v>
      </c>
      <c r="CR9" s="1">
        <v>3.3959260753880206E-2</v>
      </c>
    </row>
    <row r="10" spans="1:96" x14ac:dyDescent="0.25">
      <c r="A10" s="1"/>
      <c r="B10" s="1" t="s">
        <v>4</v>
      </c>
      <c r="C10" s="1">
        <v>6</v>
      </c>
      <c r="D10" s="1"/>
      <c r="E10" s="1">
        <v>1.7713061598216679</v>
      </c>
      <c r="F10" s="1"/>
      <c r="G10" s="1">
        <f>AVERAGE(G9,G12)</f>
        <v>0.95333609429073118</v>
      </c>
      <c r="H10" s="1">
        <v>7.4207707110964582E-2</v>
      </c>
      <c r="I10" s="1"/>
      <c r="J10" s="1">
        <f>AVERAGE(J9,J12)</f>
        <v>1.0189923098309128</v>
      </c>
      <c r="K10" s="1">
        <v>5.0439187244631041E-2</v>
      </c>
      <c r="L10" s="1"/>
      <c r="M10" s="1">
        <f>AVERAGE(M9,M12)</f>
        <v>0.92409353227036806</v>
      </c>
      <c r="N10" s="1">
        <v>3.8050127528358973E-3</v>
      </c>
      <c r="O10" s="1"/>
      <c r="P10" s="1">
        <f>AVERAGE(P9,P12)</f>
        <v>1.1837139636293705</v>
      </c>
      <c r="Q10" s="1">
        <v>6.4861738324446892E-3</v>
      </c>
      <c r="R10" s="1"/>
      <c r="S10" s="1">
        <f>AVERAGE(S9,S12)</f>
        <v>1.0701374108707793</v>
      </c>
      <c r="T10" s="1">
        <v>2.1171683388463386E-3</v>
      </c>
      <c r="U10" s="1"/>
      <c r="V10" s="1">
        <f>AVERAGE(V9,V12)</f>
        <v>1.077747475461734</v>
      </c>
      <c r="W10" s="1">
        <v>8.5387246455615309E-2</v>
      </c>
      <c r="X10" s="1"/>
      <c r="Y10" s="1">
        <f>AVERAGE(Y9,Y12)</f>
        <v>1.0994244699867268</v>
      </c>
      <c r="Z10" s="1">
        <v>0.2723040325810217</v>
      </c>
      <c r="AA10" s="1"/>
      <c r="AB10" s="1">
        <f>AVERAGE(AB9,AB12)</f>
        <v>1.1227333969738185</v>
      </c>
      <c r="AC10" s="1">
        <v>2.3781082141968987E-2</v>
      </c>
      <c r="AD10" s="1"/>
      <c r="AE10" s="1">
        <f>AVERAGE(AE9,AE12)</f>
        <v>1.1460458452669899</v>
      </c>
      <c r="AF10" s="1">
        <v>6.3925120232990199E-2</v>
      </c>
      <c r="AG10" s="1"/>
      <c r="AH10" s="1">
        <f>AVERAGE(AH9,AH12)</f>
        <v>0.94736931776959632</v>
      </c>
      <c r="AI10" s="1">
        <v>2.6928668602969132E-2</v>
      </c>
      <c r="AJ10" s="1"/>
      <c r="AK10" s="1">
        <f>AVERAGE(AK9,AK12)</f>
        <v>1.0958696372402896</v>
      </c>
      <c r="AL10" s="1">
        <v>0.35129195083704884</v>
      </c>
      <c r="AM10" s="1"/>
      <c r="AN10" s="1">
        <f>AVERAGE(AN9,AN12)</f>
        <v>1.0783440884828288</v>
      </c>
      <c r="AP10" s="1">
        <v>1.924412989288331</v>
      </c>
      <c r="AQ10" s="1"/>
      <c r="AR10" s="1">
        <f>AVERAGE(AR9,AR12)</f>
        <v>0.55960270514869603</v>
      </c>
      <c r="AS10" s="1">
        <v>5.9937406912385416E-2</v>
      </c>
      <c r="AT10" s="1"/>
      <c r="AU10" s="1">
        <f>AVERAGE(AU9,AU12)</f>
        <v>1.0264475520700922</v>
      </c>
      <c r="AV10" s="1">
        <v>4.5423892154672019E-2</v>
      </c>
      <c r="AW10" s="1"/>
      <c r="AX10" s="1">
        <f>AVERAGE(AX9,AX12)</f>
        <v>1.0747345390528076</v>
      </c>
      <c r="AY10" s="1">
        <v>9.5063082024431835E-3</v>
      </c>
      <c r="AZ10" s="1"/>
      <c r="BA10" s="1">
        <f>AVERAGE(BA9,BA12)</f>
        <v>5.016999113852898</v>
      </c>
      <c r="BB10" s="1">
        <v>1.9687274530790624E-2</v>
      </c>
      <c r="BC10" s="1"/>
      <c r="BD10" s="1">
        <f>AVERAGE(BD9,BD12)</f>
        <v>5.8429912781082614</v>
      </c>
      <c r="BE10" s="1">
        <v>4.4783990372078544E-2</v>
      </c>
      <c r="BF10" s="1"/>
      <c r="BG10" s="1">
        <f>AVERAGE(BG9,BG12)</f>
        <v>4.8268289936443134</v>
      </c>
      <c r="BH10" s="1">
        <v>2.2486095801663868E-2</v>
      </c>
      <c r="BI10" s="1"/>
      <c r="BJ10" s="1">
        <f>AVERAGE(BJ9,BJ12)</f>
        <v>19.51733406967908</v>
      </c>
      <c r="BK10" s="1">
        <v>8.6561129141483159E-2</v>
      </c>
      <c r="BL10" s="1"/>
      <c r="BM10" s="1">
        <f>AVERAGE(BM9,BM12)</f>
        <v>24.10660580431685</v>
      </c>
      <c r="BN10" s="1">
        <v>3.8607687867916261E-2</v>
      </c>
      <c r="BO10" s="1"/>
      <c r="BP10" s="1">
        <f>AVERAGE(BP9,BP12)</f>
        <v>2.0927280853722841</v>
      </c>
      <c r="BQ10" s="1"/>
      <c r="BR10" s="1"/>
      <c r="BS10" s="1">
        <f>AVERAGE(BS9,BS12)</f>
        <v>6.7252324102598973</v>
      </c>
      <c r="BT10" s="1">
        <v>3.5198243904607004E-2</v>
      </c>
      <c r="BU10" s="1"/>
      <c r="BV10" s="1">
        <f>AVERAGE(BV9,BV12)</f>
        <v>3.8879214366686039</v>
      </c>
      <c r="BW10" s="1">
        <v>0.46106210174933376</v>
      </c>
      <c r="BX10" s="1"/>
      <c r="BY10" s="1">
        <f>AVERAGE(BY9,BY12)</f>
        <v>3.5640088196273494</v>
      </c>
      <c r="CA10" s="1">
        <v>2.0478052821117569</v>
      </c>
      <c r="CB10" s="1"/>
      <c r="CC10" s="1">
        <f>AVERAGE(CC9,CC12)</f>
        <v>1.5321154252014464</v>
      </c>
      <c r="CD10" s="1">
        <v>7.2629648327965285E-2</v>
      </c>
      <c r="CE10" s="1"/>
      <c r="CF10" s="1">
        <f>AVERAGE(CF9,CF12)</f>
        <v>0.59687943336608806</v>
      </c>
      <c r="CG10" s="1">
        <v>2.7434419728295384E-2</v>
      </c>
      <c r="CH10" s="1"/>
      <c r="CI10" s="1">
        <f>AVERAGE(CI9,CI12)</f>
        <v>0.86824847596746479</v>
      </c>
      <c r="CJ10" s="1">
        <v>6.8132659463060524E-3</v>
      </c>
      <c r="CK10" s="1">
        <v>3.8951405291291386E-3</v>
      </c>
      <c r="CL10" s="1">
        <v>3.5248126540663033E-3</v>
      </c>
      <c r="CM10" s="1">
        <v>2.0244929558471732E-2</v>
      </c>
      <c r="CN10" s="1">
        <v>1.3283393554681196E-2</v>
      </c>
      <c r="CO10" s="1">
        <v>2.885016253832621E-3</v>
      </c>
      <c r="CP10" s="1">
        <v>2.0388900977469412E-2</v>
      </c>
      <c r="CQ10" s="1">
        <v>2.0227163230501444</v>
      </c>
      <c r="CR10" s="1">
        <v>3.3809234305864251E-2</v>
      </c>
    </row>
    <row r="11" spans="1:96" x14ac:dyDescent="0.25">
      <c r="A11" s="1"/>
      <c r="B11" s="1" t="s">
        <v>4</v>
      </c>
      <c r="C11" s="1">
        <v>6</v>
      </c>
      <c r="D11" s="1"/>
      <c r="E11" s="1">
        <v>1.8308486959185029</v>
      </c>
      <c r="F11" s="1"/>
      <c r="G11" s="1">
        <f>STDEVA(G9,G12)</f>
        <v>6.0128271346214193E-2</v>
      </c>
      <c r="H11" s="1">
        <v>7.2276707006261875E-2</v>
      </c>
      <c r="I11" s="1"/>
      <c r="J11" s="1">
        <f>STDEVA(J9,J12)</f>
        <v>9.0163759150929265E-2</v>
      </c>
      <c r="K11" s="1">
        <v>5.0412187330528234E-2</v>
      </c>
      <c r="L11" s="1"/>
      <c r="M11" s="1">
        <f>STDEVA(M9,M12)</f>
        <v>0.10541061999739472</v>
      </c>
      <c r="O11" s="1"/>
      <c r="P11" s="1">
        <f>STDEVA(P9,P12)</f>
        <v>0.41709831533660668</v>
      </c>
      <c r="R11" s="1"/>
      <c r="S11" s="1">
        <f>STDEVA(S9,S12)</f>
        <v>0.36748965112822074</v>
      </c>
      <c r="U11" s="1"/>
      <c r="V11" s="1">
        <f>STDEVA(V9,V12)</f>
        <v>0.42476680001963368</v>
      </c>
      <c r="X11" s="1"/>
      <c r="Y11" s="1">
        <f>STDEVA(Y9,Y12)</f>
        <v>0.29584894283587015</v>
      </c>
      <c r="AA11" s="1"/>
      <c r="AB11" s="1">
        <f>STDEVA(AB9,AB12)</f>
        <v>0.29851247096802325</v>
      </c>
      <c r="AD11" s="1"/>
      <c r="AE11" s="1">
        <f>STDEVA(AE9,AE12)</f>
        <v>0.41885769831187081</v>
      </c>
      <c r="AG11" s="1"/>
      <c r="AH11" s="1">
        <f>STDEVA(AH9,AH12)</f>
        <v>0.1358565983409169</v>
      </c>
      <c r="AJ11" s="1"/>
      <c r="AK11" s="1">
        <f>STDEVA(AK9,AK12)</f>
        <v>0.3382380701270491</v>
      </c>
      <c r="AM11" s="1"/>
      <c r="AN11" s="1">
        <f>STDEVA(AN9,AN12)</f>
        <v>0.26210982395058968</v>
      </c>
      <c r="AP11" s="1">
        <v>1.9624303893074035</v>
      </c>
      <c r="AQ11" s="1"/>
      <c r="AR11" s="1">
        <f>STDEVA(AR9,AR12)</f>
        <v>0.54806259475232966</v>
      </c>
      <c r="AS11" s="1">
        <v>5.4244706766493303E-2</v>
      </c>
      <c r="AT11" s="1"/>
      <c r="AU11" s="1">
        <f>STDEVA(AU9,AU12)</f>
        <v>0.13688714815288697</v>
      </c>
      <c r="AV11" s="1">
        <v>4.6919978467118657E-2</v>
      </c>
      <c r="AW11" s="1"/>
      <c r="AX11" s="1">
        <f>STDEVA(AX9,AX12)</f>
        <v>0.33986195882854497</v>
      </c>
      <c r="AZ11" s="1"/>
      <c r="BA11" s="1">
        <f>STDEVA(BA9,BA12)</f>
        <v>5.2894464970997719</v>
      </c>
      <c r="BC11" s="1"/>
      <c r="BD11" s="1">
        <f>STDEVA(BD9,BD12)</f>
        <v>6.6438729832007537</v>
      </c>
      <c r="BF11" s="1"/>
      <c r="BG11" s="1">
        <f>STDEVA(BG9,BG12)</f>
        <v>3.5268351989715847</v>
      </c>
      <c r="BI11" s="1"/>
      <c r="BJ11" s="1">
        <f>STDEVA(BJ9,BJ12)</f>
        <v>25.983241527376293</v>
      </c>
      <c r="BL11" s="1"/>
      <c r="BM11" s="1">
        <f>STDEVA(BM9,BM12)</f>
        <v>31.810287623700319</v>
      </c>
      <c r="BO11" s="1"/>
      <c r="BP11" s="1">
        <f>STDEVA(BP9,BP12)</f>
        <v>1.6624157434212825</v>
      </c>
      <c r="BR11" s="1"/>
      <c r="BS11" s="2" t="s">
        <v>132</v>
      </c>
      <c r="BU11" s="1"/>
      <c r="BV11" s="1">
        <f>STDEVA(BV9,BV12)</f>
        <v>4.7425058921138952</v>
      </c>
      <c r="BX11" s="1"/>
      <c r="BY11" s="1">
        <f>STDEVA(BY9,BY12)</f>
        <v>2.3070026973917312</v>
      </c>
      <c r="CA11" s="1">
        <v>2.0245937199377533</v>
      </c>
      <c r="CB11" s="1"/>
      <c r="CC11" s="1">
        <f>STDEVA(CC9,CC12)</f>
        <v>0.91476506177312689</v>
      </c>
      <c r="CD11" s="1">
        <v>7.203141381897768E-2</v>
      </c>
      <c r="CE11" s="1"/>
      <c r="CF11" s="1">
        <f>STDEVA(CF9,CF12)</f>
        <v>0.42779943125418685</v>
      </c>
      <c r="CG11" s="1">
        <v>2.767821756119955E-2</v>
      </c>
      <c r="CH11" s="1"/>
      <c r="CI11" s="1">
        <f>STDEVA(CI9,CI12)</f>
        <v>0.17310409949725439</v>
      </c>
      <c r="CJ11" s="1">
        <v>7.2347253143438782E-3</v>
      </c>
      <c r="CK11" s="1">
        <v>3.806861157982528E-3</v>
      </c>
      <c r="CL11" s="1">
        <v>3.5438067948970696E-3</v>
      </c>
      <c r="CM11" s="1">
        <v>2.060187681995463E-2</v>
      </c>
      <c r="CN11" s="1">
        <v>1.3088446626219273E-2</v>
      </c>
      <c r="CO11" s="1">
        <v>2.8225767822132198E-3</v>
      </c>
      <c r="CP11" s="1">
        <v>1.2229123579695429E-2</v>
      </c>
      <c r="CQ11" s="1">
        <v>1.9895769262363323</v>
      </c>
      <c r="CR11" s="1">
        <v>3.3527208824549855E-2</v>
      </c>
    </row>
    <row r="12" spans="1:96" x14ac:dyDescent="0.25">
      <c r="A12" s="1"/>
      <c r="B12" s="1" t="s">
        <v>4</v>
      </c>
      <c r="C12" s="1">
        <v>6</v>
      </c>
      <c r="D12" s="1"/>
      <c r="E12" s="1">
        <v>4.8674410562549904</v>
      </c>
      <c r="F12" s="1">
        <f>AVERAGE(E12:E14)</f>
        <v>5.0416576814782976</v>
      </c>
      <c r="G12" s="1">
        <f>F12/F6</f>
        <v>0.99585320270066402</v>
      </c>
      <c r="H12" s="1">
        <v>0.15128926485142363</v>
      </c>
      <c r="I12" s="1">
        <f>AVERAGE(H12:H14)</f>
        <v>0.1519797656553353</v>
      </c>
      <c r="J12" s="1">
        <f>I12/I6</f>
        <v>0.95523690431802022</v>
      </c>
      <c r="K12" s="1">
        <v>0.17277325435955185</v>
      </c>
      <c r="L12" s="1">
        <f>AVERAGE(K12:K14)</f>
        <v>0.16970454542744565</v>
      </c>
      <c r="M12" s="1">
        <f>L12/L6</f>
        <v>0.9986300964796041</v>
      </c>
      <c r="N12" s="1">
        <v>5.4305809086405048E-3</v>
      </c>
      <c r="O12" s="1">
        <f>AVERAGE(N12:N14)</f>
        <v>4.8624220294291422E-3</v>
      </c>
      <c r="P12" s="1">
        <f>O12/O6</f>
        <v>1.47864701082537</v>
      </c>
      <c r="Q12" s="1">
        <v>2.3536491121050524E-3</v>
      </c>
      <c r="R12" s="1">
        <f>AVERAGE(Q12:Q14)</f>
        <v>2.3305695024130029E-3</v>
      </c>
      <c r="S12" s="1">
        <f>R12/R6</f>
        <v>1.3299918351994227</v>
      </c>
      <c r="T12" s="1">
        <v>4.2015527191233519E-3</v>
      </c>
      <c r="U12" s="1">
        <f>AVERAGE(T12:T14)</f>
        <v>3.6372036952169872E-3</v>
      </c>
      <c r="V12" s="1">
        <f>U12/U6</f>
        <v>1.3781029601785268</v>
      </c>
      <c r="W12" s="1">
        <v>3.2934254593886596E-2</v>
      </c>
      <c r="X12" s="1">
        <f>AVERAGE(W12:W14)</f>
        <v>3.2281984444730634E-2</v>
      </c>
      <c r="Y12" s="1">
        <f>X12/X6</f>
        <v>1.3086212636728416</v>
      </c>
      <c r="Z12" s="1">
        <v>1.4624653571893445E-2</v>
      </c>
      <c r="AA12" s="1">
        <f>AVERAGE(Z12:Z14)</f>
        <v>1.4473653666977377E-2</v>
      </c>
      <c r="AB12" s="1">
        <f>AA12/AA6</f>
        <v>1.3338135894640604</v>
      </c>
      <c r="AC12" s="1">
        <v>4.0453849070647488E-2</v>
      </c>
      <c r="AD12" s="1">
        <f>AVERAGE(AC12:AC14)</f>
        <v>4.0229220928006487E-2</v>
      </c>
      <c r="AE12" s="1">
        <f>AD12/AD6</f>
        <v>1.4422229640955031</v>
      </c>
      <c r="AF12" s="1">
        <v>8.5483362726417475E-2</v>
      </c>
      <c r="AG12" s="1">
        <f>AVERAGE(AF12:AF14)</f>
        <v>8.2687637748938878E-2</v>
      </c>
      <c r="AH12" s="1">
        <f>AG12/AG6</f>
        <v>1.0434344397253952</v>
      </c>
      <c r="AI12" s="1">
        <v>2.0631695866985003E-2</v>
      </c>
      <c r="AJ12" s="1">
        <f>AVERAGE(AI12:AI14)</f>
        <v>2.0147477286362386E-2</v>
      </c>
      <c r="AK12" s="1">
        <f>AJ12/AJ6</f>
        <v>1.3350400702825775</v>
      </c>
      <c r="AL12" s="1">
        <v>0.36848324469893734</v>
      </c>
      <c r="AM12" s="1">
        <f>AVERAGE(AL12:AL14)</f>
        <v>0.36050943296670557</v>
      </c>
      <c r="AN12" s="1">
        <f>AM12/AM6</f>
        <v>1.263683722413903</v>
      </c>
      <c r="AO12" s="1"/>
      <c r="AP12" s="1">
        <v>0.79723927113310544</v>
      </c>
      <c r="AQ12" s="1">
        <f>AVERAGE(AP12:AP14)</f>
        <v>0.74492204022290798</v>
      </c>
      <c r="AR12" s="1">
        <f>AQ12/AQ6</f>
        <v>0.17206392788462901</v>
      </c>
      <c r="AS12" s="1">
        <v>0.12313883576381647</v>
      </c>
      <c r="AT12" s="1">
        <f>AVERAGE(AS12:AS14)</f>
        <v>0.1262766588445893</v>
      </c>
      <c r="AU12" s="1">
        <f>AT12/AT6</f>
        <v>1.1232413827862862</v>
      </c>
      <c r="AV12" s="1">
        <v>6.671490264977957E-2</v>
      </c>
      <c r="AW12" s="1">
        <f>AVERAGE(AV12:AV14)</f>
        <v>6.4996970787650696E-2</v>
      </c>
      <c r="AX12" s="1">
        <f>AW12/AW6</f>
        <v>1.315053234807815</v>
      </c>
      <c r="AY12" s="1">
        <v>0.51554463177337895</v>
      </c>
      <c r="AZ12" s="1">
        <f>AVERAGE(AY12:AY14)</f>
        <v>0.52899301936335075</v>
      </c>
      <c r="BA12" s="1">
        <f>AZ12/AZ6</f>
        <v>8.7572026006755763</v>
      </c>
      <c r="BB12" s="1">
        <v>0.30711542405291964</v>
      </c>
      <c r="BC12" s="1">
        <f>AVERAGE(BB12:BB14)</f>
        <v>0.31098429544600181</v>
      </c>
      <c r="BD12" s="1">
        <f>BC12/BC6</f>
        <v>10.540918917871611</v>
      </c>
      <c r="BE12">
        <v>0.44982621894864094</v>
      </c>
      <c r="BF12" s="1">
        <f>AVERAGE(BE12:BE14)</f>
        <v>0.45617857827981456</v>
      </c>
      <c r="BG12" s="1">
        <f>BF12/BF6</f>
        <v>7.3206780789645274</v>
      </c>
      <c r="BH12">
        <v>1.7558376208031961</v>
      </c>
      <c r="BI12" s="1">
        <f>AVERAGE(BH12:BH14)</f>
        <v>1.7700984910528694</v>
      </c>
      <c r="BJ12" s="1">
        <f>BI12/BI6</f>
        <v>37.890260350894764</v>
      </c>
      <c r="BK12" s="1">
        <v>0.72587140674341255</v>
      </c>
      <c r="BL12" s="1">
        <f>AVERAGE(BK12:BK14)</f>
        <v>0.73976803276973269</v>
      </c>
      <c r="BM12" s="1">
        <f>BL12/BL6</f>
        <v>46.599875894529852</v>
      </c>
      <c r="BN12">
        <v>0.49129135063198653</v>
      </c>
      <c r="BO12" s="1">
        <f>AVERAGE(BN12:BN14)</f>
        <v>0.49592700210009599</v>
      </c>
      <c r="BP12" s="1">
        <f>BO12/BO6</f>
        <v>3.2682335306967487</v>
      </c>
      <c r="BQ12">
        <v>1.7262768468987266</v>
      </c>
      <c r="BR12" s="1">
        <f>AVERAGE(BQ12:BQ14)</f>
        <v>1.6536677021347554</v>
      </c>
      <c r="BS12" s="1">
        <f>BR12/BR6</f>
        <v>6.7252324102598973</v>
      </c>
      <c r="BT12">
        <v>8.3125863991105553E-2</v>
      </c>
      <c r="BU12" s="1">
        <f>AVERAGE(BT12:BT14)</f>
        <v>8.2008044892817628E-2</v>
      </c>
      <c r="BV12" s="1">
        <f>BU12/BU6</f>
        <v>7.2413795127994964</v>
      </c>
      <c r="BW12">
        <v>1.5320330665356168</v>
      </c>
      <c r="BX12" s="1">
        <f>AVERAGE(BW12:BW14)</f>
        <v>1.5272654368582792</v>
      </c>
      <c r="BY12" s="1">
        <f>BX12/BX6</f>
        <v>5.1953060711686989</v>
      </c>
      <c r="CA12" s="1">
        <v>2.1963234807355319</v>
      </c>
      <c r="CB12" s="1">
        <f>AVERAGE(CA12:CA14)</f>
        <v>2.1378284610758844</v>
      </c>
      <c r="CC12" s="1">
        <f>CB12/CB6</f>
        <v>0.88527884682913693</v>
      </c>
      <c r="CD12" s="1">
        <v>0.10035698646851443</v>
      </c>
      <c r="CE12" s="1">
        <f>AVERAGE(CD12:CD14)</f>
        <v>0.10564718289977809</v>
      </c>
      <c r="CF12" s="1">
        <f>CE12/CE6</f>
        <v>0.89937931219367184</v>
      </c>
      <c r="CG12">
        <v>4.1754024653881422E-2</v>
      </c>
      <c r="CH12" s="1">
        <f>AVERAGE(CG12:CG14)</f>
        <v>4.2366511562492846E-2</v>
      </c>
      <c r="CI12" s="1">
        <f>CH12/CH6</f>
        <v>0.99065155857316411</v>
      </c>
      <c r="CJ12" s="1"/>
      <c r="CK12" s="1"/>
      <c r="CL12" s="1"/>
      <c r="CM12" s="1"/>
      <c r="CN12" s="1"/>
      <c r="CO12" s="1"/>
      <c r="CP12" s="1"/>
      <c r="CQ12" s="1"/>
      <c r="CR12" s="1"/>
    </row>
    <row r="13" spans="1:96" x14ac:dyDescent="0.25">
      <c r="A13" s="1"/>
      <c r="B13" s="1" t="s">
        <v>4</v>
      </c>
      <c r="C13" s="1">
        <v>6</v>
      </c>
      <c r="D13" s="1"/>
      <c r="E13" s="1">
        <v>5.0589402510330146</v>
      </c>
      <c r="F13" s="1"/>
      <c r="G13" s="1"/>
      <c r="H13" s="1">
        <v>0.15264884239344764</v>
      </c>
      <c r="I13" s="1"/>
      <c r="J13" s="1"/>
      <c r="K13" s="1">
        <v>0.16373333653226252</v>
      </c>
      <c r="L13" s="1"/>
      <c r="M13" s="1"/>
      <c r="N13" s="1">
        <v>4.3991531874215247E-3</v>
      </c>
      <c r="O13" s="1"/>
      <c r="P13" s="1"/>
      <c r="Q13" s="1">
        <v>2.5496944460615257E-3</v>
      </c>
      <c r="R13" s="1"/>
      <c r="S13" s="1"/>
      <c r="T13" s="1">
        <v>3.5569260760901916E-3</v>
      </c>
      <c r="U13" s="1"/>
      <c r="V13" s="1"/>
      <c r="W13" s="1">
        <v>3.061410362112409E-2</v>
      </c>
      <c r="X13" s="1"/>
      <c r="Y13" s="1"/>
      <c r="Z13" s="1">
        <v>1.4790376553613061E-2</v>
      </c>
      <c r="AA13" s="1"/>
      <c r="AB13" s="1"/>
      <c r="AC13" s="1">
        <v>4.0618482804091381E-2</v>
      </c>
      <c r="AD13" s="1"/>
      <c r="AE13" s="1"/>
      <c r="AF13" s="1">
        <v>8.0938938216576259E-2</v>
      </c>
      <c r="AG13" s="1"/>
      <c r="AH13" s="1"/>
      <c r="AI13" s="1">
        <v>2.0217086065148548E-2</v>
      </c>
      <c r="AJ13" s="1"/>
      <c r="AK13" s="1"/>
      <c r="AL13" s="1">
        <v>0.36273521965101524</v>
      </c>
      <c r="AM13" s="1"/>
      <c r="AN13" s="1"/>
      <c r="AO13" s="1"/>
      <c r="AP13" s="1">
        <v>0.61914698405266966</v>
      </c>
      <c r="AQ13" s="1"/>
      <c r="AR13" s="1"/>
      <c r="AS13" s="1">
        <v>0.1232099992942836</v>
      </c>
      <c r="AT13" s="1"/>
      <c r="AU13" s="1"/>
      <c r="AV13" s="1">
        <v>6.3548695179935472E-2</v>
      </c>
      <c r="AW13" s="1"/>
      <c r="AX13" s="1"/>
      <c r="AY13" s="1">
        <v>0.54244140695332244</v>
      </c>
      <c r="AZ13" s="1"/>
      <c r="BA13" s="1"/>
      <c r="BB13" s="1">
        <v>0.31485316683908393</v>
      </c>
      <c r="BC13" s="1"/>
      <c r="BD13" s="1"/>
      <c r="BE13">
        <v>0.46253093761098824</v>
      </c>
      <c r="BF13" s="1"/>
      <c r="BG13" s="1"/>
      <c r="BH13">
        <v>1.7843593613025428</v>
      </c>
      <c r="BI13" s="1"/>
      <c r="BJ13" s="1"/>
      <c r="BK13">
        <v>0.75366465879605282</v>
      </c>
      <c r="BL13" s="1"/>
      <c r="BM13" s="1"/>
      <c r="BN13">
        <v>0.5005626535682054</v>
      </c>
      <c r="BO13" s="1"/>
      <c r="BP13" s="1"/>
      <c r="BQ13">
        <v>1.5651518299044689</v>
      </c>
      <c r="BR13" s="1"/>
      <c r="BS13" s="1"/>
      <c r="BT13">
        <v>8.1169540831625087E-2</v>
      </c>
      <c r="BU13" s="1"/>
      <c r="BV13" s="1"/>
      <c r="BW13">
        <v>1.5139439727405499</v>
      </c>
      <c r="BX13" s="1"/>
      <c r="BY13" s="1"/>
      <c r="CA13" s="1">
        <v>2.0459932059219041</v>
      </c>
      <c r="CB13" s="1"/>
      <c r="CC13" s="1"/>
      <c r="CD13" s="1">
        <v>0.1095153332934739</v>
      </c>
      <c r="CE13" s="1"/>
      <c r="CF13" s="1"/>
      <c r="CG13">
        <v>4.2851537894739493E-2</v>
      </c>
      <c r="CH13" s="1"/>
      <c r="CI13" s="1"/>
      <c r="CJ13" s="1"/>
      <c r="CK13" s="1"/>
      <c r="CL13" s="1"/>
      <c r="CM13" s="1"/>
      <c r="CN13" s="1"/>
      <c r="CO13" s="1"/>
      <c r="CP13" s="1"/>
      <c r="CQ13" s="1"/>
      <c r="CR13" s="1"/>
    </row>
    <row r="14" spans="1:96" x14ac:dyDescent="0.25">
      <c r="A14" s="1"/>
      <c r="B14" s="1" t="s">
        <v>4</v>
      </c>
      <c r="C14" s="1">
        <v>6</v>
      </c>
      <c r="D14" s="1"/>
      <c r="E14" s="1">
        <v>5.1985917371468897</v>
      </c>
      <c r="F14" s="1"/>
      <c r="G14" s="1"/>
      <c r="H14" s="1">
        <v>0.15200118972113466</v>
      </c>
      <c r="I14" s="1"/>
      <c r="J14" s="1"/>
      <c r="K14" s="1">
        <v>0.17260704539052257</v>
      </c>
      <c r="L14" s="1"/>
      <c r="M14" s="1"/>
      <c r="N14" s="1">
        <v>4.7575319922253979E-3</v>
      </c>
      <c r="O14" s="1"/>
      <c r="P14" s="1"/>
      <c r="Q14" s="1">
        <v>2.0883649490724306E-3</v>
      </c>
      <c r="R14" s="1"/>
      <c r="S14" s="1"/>
      <c r="T14" s="1">
        <v>3.1531322904374179E-3</v>
      </c>
      <c r="U14" s="1"/>
      <c r="V14" s="1"/>
      <c r="W14" s="1">
        <v>3.329759511918122E-2</v>
      </c>
      <c r="X14" s="1"/>
      <c r="Y14" s="1"/>
      <c r="Z14" s="1">
        <v>1.4005930875425626E-2</v>
      </c>
      <c r="AA14" s="1"/>
      <c r="AB14" s="1"/>
      <c r="AC14" s="1">
        <v>3.9615330909280599E-2</v>
      </c>
      <c r="AD14" s="1"/>
      <c r="AE14" s="1"/>
      <c r="AF14" s="1">
        <v>8.1640612303822885E-2</v>
      </c>
      <c r="AG14" s="1"/>
      <c r="AH14" s="1"/>
      <c r="AI14" s="1">
        <v>1.9593649926953602E-2</v>
      </c>
      <c r="AJ14" s="1"/>
      <c r="AK14" s="1"/>
      <c r="AL14" s="1">
        <v>0.35030983455016401</v>
      </c>
      <c r="AM14" s="1"/>
      <c r="AN14" s="1"/>
      <c r="AO14" s="1"/>
      <c r="AP14" s="1">
        <v>0.81837986548294872</v>
      </c>
      <c r="AQ14" s="1"/>
      <c r="AR14" s="1"/>
      <c r="AS14" s="1">
        <v>0.13248114147566781</v>
      </c>
      <c r="AT14" s="1"/>
      <c r="AU14" s="1"/>
      <c r="AV14" s="1">
        <v>6.4727314533237074E-2</v>
      </c>
      <c r="AW14" s="1"/>
      <c r="AX14" s="1"/>
      <c r="AY14" s="1"/>
      <c r="AZ14" s="1"/>
      <c r="BA14" s="1"/>
      <c r="BB14" s="1"/>
      <c r="BC14" s="1"/>
      <c r="BD14" s="1"/>
      <c r="BE14" s="1"/>
      <c r="BF14" s="1"/>
      <c r="BG14" s="1"/>
      <c r="BH14" s="1"/>
      <c r="BI14" s="1"/>
      <c r="BJ14" s="1"/>
      <c r="BK14" s="1"/>
      <c r="BL14" s="1"/>
      <c r="BM14" s="1"/>
      <c r="BN14" s="1"/>
      <c r="BO14" s="1"/>
      <c r="BP14" s="1"/>
      <c r="BQ14">
        <v>1.6695744296010711</v>
      </c>
      <c r="BR14" s="1"/>
      <c r="BS14" s="1"/>
      <c r="BT14">
        <v>8.1728729855722243E-2</v>
      </c>
      <c r="BU14" s="1"/>
      <c r="BV14" s="1"/>
      <c r="BW14">
        <v>1.5358192712986709</v>
      </c>
      <c r="BX14" s="1"/>
      <c r="BY14" s="1"/>
      <c r="CA14" s="1">
        <v>2.1711686965702186</v>
      </c>
      <c r="CB14" s="1"/>
      <c r="CC14" s="1"/>
      <c r="CD14" s="1">
        <v>0.10706922893734593</v>
      </c>
      <c r="CE14" s="1"/>
      <c r="CF14" s="1"/>
      <c r="CG14">
        <v>4.2493972138857611E-2</v>
      </c>
      <c r="CH14" s="1"/>
      <c r="CI14" s="1"/>
      <c r="CJ14" s="1"/>
      <c r="CK14" s="1"/>
      <c r="CL14" s="1"/>
      <c r="CM14" s="1"/>
      <c r="CN14" s="1"/>
      <c r="CO14" s="1"/>
      <c r="CP14" s="1"/>
      <c r="CQ14" s="1"/>
      <c r="CR14" s="1"/>
    </row>
    <row r="15" spans="1:96" x14ac:dyDescent="0.25">
      <c r="A15" s="1"/>
      <c r="B15" s="1" t="s">
        <v>118</v>
      </c>
      <c r="C15" s="1">
        <v>6</v>
      </c>
      <c r="D15" s="1"/>
      <c r="E15" s="1">
        <v>5.1409461863102459</v>
      </c>
      <c r="F15" s="1">
        <f>AVERAGE(E15:E17)</f>
        <v>5.3284809805908022</v>
      </c>
      <c r="G15" s="1">
        <f>F15/F3</f>
        <v>2.6447510708476227</v>
      </c>
      <c r="H15" s="1">
        <v>7.9896956218541662E-2</v>
      </c>
      <c r="I15" s="1">
        <f>AVERAGE(H15:H17)</f>
        <v>8.2278827758791737E-2</v>
      </c>
      <c r="J15" s="1">
        <f>I15/I3</f>
        <v>1.225553083085815</v>
      </c>
      <c r="K15" s="1">
        <v>2.60869738741791E-2</v>
      </c>
      <c r="L15" s="1">
        <f>AVERAGE(K15:K17)</f>
        <v>2.7784249085213441E-2</v>
      </c>
      <c r="M15" s="1">
        <f>L15/L3</f>
        <v>0.46732210294500465</v>
      </c>
      <c r="N15" s="1">
        <v>5.3540421552050001E-2</v>
      </c>
      <c r="O15" s="1">
        <f>AVERAGE(N15:N17)</f>
        <v>5.3115513640551615E-2</v>
      </c>
      <c r="P15" s="1">
        <f>O15/O3</f>
        <v>12.143467244208638</v>
      </c>
      <c r="Q15" s="1">
        <v>2.3625829430677755E-2</v>
      </c>
      <c r="R15" s="1">
        <f>AVERAGE(Q15:Q17)</f>
        <v>2.520981088997112E-2</v>
      </c>
      <c r="S15" s="1">
        <f>R15/R3</f>
        <v>3.2508199096977668</v>
      </c>
      <c r="T15" s="1">
        <v>1.5974668229615786E-2</v>
      </c>
      <c r="U15" s="1">
        <f>AVERAGE(T15:T17)</f>
        <v>1.6108042109888903E-2</v>
      </c>
      <c r="V15" s="1">
        <f>U15/U3</f>
        <v>6.0263875539255993</v>
      </c>
      <c r="W15" s="1">
        <v>0.22351573983229728</v>
      </c>
      <c r="X15" s="1">
        <f>AVERAGE(W15:W17)</f>
        <v>0.23136659186088204</v>
      </c>
      <c r="Y15" s="1">
        <f>X15/X3</f>
        <v>2.4853142183160082</v>
      </c>
      <c r="Z15" s="1">
        <v>2.1767567178884861</v>
      </c>
      <c r="AA15" s="1">
        <f>AVERAGE(Z15:Z17)</f>
        <v>2.1508360527849071</v>
      </c>
      <c r="AB15" s="1">
        <f>AA15/AA3</f>
        <v>6.8388039247387775</v>
      </c>
      <c r="AC15" s="1">
        <v>8.300373510691976E-2</v>
      </c>
      <c r="AD15" s="1">
        <f>AVERAGE(AC15:AC17)</f>
        <v>8.274130918989922E-2</v>
      </c>
      <c r="AE15" s="1">
        <f>AD15/AD3</f>
        <v>2.9972196168447303</v>
      </c>
      <c r="AF15" s="1">
        <v>0.2312997630835657</v>
      </c>
      <c r="AG15" s="1">
        <f>AVERAGE(AF15:AF17)</f>
        <v>0.23420132457137052</v>
      </c>
      <c r="AH15" s="1">
        <f>AG15/AG3</f>
        <v>2.9531336452662913</v>
      </c>
      <c r="AI15" s="1">
        <v>4.5113241082432316E-2</v>
      </c>
      <c r="AJ15" s="1">
        <f>AVERAGE(AI15:AI17)</f>
        <v>4.4174341274227522E-2</v>
      </c>
      <c r="AK15" s="1">
        <f>AJ15/AJ3</f>
        <v>1.3949768958714552</v>
      </c>
      <c r="AL15" s="1">
        <v>1.175157923275431</v>
      </c>
      <c r="AM15" s="1">
        <f>AVERAGE(AL15:AL17)</f>
        <v>1.2171833173283488</v>
      </c>
      <c r="AN15" s="1">
        <f>AM15/AM3</f>
        <v>3.1341428683854842</v>
      </c>
      <c r="AO15" s="1"/>
      <c r="AP15" s="1">
        <v>2.4259979806830314</v>
      </c>
      <c r="AQ15" s="1">
        <f>AVERAGE(AP15:AP17)</f>
        <v>2.5364690975910014</v>
      </c>
      <c r="AR15" s="1">
        <f>AQ15/AQ3</f>
        <v>1.2462599618473091</v>
      </c>
      <c r="AS15" s="1">
        <v>9.5390898612941866E-2</v>
      </c>
      <c r="AT15" s="1">
        <f>AVERAGE(AS15:AS17)</f>
        <v>9.8047711183950906E-2</v>
      </c>
      <c r="AU15" s="1">
        <f>AT15/AT3</f>
        <v>1.605526746650584</v>
      </c>
      <c r="AV15" s="1">
        <v>1.1914187022839435E-2</v>
      </c>
      <c r="AW15" s="1">
        <f>AVERAGE(AV15:AV17)</f>
        <v>1.160332039483288E-2</v>
      </c>
      <c r="AX15" s="1">
        <f>AW15/AW3</f>
        <v>0.22066670004977024</v>
      </c>
      <c r="AY15" s="1">
        <v>2.030005127960163E-2</v>
      </c>
      <c r="AZ15" s="1">
        <f>AVERAGE(AY15:AY17)</f>
        <v>2.1125403566791039E-2</v>
      </c>
      <c r="BA15" s="1">
        <f>AZ15/AZ3</f>
        <v>2.569973662282258</v>
      </c>
      <c r="BB15" s="1">
        <v>2.5595449867766622E-2</v>
      </c>
      <c r="BC15" s="1">
        <f>AVERAGE(BB15:BB17)</f>
        <v>2.5611262470340523E-2</v>
      </c>
      <c r="BD15" s="1">
        <f>BC15/BC3</f>
        <v>1.5402061664185041</v>
      </c>
      <c r="BE15" s="1">
        <v>2.9978758676256319E-2</v>
      </c>
      <c r="BF15" s="1">
        <f>AVERAGE(BE15:BE17)</f>
        <v>3.1261951482021176E-2</v>
      </c>
      <c r="BG15" s="1">
        <f>BF15/BF3</f>
        <v>1.5766398120694949</v>
      </c>
      <c r="BH15" s="1">
        <v>2.9079471645981972E-2</v>
      </c>
      <c r="BI15" s="1">
        <f>AVERAGE(BH15:BH17)</f>
        <v>3.0456821781631779E-2</v>
      </c>
      <c r="BJ15" s="1">
        <f>BI15/BI3</f>
        <v>1.6568427387915112</v>
      </c>
      <c r="BK15" s="1">
        <v>0.10048986557382537</v>
      </c>
      <c r="BL15" s="1">
        <f>AVERAGE(BK15:BK17)</f>
        <v>0.10359131877402968</v>
      </c>
      <c r="BM15" s="1">
        <f>BL15/BL3</f>
        <v>1.9502486217800969</v>
      </c>
      <c r="BN15" s="1">
        <v>4.0266902162834781E-2</v>
      </c>
      <c r="BO15" s="1">
        <f>AVERAGE(BN15:BN17)</f>
        <v>4.0692785175853827E-2</v>
      </c>
      <c r="BP15" s="1">
        <f>BO15/BO3</f>
        <v>0.96219457026231836</v>
      </c>
      <c r="BQ15" s="1">
        <v>0.10612970181570287</v>
      </c>
      <c r="BR15" s="1">
        <f>AVERAGE(BQ15:BQ17)</f>
        <v>0.10504806348367869</v>
      </c>
      <c r="BS15" s="1">
        <f>BR15/BR3</f>
        <v>1.8323851789638592</v>
      </c>
      <c r="BT15" s="1">
        <v>8.0062836265173465E-2</v>
      </c>
      <c r="BU15" s="1">
        <f>AVERAGE(BT15:BT17)</f>
        <v>7.8709516480096636E-2</v>
      </c>
      <c r="BV15" s="1">
        <f>BU15/BU3</f>
        <v>1.0701551286686843</v>
      </c>
      <c r="BW15" s="1">
        <v>0.18535919830072681</v>
      </c>
      <c r="BX15" s="1">
        <f>AVERAGE(BW15:BW17)</f>
        <v>0.22628977194713973</v>
      </c>
      <c r="BY15" s="1">
        <f>BX15/BX3</f>
        <v>1.0446586933252011</v>
      </c>
      <c r="CA15" s="1">
        <v>4.5450657814646274</v>
      </c>
      <c r="CB15" s="1">
        <f>AVERAGE(CA15:CA17)</f>
        <v>4.7706494404582589</v>
      </c>
      <c r="CC15" s="1">
        <f>CB15/CB3</f>
        <v>5.1771272695883725</v>
      </c>
      <c r="CD15" s="1">
        <v>0.36135913602467584</v>
      </c>
      <c r="CE15" s="1">
        <f>AVERAGE(CD15:CD17)</f>
        <v>0.37366724260564732</v>
      </c>
      <c r="CF15" s="1">
        <f>CE15/CE3</f>
        <v>1.5320059208505703</v>
      </c>
      <c r="CG15" s="1">
        <v>2.0498420610424863E-2</v>
      </c>
      <c r="CH15" s="1">
        <f>AVERAGE(CG15:CG17)</f>
        <v>2.1467130741743511E-2</v>
      </c>
      <c r="CI15" s="1">
        <f>CH15/CH3</f>
        <v>0.58500213760805797</v>
      </c>
      <c r="CJ15" s="1">
        <v>1.3223671625242159E-2</v>
      </c>
      <c r="CK15" s="1">
        <v>4.7108632441531682E-3</v>
      </c>
      <c r="CL15" s="1">
        <v>9.2985250309894022E-3</v>
      </c>
      <c r="CM15" s="1">
        <v>1.8907986765561356E-2</v>
      </c>
      <c r="CN15" s="1">
        <v>6.6073876481527322E-2</v>
      </c>
      <c r="CO15" s="1">
        <v>9.3578072534105279E-3</v>
      </c>
      <c r="CP15" s="1">
        <v>3.5783661398795949E-2</v>
      </c>
      <c r="CQ15" s="1">
        <v>1.597713733192933</v>
      </c>
      <c r="CR15" s="1">
        <v>6.195704786294224E-2</v>
      </c>
    </row>
    <row r="16" spans="1:96" x14ac:dyDescent="0.25">
      <c r="A16" s="1"/>
      <c r="B16" s="1" t="s">
        <v>118</v>
      </c>
      <c r="C16" s="1">
        <v>6</v>
      </c>
      <c r="D16" s="1"/>
      <c r="E16" s="1">
        <v>5.4735490040889268</v>
      </c>
      <c r="F16" s="1"/>
      <c r="G16" s="1">
        <f>AVERAGE(G15,G18)</f>
        <v>2.4536734217357514</v>
      </c>
      <c r="H16" s="1">
        <v>8.2990615423414682E-2</v>
      </c>
      <c r="I16" s="1"/>
      <c r="J16" s="1">
        <f>AVERAGE(J15,J18)</f>
        <v>1.1151539310045666</v>
      </c>
      <c r="K16" s="1">
        <v>2.9244678158890994E-2</v>
      </c>
      <c r="L16" s="1"/>
      <c r="M16" s="1">
        <f>AVERAGE(M15,M18)</f>
        <v>0.56593099022092752</v>
      </c>
      <c r="N16" s="1">
        <v>5.2690605729053229E-2</v>
      </c>
      <c r="O16" s="1"/>
      <c r="P16" s="1">
        <f>AVERAGE(P15,P18)</f>
        <v>7.1264278765652991</v>
      </c>
      <c r="Q16" s="1">
        <v>2.6793792349264486E-2</v>
      </c>
      <c r="R16" s="1"/>
      <c r="S16" s="1">
        <f>AVERAGE(S15,S18)</f>
        <v>3.7965549645081644</v>
      </c>
      <c r="T16" s="1">
        <v>1.624141599016202E-2</v>
      </c>
      <c r="U16" s="1"/>
      <c r="V16" s="1">
        <f>AVERAGE(V15,V18)</f>
        <v>4.3185894784402761</v>
      </c>
      <c r="W16" s="1">
        <v>0.23921744388946681</v>
      </c>
      <c r="X16" s="1"/>
      <c r="Y16" s="1">
        <f>AVERAGE(Y15,Y18)</f>
        <v>3.5655248389575656</v>
      </c>
      <c r="Z16" s="1">
        <v>2.1249153876813276</v>
      </c>
      <c r="AA16" s="1"/>
      <c r="AB16" s="1">
        <f>AVERAGE(AB15,AB18)</f>
        <v>5.8667284808834825</v>
      </c>
      <c r="AC16" s="1">
        <v>8.2478883272878695E-2</v>
      </c>
      <c r="AD16" s="1"/>
      <c r="AE16" s="1">
        <f>AVERAGE(AE15,AE18)</f>
        <v>2.6471033692083736</v>
      </c>
      <c r="AF16" s="1">
        <v>0.23710288605917534</v>
      </c>
      <c r="AG16" s="1"/>
      <c r="AH16" s="1">
        <f>AVERAGE(AH15,AH18)</f>
        <v>2.3507685147726622</v>
      </c>
      <c r="AI16" s="1">
        <v>4.3235441466022727E-2</v>
      </c>
      <c r="AJ16" s="1"/>
      <c r="AK16" s="1">
        <f>AVERAGE(AK15,AK18)</f>
        <v>1.4500413116456481</v>
      </c>
      <c r="AL16" s="1">
        <v>1.2592087113812667</v>
      </c>
      <c r="AM16" s="1"/>
      <c r="AN16" s="1">
        <f>AVERAGE(AN15,AN18)</f>
        <v>2.0451828238600784</v>
      </c>
      <c r="AP16" s="1">
        <v>2.5882028532591543</v>
      </c>
      <c r="AQ16" s="1"/>
      <c r="AR16" s="1">
        <f>AVERAGE(AR15,AR18)</f>
        <v>1.1026327197897392</v>
      </c>
      <c r="AS16" s="1">
        <v>9.79406005966377E-2</v>
      </c>
      <c r="AT16" s="1"/>
      <c r="AU16" s="1">
        <f>AVERAGE(AU15,AU18)</f>
        <v>1.47027289716817</v>
      </c>
      <c r="AV16" s="1">
        <v>1.0899936745442804E-2</v>
      </c>
      <c r="AW16" s="1"/>
      <c r="AX16" s="1">
        <f>AVERAGE(AX15,AX18)</f>
        <v>0.47506246003017294</v>
      </c>
      <c r="AY16" s="1">
        <v>2.1950755853980444E-2</v>
      </c>
      <c r="AZ16" s="1"/>
      <c r="BA16" s="1">
        <f>AVERAGE(BA15,BA18)</f>
        <v>2.3884552391042653</v>
      </c>
      <c r="BB16" s="1">
        <v>2.5627075072914424E-2</v>
      </c>
      <c r="BC16" s="1"/>
      <c r="BD16" s="1">
        <f>AVERAGE(BD15,BD18)</f>
        <v>1.8352591032788053</v>
      </c>
      <c r="BE16" s="1">
        <v>3.2545144287786036E-2</v>
      </c>
      <c r="BF16" s="1"/>
      <c r="BG16" s="1">
        <f>AVERAGE(BG15,BG18)</f>
        <v>1.5785417754128499</v>
      </c>
      <c r="BH16" s="1">
        <v>3.1834171917281585E-2</v>
      </c>
      <c r="BI16" s="1"/>
      <c r="BJ16" s="1">
        <f>AVERAGE(BJ15,BJ18)</f>
        <v>1.6005367710072949</v>
      </c>
      <c r="BK16" s="1">
        <v>0.10669277197423398</v>
      </c>
      <c r="BL16" s="1"/>
      <c r="BM16" s="1">
        <f>AVERAGE(BM15,BM18)</f>
        <v>3.2144762649192287</v>
      </c>
      <c r="BN16" s="1">
        <v>4.1118668188872866E-2</v>
      </c>
      <c r="BO16" s="1"/>
      <c r="BP16" s="1">
        <f>AVERAGE(BP15,BP18)</f>
        <v>1.1268271056123538</v>
      </c>
      <c r="BQ16" s="1">
        <v>0.10396642515165451</v>
      </c>
      <c r="BR16" s="1"/>
      <c r="BS16" s="1">
        <f>AVERAGE(BS15,BS18)</f>
        <v>2.7659746673394734</v>
      </c>
      <c r="BT16" s="1">
        <v>7.7356196695019794E-2</v>
      </c>
      <c r="BU16" s="1"/>
      <c r="BV16" s="1">
        <f>AVERAGE(BV15,BV18)</f>
        <v>1.247734378384342</v>
      </c>
      <c r="BW16" s="1">
        <v>0.26722034559355268</v>
      </c>
      <c r="BX16" s="1"/>
      <c r="BY16" s="1">
        <f>AVERAGE(BY15,BY18)</f>
        <v>1.4250175795944444</v>
      </c>
      <c r="CA16" s="1">
        <v>4.8546466508481627</v>
      </c>
      <c r="CB16" s="1"/>
      <c r="CC16" s="1">
        <f>AVERAGE(CC15,CC18)</f>
        <v>3.6615491349210094</v>
      </c>
      <c r="CD16" s="1">
        <v>0.37901233088468339</v>
      </c>
      <c r="CE16" s="1"/>
      <c r="CF16" s="1">
        <f>AVERAGE(CF15,CF18)</f>
        <v>2.0048755112862162</v>
      </c>
      <c r="CG16" s="1">
        <v>2.1597759172743529E-2</v>
      </c>
      <c r="CH16" s="1"/>
      <c r="CI16" s="1">
        <f>AVERAGE(CI15,CI18)</f>
        <v>0.54411949612681276</v>
      </c>
      <c r="CJ16" s="1">
        <v>1.3129341062564848E-2</v>
      </c>
      <c r="CK16" s="1">
        <v>4.7332752914431833E-3</v>
      </c>
      <c r="CL16" s="1">
        <v>9.4790618017236497E-3</v>
      </c>
      <c r="CM16" s="1">
        <v>1.9109004763435473E-2</v>
      </c>
      <c r="CN16" s="1">
        <v>6.6674619992973472E-2</v>
      </c>
      <c r="CO16" s="1">
        <v>9.4660624919826568E-3</v>
      </c>
      <c r="CP16" s="1">
        <v>3.3869166305027745E-2</v>
      </c>
      <c r="CQ16" s="1">
        <v>1.575750367889706</v>
      </c>
      <c r="CR16" s="1">
        <v>6.3207597459891726E-2</v>
      </c>
    </row>
    <row r="17" spans="1:96" x14ac:dyDescent="0.25">
      <c r="A17" s="1"/>
      <c r="B17" s="1" t="s">
        <v>118</v>
      </c>
      <c r="C17" s="1">
        <v>6</v>
      </c>
      <c r="D17" s="1"/>
      <c r="E17" s="1">
        <v>5.3709477513732349</v>
      </c>
      <c r="F17" s="1"/>
      <c r="G17" s="1">
        <f>STDEVA(G15,G18)</f>
        <v>0.27022460284037608</v>
      </c>
      <c r="H17" s="1">
        <v>8.3948911634418893E-2</v>
      </c>
      <c r="I17" s="1"/>
      <c r="J17" s="1">
        <f>STDEVA(J15,J18)</f>
        <v>0.15612797814779122</v>
      </c>
      <c r="K17" s="1">
        <v>2.8021095222570225E-2</v>
      </c>
      <c r="L17" s="1"/>
      <c r="M17" s="1">
        <f>STDEVA(M15,M18)</f>
        <v>0.13945402575612981</v>
      </c>
      <c r="O17" s="1"/>
      <c r="P17" s="1">
        <f>STDEVA(P15,P18)</f>
        <v>7.0951651166809473</v>
      </c>
      <c r="R17" s="1"/>
      <c r="S17" s="1">
        <f>STDEVA(S15,S18)</f>
        <v>0.77178591597528801</v>
      </c>
      <c r="U17" s="1"/>
      <c r="V17" s="1">
        <f>STDEVA(V15,V18)</f>
        <v>2.4151912001460154</v>
      </c>
      <c r="X17" s="1"/>
      <c r="Y17" s="1">
        <f>STDEVA(Y15,Y18)</f>
        <v>1.5276485099307509</v>
      </c>
      <c r="AA17" s="1"/>
      <c r="AB17" s="1">
        <f>STDEVA(AB15,AB18)</f>
        <v>1.3747222763500044</v>
      </c>
      <c r="AD17" s="1"/>
      <c r="AE17" s="1">
        <f>STDEVA(AE15,AE18)</f>
        <v>0.49513914581451507</v>
      </c>
      <c r="AG17" s="1"/>
      <c r="AH17" s="1">
        <f>STDEVA(AH15,AH18)</f>
        <v>0.85187293704473044</v>
      </c>
      <c r="AJ17" s="1"/>
      <c r="AK17" s="1">
        <f>STDEVA(AK15,AK18)</f>
        <v>7.7872843592014532E-2</v>
      </c>
      <c r="AM17" s="1"/>
      <c r="AN17" s="1">
        <f>STDEVA(AN15,AN18)</f>
        <v>1.5400220638502389</v>
      </c>
      <c r="AP17" s="1">
        <v>2.5952064588308188</v>
      </c>
      <c r="AQ17" s="1"/>
      <c r="AR17" s="1">
        <f>STDEVA(AR15,AR18)</f>
        <v>0.20311959364405763</v>
      </c>
      <c r="AS17" s="1">
        <v>0.10081163434227317</v>
      </c>
      <c r="AT17" s="1"/>
      <c r="AU17" s="1">
        <f>STDEVA(AU15,AU18)</f>
        <v>0.19127782830119916</v>
      </c>
      <c r="AV17" s="1">
        <v>1.19958374162164E-2</v>
      </c>
      <c r="AW17" s="1"/>
      <c r="AX17" s="1">
        <f>STDEVA(AX15,AX18)</f>
        <v>0.35976993397449625</v>
      </c>
      <c r="AZ17" s="1"/>
      <c r="BA17" s="1">
        <f>STDEVA(BA15,BA18)</f>
        <v>0.25670581587889607</v>
      </c>
      <c r="BC17" s="1"/>
      <c r="BD17" s="1">
        <f>STDEVA(BD15,BD18)</f>
        <v>0.41726786492585166</v>
      </c>
      <c r="BF17" s="1"/>
      <c r="BG17" s="1">
        <f>STDEVA(BG15,BG18)</f>
        <v>2.6897823553092984E-3</v>
      </c>
      <c r="BI17" s="1"/>
      <c r="BJ17" s="1">
        <f>STDEVA(BJ15,BJ18)</f>
        <v>7.9628663282981516E-2</v>
      </c>
      <c r="BL17" s="1"/>
      <c r="BM17" s="1">
        <f>STDEVA(BM15,BM18)</f>
        <v>1.7878878788543338</v>
      </c>
      <c r="BO17" s="1"/>
      <c r="BP17" s="1">
        <f>STDEVA(BP15,BP18)</f>
        <v>0.2328255642998876</v>
      </c>
      <c r="BR17" s="1"/>
      <c r="BS17" s="1">
        <f>STDEVA(BS15,BS18)</f>
        <v>1.3202949161497526</v>
      </c>
      <c r="BU17" s="1"/>
      <c r="BV17" s="1">
        <f>STDEVA(BV15,BV18)</f>
        <v>0.25113498334391993</v>
      </c>
      <c r="BX17" s="1"/>
      <c r="BY17" s="1">
        <f>STDEVA(BY15,BY18)</f>
        <v>0.53790869553108944</v>
      </c>
      <c r="CA17" s="1">
        <v>4.9122358890619875</v>
      </c>
      <c r="CB17" s="1"/>
      <c r="CC17" s="1">
        <f>STDEVA(CC15,CC18)</f>
        <v>2.1433511528827025</v>
      </c>
      <c r="CD17" s="1">
        <v>0.38063026090758273</v>
      </c>
      <c r="CE17" s="1"/>
      <c r="CF17" s="1">
        <f>STDEVA(CF15,CF18)</f>
        <v>0.66873858802790287</v>
      </c>
      <c r="CG17" s="1">
        <v>2.2305212442062145E-2</v>
      </c>
      <c r="CH17" s="1"/>
      <c r="CI17" s="1">
        <f>STDEVA(CI15,CI18)</f>
        <v>5.7816786048413851E-2</v>
      </c>
      <c r="CJ17" s="1"/>
      <c r="CK17" s="1"/>
      <c r="CL17" s="1"/>
      <c r="CM17" s="1"/>
      <c r="CN17" s="1"/>
      <c r="CO17" s="1"/>
      <c r="CP17" s="1"/>
      <c r="CQ17" s="1"/>
      <c r="CR17" s="1"/>
    </row>
    <row r="18" spans="1:96" x14ac:dyDescent="0.25">
      <c r="A18" s="1"/>
      <c r="B18" s="1" t="s">
        <v>118</v>
      </c>
      <c r="C18" s="1">
        <v>6</v>
      </c>
      <c r="D18" s="1"/>
      <c r="E18" s="1">
        <v>10.936167169277933</v>
      </c>
      <c r="F18" s="1">
        <f>AVERAGE(E18:E20)</f>
        <v>11.4547338163839</v>
      </c>
      <c r="G18" s="1">
        <f>F18/F6</f>
        <v>2.2625957726238797</v>
      </c>
      <c r="H18" s="1">
        <v>0.15796405524950266</v>
      </c>
      <c r="I18" s="1">
        <f>AVERAGE(H18:H20)</f>
        <v>0.15985814110779586</v>
      </c>
      <c r="J18" s="1">
        <f>I18/I6</f>
        <v>1.0047547789233184</v>
      </c>
      <c r="K18" s="1">
        <v>0.10609681701209255</v>
      </c>
      <c r="L18" s="1">
        <f>AVERAGE(K18:K20)</f>
        <v>0.11293014122703914</v>
      </c>
      <c r="M18" s="1">
        <f>L18/L6</f>
        <v>0.6645398774968504</v>
      </c>
      <c r="N18" s="4">
        <v>6.8402947147399298E-3</v>
      </c>
      <c r="O18" s="4">
        <f>AVERAGE(N18:N20)</f>
        <v>6.9365690927691995E-3</v>
      </c>
      <c r="P18" s="4">
        <f>O18/O6</f>
        <v>2.1093885089219593</v>
      </c>
      <c r="Q18" s="4">
        <v>7.2165531188922976E-3</v>
      </c>
      <c r="R18" s="4">
        <f>AVERAGE(Q18:Q20)</f>
        <v>7.6090758016862476E-3</v>
      </c>
      <c r="S18" s="4">
        <f>R18/R6</f>
        <v>4.3422900193185621</v>
      </c>
      <c r="T18" s="4">
        <v>6.8361360286798229E-3</v>
      </c>
      <c r="U18" s="4">
        <f>AVERAGE(T18:T20)</f>
        <v>6.890617328794024E-3</v>
      </c>
      <c r="V18" s="4">
        <f>U18/U6</f>
        <v>2.6107914029549533</v>
      </c>
      <c r="W18" s="4">
        <v>0.1160862874027343</v>
      </c>
      <c r="X18" s="4">
        <f>AVERAGE(W18:W20)</f>
        <v>0.11460425105747492</v>
      </c>
      <c r="Y18" s="4">
        <f>X18/X6</f>
        <v>4.6457354595991234</v>
      </c>
      <c r="Z18" s="4">
        <v>5.5224638763097432E-2</v>
      </c>
      <c r="AA18" s="4">
        <f>AVERAGE(Z18:Z20)</f>
        <v>5.3113503594179608E-2</v>
      </c>
      <c r="AB18" s="4">
        <f>AA18/AA6</f>
        <v>4.8946530370281867</v>
      </c>
      <c r="AC18" s="4">
        <v>6.2734318205285189E-2</v>
      </c>
      <c r="AD18" s="4">
        <f>AVERAGE(AC18:AC20)</f>
        <v>6.4071925550332115E-2</v>
      </c>
      <c r="AE18" s="4">
        <f>AD18/AD6</f>
        <v>2.2969871215720175</v>
      </c>
      <c r="AF18" s="4">
        <v>0.15323446053192158</v>
      </c>
      <c r="AG18" s="4">
        <f>AVERAGE(AF18:AF20)</f>
        <v>0.13855335819309447</v>
      </c>
      <c r="AH18" s="4">
        <f>AG18/AG6</f>
        <v>1.7484033842790336</v>
      </c>
      <c r="AI18" s="4">
        <v>2.3284023792955584E-2</v>
      </c>
      <c r="AJ18" s="4">
        <f>AVERAGE(AI18:AI20)</f>
        <v>2.2713987491286849E-2</v>
      </c>
      <c r="AK18" s="4">
        <f>AJ18/AJ6</f>
        <v>1.5051057274198409</v>
      </c>
      <c r="AL18" s="4">
        <v>0.27596625122517959</v>
      </c>
      <c r="AM18" s="1">
        <f>AVERAGE(AL18:AL20)</f>
        <v>0.27279557839780361</v>
      </c>
      <c r="AN18" s="1">
        <f>AM18/AM6</f>
        <v>0.95622277933467292</v>
      </c>
      <c r="AP18" s="1">
        <v>4.0232071257954027</v>
      </c>
      <c r="AQ18" s="1">
        <f>AVERAGE(AP18:AP20)</f>
        <v>4.1518540570351012</v>
      </c>
      <c r="AR18" s="1">
        <f>AQ18/AQ6</f>
        <v>0.95900547773216915</v>
      </c>
      <c r="AS18" s="1">
        <v>0.1427712739965723</v>
      </c>
      <c r="AT18" s="1">
        <f>AVERAGE(AS18:AS20)</f>
        <v>0.15008505510851353</v>
      </c>
      <c r="AU18" s="1">
        <f>AT18/AT6</f>
        <v>1.335019047685756</v>
      </c>
      <c r="AV18" s="1">
        <v>3.535200891213218E-2</v>
      </c>
      <c r="AW18" s="1">
        <f>AVERAGE(AV18:AV20)</f>
        <v>3.605373026877353E-2</v>
      </c>
      <c r="AX18" s="1">
        <f>AW18/AW6</f>
        <v>0.7294582200105757</v>
      </c>
      <c r="AY18" s="1">
        <v>0.12982366727769962</v>
      </c>
      <c r="AZ18" s="1">
        <f>AVERAGE(AY18:AY20)</f>
        <v>0.13331359602333681</v>
      </c>
      <c r="BA18" s="1">
        <f>AZ18/AZ6</f>
        <v>2.2069368159262726</v>
      </c>
      <c r="BB18" s="1">
        <v>5.9538108515101933E-2</v>
      </c>
      <c r="BC18" s="1">
        <f>AVERAGE(BB18:BB20)</f>
        <v>6.2849699731545167E-2</v>
      </c>
      <c r="BD18" s="1">
        <f>BC18/BC6</f>
        <v>2.1303120401391067</v>
      </c>
      <c r="BE18">
        <v>9.9809855271846729E-2</v>
      </c>
      <c r="BF18" s="1">
        <f>AVERAGE(BE18:BE20)</f>
        <v>9.8483305784020647E-2</v>
      </c>
      <c r="BG18" s="1">
        <f>BF18/BF6</f>
        <v>1.5804437387562051</v>
      </c>
      <c r="BH18">
        <v>7.1511519211234234E-2</v>
      </c>
      <c r="BI18" s="1">
        <f>AVERAGE(BH18:BH20)</f>
        <v>7.2140982651178381E-2</v>
      </c>
      <c r="BJ18" s="1">
        <f>BI18/BI6</f>
        <v>1.5442308032230783</v>
      </c>
      <c r="BK18">
        <v>7.0994512551779465E-2</v>
      </c>
      <c r="BL18" s="1">
        <f>AVERAGE(BK18:BK20)</f>
        <v>7.1098944274471096E-2</v>
      </c>
      <c r="BM18" s="1">
        <f>BL18/BL6</f>
        <v>4.4787039080583604</v>
      </c>
      <c r="BN18">
        <v>0.19336088866626472</v>
      </c>
      <c r="BO18" s="1">
        <f>AVERAGE(BN18:BN20)</f>
        <v>0.19596815896421071</v>
      </c>
      <c r="BP18" s="1">
        <f>BO18/BO6</f>
        <v>1.2914596409623893</v>
      </c>
      <c r="BQ18">
        <v>0.87806506775794568</v>
      </c>
      <c r="BR18" s="1">
        <f>AVERAGE(BQ18:BQ20)</f>
        <v>0.90968599790665827</v>
      </c>
      <c r="BS18" s="1">
        <f>BR18/BR6</f>
        <v>3.6995641557150876</v>
      </c>
      <c r="BT18">
        <v>1.5779792433521754E-2</v>
      </c>
      <c r="BU18" s="1">
        <f>AVERAGE(BT18:BT20)</f>
        <v>1.6141563053416224E-2</v>
      </c>
      <c r="BV18" s="1">
        <f>BU18/BU6</f>
        <v>1.4253136280999994</v>
      </c>
      <c r="BW18">
        <v>0.52592336865271594</v>
      </c>
      <c r="BX18" s="1">
        <f>AVERAGE(BW18:BW20)</f>
        <v>0.5307269752849616</v>
      </c>
      <c r="BY18" s="1">
        <f>BX18/BX6</f>
        <v>1.8053764658636877</v>
      </c>
      <c r="CA18" s="1">
        <v>5.0619581860260698</v>
      </c>
      <c r="CB18" s="1">
        <f>AVERAGE(CA18:CA20)</f>
        <v>5.1822291896139498</v>
      </c>
      <c r="CC18" s="1">
        <f>CB18/CB6</f>
        <v>2.1459710002536467</v>
      </c>
      <c r="CD18" s="1">
        <v>0.28498423395186379</v>
      </c>
      <c r="CE18" s="1">
        <f>AVERAGE(CD18:CD20)</f>
        <v>0.29105271423484796</v>
      </c>
      <c r="CF18" s="1">
        <f>CE18/CE6</f>
        <v>2.4777451017218626</v>
      </c>
      <c r="CG18">
        <v>1.9771470467867869E-2</v>
      </c>
      <c r="CH18" s="1">
        <f>AVERAGE(CG18:CG20)</f>
        <v>2.1521583281736048E-2</v>
      </c>
      <c r="CI18" s="1">
        <f>CH18/CH6</f>
        <v>0.50323685464556756</v>
      </c>
      <c r="CJ18" s="1"/>
      <c r="CK18" s="1"/>
      <c r="CL18" s="1"/>
      <c r="CM18" s="1"/>
      <c r="CN18" s="1"/>
      <c r="CO18" s="1"/>
      <c r="CP18" s="1"/>
      <c r="CQ18" s="1"/>
      <c r="CR18" s="1"/>
    </row>
    <row r="19" spans="1:96" x14ac:dyDescent="0.25">
      <c r="A19" s="1"/>
      <c r="B19" s="1" t="s">
        <v>118</v>
      </c>
      <c r="C19" s="1">
        <v>6</v>
      </c>
      <c r="D19" s="1"/>
      <c r="E19" s="1">
        <v>11.854622693007576</v>
      </c>
      <c r="F19" s="1"/>
      <c r="G19" s="1"/>
      <c r="H19" s="1">
        <v>0.15880645708324445</v>
      </c>
      <c r="I19" s="1"/>
      <c r="J19" s="1"/>
      <c r="K19" s="1">
        <v>0.11534354373918018</v>
      </c>
      <c r="L19" s="1"/>
      <c r="M19" s="1"/>
      <c r="N19" s="4">
        <v>7.2746026711503252E-3</v>
      </c>
      <c r="O19" s="4"/>
      <c r="P19" s="4"/>
      <c r="Q19" s="4">
        <v>8.0947258563209799E-3</v>
      </c>
      <c r="R19" s="4"/>
      <c r="S19" s="4"/>
      <c r="T19" s="4">
        <v>6.6040439175534815E-3</v>
      </c>
      <c r="U19" s="4"/>
      <c r="V19" s="4"/>
      <c r="W19" s="4">
        <v>0.11424145204593521</v>
      </c>
      <c r="X19" s="4"/>
      <c r="Y19" s="4"/>
      <c r="Z19" s="4">
        <v>5.3382244792677828E-2</v>
      </c>
      <c r="AA19" s="4"/>
      <c r="AB19" s="4"/>
      <c r="AC19" s="4">
        <v>6.4368493754649134E-2</v>
      </c>
      <c r="AD19" s="4"/>
      <c r="AE19" s="4"/>
      <c r="AF19" s="4">
        <v>0.13240921681807821</v>
      </c>
      <c r="AG19" s="4"/>
      <c r="AH19" s="4"/>
      <c r="AI19" s="4">
        <v>2.2678916782587977E-2</v>
      </c>
      <c r="AJ19" s="4"/>
      <c r="AK19" s="4"/>
      <c r="AL19" s="4">
        <v>0.27737192853670717</v>
      </c>
      <c r="AM19" s="1"/>
      <c r="AN19" s="1"/>
      <c r="AP19" s="1">
        <v>4.2921804465421696</v>
      </c>
      <c r="AQ19" s="1"/>
      <c r="AR19" s="1"/>
      <c r="AS19" s="1">
        <v>0.15761532732579384</v>
      </c>
      <c r="AT19" s="1"/>
      <c r="AU19" s="1"/>
      <c r="AV19" s="1">
        <v>3.5915864845466591E-2</v>
      </c>
      <c r="AW19" s="1"/>
      <c r="AX19" s="1"/>
      <c r="AY19" s="1">
        <v>0.13680352476897398</v>
      </c>
      <c r="AZ19" s="1"/>
      <c r="BA19" s="1"/>
      <c r="BB19" s="1">
        <v>6.6161290947988394E-2</v>
      </c>
      <c r="BC19" s="1"/>
      <c r="BD19" s="1"/>
      <c r="BE19">
        <v>9.715675629619458E-2</v>
      </c>
      <c r="BF19" s="1"/>
      <c r="BG19" s="1"/>
      <c r="BH19">
        <v>7.2770446091122543E-2</v>
      </c>
      <c r="BI19" s="1"/>
      <c r="BJ19" s="1"/>
      <c r="BK19">
        <v>7.1203375997162727E-2</v>
      </c>
      <c r="BL19" s="1"/>
      <c r="BM19" s="1"/>
      <c r="BN19">
        <v>0.19857542926215671</v>
      </c>
      <c r="BO19" s="1"/>
      <c r="BP19" s="1"/>
      <c r="BQ19">
        <v>0.93918664770684612</v>
      </c>
      <c r="BR19" s="1"/>
      <c r="BS19" s="1"/>
      <c r="BT19">
        <v>1.5618358905493901E-2</v>
      </c>
      <c r="BU19" s="1"/>
      <c r="BV19" s="1"/>
      <c r="BW19">
        <v>0.52818379568667539</v>
      </c>
      <c r="BX19" s="1"/>
      <c r="BY19" s="1"/>
      <c r="CA19" s="1">
        <v>5.3214805888576366</v>
      </c>
      <c r="CB19" s="1"/>
      <c r="CC19" s="1"/>
      <c r="CD19" s="1">
        <v>0.28986210635591048</v>
      </c>
      <c r="CE19" s="1"/>
      <c r="CF19" s="1"/>
      <c r="CG19">
        <v>2.3180081801287472E-2</v>
      </c>
      <c r="CH19" s="1"/>
      <c r="CI19" s="1"/>
      <c r="CJ19" s="1"/>
      <c r="CK19" s="1"/>
      <c r="CL19" s="1"/>
      <c r="CM19" s="1"/>
      <c r="CN19" s="1"/>
      <c r="CO19" s="1"/>
      <c r="CP19" s="1"/>
      <c r="CQ19" s="1"/>
      <c r="CR19" s="1"/>
    </row>
    <row r="20" spans="1:96" x14ac:dyDescent="0.25">
      <c r="A20" s="1"/>
      <c r="B20" s="1" t="s">
        <v>118</v>
      </c>
      <c r="C20" s="1">
        <v>6</v>
      </c>
      <c r="D20" s="1"/>
      <c r="E20" s="1">
        <v>11.573411586866191</v>
      </c>
      <c r="F20" s="1"/>
      <c r="G20" s="1"/>
      <c r="H20" s="1">
        <v>0.16280391099064051</v>
      </c>
      <c r="I20" s="1"/>
      <c r="J20" s="1"/>
      <c r="K20" s="1">
        <v>0.11735006292984468</v>
      </c>
      <c r="L20" s="1"/>
      <c r="M20" s="1"/>
      <c r="N20" s="4">
        <v>6.6948098924173444E-3</v>
      </c>
      <c r="O20" s="4"/>
      <c r="P20" s="4"/>
      <c r="Q20" s="4">
        <v>7.5159484298454636E-3</v>
      </c>
      <c r="R20" s="4"/>
      <c r="S20" s="4"/>
      <c r="T20" s="4">
        <v>7.2316720401487695E-3</v>
      </c>
      <c r="U20" s="4"/>
      <c r="V20" s="4"/>
      <c r="W20" s="4">
        <v>0.11348501372375522</v>
      </c>
      <c r="X20" s="4"/>
      <c r="Y20" s="4"/>
      <c r="Z20" s="4">
        <v>5.0733627226763563E-2</v>
      </c>
      <c r="AA20" s="4"/>
      <c r="AB20" s="4"/>
      <c r="AC20" s="4">
        <v>6.5112964691062009E-2</v>
      </c>
      <c r="AD20" s="4"/>
      <c r="AE20" s="4"/>
      <c r="AF20" s="4">
        <v>0.13001639722928363</v>
      </c>
      <c r="AG20" s="4"/>
      <c r="AH20" s="4"/>
      <c r="AI20" s="4">
        <v>2.2179021898316983E-2</v>
      </c>
      <c r="AJ20" s="4"/>
      <c r="AK20" s="4"/>
      <c r="AL20" s="4">
        <v>0.265048555431524</v>
      </c>
      <c r="AM20" s="1"/>
      <c r="AN20" s="1"/>
      <c r="AP20" s="1">
        <v>4.1401745987677314</v>
      </c>
      <c r="AQ20" s="1"/>
      <c r="AR20" s="1"/>
      <c r="AS20" s="1">
        <v>0.14986856400317436</v>
      </c>
      <c r="AT20" s="1"/>
      <c r="AU20" s="1"/>
      <c r="AV20" s="1">
        <v>3.6893317048721806E-2</v>
      </c>
      <c r="AW20" s="1"/>
      <c r="AX20" s="1"/>
      <c r="AY20" s="1"/>
      <c r="AZ20" s="1"/>
      <c r="BA20" s="1"/>
      <c r="BB20" s="1"/>
      <c r="BC20" s="1"/>
      <c r="BD20" s="1"/>
      <c r="BE20" s="1"/>
      <c r="BF20" s="1"/>
      <c r="BG20" s="1"/>
      <c r="BH20" s="1"/>
      <c r="BI20" s="1"/>
      <c r="BJ20" s="1"/>
      <c r="BK20" s="1"/>
      <c r="BL20" s="1"/>
      <c r="BM20" s="1"/>
      <c r="BN20" s="1"/>
      <c r="BO20" s="1"/>
      <c r="BP20" s="1"/>
      <c r="BQ20">
        <v>0.91180627825518323</v>
      </c>
      <c r="BR20" s="1"/>
      <c r="BS20" s="1"/>
      <c r="BT20">
        <v>1.702653782123301E-2</v>
      </c>
      <c r="BU20" s="1"/>
      <c r="BV20" s="1"/>
      <c r="BW20">
        <v>0.53807376151549358</v>
      </c>
      <c r="BX20" s="1"/>
      <c r="BY20" s="1"/>
      <c r="CA20" s="1">
        <v>5.1632487939581413</v>
      </c>
      <c r="CB20" s="1"/>
      <c r="CC20" s="1"/>
      <c r="CD20" s="1">
        <v>0.29831180239676963</v>
      </c>
      <c r="CE20" s="1"/>
      <c r="CF20" s="1"/>
      <c r="CG20">
        <v>2.1613197576052803E-2</v>
      </c>
      <c r="CH20" s="1"/>
      <c r="CI20" s="1"/>
      <c r="CJ20" s="1"/>
      <c r="CK20" s="1"/>
      <c r="CL20" s="1"/>
      <c r="CM20" s="1"/>
      <c r="CN20" s="1"/>
      <c r="CO20" s="1"/>
      <c r="CP20" s="1"/>
      <c r="CQ20" s="1"/>
      <c r="CR20" s="1"/>
    </row>
    <row r="21" spans="1:96" x14ac:dyDescent="0.25">
      <c r="A21" s="1"/>
      <c r="B21" s="1" t="s">
        <v>16</v>
      </c>
      <c r="C21" s="1">
        <v>6</v>
      </c>
      <c r="D21" s="1"/>
      <c r="E21" s="1">
        <v>5.5639058444236653</v>
      </c>
      <c r="F21" s="1">
        <f>AVERAGE(E21:E23)</f>
        <v>5.4752633123813794</v>
      </c>
      <c r="G21" s="1">
        <f>F21/F3</f>
        <v>2.7176053665838156</v>
      </c>
      <c r="H21" s="1">
        <v>7.8410015838530495E-2</v>
      </c>
      <c r="I21" s="1">
        <f>AVERAGE(H21:H23)</f>
        <v>7.4513302651154453E-2</v>
      </c>
      <c r="J21" s="1">
        <f>I21/I3</f>
        <v>1.1098846481228697</v>
      </c>
      <c r="K21" s="1">
        <v>2.7670497627538919E-2</v>
      </c>
      <c r="L21" s="1">
        <f>AVERAGE(K21:K23)</f>
        <v>2.6363958242323765E-2</v>
      </c>
      <c r="M21" s="1">
        <f>L21/L3</f>
        <v>0.44343326933078364</v>
      </c>
      <c r="N21" s="1">
        <v>9.4198112288027304E-3</v>
      </c>
      <c r="O21" s="1">
        <f>AVERAGE(N21:N23)</f>
        <v>1.0789136928324597E-2</v>
      </c>
      <c r="P21" s="1">
        <f>O21/O3</f>
        <v>2.4666528082365149</v>
      </c>
      <c r="Q21" s="1">
        <v>1.1829499679716459E-2</v>
      </c>
      <c r="R21" s="1">
        <f>AVERAGE(Q21:Q23)</f>
        <v>1.1906394010871475E-2</v>
      </c>
      <c r="S21" s="1">
        <f>R21/R3</f>
        <v>1.5353364954691089</v>
      </c>
      <c r="T21" s="1">
        <v>7.2792064751277296E-3</v>
      </c>
      <c r="U21" s="1">
        <f>AVERAGE(T21:T23)</f>
        <v>7.0078975125080958E-3</v>
      </c>
      <c r="V21" s="1">
        <f>U21/U3</f>
        <v>2.6218149952959262</v>
      </c>
      <c r="W21" s="1">
        <v>0.13693355560619341</v>
      </c>
      <c r="X21" s="1">
        <f>AVERAGE(W21:W23)</f>
        <v>0.15931369057865691</v>
      </c>
      <c r="Y21" s="1">
        <f>X21/X3</f>
        <v>1.7113299598829281</v>
      </c>
      <c r="Z21" s="1">
        <v>0.55526095981089063</v>
      </c>
      <c r="AA21" s="1">
        <f>AVERAGE(Z21:Z23)</f>
        <v>0.57011520382331449</v>
      </c>
      <c r="AB21" s="1">
        <f>AA21/AA3</f>
        <v>1.8127397894469079</v>
      </c>
      <c r="AC21" s="1">
        <v>3.9701814080128302E-2</v>
      </c>
      <c r="AD21" s="1">
        <f>AVERAGE(AC21:AC23)</f>
        <v>4.2891843596883909E-2</v>
      </c>
      <c r="AE21" s="1">
        <f>AD21/AD3</f>
        <v>1.5537133300147274</v>
      </c>
      <c r="AF21" s="1">
        <v>0.78264843990416144</v>
      </c>
      <c r="AG21" s="1">
        <f>AVERAGE(AF21:AF23)</f>
        <v>0.78997156527624646</v>
      </c>
      <c r="AH21" s="1">
        <f>AG21/AG3</f>
        <v>9.961052152418695</v>
      </c>
      <c r="AI21" s="1">
        <v>2.9823668662430899E-2</v>
      </c>
      <c r="AJ21" s="1">
        <f>AVERAGE(AI21:AI23)</f>
        <v>3.1118939454613286E-2</v>
      </c>
      <c r="AK21" s="1">
        <f>AJ21/AJ3</f>
        <v>0.98270172935289157</v>
      </c>
      <c r="AL21" s="1">
        <v>0.61988247411764663</v>
      </c>
      <c r="AM21" s="1">
        <f>AVERAGE(AL21:AL23)</f>
        <v>0.68368723100344897</v>
      </c>
      <c r="AN21" s="1">
        <f>AM21/AM3</f>
        <v>1.7604361058439002</v>
      </c>
      <c r="AP21" s="1">
        <v>3.4467238939587412</v>
      </c>
      <c r="AQ21" s="1">
        <f>AVERAGE(AP21:AP23)</f>
        <v>3.4242963057928932</v>
      </c>
      <c r="AR21" s="1">
        <f>AQ21/AQ3</f>
        <v>1.6824819145103835</v>
      </c>
      <c r="AS21" s="1">
        <v>8.8227167004415963E-2</v>
      </c>
      <c r="AT21" s="1">
        <f>AVERAGE(AS21:AS23)</f>
        <v>9.0788907282631781E-2</v>
      </c>
      <c r="AU21" s="1">
        <f>AT21/AT3</f>
        <v>1.4866641676925236</v>
      </c>
      <c r="AV21" s="1">
        <v>1.8729564063054694E-2</v>
      </c>
      <c r="AW21" s="1">
        <f>AVERAGE(AV21:AV23)</f>
        <v>1.8777729808518509E-2</v>
      </c>
      <c r="AX21" s="1">
        <f>AW21/AW3</f>
        <v>0.35710637388908051</v>
      </c>
      <c r="AY21" s="1">
        <v>2.0310735676562979E-2</v>
      </c>
      <c r="AZ21" s="1">
        <f>AVERAGE(AY21:AY23)</f>
        <v>2.056939371703196E-2</v>
      </c>
      <c r="BA21" s="1">
        <f>AZ21/AZ3</f>
        <v>2.5023332659540847</v>
      </c>
      <c r="BB21" s="1">
        <v>2.8371438575361872E-2</v>
      </c>
      <c r="BC21" s="1">
        <f>AVERAGE(BB21:BB23)</f>
        <v>2.8851878829134321E-2</v>
      </c>
      <c r="BD21" s="1">
        <f>BC21/BC3</f>
        <v>1.7350898549750926</v>
      </c>
      <c r="BE21" s="1">
        <v>3.6449384652331634E-2</v>
      </c>
      <c r="BF21" s="1">
        <f>AVERAGE(BE21:BE23)</f>
        <v>3.6337737363299767E-2</v>
      </c>
      <c r="BG21" s="1">
        <f>BF21/BF3</f>
        <v>1.8326278652326646</v>
      </c>
      <c r="BH21" s="1">
        <v>5.2116656281850846E-2</v>
      </c>
      <c r="BI21" s="1">
        <f>AVERAGE(BH21:BH23)</f>
        <v>5.1439282657643401E-2</v>
      </c>
      <c r="BJ21" s="1">
        <f>BI21/BI3</f>
        <v>2.7982828468123375</v>
      </c>
      <c r="BK21" s="1">
        <v>0.15031894852246258</v>
      </c>
      <c r="BL21" s="1">
        <f>AVERAGE(BK21:BK23)</f>
        <v>0.15099788652329493</v>
      </c>
      <c r="BM21" s="1">
        <f>BL21/BL3</f>
        <v>2.8427422642059303</v>
      </c>
      <c r="BN21" s="1">
        <v>4.5453577014427031E-2</v>
      </c>
      <c r="BO21" s="1">
        <f>AVERAGE(BN21:BN23)</f>
        <v>4.5789826560350702E-2</v>
      </c>
      <c r="BP21" s="1">
        <f>BO21/BO3</f>
        <v>1.0827158254030294</v>
      </c>
      <c r="BQ21" s="1">
        <v>9.0499056055646426E-2</v>
      </c>
      <c r="BR21" s="1">
        <f>AVERAGE(BQ21:BQ23)</f>
        <v>8.8267542483094333E-2</v>
      </c>
      <c r="BS21" s="1">
        <f>BR21/BR3</f>
        <v>1.5396774701583567</v>
      </c>
      <c r="BT21" s="1">
        <v>0.14650360824580599</v>
      </c>
      <c r="BU21" s="1">
        <f>AVERAGE(BT21:BT23)</f>
        <v>0.14883105680549899</v>
      </c>
      <c r="BV21" s="1">
        <f>BU21/BU3</f>
        <v>2.0235458921394898</v>
      </c>
      <c r="BW21" s="1">
        <v>0.24389456745746393</v>
      </c>
      <c r="BX21" s="1">
        <f>AVERAGE(BW21:BW23)</f>
        <v>0.24095551150046077</v>
      </c>
      <c r="BY21" s="1">
        <f>BX21/BX3</f>
        <v>1.1123625589775954</v>
      </c>
      <c r="CA21" s="1">
        <v>3.8835533816327406</v>
      </c>
      <c r="CB21" s="1">
        <f>AVERAGE(CA21:CA23)</f>
        <v>3.8557783155913938</v>
      </c>
      <c r="CC21" s="1">
        <f>CB21/CB3</f>
        <v>4.1843055777366507</v>
      </c>
      <c r="CD21" s="1">
        <v>0.20517496078119429</v>
      </c>
      <c r="CE21" s="1">
        <f>AVERAGE(CD21:CD23)</f>
        <v>0.20482534239759412</v>
      </c>
      <c r="CF21" s="1">
        <f>CE21/CE3</f>
        <v>0.8397675833322219</v>
      </c>
      <c r="CG21" s="1">
        <v>9.7390826994878232E-3</v>
      </c>
      <c r="CH21" s="1">
        <f>AVERAGE(CG21:CG23)</f>
        <v>9.6718080402118257E-3</v>
      </c>
      <c r="CI21" s="1">
        <f>CH21/CH3</f>
        <v>0.2635670526316079</v>
      </c>
      <c r="CJ21" s="1">
        <v>1.9969313759170687E-2</v>
      </c>
      <c r="CK21" s="1">
        <v>4.5184507313953568E-3</v>
      </c>
      <c r="CL21" s="1">
        <v>1.1468212642061148E-2</v>
      </c>
      <c r="CM21" s="1">
        <v>2.740690543956549E-2</v>
      </c>
      <c r="CN21" s="1">
        <v>8.9514295438278976E-2</v>
      </c>
      <c r="CO21" s="1">
        <v>1.0917520418987853E-2</v>
      </c>
      <c r="CP21" s="1">
        <v>6.6487401989697131E-2</v>
      </c>
      <c r="CQ21" s="1">
        <v>1.0176267312020706</v>
      </c>
      <c r="CR21" s="1">
        <v>4.5721059546804756E-2</v>
      </c>
    </row>
    <row r="22" spans="1:96" x14ac:dyDescent="0.25">
      <c r="A22" s="1"/>
      <c r="B22" s="1" t="s">
        <v>16</v>
      </c>
      <c r="C22" s="1">
        <v>6</v>
      </c>
      <c r="D22" s="1"/>
      <c r="E22" s="1">
        <v>5.5816101596289824</v>
      </c>
      <c r="F22" s="1"/>
      <c r="G22" s="1">
        <f>AVERAGE(G21,G24)</f>
        <v>2.5090657597085242</v>
      </c>
      <c r="H22" s="1">
        <v>7.1853362254912345E-2</v>
      </c>
      <c r="I22" s="1"/>
      <c r="J22" s="1">
        <f>AVERAGE(J21,J24)</f>
        <v>1.0792638209415051</v>
      </c>
      <c r="K22" s="1">
        <v>2.1950090463266101E-2</v>
      </c>
      <c r="L22" s="1"/>
      <c r="M22" s="1">
        <f>AVERAGE(M21,M24)</f>
        <v>0.59993379385246293</v>
      </c>
      <c r="N22" s="1">
        <v>1.2158462627846464E-2</v>
      </c>
      <c r="O22" s="1"/>
      <c r="P22" s="1">
        <f>AVERAGE(P21,P24)</f>
        <v>2.165550822842417</v>
      </c>
      <c r="Q22" s="1">
        <v>1.1983288342026492E-2</v>
      </c>
      <c r="R22" s="1"/>
      <c r="S22" s="1">
        <f>AVERAGE(S21,S24)</f>
        <v>2.5379075308401204</v>
      </c>
      <c r="T22" s="1">
        <v>6.7365885498884611E-3</v>
      </c>
      <c r="U22" s="1"/>
      <c r="V22" s="1">
        <f>AVERAGE(V21,V24)</f>
        <v>2.3840376397289109</v>
      </c>
      <c r="W22" s="1">
        <v>0.18169382555112037</v>
      </c>
      <c r="X22" s="1"/>
      <c r="Y22" s="1">
        <f>AVERAGE(Y21,Y24)</f>
        <v>2.8031775779495516</v>
      </c>
      <c r="Z22" s="1">
        <v>0.58496944783573834</v>
      </c>
      <c r="AA22" s="1"/>
      <c r="AB22" s="1">
        <f>AVERAGE(AB21,AB24)</f>
        <v>2.8662707344589711</v>
      </c>
      <c r="AC22" s="1">
        <v>4.6081873113639517E-2</v>
      </c>
      <c r="AD22" s="1"/>
      <c r="AE22" s="1">
        <f>AVERAGE(AE21,AE24)</f>
        <v>1.9667697173633241</v>
      </c>
      <c r="AF22" s="1">
        <v>0.79729469064833147</v>
      </c>
      <c r="AG22" s="1"/>
      <c r="AH22" s="1">
        <f>AVERAGE(AH21,AH24)</f>
        <v>5.7183802798673451</v>
      </c>
      <c r="AI22" s="1">
        <v>3.2414210246795673E-2</v>
      </c>
      <c r="AJ22" s="1"/>
      <c r="AK22" s="1">
        <f>AVERAGE(AK21,AK24)</f>
        <v>1.1588727036610702</v>
      </c>
      <c r="AL22" s="1">
        <v>0.7474919878892512</v>
      </c>
      <c r="AM22" s="1"/>
      <c r="AN22" s="1">
        <f>AVERAGE(AN21,AN24)</f>
        <v>1.2971313042777037</v>
      </c>
      <c r="AP22" s="1">
        <v>3.4925531087567587</v>
      </c>
      <c r="AQ22" s="1"/>
      <c r="AR22" s="1">
        <f>AVERAGE(AR21,AR24)</f>
        <v>1.5656864841522937</v>
      </c>
      <c r="AS22" s="1">
        <v>9.2007090087987728E-2</v>
      </c>
      <c r="AT22" s="1"/>
      <c r="AU22" s="1">
        <f>AVERAGE(AU21,AU24)</f>
        <v>1.5187188995991436</v>
      </c>
      <c r="AV22" s="1">
        <v>1.9269047545140319E-2</v>
      </c>
      <c r="AW22" s="1"/>
      <c r="AX22" s="1">
        <f>AVERAGE(AX21,AX24)</f>
        <v>0.40940076824142096</v>
      </c>
      <c r="AY22" s="1">
        <v>2.0828051757500937E-2</v>
      </c>
      <c r="AZ22" s="1"/>
      <c r="BA22" s="1">
        <f>AVERAGE(BA21,BA24)</f>
        <v>1.9817386827783241</v>
      </c>
      <c r="BB22" s="1">
        <v>2.9332319082906767E-2</v>
      </c>
      <c r="BC22" s="1"/>
      <c r="BD22" s="1">
        <f>AVERAGE(BD21,BD24)</f>
        <v>1.385547140040021</v>
      </c>
      <c r="BE22" s="1">
        <v>3.62260900742679E-2</v>
      </c>
      <c r="BF22" s="1"/>
      <c r="BG22" s="1">
        <f>AVERAGE(BG21,BG24)</f>
        <v>1.5294593846979392</v>
      </c>
      <c r="BH22" s="1">
        <v>5.0761909033435963E-2</v>
      </c>
      <c r="BI22" s="1"/>
      <c r="BJ22" s="1">
        <f>AVERAGE(BJ21,BJ24)</f>
        <v>2.0344935736975711</v>
      </c>
      <c r="BK22" s="1">
        <v>0.15167682452412726</v>
      </c>
      <c r="BL22" s="1"/>
      <c r="BM22" s="1">
        <f>AVERAGE(BM21,BM24)</f>
        <v>1.9952677337319842</v>
      </c>
      <c r="BN22" s="1">
        <v>4.6126076106274373E-2</v>
      </c>
      <c r="BO22" s="1"/>
      <c r="BP22" s="1">
        <f>AVERAGE(BP21,BP24)</f>
        <v>1.0079592853002866</v>
      </c>
      <c r="BQ22" s="1">
        <v>8.6036028910542239E-2</v>
      </c>
      <c r="BR22" s="1"/>
      <c r="BS22" s="1">
        <f>AVERAGE(BS21,BS24)</f>
        <v>1.4470748542249459</v>
      </c>
      <c r="BT22" s="1">
        <v>0.15115850536519199</v>
      </c>
      <c r="BU22" s="1"/>
      <c r="BV22" s="1">
        <f>AVERAGE(BV21,BV24)</f>
        <v>1.772245211187399</v>
      </c>
      <c r="BW22" s="1">
        <v>0.2380164555434576</v>
      </c>
      <c r="BX22" s="1"/>
      <c r="BY22" s="1">
        <f>AVERAGE(BY21,BY24)</f>
        <v>1.0305277669053232</v>
      </c>
      <c r="CA22" s="1">
        <v>3.9300436651878905</v>
      </c>
      <c r="CB22" s="1"/>
      <c r="CC22" s="1">
        <f>AVERAGE(CC21,CC24)</f>
        <v>2.2029793860150897</v>
      </c>
      <c r="CD22" s="1">
        <v>0.2084254059826651</v>
      </c>
      <c r="CE22" s="1"/>
      <c r="CF22" s="1">
        <f>AVERAGE(CF21,CF24)</f>
        <v>2.1575090617485699</v>
      </c>
      <c r="CG22" s="1">
        <v>9.6994033381614213E-3</v>
      </c>
      <c r="CH22" s="1"/>
      <c r="CI22" s="1">
        <f>AVERAGE(CI21,CI24)</f>
        <v>3.8707460971991403</v>
      </c>
      <c r="CJ22" s="1">
        <v>1.9664879754887416E-2</v>
      </c>
      <c r="CK22" s="1">
        <v>4.5510228092150258E-3</v>
      </c>
      <c r="CL22" s="1">
        <v>1.0730207951339124E-2</v>
      </c>
      <c r="CM22" s="1">
        <v>2.7947377029501411E-2</v>
      </c>
      <c r="CN22" s="1">
        <v>9.2455091649205415E-2</v>
      </c>
      <c r="CO22" s="1">
        <v>1.1116094625766196E-2</v>
      </c>
      <c r="CP22" s="1">
        <v>6.779227740880571E-2</v>
      </c>
      <c r="CQ22" s="1">
        <v>1.0363893704574487</v>
      </c>
      <c r="CR22" s="1">
        <v>4.3994016133041963E-2</v>
      </c>
    </row>
    <row r="23" spans="1:96" x14ac:dyDescent="0.25">
      <c r="A23" s="1"/>
      <c r="B23" s="1" t="s">
        <v>16</v>
      </c>
      <c r="C23" s="1">
        <v>6</v>
      </c>
      <c r="D23" s="1"/>
      <c r="E23" s="1">
        <v>5.2802739330914878</v>
      </c>
      <c r="F23" s="1"/>
      <c r="G23" s="1">
        <f>STDEVA(G21,G24)</f>
        <v>0.29491954033499029</v>
      </c>
      <c r="H23" s="1">
        <v>7.327652986002052E-2</v>
      </c>
      <c r="I23" s="1"/>
      <c r="J23" s="1">
        <f>STDEVA(J21,J24)</f>
        <v>4.3304389090968537E-2</v>
      </c>
      <c r="K23" s="1">
        <v>2.9471286636166275E-2</v>
      </c>
      <c r="L23" s="1"/>
      <c r="M23" s="1">
        <f>STDEVA(M21,M24)</f>
        <v>0.22132516429706203</v>
      </c>
      <c r="O23" s="1"/>
      <c r="P23" s="1">
        <f>STDEVA(P21,P24)</f>
        <v>0.42582251140179544</v>
      </c>
      <c r="R23" s="1"/>
      <c r="S23" s="1">
        <f>STDEVA(S21,S24)</f>
        <v>1.4178495554641202</v>
      </c>
      <c r="U23" s="1"/>
      <c r="V23" s="1">
        <f>STDEVA(V21,V24)</f>
        <v>0.3362679610680831</v>
      </c>
      <c r="X23" s="1"/>
      <c r="Y23" s="1">
        <f>STDEVA(Y21,Y24)</f>
        <v>1.5441057095145794</v>
      </c>
      <c r="AA23" s="1"/>
      <c r="AB23" s="1">
        <f>STDEVA(AB21,AB24)</f>
        <v>1.4899177508158024</v>
      </c>
      <c r="AD23" s="1"/>
      <c r="AE23" s="1">
        <f>STDEVA(AE21,AE24)</f>
        <v>0.58414994501322137</v>
      </c>
      <c r="AG23" s="1"/>
      <c r="AH23" s="1">
        <f>STDEVA(AH21,AH24)</f>
        <v>6.0000441028609748</v>
      </c>
      <c r="AJ23" s="1"/>
      <c r="AK23" s="1">
        <f>STDEVA(AK21,AK24)</f>
        <v>0.24914338116310727</v>
      </c>
      <c r="AM23" s="1"/>
      <c r="AN23" s="1">
        <f>STDEVA(AN21,AN24)</f>
        <v>0.65521193388749044</v>
      </c>
      <c r="AP23" s="1">
        <v>3.3336119146631806</v>
      </c>
      <c r="AQ23" s="1"/>
      <c r="AR23" s="1">
        <f>STDEVA(AR21,AR24)</f>
        <v>0.16517368163561294</v>
      </c>
      <c r="AS23" s="1">
        <v>9.2132464755491639E-2</v>
      </c>
      <c r="AT23" s="1"/>
      <c r="AU23" s="1">
        <f>STDEVA(AU21,AU24)</f>
        <v>4.5332236600575594E-2</v>
      </c>
      <c r="AV23" s="1">
        <v>1.8334577817360517E-2</v>
      </c>
      <c r="AW23" s="1"/>
      <c r="AX23" s="1">
        <f>STDEVA(AX21,AX24)</f>
        <v>7.3955441729166918E-2</v>
      </c>
      <c r="AZ23" s="1"/>
      <c r="BA23" s="1">
        <f>STDEVA(BA21,BA24)</f>
        <v>0.73623192002512794</v>
      </c>
      <c r="BC23" s="1"/>
      <c r="BD23" s="1">
        <f>STDEVA(BD21,BD24)</f>
        <v>0.494328048089891</v>
      </c>
      <c r="BF23" s="1"/>
      <c r="BG23" s="1">
        <f>STDEVA(BG21,BG24)</f>
        <v>0.42874497685625185</v>
      </c>
      <c r="BI23" s="1"/>
      <c r="BJ23" s="1">
        <f>STDEVA(BJ21,BJ24)</f>
        <v>1.0801611488339908</v>
      </c>
      <c r="BL23" s="1"/>
      <c r="BM23" s="1">
        <f>STDEVA(BM21,BM24)</f>
        <v>1.1985099747620249</v>
      </c>
      <c r="BO23" s="1"/>
      <c r="BP23" s="1">
        <f>STDEVA(BP21,BP24)</f>
        <v>0.10572171288938718</v>
      </c>
      <c r="BR23" s="1"/>
      <c r="BS23" s="1">
        <f>STDEVA(BS21,BS24)</f>
        <v>0.13095987536425641</v>
      </c>
      <c r="BU23" s="1"/>
      <c r="BV23" s="1">
        <f>STDEVA(BV21,BV24)</f>
        <v>0.35539283123604026</v>
      </c>
      <c r="BX23" s="1"/>
      <c r="BY23" s="1">
        <f>STDEVA(BY21,BY24)</f>
        <v>0.11573187282258955</v>
      </c>
      <c r="CA23" s="1">
        <v>3.75373789995355</v>
      </c>
      <c r="CB23" s="1"/>
      <c r="CC23" s="1">
        <f>STDEVA(CC21,CC24)</f>
        <v>2.8020183718176672</v>
      </c>
      <c r="CD23" s="1">
        <v>0.20087566042892299</v>
      </c>
      <c r="CE23" s="1"/>
      <c r="CF23" s="1">
        <f>STDEVA(CF21,CF24)</f>
        <v>1.8635678704779717</v>
      </c>
      <c r="CG23" s="1">
        <v>9.5769380829862343E-3</v>
      </c>
      <c r="CH23" s="1"/>
      <c r="CI23" s="1">
        <f>STDEVA(CI21,CI24)</f>
        <v>5.1013215267354282</v>
      </c>
      <c r="CJ23" s="1"/>
      <c r="CK23" s="1"/>
      <c r="CL23" s="1"/>
      <c r="CM23" s="1"/>
      <c r="CN23" s="1"/>
      <c r="CO23" s="1"/>
      <c r="CP23" s="1"/>
      <c r="CQ23" s="1"/>
      <c r="CR23" s="1"/>
    </row>
    <row r="24" spans="1:96" x14ac:dyDescent="0.25">
      <c r="A24" s="1"/>
      <c r="B24" s="1" t="s">
        <v>16</v>
      </c>
      <c r="C24" s="1">
        <v>6</v>
      </c>
      <c r="D24" s="1"/>
      <c r="E24" s="1">
        <v>11.682567740194889</v>
      </c>
      <c r="F24" s="1">
        <f>AVERAGE(E24:E26)</f>
        <v>11.646762111543545</v>
      </c>
      <c r="G24" s="1">
        <f>F24/F6</f>
        <v>2.3005261528332333</v>
      </c>
      <c r="H24" s="1">
        <v>0.16472835354565205</v>
      </c>
      <c r="I24" s="1">
        <f>AVERAGE(H24:H26)</f>
        <v>0.16684082841371947</v>
      </c>
      <c r="J24" s="1">
        <f>I24/I6</f>
        <v>1.0486429937601405</v>
      </c>
      <c r="K24" s="1">
        <v>0.12871170969328291</v>
      </c>
      <c r="L24" s="1">
        <f>AVERAGE(K24:K26)</f>
        <v>0.12854643836385249</v>
      </c>
      <c r="M24" s="1">
        <f>L24/L6</f>
        <v>0.75643431837414221</v>
      </c>
      <c r="N24" s="1">
        <v>6.2597554973219663E-3</v>
      </c>
      <c r="O24" s="1">
        <f>AVERAGE(N24:N26)</f>
        <v>6.1311029837282328E-3</v>
      </c>
      <c r="P24" s="1">
        <f>O24/O6</f>
        <v>1.8644488374483186</v>
      </c>
      <c r="Q24" s="1">
        <v>6.1944789723630302E-3</v>
      </c>
      <c r="R24" s="1">
        <f>AVERAGE(Q24:Q26)</f>
        <v>6.204046635460249E-3</v>
      </c>
      <c r="S24" s="1">
        <f>R24/R6</f>
        <v>3.540478566211132</v>
      </c>
      <c r="T24" s="1">
        <v>5.5939051376621305E-3</v>
      </c>
      <c r="U24" s="1">
        <f>AVERAGE(T24:T26)</f>
        <v>5.6645882506774561E-3</v>
      </c>
      <c r="V24" s="1">
        <f>U24/U6</f>
        <v>2.1462602841618952</v>
      </c>
      <c r="W24" s="1">
        <v>9.3200048705409488E-2</v>
      </c>
      <c r="X24" s="1">
        <f>AVERAGE(W24:W26)</f>
        <v>9.6085205307395297E-2</v>
      </c>
      <c r="Y24" s="1">
        <f>X24/X6</f>
        <v>3.8950251960161753</v>
      </c>
      <c r="Z24" s="1">
        <v>4.3080362375510703E-2</v>
      </c>
      <c r="AA24" s="1">
        <f>AVERAGE(Z24:Z26)</f>
        <v>4.2535068168480912E-2</v>
      </c>
      <c r="AB24" s="1">
        <f>AA24/AA6</f>
        <v>3.9198016794710342</v>
      </c>
      <c r="AC24" s="1">
        <v>6.6242887183264931E-2</v>
      </c>
      <c r="AD24" s="1">
        <f>AVERAGE(AC24:AC26)</f>
        <v>6.6382627735189229E-2</v>
      </c>
      <c r="AE24" s="1">
        <f>AD24/AD6</f>
        <v>2.3798261047119209</v>
      </c>
      <c r="AF24" s="1">
        <v>9.2120071013193264E-2</v>
      </c>
      <c r="AG24" s="1">
        <f>AVERAGE(AF24:AF26)</f>
        <v>0.11694346818696331</v>
      </c>
      <c r="AH24" s="1">
        <f>AG24/AG6</f>
        <v>1.4757084073159961</v>
      </c>
      <c r="AI24" s="1">
        <v>2.2354715698859957E-2</v>
      </c>
      <c r="AJ24" s="1">
        <f>AVERAGE(AI24:AI26)</f>
        <v>2.0147531731009315E-2</v>
      </c>
      <c r="AK24" s="1">
        <f>AJ24/AJ6</f>
        <v>1.3350436779692487</v>
      </c>
      <c r="AL24" s="1">
        <v>0.24474999034130845</v>
      </c>
      <c r="AM24" s="1">
        <f>AVERAGE(AL24:AL26)</f>
        <v>0.23787781258345456</v>
      </c>
      <c r="AN24" s="1">
        <f>AM24/AM6</f>
        <v>0.83382650271150716</v>
      </c>
      <c r="AP24" s="1">
        <v>6.5509332032933054</v>
      </c>
      <c r="AQ24" s="1">
        <f>AVERAGE(AP24:AP26)</f>
        <v>6.2727318452057466</v>
      </c>
      <c r="AR24" s="1">
        <f>AQ24/AQ6</f>
        <v>1.4488910537942039</v>
      </c>
      <c r="AS24" s="1">
        <v>0.17572393271671541</v>
      </c>
      <c r="AT24" s="1">
        <f>AVERAGE(AS24:AS26)</f>
        <v>0.17434054319212802</v>
      </c>
      <c r="AU24" s="1">
        <f>AT24/AT6</f>
        <v>1.5507736315057636</v>
      </c>
      <c r="AV24" s="1">
        <v>2.2617819587912619E-2</v>
      </c>
      <c r="AW24" s="1">
        <f>AVERAGE(AV24:AV26)</f>
        <v>2.2819446545289026E-2</v>
      </c>
      <c r="AX24" s="1">
        <f>AW24/AW6</f>
        <v>0.46169516259376142</v>
      </c>
      <c r="AY24" s="1">
        <v>8.7555769224706551E-2</v>
      </c>
      <c r="AZ24" s="1">
        <f>AVERAGE(AY24:AY26)</f>
        <v>8.8262777991921323E-2</v>
      </c>
      <c r="BA24" s="1">
        <f>AZ24/AZ6</f>
        <v>1.4611440996025633</v>
      </c>
      <c r="BB24" s="1">
        <v>2.9988922586495343E-2</v>
      </c>
      <c r="BC24" s="1">
        <f>AVERAGE(BB24:BB26)</f>
        <v>3.0564802625884971E-2</v>
      </c>
      <c r="BD24" s="1">
        <f>BC24/BC6</f>
        <v>1.0360044251049494</v>
      </c>
      <c r="BE24">
        <v>7.6284760662382364E-2</v>
      </c>
      <c r="BF24" s="1">
        <f>AVERAGE(BE24:BE26)</f>
        <v>7.6414730327517499E-2</v>
      </c>
      <c r="BG24" s="1">
        <f>BF24/BF6</f>
        <v>1.2262909041632137</v>
      </c>
      <c r="BH24">
        <v>5.8635303771421628E-2</v>
      </c>
      <c r="BI24" s="1">
        <f>AVERAGE(BH24:BH26)</f>
        <v>5.9362795193432821E-2</v>
      </c>
      <c r="BJ24" s="1">
        <f>BI24/BI6</f>
        <v>1.2707043005828045</v>
      </c>
      <c r="BK24">
        <v>1.7924649196863367E-2</v>
      </c>
      <c r="BL24" s="1">
        <f>AVERAGE(BK24:BK26)</f>
        <v>1.8221094020131084E-2</v>
      </c>
      <c r="BM24" s="1">
        <f>BL24/BL6</f>
        <v>1.1477932032580378</v>
      </c>
      <c r="BN24">
        <v>0.1435479901841144</v>
      </c>
      <c r="BO24" s="1">
        <f>AVERAGE(BN24:BN26)</f>
        <v>0.14160568252866984</v>
      </c>
      <c r="BP24" s="1">
        <f>BO24/BO6</f>
        <v>0.93320274519754354</v>
      </c>
      <c r="BQ24">
        <v>0.30741352396911076</v>
      </c>
      <c r="BR24" s="1">
        <f>AVERAGE(BQ24:BQ26)</f>
        <v>0.33305124005585446</v>
      </c>
      <c r="BS24" s="1">
        <f>BR24/BR6</f>
        <v>1.3544722382915351</v>
      </c>
      <c r="BT24">
        <v>1.7366203439082236E-2</v>
      </c>
      <c r="BU24" s="1">
        <f>AVERAGE(BT24:BT26)</f>
        <v>1.722457538574752E-2</v>
      </c>
      <c r="BV24" s="1">
        <f>BU24/BU6</f>
        <v>1.5209445302353082</v>
      </c>
      <c r="BW24">
        <v>0.27935803116675167</v>
      </c>
      <c r="BX24" s="1">
        <f>AVERAGE(BW24:BW26)</f>
        <v>0.27888751322919547</v>
      </c>
      <c r="BY24" s="1">
        <f>BX24/BX6</f>
        <v>0.94869297483305104</v>
      </c>
      <c r="CA24" s="1">
        <v>0.46610845336351941</v>
      </c>
      <c r="CB24" s="1">
        <f>AVERAGE(CA24:CA26)</f>
        <v>0.53526243052833822</v>
      </c>
      <c r="CC24" s="1">
        <f>CB24/CB6</f>
        <v>0.22165319429352862</v>
      </c>
      <c r="CD24" s="1">
        <v>0.32395980709703742</v>
      </c>
      <c r="CE24" s="1">
        <f>AVERAGE(CD24:CD26)</f>
        <v>0.40822645624774356</v>
      </c>
      <c r="CF24" s="1">
        <f>CE24/CE6</f>
        <v>3.4752505401649176</v>
      </c>
      <c r="CG24">
        <v>0.28507618381042982</v>
      </c>
      <c r="CH24" s="1">
        <f>AVERAGE(CG24:CG26)</f>
        <v>0.31980326406433002</v>
      </c>
      <c r="CI24" s="1">
        <f>CH24/CH6</f>
        <v>7.477925141766673</v>
      </c>
      <c r="CJ24" s="1"/>
      <c r="CK24" s="1"/>
      <c r="CL24" s="1"/>
      <c r="CM24" s="1"/>
      <c r="CN24" s="1"/>
      <c r="CO24" s="1"/>
      <c r="CP24" s="1"/>
      <c r="CQ24" s="1"/>
      <c r="CR24" s="1"/>
    </row>
    <row r="25" spans="1:96" x14ac:dyDescent="0.25">
      <c r="A25" s="1"/>
      <c r="B25" s="1" t="s">
        <v>16</v>
      </c>
      <c r="C25" s="1">
        <v>6</v>
      </c>
      <c r="D25" s="1"/>
      <c r="E25" s="1">
        <v>11.97803317268025</v>
      </c>
      <c r="F25" s="1"/>
      <c r="G25" s="1"/>
      <c r="H25" s="1">
        <v>0.16851914018267011</v>
      </c>
      <c r="I25" s="1"/>
      <c r="J25" s="1"/>
      <c r="K25" s="1">
        <v>0.12917966484936089</v>
      </c>
      <c r="L25" s="1"/>
      <c r="M25" s="1"/>
      <c r="N25" s="1">
        <v>6.0393701005118129E-3</v>
      </c>
      <c r="O25" s="1"/>
      <c r="P25" s="1"/>
      <c r="Q25" s="1">
        <v>6.1813895327228335E-3</v>
      </c>
      <c r="R25" s="1"/>
      <c r="S25" s="1"/>
      <c r="T25" s="1">
        <v>5.446715354986335E-3</v>
      </c>
      <c r="U25" s="1"/>
      <c r="V25" s="1"/>
      <c r="W25" s="1">
        <v>9.7165402550020818E-2</v>
      </c>
      <c r="X25" s="1"/>
      <c r="Y25" s="1"/>
      <c r="Z25" s="1">
        <v>4.1344806591487898E-2</v>
      </c>
      <c r="AA25" s="1"/>
      <c r="AB25" s="1"/>
      <c r="AC25" s="1">
        <v>6.6658693210766062E-2</v>
      </c>
      <c r="AD25" s="1"/>
      <c r="AE25" s="1"/>
      <c r="AF25" s="1">
        <v>0.12969950872164954</v>
      </c>
      <c r="AG25" s="1"/>
      <c r="AH25" s="1"/>
      <c r="AI25" s="1">
        <v>1.877336293850896E-2</v>
      </c>
      <c r="AJ25" s="1"/>
      <c r="AK25" s="1"/>
      <c r="AL25" s="1">
        <v>0.23695562490059041</v>
      </c>
      <c r="AM25" s="1"/>
      <c r="AN25" s="1"/>
      <c r="AP25" s="1">
        <v>6.5456781980101635</v>
      </c>
      <c r="AQ25" s="1"/>
      <c r="AR25" s="1"/>
      <c r="AS25" s="1">
        <v>0.1722418047897265</v>
      </c>
      <c r="AT25" s="1"/>
      <c r="AU25" s="1"/>
      <c r="AV25" s="1">
        <v>2.2937805031655132E-2</v>
      </c>
      <c r="AW25" s="1"/>
      <c r="AX25" s="1"/>
      <c r="AY25" s="1">
        <v>8.8969786759136096E-2</v>
      </c>
      <c r="AZ25" s="1"/>
      <c r="BA25" s="1"/>
      <c r="BB25" s="1">
        <v>3.1140682665274602E-2</v>
      </c>
      <c r="BC25" s="1"/>
      <c r="BD25" s="1"/>
      <c r="BE25">
        <v>7.6544699992652634E-2</v>
      </c>
      <c r="BF25" s="1"/>
      <c r="BG25" s="1"/>
      <c r="BH25">
        <v>6.0090286615444015E-2</v>
      </c>
      <c r="BI25" s="1"/>
      <c r="BJ25" s="1"/>
      <c r="BK25">
        <v>1.8517538843398806E-2</v>
      </c>
      <c r="BL25" s="1"/>
      <c r="BM25" s="1"/>
      <c r="BN25">
        <v>0.1396633748732253</v>
      </c>
      <c r="BO25" s="1"/>
      <c r="BP25" s="1"/>
      <c r="BQ25">
        <v>0.34037445640905434</v>
      </c>
      <c r="BR25" s="1"/>
      <c r="BS25" s="1"/>
      <c r="BT25">
        <v>1.7897173883084646E-2</v>
      </c>
      <c r="BU25" s="1"/>
      <c r="BV25" s="1"/>
      <c r="BW25">
        <v>0.27778946723195974</v>
      </c>
      <c r="BX25" s="1"/>
      <c r="BY25" s="1"/>
      <c r="CA25" s="1">
        <v>0.59813603912028679</v>
      </c>
      <c r="CB25" s="1"/>
      <c r="CC25" s="1"/>
      <c r="CD25" s="1">
        <v>0.42232583061460793</v>
      </c>
      <c r="CE25" s="1"/>
      <c r="CF25" s="1"/>
      <c r="CG25">
        <v>0.36235444551977852</v>
      </c>
      <c r="CH25" s="1"/>
      <c r="CI25" s="1"/>
      <c r="CJ25" s="1"/>
      <c r="CK25" s="1"/>
      <c r="CL25" s="1"/>
      <c r="CM25" s="1"/>
      <c r="CN25" s="1"/>
      <c r="CO25" s="1"/>
      <c r="CP25" s="1"/>
      <c r="CQ25" s="1"/>
      <c r="CR25" s="1"/>
    </row>
    <row r="26" spans="1:96" x14ac:dyDescent="0.25">
      <c r="A26" s="1"/>
      <c r="B26" s="1" t="s">
        <v>16</v>
      </c>
      <c r="C26" s="1">
        <v>6</v>
      </c>
      <c r="D26" s="1"/>
      <c r="E26" s="1">
        <v>11.279685421755493</v>
      </c>
      <c r="F26" s="1"/>
      <c r="G26" s="1"/>
      <c r="H26" s="1">
        <v>0.1672749915128362</v>
      </c>
      <c r="I26" s="1"/>
      <c r="J26" s="1"/>
      <c r="K26" s="1">
        <v>0.1277479405489137</v>
      </c>
      <c r="L26" s="1"/>
      <c r="M26" s="1"/>
      <c r="N26" s="1">
        <v>6.0941833533509175E-3</v>
      </c>
      <c r="O26" s="1"/>
      <c r="P26" s="1"/>
      <c r="Q26" s="1">
        <v>6.236271401294886E-3</v>
      </c>
      <c r="R26" s="1"/>
      <c r="S26" s="1"/>
      <c r="T26" s="1">
        <v>5.953144259383902E-3</v>
      </c>
      <c r="U26" s="1"/>
      <c r="V26" s="1"/>
      <c r="W26" s="1">
        <v>9.7890164666755583E-2</v>
      </c>
      <c r="X26" s="1"/>
      <c r="Y26" s="1"/>
      <c r="Z26" s="1">
        <v>4.3180035538444135E-2</v>
      </c>
      <c r="AA26" s="1"/>
      <c r="AB26" s="1"/>
      <c r="AC26" s="1">
        <v>6.6246302811536692E-2</v>
      </c>
      <c r="AD26" s="1"/>
      <c r="AE26" s="1"/>
      <c r="AF26" s="1">
        <v>0.12901082482604714</v>
      </c>
      <c r="AG26" s="1"/>
      <c r="AH26" s="1"/>
      <c r="AI26" s="1">
        <v>1.9314516555659019E-2</v>
      </c>
      <c r="AJ26" s="1"/>
      <c r="AK26" s="1"/>
      <c r="AL26" s="1">
        <v>0.23192782250846489</v>
      </c>
      <c r="AM26" s="1"/>
      <c r="AN26" s="1"/>
      <c r="AP26" s="1">
        <v>5.7215841343137681</v>
      </c>
      <c r="AQ26" s="1"/>
      <c r="AR26" s="1"/>
      <c r="AS26" s="1">
        <v>0.17505589206994226</v>
      </c>
      <c r="AT26" s="1"/>
      <c r="AU26" s="1"/>
      <c r="AV26" s="1">
        <v>2.2902715016299324E-2</v>
      </c>
      <c r="AW26" s="1"/>
      <c r="AX26" s="1"/>
      <c r="AY26" s="1"/>
      <c r="AZ26" s="1"/>
      <c r="BA26" s="1"/>
      <c r="BB26" s="1"/>
      <c r="BC26" s="1"/>
      <c r="BD26" s="1"/>
      <c r="BE26" s="1"/>
      <c r="BF26" s="1"/>
      <c r="BG26" s="1"/>
      <c r="BH26" s="1"/>
      <c r="BI26" s="1"/>
      <c r="BJ26" s="1"/>
      <c r="BK26" s="1"/>
      <c r="BL26" s="1"/>
      <c r="BM26" s="1"/>
      <c r="BN26" s="1"/>
      <c r="BO26" s="1"/>
      <c r="BP26" s="1"/>
      <c r="BQ26">
        <v>0.35136573978939817</v>
      </c>
      <c r="BR26" s="1"/>
      <c r="BS26" s="1"/>
      <c r="BT26">
        <v>1.641034883507567E-2</v>
      </c>
      <c r="BU26" s="1"/>
      <c r="BV26" s="1"/>
      <c r="BW26">
        <v>0.279515041288875</v>
      </c>
      <c r="BX26" s="1"/>
      <c r="BY26" s="1"/>
      <c r="CA26" s="1">
        <v>0.54154279910120862</v>
      </c>
      <c r="CB26" s="1"/>
      <c r="CC26" s="1"/>
      <c r="CD26" s="1">
        <v>0.47839373103158528</v>
      </c>
      <c r="CE26" s="1"/>
      <c r="CF26" s="1"/>
      <c r="CG26">
        <v>0.31197916286278177</v>
      </c>
      <c r="CH26" s="1"/>
      <c r="CI26" s="1"/>
      <c r="CJ26" s="1"/>
      <c r="CK26" s="1"/>
      <c r="CL26" s="1"/>
      <c r="CM26" s="1"/>
      <c r="CN26" s="1"/>
      <c r="CO26" s="1"/>
      <c r="CP26" s="1"/>
      <c r="CQ26" s="1"/>
      <c r="CR26" s="1"/>
    </row>
    <row r="27" spans="1:96" x14ac:dyDescent="0.25">
      <c r="A27" s="1"/>
      <c r="B27" s="1" t="s">
        <v>117</v>
      </c>
      <c r="C27" s="1">
        <v>16</v>
      </c>
      <c r="D27" s="1"/>
      <c r="E27" s="1">
        <v>5.5743424236924985</v>
      </c>
      <c r="F27" s="1">
        <f>AVERAGE(E27:E29)</f>
        <v>5.5719904506163616</v>
      </c>
      <c r="G27" s="1">
        <f>F27/F27</f>
        <v>1</v>
      </c>
      <c r="H27" s="1">
        <v>0.23656444347339128</v>
      </c>
      <c r="I27" s="1">
        <f>AVERAGE(H27:H29)</f>
        <v>0.24843952835305125</v>
      </c>
      <c r="J27" s="1">
        <f>I27/I27</f>
        <v>1</v>
      </c>
      <c r="K27" s="1">
        <v>0.14255969280850947</v>
      </c>
      <c r="L27" s="1">
        <f>AVERAGE(K27:K29)</f>
        <v>0.13277738210199422</v>
      </c>
      <c r="M27" s="1">
        <f>L27/L27</f>
        <v>1</v>
      </c>
      <c r="N27" s="1">
        <v>1.3494044588438975E-2</v>
      </c>
      <c r="O27" s="1">
        <f>AVERAGE(N27:N29)</f>
        <v>1.3037023797633935E-2</v>
      </c>
      <c r="P27" s="1">
        <f>O27/O27</f>
        <v>1</v>
      </c>
      <c r="Q27" s="1">
        <v>0.20301800209387039</v>
      </c>
      <c r="R27" s="1">
        <f>AVERAGE(Q27:Q29)</f>
        <v>0.17545460852915756</v>
      </c>
      <c r="S27" s="1">
        <f>R27/R27</f>
        <v>1</v>
      </c>
      <c r="T27" s="1">
        <v>1.6485949061642677E-2</v>
      </c>
      <c r="U27" s="1">
        <f>AVERAGE(T27:T29)</f>
        <v>1.1310466438552954E-2</v>
      </c>
      <c r="V27" s="1">
        <f>U27/U27</f>
        <v>1</v>
      </c>
      <c r="W27" s="1">
        <v>0.61541629628638628</v>
      </c>
      <c r="X27" s="1">
        <f>AVERAGE(W27:W29)</f>
        <v>0.62036963276600354</v>
      </c>
      <c r="Y27" s="1">
        <f>X27/X27</f>
        <v>1</v>
      </c>
      <c r="Z27" s="1">
        <v>0.12610788660950861</v>
      </c>
      <c r="AA27" s="1">
        <f>AVERAGE(Z27:Z29)</f>
        <v>0.12364980509753351</v>
      </c>
      <c r="AB27" s="1">
        <f>AA27/AA27</f>
        <v>1</v>
      </c>
      <c r="AC27" s="1">
        <v>4.5848167706692956E-2</v>
      </c>
      <c r="AD27" s="1">
        <f>AVERAGE(AC27:AC29)</f>
        <v>4.4479583723505259E-2</v>
      </c>
      <c r="AE27" s="1">
        <f>AD27/AD27</f>
        <v>1</v>
      </c>
      <c r="AF27" s="1">
        <v>0.14444130064570054</v>
      </c>
      <c r="AG27" s="1">
        <f>AVERAGE(AF27:AF29)</f>
        <v>0.13669130541972982</v>
      </c>
      <c r="AH27" s="1">
        <f>AG27/AG27</f>
        <v>1</v>
      </c>
      <c r="AI27" s="1">
        <v>1.2308509383766496E-2</v>
      </c>
      <c r="AJ27" s="1">
        <f>AVERAGE(AI27:AI29)</f>
        <v>1.2348040271779104E-2</v>
      </c>
      <c r="AK27" s="1">
        <f>AJ27/AJ27</f>
        <v>1</v>
      </c>
      <c r="AL27" s="1">
        <v>0.12220574014442057</v>
      </c>
      <c r="AM27" s="1">
        <f>AVERAGE(AL27:AL29)</f>
        <v>0.12051119533838409</v>
      </c>
      <c r="AN27" s="1">
        <f>AM27/AM27</f>
        <v>1</v>
      </c>
      <c r="AP27" s="1">
        <v>4.925604689366847</v>
      </c>
      <c r="AQ27" s="1">
        <f>AVERAGE(AP27:AP29)</f>
        <v>5.0818269318352982</v>
      </c>
      <c r="AR27" s="1">
        <f>AQ27/AQ27</f>
        <v>1</v>
      </c>
      <c r="AS27" s="1">
        <v>0.13157590554178428</v>
      </c>
      <c r="AT27" s="1">
        <f>AVERAGE(AS27:AS29)</f>
        <v>0.13644072589137182</v>
      </c>
      <c r="AU27" s="1">
        <f>AT27/AT27</f>
        <v>1</v>
      </c>
      <c r="AV27" s="1">
        <v>0.10008850800511453</v>
      </c>
      <c r="AW27" s="1">
        <f>AVERAGE(AV27:AV29)</f>
        <v>0.10403219865802993</v>
      </c>
      <c r="AX27" s="1">
        <f>AW27/AW27</f>
        <v>1</v>
      </c>
      <c r="AY27" s="1">
        <v>5.8733473310327883E-2</v>
      </c>
      <c r="AZ27" s="1">
        <f>AVERAGE(AY27:AY29)</f>
        <v>5.8761440604200313E-2</v>
      </c>
      <c r="BA27" s="1">
        <f>AZ27/AZ27</f>
        <v>1</v>
      </c>
      <c r="BB27" s="1">
        <v>0.62975129125212981</v>
      </c>
      <c r="BC27" s="1">
        <f>AVERAGE(BB27:BB29)</f>
        <v>0.56299201443674984</v>
      </c>
      <c r="BD27" s="1">
        <f>BC27/BC27</f>
        <v>1</v>
      </c>
      <c r="BE27" s="1">
        <v>3.9222070992538445E-2</v>
      </c>
      <c r="BF27" s="1">
        <f>AVERAGE(BE27:BE29)</f>
        <v>3.9048586005533056E-2</v>
      </c>
      <c r="BG27" s="1">
        <f>BF27/BF27</f>
        <v>1</v>
      </c>
      <c r="BH27" s="1">
        <v>1.5376394325147527</v>
      </c>
      <c r="BI27" s="1">
        <f>AVERAGE(BH27:BH29)</f>
        <v>1.5597582549529032</v>
      </c>
      <c r="BJ27" s="1">
        <f>BI27/BI27</f>
        <v>1</v>
      </c>
      <c r="BK27" s="1">
        <v>6.6069951062252847E-3</v>
      </c>
      <c r="BL27" s="1">
        <f>AVERAGE(BK27:BK29)</f>
        <v>6.6538863421538204E-3</v>
      </c>
      <c r="BM27" s="1">
        <f>BL27/BL27</f>
        <v>1</v>
      </c>
      <c r="BN27" s="1">
        <v>0.10044473159346995</v>
      </c>
      <c r="BO27" s="1">
        <f>AVERAGE(BN27:BN29)</f>
        <v>0.1061869147391928</v>
      </c>
      <c r="BP27" s="1">
        <f>BO27/BO27</f>
        <v>1</v>
      </c>
      <c r="BQ27" s="1">
        <v>0.35363725631574916</v>
      </c>
      <c r="BR27" s="1">
        <f>AVERAGE(BQ27:BQ29)</f>
        <v>0.3575623595389566</v>
      </c>
      <c r="BS27" s="1">
        <f>BR27/BR27</f>
        <v>1</v>
      </c>
      <c r="BT27" s="1">
        <v>2.0662777773579066E-2</v>
      </c>
      <c r="BU27" s="1">
        <f>AVERAGE(BT27:BT29)</f>
        <v>1.7618456347047076E-2</v>
      </c>
      <c r="BV27" s="1">
        <f>BU27/BU27</f>
        <v>1</v>
      </c>
      <c r="BW27" s="1">
        <v>0.31032681633483494</v>
      </c>
      <c r="BX27" s="1">
        <f>AVERAGE(BW27:BW29)</f>
        <v>0.31861609093692</v>
      </c>
      <c r="BY27" s="1">
        <f>BX27/BX27</f>
        <v>1</v>
      </c>
      <c r="CA27" s="1">
        <v>2.7774130094241443</v>
      </c>
      <c r="CB27" s="1">
        <f>AVERAGE(CA27:CA29)</f>
        <v>2.7706372953896197</v>
      </c>
      <c r="CC27" s="1">
        <f>CB27/CB27</f>
        <v>1</v>
      </c>
      <c r="CD27" s="1">
        <v>0.53143853331544399</v>
      </c>
      <c r="CE27" s="1">
        <f>AVERAGE(CD27:CD29)</f>
        <v>0.53220538699727793</v>
      </c>
      <c r="CF27" s="1">
        <f>CE27/CE27</f>
        <v>1</v>
      </c>
      <c r="CG27" s="1">
        <v>0.11134370732625457</v>
      </c>
      <c r="CH27" s="1">
        <f>AVERAGE(CG27:CG29)</f>
        <v>0.12409553443140355</v>
      </c>
      <c r="CI27" s="1">
        <f>CH27/CH27</f>
        <v>1</v>
      </c>
      <c r="CJ27" s="1">
        <v>4.7564916964867192E-2</v>
      </c>
      <c r="CK27" s="1">
        <v>6.8570808831692788E-3</v>
      </c>
      <c r="CL27" s="1">
        <v>2.1607199345677751E-2</v>
      </c>
      <c r="CM27" s="1">
        <v>2.2927356519785651E-2</v>
      </c>
      <c r="CN27" s="1">
        <v>9.395529729297962E-2</v>
      </c>
      <c r="CO27" s="1">
        <v>1.4543780339244099E-2</v>
      </c>
      <c r="CP27" s="1">
        <v>1.6216741021924427E-2</v>
      </c>
      <c r="CQ27" s="1">
        <v>0.27960675659859974</v>
      </c>
      <c r="CR27" s="1">
        <v>4.5973263313956507E-2</v>
      </c>
    </row>
    <row r="28" spans="1:96" x14ac:dyDescent="0.25">
      <c r="A28" s="1"/>
      <c r="B28" s="1" t="s">
        <v>117</v>
      </c>
      <c r="C28" s="1">
        <v>16</v>
      </c>
      <c r="D28" s="1"/>
      <c r="E28" s="1">
        <v>5.4874817377807723</v>
      </c>
      <c r="F28" s="1"/>
      <c r="G28" s="1">
        <f>AVERAGE(G27,G30)</f>
        <v>1</v>
      </c>
      <c r="H28" s="1">
        <v>0.26999056326524873</v>
      </c>
      <c r="I28" s="1"/>
      <c r="J28" s="1">
        <f>AVERAGE(J27,J30)</f>
        <v>1</v>
      </c>
      <c r="K28" s="1">
        <v>0.12551699669951399</v>
      </c>
      <c r="L28" s="1"/>
      <c r="M28" s="1">
        <f>AVERAGE(M27,M30)</f>
        <v>1</v>
      </c>
      <c r="N28" s="1">
        <v>1.2580003006828894E-2</v>
      </c>
      <c r="O28" s="1"/>
      <c r="P28" s="1">
        <f>AVERAGE(P27,P30)</f>
        <v>1</v>
      </c>
      <c r="Q28" s="1">
        <v>0.14789121496444471</v>
      </c>
      <c r="R28" s="1"/>
      <c r="S28" s="1">
        <f>AVERAGE(S27,S30)</f>
        <v>1</v>
      </c>
      <c r="T28" s="1">
        <v>6.1349838154632318E-3</v>
      </c>
      <c r="U28" s="1"/>
      <c r="V28" s="1">
        <f>AVERAGE(V27,V30)</f>
        <v>1</v>
      </c>
      <c r="W28" s="1">
        <v>0.62532296924562081</v>
      </c>
      <c r="X28" s="1"/>
      <c r="Y28" s="1">
        <f>AVERAGE(Y27,Y30)</f>
        <v>1</v>
      </c>
      <c r="Z28" s="1">
        <v>0.12119172358555839</v>
      </c>
      <c r="AA28" s="1"/>
      <c r="AB28" s="1">
        <f>AVERAGE(AB27,AB30)</f>
        <v>1</v>
      </c>
      <c r="AC28" s="1">
        <v>4.3110999740317554E-2</v>
      </c>
      <c r="AD28" s="1"/>
      <c r="AE28" s="1">
        <f>AVERAGE(AE27,AE30)</f>
        <v>1</v>
      </c>
      <c r="AF28" s="1">
        <v>0.1289413101937591</v>
      </c>
      <c r="AG28" s="1"/>
      <c r="AH28" s="1">
        <f>AVERAGE(AH27,AH30)</f>
        <v>1</v>
      </c>
      <c r="AI28" s="1">
        <v>1.2387571159791713E-2</v>
      </c>
      <c r="AJ28" s="1"/>
      <c r="AK28" s="1">
        <f>AVERAGE(AK27,AK30)</f>
        <v>1</v>
      </c>
      <c r="AL28" s="1">
        <v>0.11881665053234762</v>
      </c>
      <c r="AM28" s="1"/>
      <c r="AN28" s="1">
        <f>AVERAGE(AN27,AN30)</f>
        <v>1</v>
      </c>
      <c r="AP28" s="1">
        <v>5.1285103332244368</v>
      </c>
      <c r="AQ28" s="1"/>
      <c r="AR28" s="1">
        <f>AVERAGE(AR27,AR30)</f>
        <v>1</v>
      </c>
      <c r="AS28" s="1">
        <v>0.13417292399958652</v>
      </c>
      <c r="AT28" s="1"/>
      <c r="AU28" s="1">
        <f>AVERAGE(AU27,AU30)</f>
        <v>1</v>
      </c>
      <c r="AV28" s="1">
        <v>0.11085269257946154</v>
      </c>
      <c r="AW28" s="1"/>
      <c r="AX28" s="1">
        <f>AVERAGE(AX27,AX30)</f>
        <v>1</v>
      </c>
      <c r="AY28" s="1">
        <v>5.8789407898072736E-2</v>
      </c>
      <c r="AZ28" s="1"/>
      <c r="BA28" s="1">
        <f>AVERAGE(BA27,BA30)</f>
        <v>1</v>
      </c>
      <c r="BB28" s="1">
        <v>0.49623273762136988</v>
      </c>
      <c r="BC28" s="1"/>
      <c r="BD28" s="1">
        <f>AVERAGE(BD27,BD30)</f>
        <v>1</v>
      </c>
      <c r="BE28" s="1">
        <v>3.8875101018527668E-2</v>
      </c>
      <c r="BF28" s="1"/>
      <c r="BG28" s="1">
        <f>AVERAGE(BG27,BG30)</f>
        <v>1</v>
      </c>
      <c r="BH28" s="1">
        <v>1.581877077391054</v>
      </c>
      <c r="BI28" s="1"/>
      <c r="BJ28" s="1">
        <f>AVERAGE(BJ27,BJ30)</f>
        <v>1</v>
      </c>
      <c r="BK28" s="1">
        <v>6.7007775780823569E-3</v>
      </c>
      <c r="BL28" s="1"/>
      <c r="BM28" s="1">
        <f>AVERAGE(BM27,BM30)</f>
        <v>1</v>
      </c>
      <c r="BN28" s="1">
        <v>0.11192909788491565</v>
      </c>
      <c r="BO28" s="1"/>
      <c r="BP28" s="1">
        <f>AVERAGE(BP27,BP30)</f>
        <v>1</v>
      </c>
      <c r="BQ28" s="1">
        <v>0.36148746276216404</v>
      </c>
      <c r="BR28" s="1"/>
      <c r="BS28" s="1">
        <f>AVERAGE(BS27,BS30)</f>
        <v>1</v>
      </c>
      <c r="BT28" s="1">
        <v>1.4574134920515087E-2</v>
      </c>
      <c r="BU28" s="1"/>
      <c r="BV28" s="1">
        <f>AVERAGE(BV27,BV30)</f>
        <v>1</v>
      </c>
      <c r="BW28" s="1">
        <v>0.32690536553900501</v>
      </c>
      <c r="BX28" s="1"/>
      <c r="BY28" s="1">
        <f>AVERAGE(BY27,BY30)</f>
        <v>1</v>
      </c>
      <c r="CA28" s="1">
        <v>2.7389610209818049</v>
      </c>
      <c r="CB28" s="1"/>
      <c r="CC28" s="1">
        <f>AVERAGE(CC27,CC30)</f>
        <v>1</v>
      </c>
      <c r="CD28" s="1">
        <v>0.54207127162444202</v>
      </c>
      <c r="CE28" s="1"/>
      <c r="CF28" s="1">
        <f>AVERAGE(CF27,CF30)</f>
        <v>1</v>
      </c>
      <c r="CG28" s="1">
        <v>0.14827209504738559</v>
      </c>
      <c r="CH28" s="1"/>
      <c r="CI28" s="1">
        <f>AVERAGE(CI27,CI30)</f>
        <v>1</v>
      </c>
      <c r="CJ28" s="1">
        <v>4.8265144273749623E-2</v>
      </c>
      <c r="CK28" s="1">
        <v>7.0494633728799584E-3</v>
      </c>
      <c r="CL28" s="1">
        <v>2.1433560658752696E-2</v>
      </c>
      <c r="CM28" s="1">
        <v>2.4181883815478551E-2</v>
      </c>
      <c r="CN28" s="1">
        <v>9.4881263158539383E-2</v>
      </c>
      <c r="CO28" s="1">
        <v>1.451322083122706E-2</v>
      </c>
      <c r="CP28" s="1">
        <v>4.1310477558147179E-2</v>
      </c>
      <c r="CQ28" s="1">
        <v>0.28445575952283947</v>
      </c>
      <c r="CR28" s="1">
        <v>4.6985723366881532E-2</v>
      </c>
    </row>
    <row r="29" spans="1:96" x14ac:dyDescent="0.25">
      <c r="A29" s="1"/>
      <c r="B29" s="1" t="s">
        <v>117</v>
      </c>
      <c r="C29" s="1">
        <v>16</v>
      </c>
      <c r="D29" s="1"/>
      <c r="E29" s="1">
        <v>5.654147190375812</v>
      </c>
      <c r="F29" s="1"/>
      <c r="G29" s="1">
        <f>STDEVA(G27,G30)</f>
        <v>0</v>
      </c>
      <c r="H29" s="1">
        <v>0.23876357832051373</v>
      </c>
      <c r="I29" s="1"/>
      <c r="J29" s="1">
        <f>STDEVA(J27,J30)</f>
        <v>0</v>
      </c>
      <c r="K29" s="1">
        <v>0.13025545679795927</v>
      </c>
      <c r="L29" s="1"/>
      <c r="M29" s="1">
        <f>STDEVA(M27,M30)</f>
        <v>0</v>
      </c>
      <c r="O29" s="1"/>
      <c r="P29" s="1">
        <f>STDEVA(P27,P30)</f>
        <v>0</v>
      </c>
      <c r="R29" s="1"/>
      <c r="S29" s="1">
        <f>STDEVA(S27,S30)</f>
        <v>0</v>
      </c>
      <c r="U29" s="1"/>
      <c r="V29" s="1">
        <f>STDEVA(V27,V30)</f>
        <v>0</v>
      </c>
      <c r="X29" s="1"/>
      <c r="Y29" s="1">
        <f>STDEVA(Y27,Y30)</f>
        <v>0</v>
      </c>
      <c r="AA29" s="1"/>
      <c r="AB29" s="1">
        <f>STDEVA(AB27,AB30)</f>
        <v>0</v>
      </c>
      <c r="AD29" s="1"/>
      <c r="AE29" s="1">
        <f>STDEVA(AE27,AE30)</f>
        <v>0</v>
      </c>
      <c r="AG29" s="1"/>
      <c r="AH29" s="1">
        <f>STDEVA(AH27,AH30)</f>
        <v>0</v>
      </c>
      <c r="AJ29" s="1"/>
      <c r="AK29" s="1">
        <f>STDEVA(AK27,AK30)</f>
        <v>0</v>
      </c>
      <c r="AM29" s="1"/>
      <c r="AN29" s="1">
        <f>STDEVA(AN27,AN30)</f>
        <v>0</v>
      </c>
      <c r="AP29" s="1">
        <v>5.1913657729146117</v>
      </c>
      <c r="AQ29" s="1"/>
      <c r="AR29" s="1">
        <f>STDEVA(AR27,AR30)</f>
        <v>0</v>
      </c>
      <c r="AS29" s="1">
        <v>0.14357334813274467</v>
      </c>
      <c r="AT29" s="1"/>
      <c r="AU29" s="1">
        <f>STDEVA(AU27,AU30)</f>
        <v>0</v>
      </c>
      <c r="AV29" s="1">
        <v>0.10115539538951372</v>
      </c>
      <c r="AW29" s="1"/>
      <c r="AX29" s="1">
        <f>STDEVA(AX27,AX30)</f>
        <v>0</v>
      </c>
      <c r="AZ29" s="1"/>
      <c r="BA29" s="1">
        <f>STDEVA(BA27,BA30)</f>
        <v>0</v>
      </c>
      <c r="BC29" s="1"/>
      <c r="BD29" s="1">
        <f>STDEVA(BD27,BD30)</f>
        <v>0</v>
      </c>
      <c r="BF29" s="1"/>
      <c r="BG29" s="1">
        <f>STDEVA(BG27,BG30)</f>
        <v>0</v>
      </c>
      <c r="BI29" s="1"/>
      <c r="BJ29" s="1">
        <f>STDEVA(BJ27,BJ30)</f>
        <v>0</v>
      </c>
      <c r="BL29" s="1"/>
      <c r="BM29" s="1">
        <f>STDEVA(BM27,BM30)</f>
        <v>0</v>
      </c>
      <c r="BO29" s="1"/>
      <c r="BP29" s="1">
        <f>STDEVA(BP27,BP30)</f>
        <v>0</v>
      </c>
      <c r="BR29" s="1"/>
      <c r="BS29" s="1">
        <f>STDEVA(BS27,BS30)</f>
        <v>0</v>
      </c>
      <c r="BU29" s="1"/>
      <c r="BV29" s="1">
        <f>STDEVA(BV27,BV30)</f>
        <v>0</v>
      </c>
      <c r="BX29" s="1"/>
      <c r="BY29" s="1">
        <f>STDEVA(BY27,BY30)</f>
        <v>0</v>
      </c>
      <c r="CA29" s="1">
        <v>2.7955378557629103</v>
      </c>
      <c r="CB29" s="1"/>
      <c r="CC29" s="1">
        <f>STDEVA(CC27,CC30)</f>
        <v>0</v>
      </c>
      <c r="CD29" s="1">
        <v>0.52310635605194788</v>
      </c>
      <c r="CE29" s="1"/>
      <c r="CF29" s="1">
        <f>STDEVA(CF27,CF30)</f>
        <v>0</v>
      </c>
      <c r="CG29" s="1">
        <v>0.11267080092057054</v>
      </c>
      <c r="CH29" s="1"/>
      <c r="CI29" s="1">
        <f>STDEVA(CI27,CI30)</f>
        <v>0</v>
      </c>
      <c r="CJ29" s="1"/>
      <c r="CK29" s="1"/>
      <c r="CL29" s="1"/>
      <c r="CM29" s="1"/>
      <c r="CN29" s="1"/>
      <c r="CO29" s="1"/>
      <c r="CP29" s="1"/>
      <c r="CQ29" s="1"/>
      <c r="CR29" s="1"/>
    </row>
    <row r="30" spans="1:96" x14ac:dyDescent="0.25">
      <c r="A30" s="1"/>
      <c r="B30" s="1" t="s">
        <v>117</v>
      </c>
      <c r="C30" s="1">
        <v>16</v>
      </c>
      <c r="D30" s="1"/>
      <c r="E30" s="1">
        <v>6.0272854772639803</v>
      </c>
      <c r="F30" s="1">
        <f>AVERAGE(E30:E32)</f>
        <v>6.2577518609477112</v>
      </c>
      <c r="G30" s="1">
        <f>F30/F30</f>
        <v>1</v>
      </c>
      <c r="H30" s="1">
        <v>0.13188287690904812</v>
      </c>
      <c r="I30" s="1">
        <f>AVERAGE(H30:H32)</f>
        <v>0.13033930486163137</v>
      </c>
      <c r="J30" s="1">
        <f>I30/I30</f>
        <v>1</v>
      </c>
      <c r="K30" s="1">
        <v>0.16489522149541452</v>
      </c>
      <c r="L30" s="1">
        <f>AVERAGE(K30:K32)</f>
        <v>0.16488425406890217</v>
      </c>
      <c r="M30" s="1">
        <f>L30/L30</f>
        <v>1</v>
      </c>
      <c r="N30" s="1">
        <v>7.4793995819166844E-3</v>
      </c>
      <c r="O30" s="1">
        <f>AVERAGE(N30:N32)</f>
        <v>7.4170913744480852E-3</v>
      </c>
      <c r="P30" s="1">
        <f>O30/O30</f>
        <v>1</v>
      </c>
      <c r="Q30" s="1">
        <v>5.0669335920953077E-3</v>
      </c>
      <c r="R30" s="1">
        <f>AVERAGE(Q30:Q32)</f>
        <v>5.1095357273435622E-3</v>
      </c>
      <c r="S30" s="1">
        <f>R30/R30</f>
        <v>1</v>
      </c>
      <c r="T30" s="1">
        <v>6.007076665706647E-3</v>
      </c>
      <c r="U30" s="1">
        <f>AVERAGE(T30:T32)</f>
        <v>6.0119947801125888E-3</v>
      </c>
      <c r="V30" s="1">
        <f>U30/U30</f>
        <v>1</v>
      </c>
      <c r="W30" s="1">
        <v>2.9412504225195105E-2</v>
      </c>
      <c r="X30" s="1">
        <f>AVERAGE(W30:W32)</f>
        <v>2.8605933320004436E-2</v>
      </c>
      <c r="Y30" s="1">
        <f>X30/X30</f>
        <v>1</v>
      </c>
      <c r="Z30" s="1">
        <v>5.716929221063332E-2</v>
      </c>
      <c r="AA30" s="1">
        <f>AVERAGE(Z30:Z32)</f>
        <v>5.8262171964418685E-2</v>
      </c>
      <c r="AB30" s="1">
        <f>AA30/AA30</f>
        <v>1</v>
      </c>
      <c r="AC30" s="1">
        <v>0.10642202120584364</v>
      </c>
      <c r="AD30" s="1">
        <f>AVERAGE(AC30:AC32)</f>
        <v>0.10611334395232397</v>
      </c>
      <c r="AE30" s="1">
        <f>AD30/AD30</f>
        <v>1</v>
      </c>
      <c r="AF30" s="1">
        <v>0.23154933481362197</v>
      </c>
      <c r="AG30" s="1">
        <f>AVERAGE(AF30:AF32)</f>
        <v>0.23090594458030392</v>
      </c>
      <c r="AH30" s="1">
        <f>AG30/AG30</f>
        <v>1</v>
      </c>
      <c r="AI30" s="1">
        <v>4.9493344108070811E-2</v>
      </c>
      <c r="AJ30" s="1">
        <f>AVERAGE(AI30:AI32)</f>
        <v>5.498657093669463E-2</v>
      </c>
      <c r="AK30" s="1">
        <f>AJ30/AJ30</f>
        <v>1</v>
      </c>
      <c r="AL30" s="1">
        <v>0.15545512074794657</v>
      </c>
      <c r="AM30" s="1">
        <f>AVERAGE(AL30:AL32)</f>
        <v>0.17208833771092838</v>
      </c>
      <c r="AN30" s="1">
        <f>AM30/AM30</f>
        <v>1</v>
      </c>
      <c r="AP30" s="1">
        <v>3.3360206765559592</v>
      </c>
      <c r="AQ30" s="1">
        <f>AVERAGE(AP30:AP32)</f>
        <v>3.3622045436226533</v>
      </c>
      <c r="AR30" s="1">
        <f>AQ30/AQ30</f>
        <v>1</v>
      </c>
      <c r="AS30" s="1">
        <v>0.10476310188466521</v>
      </c>
      <c r="AT30" s="1">
        <f>AVERAGE(AS30:AS32)</f>
        <v>0.10487020100964277</v>
      </c>
      <c r="AU30" s="1">
        <f>AT30/AT30</f>
        <v>1</v>
      </c>
      <c r="AV30" s="1">
        <v>0.11633553792089497</v>
      </c>
      <c r="AW30" s="1">
        <f>AVERAGE(AV30:AV32)</f>
        <v>0.11709814989842178</v>
      </c>
      <c r="AX30" s="1">
        <f>AW30/AW30</f>
        <v>1</v>
      </c>
      <c r="AY30" s="1">
        <v>9.3649928755138945E-2</v>
      </c>
      <c r="AZ30" s="1">
        <f>AVERAGE(AY30:AY32)</f>
        <v>9.6779045874106864E-2</v>
      </c>
      <c r="BA30" s="1">
        <f>AZ30/AZ30</f>
        <v>1</v>
      </c>
      <c r="BB30" s="1">
        <v>3.1383234215954479E-2</v>
      </c>
      <c r="BC30" s="1">
        <f>AVERAGE(BB30:BB32)</f>
        <v>3.0132578257959057E-2</v>
      </c>
      <c r="BD30" s="1">
        <f>BC30/BC30</f>
        <v>1</v>
      </c>
      <c r="BE30" s="1">
        <v>2.1541712013455481</v>
      </c>
      <c r="BF30" s="1">
        <f>AVERAGE(BE30:BE32)</f>
        <v>2.0888399525882697</v>
      </c>
      <c r="BG30" s="1">
        <f>BF30/BF30</f>
        <v>1</v>
      </c>
      <c r="BH30" s="1">
        <v>5.0809512392245341E-2</v>
      </c>
      <c r="BI30" s="1">
        <f>AVERAGE(BH30:BH32)</f>
        <v>5.1020547429987122E-2</v>
      </c>
      <c r="BJ30" s="1">
        <f>BI30/BI30</f>
        <v>1</v>
      </c>
      <c r="BK30" s="1">
        <v>0.25519153953682072</v>
      </c>
      <c r="BL30" s="1">
        <f>AVERAGE(BK30:BK32)</f>
        <v>0.26033339899370384</v>
      </c>
      <c r="BM30" s="1">
        <f>BL30/BL30</f>
        <v>1</v>
      </c>
      <c r="BN30" s="1">
        <v>0.45299218292796212</v>
      </c>
      <c r="BO30" s="1">
        <f>AVERAGE(BN30:BN32)</f>
        <v>0.45293777215048542</v>
      </c>
      <c r="BP30" s="1">
        <f>BO30/BO30</f>
        <v>1</v>
      </c>
      <c r="BQ30" s="1">
        <v>0.4279656361499008</v>
      </c>
      <c r="BR30" s="1">
        <f>AVERAGE(BQ30:BQ32)</f>
        <v>0.43086672652198033</v>
      </c>
      <c r="BS30" s="1">
        <f>BR30/BR30</f>
        <v>1</v>
      </c>
      <c r="BT30" s="1">
        <v>2.4894012380067025E-3</v>
      </c>
      <c r="BU30" s="1">
        <f>AVERAGE(BT30:BT32)</f>
        <v>2.5564698057846144E-3</v>
      </c>
      <c r="BV30" s="1">
        <f>BU30/BU30</f>
        <v>1</v>
      </c>
      <c r="BW30" s="1">
        <v>0.35933231260601678</v>
      </c>
      <c r="BX30" s="1">
        <f>AVERAGE(BW30:BW32)</f>
        <v>0.35298212079352936</v>
      </c>
      <c r="BY30" s="1">
        <f>BX30/BX30</f>
        <v>1</v>
      </c>
      <c r="CA30" s="1">
        <v>5.0800723230950195</v>
      </c>
      <c r="CB30" s="1">
        <f>AVERAGE(CA30:CA32)</f>
        <v>5.1273828837701316</v>
      </c>
      <c r="CC30" s="1">
        <f>CB30/CB30</f>
        <v>1</v>
      </c>
      <c r="CD30" s="1">
        <v>0.21940855549875177</v>
      </c>
      <c r="CE30" s="1">
        <f>AVERAGE(CD30:CD32)</f>
        <v>0.21769806893142407</v>
      </c>
      <c r="CF30" s="1">
        <f>CE30/CE30</f>
        <v>1</v>
      </c>
      <c r="CG30">
        <v>7.4069145377728213E-2</v>
      </c>
      <c r="CH30" s="1">
        <f>AVERAGE(CG30:CG32)</f>
        <v>7.3256333364105808E-2</v>
      </c>
      <c r="CI30" s="1">
        <f>CH30/CH30</f>
        <v>1</v>
      </c>
      <c r="CJ30" s="1"/>
      <c r="CK30" s="1"/>
      <c r="CL30" s="1"/>
      <c r="CM30" s="1"/>
      <c r="CN30" s="1"/>
      <c r="CO30" s="1"/>
      <c r="CP30" s="1"/>
      <c r="CQ30" s="1"/>
      <c r="CR30" s="1"/>
    </row>
    <row r="31" spans="1:96" x14ac:dyDescent="0.25">
      <c r="A31" s="1"/>
      <c r="B31" s="1" t="s">
        <v>117</v>
      </c>
      <c r="C31" s="1">
        <v>16</v>
      </c>
      <c r="D31" s="1"/>
      <c r="E31" s="1">
        <v>6.3189659099488038</v>
      </c>
      <c r="F31" s="1"/>
      <c r="G31" s="1"/>
      <c r="H31" s="1">
        <v>0.1307075616625635</v>
      </c>
      <c r="I31" s="1"/>
      <c r="J31" s="1"/>
      <c r="K31" s="1">
        <v>0.16369384155807323</v>
      </c>
      <c r="L31" s="1"/>
      <c r="M31" s="1"/>
      <c r="N31" s="1">
        <v>7.3415570130850559E-3</v>
      </c>
      <c r="O31" s="1"/>
      <c r="P31" s="1"/>
      <c r="Q31" s="1">
        <v>5.3210731811994252E-3</v>
      </c>
      <c r="R31" s="1"/>
      <c r="S31" s="1"/>
      <c r="T31" s="1">
        <v>5.8129297073904055E-3</v>
      </c>
      <c r="U31" s="1"/>
      <c r="V31" s="1"/>
      <c r="W31" s="1">
        <v>2.7152061416451757E-2</v>
      </c>
      <c r="X31" s="1"/>
      <c r="Y31" s="1"/>
      <c r="Z31" s="1">
        <v>5.89780270910856E-2</v>
      </c>
      <c r="AA31" s="1"/>
      <c r="AB31" s="1"/>
      <c r="AC31" s="1">
        <v>0.10575048821677188</v>
      </c>
      <c r="AD31" s="1"/>
      <c r="AE31" s="1"/>
      <c r="AF31" s="1">
        <v>0.22745120133075022</v>
      </c>
      <c r="AG31" s="1"/>
      <c r="AH31" s="1"/>
      <c r="AI31" s="1">
        <v>5.7869657672393292E-2</v>
      </c>
      <c r="AJ31" s="1"/>
      <c r="AK31" s="1"/>
      <c r="AL31" s="1">
        <v>0.18040184558104269</v>
      </c>
      <c r="AM31" s="1"/>
      <c r="AN31" s="1"/>
      <c r="AP31" s="1">
        <v>3.3063956009429121</v>
      </c>
      <c r="AQ31" s="1"/>
      <c r="AR31" s="1"/>
      <c r="AS31" s="1">
        <v>0.10629384879220068</v>
      </c>
      <c r="AT31" s="1"/>
      <c r="AU31" s="1"/>
      <c r="AV31" s="1">
        <v>0.11625374290182623</v>
      </c>
      <c r="AW31" s="1"/>
      <c r="AX31" s="1"/>
      <c r="AY31" s="1">
        <v>9.9908162993074784E-2</v>
      </c>
      <c r="AZ31" s="1"/>
      <c r="BA31" s="1"/>
      <c r="BB31" s="1">
        <v>2.8881922299963638E-2</v>
      </c>
      <c r="BC31" s="1"/>
      <c r="BD31" s="1"/>
      <c r="BE31" s="1">
        <v>2.0235087038309909</v>
      </c>
      <c r="BF31" s="1"/>
      <c r="BG31" s="1"/>
      <c r="BH31" s="1">
        <v>5.1350909640457312E-2</v>
      </c>
      <c r="BI31" s="1"/>
      <c r="BJ31" s="1"/>
      <c r="BK31" s="1">
        <v>0.26281117760748179</v>
      </c>
      <c r="BL31" s="1"/>
      <c r="BM31" s="1"/>
      <c r="BN31" s="1">
        <v>0.44809774641350836</v>
      </c>
      <c r="BO31" s="1"/>
      <c r="BP31" s="1"/>
      <c r="BQ31" s="1">
        <v>0.42811390193836413</v>
      </c>
      <c r="BR31" s="1"/>
      <c r="BS31" s="1"/>
      <c r="BT31" s="1">
        <v>2.5565791459674267E-3</v>
      </c>
      <c r="BU31" s="1"/>
      <c r="BV31" s="1"/>
      <c r="BW31" s="1">
        <v>0.34717538594454317</v>
      </c>
      <c r="BX31" s="1"/>
      <c r="BY31" s="1"/>
      <c r="CA31" s="1">
        <v>5.1194739766753194</v>
      </c>
      <c r="CB31" s="1"/>
      <c r="CC31" s="1"/>
      <c r="CD31" s="1">
        <v>0.21582726167724214</v>
      </c>
      <c r="CE31" s="1"/>
      <c r="CF31" s="1"/>
      <c r="CG31">
        <v>7.0417581548679387E-2</v>
      </c>
      <c r="CH31" s="1"/>
      <c r="CI31" s="1"/>
      <c r="CJ31" s="1"/>
      <c r="CK31" s="1"/>
      <c r="CL31" s="1"/>
      <c r="CM31" s="1"/>
      <c r="CN31" s="1"/>
      <c r="CO31" s="1"/>
      <c r="CP31" s="1"/>
      <c r="CQ31" s="1"/>
      <c r="CR31" s="1"/>
    </row>
    <row r="32" spans="1:96" x14ac:dyDescent="0.25">
      <c r="A32" s="1"/>
      <c r="B32" s="1" t="s">
        <v>117</v>
      </c>
      <c r="C32" s="1">
        <v>16</v>
      </c>
      <c r="D32" s="1"/>
      <c r="E32" s="1">
        <v>6.4270041956303503</v>
      </c>
      <c r="F32" s="1"/>
      <c r="G32" s="1"/>
      <c r="H32" s="1">
        <v>0.1284274760132825</v>
      </c>
      <c r="I32" s="1"/>
      <c r="J32" s="1"/>
      <c r="K32" s="1">
        <v>0.16606369915321872</v>
      </c>
      <c r="L32" s="1"/>
      <c r="M32" s="1"/>
      <c r="N32" s="1">
        <v>7.4303175283425152E-3</v>
      </c>
      <c r="O32" s="1"/>
      <c r="P32" s="1"/>
      <c r="Q32" s="1">
        <v>4.9406004087359547E-3</v>
      </c>
      <c r="R32" s="1"/>
      <c r="S32" s="1"/>
      <c r="T32" s="1">
        <v>6.2159779672407147E-3</v>
      </c>
      <c r="U32" s="1"/>
      <c r="V32" s="1"/>
      <c r="W32" s="1">
        <v>2.9253234318366444E-2</v>
      </c>
      <c r="X32" s="1"/>
      <c r="Y32" s="1"/>
      <c r="Z32" s="1">
        <v>5.8639196591537136E-2</v>
      </c>
      <c r="AA32" s="1"/>
      <c r="AB32" s="1"/>
      <c r="AC32" s="1">
        <v>0.1061675224343564</v>
      </c>
      <c r="AD32" s="1"/>
      <c r="AE32" s="1"/>
      <c r="AF32" s="1">
        <v>0.23371729759653956</v>
      </c>
      <c r="AG32" s="1"/>
      <c r="AH32" s="1"/>
      <c r="AI32" s="1">
        <v>5.7596711029619801E-2</v>
      </c>
      <c r="AJ32" s="1"/>
      <c r="AK32" s="1"/>
      <c r="AL32" s="1">
        <v>0.18040804680379588</v>
      </c>
      <c r="AM32" s="1"/>
      <c r="AN32" s="1"/>
      <c r="AP32" s="1">
        <v>3.4441973533690895</v>
      </c>
      <c r="AQ32" s="1"/>
      <c r="AR32" s="1"/>
      <c r="AS32" s="1">
        <v>0.10355365235206242</v>
      </c>
      <c r="AT32" s="1"/>
      <c r="AU32" s="1"/>
      <c r="AV32" s="1">
        <v>0.11870516887254413</v>
      </c>
      <c r="AW32" s="1"/>
      <c r="AX32" s="1"/>
      <c r="AY32" s="1"/>
      <c r="AZ32" s="1"/>
      <c r="BA32" s="1"/>
      <c r="BB32" s="1"/>
      <c r="BC32" s="1"/>
      <c r="BD32" s="1"/>
      <c r="BE32" s="1"/>
      <c r="BF32" s="1"/>
      <c r="BG32" s="1"/>
      <c r="BH32" s="1">
        <v>5.0901220257258711E-2</v>
      </c>
      <c r="BI32" s="1"/>
      <c r="BJ32" s="1"/>
      <c r="BK32" s="1">
        <v>0.2629974798368091</v>
      </c>
      <c r="BL32" s="1"/>
      <c r="BM32" s="1"/>
      <c r="BN32" s="1">
        <v>0.45772338710998578</v>
      </c>
      <c r="BO32" s="1"/>
      <c r="BP32" s="1"/>
      <c r="BQ32" s="1">
        <v>0.43652064147767605</v>
      </c>
      <c r="BR32" s="1"/>
      <c r="BS32" s="1"/>
      <c r="BT32" s="1">
        <v>2.6234290333797135E-3</v>
      </c>
      <c r="BU32" s="1"/>
      <c r="BV32" s="1"/>
      <c r="BW32" s="1">
        <v>0.35243866383002814</v>
      </c>
      <c r="BX32" s="1"/>
      <c r="BY32" s="1"/>
      <c r="CA32" s="1">
        <v>5.1826023515400559</v>
      </c>
      <c r="CB32" s="1"/>
      <c r="CC32" s="1"/>
      <c r="CD32" s="1">
        <v>0.21785838961827833</v>
      </c>
      <c r="CE32" s="1"/>
      <c r="CF32" s="1"/>
      <c r="CG32">
        <v>7.528227316590981E-2</v>
      </c>
      <c r="CH32" s="1"/>
      <c r="CI32" s="1"/>
      <c r="CJ32" s="1"/>
      <c r="CK32" s="1"/>
      <c r="CL32" s="1"/>
      <c r="CM32" s="1"/>
      <c r="CN32" s="1"/>
      <c r="CO32" s="1"/>
      <c r="CP32" s="1"/>
      <c r="CQ32" s="1"/>
      <c r="CR32" s="1"/>
    </row>
    <row r="33" spans="1:96" x14ac:dyDescent="0.25">
      <c r="A33" s="1"/>
      <c r="B33" s="1" t="s">
        <v>4</v>
      </c>
      <c r="C33" s="1">
        <v>16</v>
      </c>
      <c r="D33" s="1"/>
      <c r="E33" s="1">
        <v>5.0609603958459788</v>
      </c>
      <c r="F33" s="1">
        <f>AVERAGE(E33:E35)</f>
        <v>5.2496405640600479</v>
      </c>
      <c r="G33" s="1">
        <f>F33/F27</f>
        <v>0.9421481624182152</v>
      </c>
      <c r="H33" s="1">
        <v>0.22834180408595095</v>
      </c>
      <c r="I33" s="1">
        <f>AVERAGE(H33:H35)</f>
        <v>0.22787709540083204</v>
      </c>
      <c r="J33" s="1">
        <f>I33/I27</f>
        <v>0.91723365002127022</v>
      </c>
      <c r="K33" s="1">
        <v>0.10737611037497337</v>
      </c>
      <c r="L33" s="1">
        <f>AVERAGE(K33:K35)</f>
        <v>0.1116448694621185</v>
      </c>
      <c r="M33" s="1">
        <f>L33/L27</f>
        <v>0.84084252675171312</v>
      </c>
      <c r="N33" s="1">
        <v>6.7469223903071597E-3</v>
      </c>
      <c r="O33" s="1">
        <f>AVERAGE(N33:N35)</f>
        <v>6.3676432092762119E-3</v>
      </c>
      <c r="P33" s="1">
        <f>O33/O27</f>
        <v>0.48842767399349718</v>
      </c>
      <c r="Q33" s="1">
        <v>0.12118227071786764</v>
      </c>
      <c r="R33" s="1">
        <f>AVERAGE(Q33:Q35)</f>
        <v>0.12360432785067707</v>
      </c>
      <c r="S33" s="1">
        <f>R33/R27</f>
        <v>0.70448037180018641</v>
      </c>
      <c r="T33" s="1">
        <v>3.8992472301029681E-3</v>
      </c>
      <c r="U33" s="1">
        <f>AVERAGE(T33:T35)</f>
        <v>3.8003087272363905E-3</v>
      </c>
      <c r="V33" s="1">
        <f>U33/U27</f>
        <v>0.33599929303380671</v>
      </c>
      <c r="W33" s="1">
        <v>0.42342354986396497</v>
      </c>
      <c r="X33" s="1">
        <f>AVERAGE(W33:W35)</f>
        <v>0.42642555342120397</v>
      </c>
      <c r="Y33" s="1">
        <f>X33/X27</f>
        <v>0.68737335114216802</v>
      </c>
      <c r="Z33" s="1">
        <v>6.8028198158072581E-2</v>
      </c>
      <c r="AA33" s="1">
        <f>AVERAGE(Z33:Z35)</f>
        <v>6.8416639299218526E-2</v>
      </c>
      <c r="AB33" s="1">
        <f>AA33/AA27</f>
        <v>0.55330972212412532</v>
      </c>
      <c r="AC33" s="1">
        <v>4.4760266204359953E-2</v>
      </c>
      <c r="AD33" s="1">
        <f>AVERAGE(AC33:AC35)</f>
        <v>4.3448208184128104E-2</v>
      </c>
      <c r="AE33" s="1">
        <f>AD33/AD27</f>
        <v>0.97681238327704667</v>
      </c>
      <c r="AF33" s="1">
        <v>0.12573570899856731</v>
      </c>
      <c r="AG33" s="1">
        <f>AVERAGE(AF33:AF35)</f>
        <v>0.11858165501896847</v>
      </c>
      <c r="AH33" s="1">
        <f>AG33/AG27</f>
        <v>0.86751424792415932</v>
      </c>
      <c r="AI33" s="1">
        <v>1.2098032184037757E-2</v>
      </c>
      <c r="AJ33" s="1">
        <f>AVERAGE(AI33:AI35)</f>
        <v>1.1728290486823209E-2</v>
      </c>
      <c r="AK33" s="1">
        <f>AJ33/AJ27</f>
        <v>0.94980986688452052</v>
      </c>
      <c r="AL33" s="1">
        <v>9.5844636254780263E-2</v>
      </c>
      <c r="AM33" s="1">
        <f>AVERAGE(AL33:AL35)</f>
        <v>9.4252659411708239E-2</v>
      </c>
      <c r="AN33" s="1">
        <f>AM33/AM27</f>
        <v>0.78210708264120732</v>
      </c>
      <c r="AP33" s="1">
        <v>4.9370242922755239</v>
      </c>
      <c r="AQ33" s="1">
        <f>AVERAGE(AP33:AP35)</f>
        <v>4.9893833393281994</v>
      </c>
      <c r="AR33" s="1">
        <f>AQ33/AQ27</f>
        <v>0.98180898449571696</v>
      </c>
      <c r="AS33" s="1">
        <v>0.11988297064151417</v>
      </c>
      <c r="AT33" s="1">
        <f>AVERAGE(AS33:AS35)</f>
        <v>0.11999182712919652</v>
      </c>
      <c r="AU33" s="1">
        <f>AT33/AT27</f>
        <v>0.87944289613886106</v>
      </c>
      <c r="AV33" s="1">
        <v>0.11249079682488149</v>
      </c>
      <c r="AW33" s="1">
        <f>AVERAGE(AV33:AV35)</f>
        <v>0.11400617689072028</v>
      </c>
      <c r="AX33" s="1">
        <f>AW33/AW27</f>
        <v>1.0958739540387528</v>
      </c>
      <c r="AY33" s="1">
        <v>5.3852253526763504E-2</v>
      </c>
      <c r="AZ33" s="1">
        <f>AVERAGE(AY33:AY35)</f>
        <v>5.4627683045642264E-2</v>
      </c>
      <c r="BA33" s="1">
        <f>AZ33/AZ27</f>
        <v>0.92965186836718627</v>
      </c>
      <c r="BB33" s="1">
        <v>0.43838499063072589</v>
      </c>
      <c r="BC33" s="1">
        <f>AVERAGE(BB33:BB35)</f>
        <v>0.4297320100321918</v>
      </c>
      <c r="BD33" s="1">
        <f>BC33/BC27</f>
        <v>0.763300364858853</v>
      </c>
      <c r="BE33" s="1">
        <v>3.6159583955551224E-2</v>
      </c>
      <c r="BF33" s="1">
        <f>AVERAGE(BE33:BE35)</f>
        <v>3.5925125010384661E-2</v>
      </c>
      <c r="BG33" s="1">
        <f>BF33/BF27</f>
        <v>0.92001090654842632</v>
      </c>
      <c r="BH33" s="1">
        <v>1.0949951012690291</v>
      </c>
      <c r="BI33" s="1">
        <f>AVERAGE(BH33:BH35)</f>
        <v>1.1226601682346888</v>
      </c>
      <c r="BJ33" s="1">
        <f>BI33/BI27</f>
        <v>0.71976549229328324</v>
      </c>
      <c r="BK33" s="1">
        <v>5.3726769019316559E-3</v>
      </c>
      <c r="BL33" s="1">
        <f>AVERAGE(BK33:BK35)</f>
        <v>5.4271338471209175E-3</v>
      </c>
      <c r="BM33" s="1">
        <f>BL33/BL27</f>
        <v>0.81563368654779111</v>
      </c>
      <c r="BN33" s="1">
        <v>0.11184005028372215</v>
      </c>
      <c r="BO33" s="1">
        <f>AVERAGE(BN33:BN35)</f>
        <v>0.11256740949209429</v>
      </c>
      <c r="BP33" s="1">
        <f>BO33/BO27</f>
        <v>1.0600873918276346</v>
      </c>
      <c r="BQ33" s="1">
        <v>0.17280303602742664</v>
      </c>
      <c r="BR33" s="1">
        <f>AVERAGE(BQ33:BQ35)</f>
        <v>0.17649223564115471</v>
      </c>
      <c r="BS33" s="1">
        <f>BR33/BR27</f>
        <v>0.49359847571406851</v>
      </c>
      <c r="BT33" s="1">
        <v>2.4156935142899068E-2</v>
      </c>
      <c r="BU33" s="1">
        <f>AVERAGE(BT33:BT35)</f>
        <v>2.3698384834028557E-2</v>
      </c>
      <c r="BV33" s="1">
        <f>BU33/BU27</f>
        <v>1.3450886029524658</v>
      </c>
      <c r="BW33" s="1">
        <v>0.22728647348305436</v>
      </c>
      <c r="BX33" s="1">
        <f>AVERAGE(BW33:BW35)</f>
        <v>0.2277384042815066</v>
      </c>
      <c r="BY33" s="1">
        <f>BX33/BX27</f>
        <v>0.7147737065376103</v>
      </c>
      <c r="CA33" s="1">
        <v>2.3074776383764957</v>
      </c>
      <c r="CB33" s="1">
        <f>AVERAGE(CA33:CA35)</f>
        <v>2.5371498019429644</v>
      </c>
      <c r="CC33" s="1">
        <f>CB33/CB27</f>
        <v>0.91572787465353844</v>
      </c>
      <c r="CD33" s="1">
        <v>0.62353777773967178</v>
      </c>
      <c r="CE33" s="1">
        <f>AVERAGE(CD33:CD35)</f>
        <v>0.66895350058698666</v>
      </c>
      <c r="CF33" s="1">
        <f>CE33/CE27</f>
        <v>1.2569461281879286</v>
      </c>
      <c r="CG33" s="1">
        <v>0.12699008512867688</v>
      </c>
      <c r="CH33" s="1">
        <f>AVERAGE(CG33:CG35)</f>
        <v>0.12937676696473163</v>
      </c>
      <c r="CI33" s="1">
        <f>CH33/CH27</f>
        <v>1.0425577967613928</v>
      </c>
      <c r="CJ33" s="1">
        <v>4.4738822872905544E-2</v>
      </c>
      <c r="CK33" s="1">
        <v>8.7734722601240153E-3</v>
      </c>
      <c r="CL33" s="1">
        <v>2.9832855080414788E-2</v>
      </c>
      <c r="CM33" s="1">
        <v>7.6820622387857446E-2</v>
      </c>
      <c r="CN33" s="1">
        <v>4.858925813540034E-2</v>
      </c>
      <c r="CO33" s="1">
        <v>1.8474677874001363E-2</v>
      </c>
      <c r="CP33" s="1">
        <v>6.3255529751971004E-2</v>
      </c>
      <c r="CQ33" s="1">
        <v>0.27061551569404302</v>
      </c>
      <c r="CR33" s="1">
        <v>5.7790942515525301E-2</v>
      </c>
    </row>
    <row r="34" spans="1:96" x14ac:dyDescent="0.25">
      <c r="A34" s="1"/>
      <c r="B34" s="1" t="s">
        <v>4</v>
      </c>
      <c r="C34" s="1">
        <v>16</v>
      </c>
      <c r="D34" s="1"/>
      <c r="E34" s="1">
        <v>5.3808424016104768</v>
      </c>
      <c r="F34" s="1"/>
      <c r="G34" s="1">
        <f>AVERAGE(G33,G36)</f>
        <v>0.96471935230478612</v>
      </c>
      <c r="H34" s="1"/>
      <c r="I34" s="1"/>
      <c r="J34" s="1">
        <f>AVERAGE(J33,J36)</f>
        <v>1.0893812276772756</v>
      </c>
      <c r="K34" s="1">
        <v>0.11685137400747579</v>
      </c>
      <c r="L34" s="1"/>
      <c r="M34" s="1">
        <f>AVERAGE(M33,M36)</f>
        <v>1.0272272956029835</v>
      </c>
      <c r="N34" s="1">
        <v>5.988364028245265E-3</v>
      </c>
      <c r="O34" s="1"/>
      <c r="P34" s="1">
        <f>AVERAGE(P33,P36)</f>
        <v>0.71891856729450865</v>
      </c>
      <c r="Q34" s="1">
        <v>0.12602638498348651</v>
      </c>
      <c r="R34" s="1"/>
      <c r="S34" s="1">
        <f>AVERAGE(S33,S36)</f>
        <v>1.0292118973201188</v>
      </c>
      <c r="T34" s="1">
        <v>3.7013702243698125E-3</v>
      </c>
      <c r="U34" s="1"/>
      <c r="V34" s="1">
        <f>AVERAGE(V33,V36)</f>
        <v>0.69220034120921758</v>
      </c>
      <c r="W34" s="1">
        <v>0.42942755697844298</v>
      </c>
      <c r="X34" s="1"/>
      <c r="Y34" s="1">
        <f>AVERAGE(Y33,Y36)</f>
        <v>1.085211524899538</v>
      </c>
      <c r="Z34" s="1">
        <v>6.8805080440364472E-2</v>
      </c>
      <c r="AA34" s="1"/>
      <c r="AB34" s="1">
        <f>AVERAGE(AB33,AB36)</f>
        <v>1.0580865649268287</v>
      </c>
      <c r="AC34" s="1">
        <v>4.2136150163896248E-2</v>
      </c>
      <c r="AD34" s="1"/>
      <c r="AE34" s="1">
        <f>AVERAGE(AE33,AE36)</f>
        <v>0.96839720942616603</v>
      </c>
      <c r="AF34" s="1">
        <v>0.11142760103936962</v>
      </c>
      <c r="AG34" s="1"/>
      <c r="AH34" s="1">
        <f>AVERAGE(AH33,AH36)</f>
        <v>0.84353882983842055</v>
      </c>
      <c r="AI34" s="1">
        <v>1.1358548789608663E-2</v>
      </c>
      <c r="AJ34" s="1"/>
      <c r="AK34" s="1">
        <f>AVERAGE(AK33,AK36)</f>
        <v>1.1352873935715304</v>
      </c>
      <c r="AL34" s="1">
        <v>9.2660682568636216E-2</v>
      </c>
      <c r="AM34" s="1"/>
      <c r="AN34" s="1">
        <f>AVERAGE(AN33,AN36)</f>
        <v>1.0734532932355354</v>
      </c>
      <c r="AP34" s="1">
        <v>4.9640024751984528</v>
      </c>
      <c r="AQ34" s="1"/>
      <c r="AR34" s="1">
        <f>AVERAGE(AR33,AR36)</f>
        <v>0.93798211738626835</v>
      </c>
      <c r="AS34" s="1">
        <v>0.12119321729583517</v>
      </c>
      <c r="AT34" s="1"/>
      <c r="AU34" s="1">
        <f>AVERAGE(AU33,AU36)</f>
        <v>0.97501568050856768</v>
      </c>
      <c r="AV34" s="1">
        <v>0.11293321745201745</v>
      </c>
      <c r="AW34" s="1"/>
      <c r="AX34" s="1">
        <f>AVERAGE(AX33,AX36)</f>
        <v>1.0039713593362116</v>
      </c>
      <c r="AY34" s="1">
        <v>5.5403112564521018E-2</v>
      </c>
      <c r="AZ34" s="1"/>
      <c r="BA34" s="1">
        <f>AVERAGE(BA33,BA36)</f>
        <v>1.0829416268581507</v>
      </c>
      <c r="BB34" s="1">
        <v>0.42107902943365771</v>
      </c>
      <c r="BC34" s="1"/>
      <c r="BD34" s="1">
        <f>AVERAGE(BD33,BD36)</f>
        <v>0.97236558347075286</v>
      </c>
      <c r="BE34" s="1">
        <v>3.5690666065218098E-2</v>
      </c>
      <c r="BF34" s="1"/>
      <c r="BG34" s="1">
        <f>AVERAGE(BG33,BG36)</f>
        <v>0.4807138771453025</v>
      </c>
      <c r="BH34" s="1">
        <v>1.1503252352003486</v>
      </c>
      <c r="BI34" s="1"/>
      <c r="BJ34" s="1">
        <f>AVERAGE(BJ33,BJ36)</f>
        <v>0.87880957474059196</v>
      </c>
      <c r="BK34" s="1">
        <v>5.4815907923101781E-3</v>
      </c>
      <c r="BL34" s="1"/>
      <c r="BM34" s="1">
        <f>AVERAGE(BM33,BM36)</f>
        <v>1.0166464229210344</v>
      </c>
      <c r="BN34" s="1">
        <v>0.11329476870046641</v>
      </c>
      <c r="BO34" s="1"/>
      <c r="BP34" s="1">
        <f>AVERAGE(BP33,BP36)</f>
        <v>0.96551770714706886</v>
      </c>
      <c r="BQ34" s="1">
        <v>0.18018143525488278</v>
      </c>
      <c r="BR34" s="1"/>
      <c r="BS34" s="1">
        <f>AVERAGE(BS33,BS36)</f>
        <v>0.71885134553937713</v>
      </c>
      <c r="BT34" s="1">
        <v>2.323983452515805E-2</v>
      </c>
      <c r="BU34" s="1"/>
      <c r="BV34" s="1">
        <f>AVERAGE(BV33,BV36)</f>
        <v>1.1358253006094516</v>
      </c>
      <c r="BW34" s="1">
        <v>0.22819033507995884</v>
      </c>
      <c r="BX34" s="1"/>
      <c r="BY34" s="1">
        <f>AVERAGE(BY33,BY36)</f>
        <v>0.88750444355640323</v>
      </c>
      <c r="CA34" s="1">
        <v>2.8756086051632432</v>
      </c>
      <c r="CB34" s="1"/>
      <c r="CC34" s="1">
        <f>AVERAGE(CC33,CC36)</f>
        <v>0.81240196357024952</v>
      </c>
      <c r="CD34" s="1">
        <v>0.62675529449793921</v>
      </c>
      <c r="CE34" s="1"/>
      <c r="CF34" s="1">
        <f>AVERAGE(CF33,CF36)</f>
        <v>1.1146169700599655</v>
      </c>
      <c r="CG34" s="1">
        <v>0.12910597878807997</v>
      </c>
      <c r="CH34" s="1"/>
      <c r="CI34" s="1">
        <f>AVERAGE(CI33,CI36)</f>
        <v>1.0450525060292926</v>
      </c>
      <c r="CJ34" s="1">
        <v>4.4279897607102166E-2</v>
      </c>
      <c r="CK34" s="1">
        <v>8.7648235422445667E-3</v>
      </c>
      <c r="CL34" s="1">
        <v>2.8914999040467643E-2</v>
      </c>
      <c r="CM34" s="1">
        <v>2.9231640415265006E-2</v>
      </c>
      <c r="CN34" s="1">
        <v>0.12455422517455701</v>
      </c>
      <c r="CO34" s="1">
        <v>1.9020620157934886E-2</v>
      </c>
      <c r="CP34" s="1">
        <v>6.5389474354164673E-2</v>
      </c>
      <c r="CQ34" s="1">
        <v>0.2713653727311634</v>
      </c>
      <c r="CR34" s="1">
        <v>5.5743046628922599E-2</v>
      </c>
    </row>
    <row r="35" spans="1:96" x14ac:dyDescent="0.25">
      <c r="A35" s="1"/>
      <c r="B35" s="1" t="s">
        <v>4</v>
      </c>
      <c r="C35" s="1">
        <v>16</v>
      </c>
      <c r="D35" s="1"/>
      <c r="E35" s="1">
        <v>5.3071188947236889</v>
      </c>
      <c r="F35" s="1"/>
      <c r="G35" s="1">
        <f>STDEVA(G33,G36)</f>
        <v>3.1920482856487117E-2</v>
      </c>
      <c r="H35" s="1">
        <v>0.22741238671571312</v>
      </c>
      <c r="I35" s="1"/>
      <c r="J35" s="1">
        <f>STDEVA(J33,J36)</f>
        <v>0.24345343905079889</v>
      </c>
      <c r="K35" s="1">
        <v>0.11070712400390635</v>
      </c>
      <c r="L35" s="1"/>
      <c r="M35" s="1">
        <f>STDEVA(M33,M36)</f>
        <v>0.26358786792924155</v>
      </c>
      <c r="O35" s="1"/>
      <c r="P35" s="1">
        <f>STDEVA(P33,P36)</f>
        <v>0.32596334730978027</v>
      </c>
      <c r="R35" s="1"/>
      <c r="S35" s="1">
        <f>STDEVA(S33,S36)</f>
        <v>0.45923972752039349</v>
      </c>
      <c r="U35" s="1"/>
      <c r="V35" s="1">
        <f>STDEVA(V33,V36)</f>
        <v>0.50374435326117839</v>
      </c>
      <c r="X35" s="1"/>
      <c r="Y35" s="1">
        <f>STDEVA(Y33,Y36)</f>
        <v>0.56262814095741664</v>
      </c>
      <c r="AA35" s="1"/>
      <c r="AB35" s="1">
        <f>STDEVA(AB33,AB36)</f>
        <v>0.71386225706345519</v>
      </c>
      <c r="AD35" s="1"/>
      <c r="AE35" s="1">
        <f>STDEVA(AE33,AE36)</f>
        <v>1.1900852989642829E-2</v>
      </c>
      <c r="AG35" s="1"/>
      <c r="AH35" s="1">
        <f>STDEVA(AH33,AH36)</f>
        <v>3.3906361420417044E-2</v>
      </c>
      <c r="AJ35" s="1"/>
      <c r="AK35" s="1">
        <f>STDEVA(AK33,AK36)</f>
        <v>0.26230483375618646</v>
      </c>
      <c r="AM35" s="1"/>
      <c r="AN35" s="1">
        <f>STDEVA(AN33,AN36)</f>
        <v>0.4120257623685063</v>
      </c>
      <c r="AP35" s="1">
        <v>5.0671232505106234</v>
      </c>
      <c r="AQ35" s="1"/>
      <c r="AR35" s="1">
        <f>STDEVA(AR33,AR36)</f>
        <v>6.1980549862505632E-2</v>
      </c>
      <c r="AS35" s="1">
        <v>0.11889929345024024</v>
      </c>
      <c r="AT35" s="1"/>
      <c r="AU35" s="1">
        <f>STDEVA(AU33,AU36)</f>
        <v>0.13516032784939838</v>
      </c>
      <c r="AV35" s="1">
        <v>0.11659451639526187</v>
      </c>
      <c r="AW35" s="1"/>
      <c r="AX35" s="1">
        <f>STDEVA(AX33,AX36)</f>
        <v>0.12996989584561136</v>
      </c>
      <c r="AZ35" s="1"/>
      <c r="BA35" s="1">
        <f>STDEVA(BA33,BA36)</f>
        <v>0.21678445543081867</v>
      </c>
      <c r="BC35" s="1"/>
      <c r="BD35" s="1">
        <f>STDEVA(BD33,BD36)</f>
        <v>0.29566286758144483</v>
      </c>
      <c r="BF35" s="1"/>
      <c r="BG35" s="1">
        <f>STDEVA(BG33,BG36)</f>
        <v>0.62125981689211007</v>
      </c>
      <c r="BI35" s="1"/>
      <c r="BJ35" s="1">
        <f>STDEVA(BJ33,BJ36)</f>
        <v>0.2249222984121686</v>
      </c>
      <c r="BL35" s="1"/>
      <c r="BM35" s="1">
        <f>STDEVA(BM33,BM36)</f>
        <v>0.28427493798876641</v>
      </c>
      <c r="BO35" s="1"/>
      <c r="BP35" s="1">
        <f>STDEVA(BP33,BP36)</f>
        <v>0.13374173066460307</v>
      </c>
      <c r="BR35" s="1"/>
      <c r="BS35" s="1">
        <f>STDEVA(BS33,BS36)</f>
        <v>0.31855566347041292</v>
      </c>
      <c r="BU35" s="1"/>
      <c r="BV35" s="1">
        <f>STDEVA(BV33,BV36)</f>
        <v>0.29594300028047138</v>
      </c>
      <c r="BX35" s="1"/>
      <c r="BY35" s="1">
        <f>STDEVA(BY33,BY36)</f>
        <v>0.24427815093067723</v>
      </c>
      <c r="CA35" s="1">
        <v>2.4283631622891537</v>
      </c>
      <c r="CB35" s="1"/>
      <c r="CC35" s="1">
        <f>STDEVA(CC33,CC36)</f>
        <v>0.14612490479854354</v>
      </c>
      <c r="CD35" s="1">
        <v>0.75656742952334899</v>
      </c>
      <c r="CE35" s="1"/>
      <c r="CF35" s="1">
        <f>STDEVA(CF33,CF36)</f>
        <v>0.20128382574570902</v>
      </c>
      <c r="CG35" s="1">
        <v>0.13203423697743805</v>
      </c>
      <c r="CH35" s="1"/>
      <c r="CI35" s="1">
        <f>STDEVA(CI33,CI36)</f>
        <v>3.5280516808416699E-3</v>
      </c>
      <c r="CJ35" s="1"/>
      <c r="CK35" s="1"/>
      <c r="CL35" s="1"/>
      <c r="CM35" s="1"/>
      <c r="CN35" s="1"/>
      <c r="CO35" s="1"/>
      <c r="CP35" s="1"/>
      <c r="CQ35" s="1"/>
      <c r="CR35" s="1"/>
    </row>
    <row r="36" spans="1:96" x14ac:dyDescent="0.25">
      <c r="A36" s="1"/>
      <c r="B36" s="1" t="s">
        <v>4</v>
      </c>
      <c r="C36" s="1">
        <v>16</v>
      </c>
      <c r="D36" s="1"/>
      <c r="E36" s="1">
        <v>6.0727511500582665</v>
      </c>
      <c r="F36" s="1">
        <f>AVERAGE(E36:E38)</f>
        <v>6.17821922769404</v>
      </c>
      <c r="G36" s="1">
        <f>F36/F30</f>
        <v>0.98729054219135715</v>
      </c>
      <c r="H36" s="1">
        <v>0.16606946315366153</v>
      </c>
      <c r="I36" s="1">
        <f>AVERAGE(H36:H38)</f>
        <v>0.16442678755006415</v>
      </c>
      <c r="J36" s="1">
        <f>I36/I30</f>
        <v>1.2615288053332812</v>
      </c>
      <c r="K36" s="1">
        <v>0.19252649538901112</v>
      </c>
      <c r="L36" s="1">
        <f>AVERAGE(K36:K38)</f>
        <v>0.20010551997656009</v>
      </c>
      <c r="M36" s="1">
        <f>L36/L30</f>
        <v>1.2136120644542541</v>
      </c>
      <c r="N36" s="1">
        <v>7.4195490422709742E-3</v>
      </c>
      <c r="O36" s="1">
        <f>AVERAGE(N36:N38)</f>
        <v>7.0418567210024409E-3</v>
      </c>
      <c r="P36" s="1">
        <f>O36/O30</f>
        <v>0.94940946059552001</v>
      </c>
      <c r="Q36" s="1">
        <v>6.9897896720382963E-3</v>
      </c>
      <c r="R36" s="1">
        <f>AVERAGE(Q36:Q38)</f>
        <v>6.9180222918030741E-3</v>
      </c>
      <c r="S36" s="1">
        <f>R36/R30</f>
        <v>1.3539434228400513</v>
      </c>
      <c r="T36" s="1">
        <v>6.3121664287222887E-3</v>
      </c>
      <c r="U36" s="1">
        <f>AVERAGE(T36:T38)</f>
        <v>6.3029836804431721E-3</v>
      </c>
      <c r="V36" s="1">
        <f>U36/U30</f>
        <v>1.0484013893846285</v>
      </c>
      <c r="W36" s="1">
        <v>4.1855605961772339E-2</v>
      </c>
      <c r="X36" s="1">
        <f>AVERAGE(W36:W38)</f>
        <v>4.2424020790032178E-2</v>
      </c>
      <c r="Y36" s="1">
        <f>X36/X30</f>
        <v>1.4830496986569079</v>
      </c>
      <c r="Z36" s="1">
        <v>9.2851949527813241E-2</v>
      </c>
      <c r="AA36" s="1">
        <f>AVERAGE(Z36:Z38)</f>
        <v>9.1055816618035398E-2</v>
      </c>
      <c r="AB36" s="1">
        <f>AA36/AA30</f>
        <v>1.5628634077295323</v>
      </c>
      <c r="AC36" s="1">
        <v>0.10104915467362008</v>
      </c>
      <c r="AD36" s="1">
        <f>AVERAGE(AC36:AC38)</f>
        <v>0.10186690392905236</v>
      </c>
      <c r="AE36" s="1">
        <f>AD36/AD30</f>
        <v>0.95998203557528539</v>
      </c>
      <c r="AF36" s="1">
        <v>0.19460066210917509</v>
      </c>
      <c r="AG36" s="1">
        <f>AVERAGE(AF36:AF38)</f>
        <v>0.18924206373420951</v>
      </c>
      <c r="AH36" s="1">
        <f>AG36/AG30</f>
        <v>0.81956341175268166</v>
      </c>
      <c r="AI36" s="1">
        <v>6.9465646955910468E-2</v>
      </c>
      <c r="AJ36" s="1">
        <f>AVERAGE(AI36:AI38)</f>
        <v>7.2624333978494035E-2</v>
      </c>
      <c r="AK36" s="1">
        <f>AJ36/AJ30</f>
        <v>1.3207649202585401</v>
      </c>
      <c r="AL36" s="1">
        <v>0.23458314645527642</v>
      </c>
      <c r="AM36" s="1">
        <f>AVERAGE(AL36:AL38)</f>
        <v>0.23486607792278105</v>
      </c>
      <c r="AN36" s="1">
        <f>AM36/AM30</f>
        <v>1.3647995038298635</v>
      </c>
      <c r="AP36" s="1">
        <v>2.9190558350237721</v>
      </c>
      <c r="AQ36" s="1">
        <f>AVERAGE(AP36:AP38)</f>
        <v>3.0063328451847737</v>
      </c>
      <c r="AR36" s="1">
        <f>AQ36/AQ30</f>
        <v>0.89415525027681964</v>
      </c>
      <c r="AS36" s="1">
        <v>0.11217940936667783</v>
      </c>
      <c r="AT36" s="1">
        <f>AVERAGE(AS36:AS38)</f>
        <v>0.11227282751038949</v>
      </c>
      <c r="AU36" s="1">
        <f>AT36/AT30</f>
        <v>1.0705884648782742</v>
      </c>
      <c r="AV36" s="1">
        <v>0.10255868013526494</v>
      </c>
      <c r="AW36" s="1">
        <f>AVERAGE(AV36:AV38)</f>
        <v>0.10680156491874193</v>
      </c>
      <c r="AX36" s="1">
        <f>AW36/AW30</f>
        <v>0.91206876463367059</v>
      </c>
      <c r="AY36" s="1">
        <v>0.12046973281800148</v>
      </c>
      <c r="AZ36" s="1">
        <f>AVERAGE(AY36:AY38)</f>
        <v>0.1196412939537127</v>
      </c>
      <c r="BA36" s="1">
        <f>AZ36/AZ30</f>
        <v>1.2362313853491151</v>
      </c>
      <c r="BB36" s="1">
        <v>3.5915916370698082E-2</v>
      </c>
      <c r="BC36" s="1">
        <f>AVERAGE(BB36:BB38)</f>
        <v>3.5599556100118869E-2</v>
      </c>
      <c r="BD36" s="1">
        <f>BC36/BC30</f>
        <v>1.1814308020826527</v>
      </c>
      <c r="BE36" s="1">
        <v>8.842069927420923E-2</v>
      </c>
      <c r="BF36" s="1">
        <f>AVERAGE(BE36:BE38)</f>
        <v>8.6513166274128195E-2</v>
      </c>
      <c r="BG36" s="1">
        <f>BF36/BF30</f>
        <v>4.1416847742178728E-2</v>
      </c>
      <c r="BH36" s="1">
        <v>5.2138626882302398E-2</v>
      </c>
      <c r="BI36" s="1">
        <f>AVERAGE(BH36:BH38)</f>
        <v>5.295186174194088E-2</v>
      </c>
      <c r="BJ36" s="1">
        <f>BI36/BI30</f>
        <v>1.0378536571879007</v>
      </c>
      <c r="BK36" s="1">
        <v>0.31315004575989674</v>
      </c>
      <c r="BL36" s="1">
        <f>AVERAGE(BK36:BK38)</f>
        <v>0.31699734775489508</v>
      </c>
      <c r="BM36" s="1">
        <f>BL36/BL30</f>
        <v>1.2176591592942774</v>
      </c>
      <c r="BN36" s="1">
        <v>0.39507378239474533</v>
      </c>
      <c r="BO36" s="1">
        <f>AVERAGE(BN36:BN38)</f>
        <v>0.39448525695484893</v>
      </c>
      <c r="BP36" s="1">
        <f>BO36/BO30</f>
        <v>0.87094802246650327</v>
      </c>
      <c r="BQ36" s="1">
        <v>0.39524357173489211</v>
      </c>
      <c r="BR36" s="1">
        <f>AVERAGE(BQ36:BQ38)</f>
        <v>0.40678309276978492</v>
      </c>
      <c r="BS36" s="1">
        <f>BR36/BR30</f>
        <v>0.94410421536468581</v>
      </c>
      <c r="BT36" s="1">
        <v>2.4721771869880352E-3</v>
      </c>
      <c r="BU36" s="1">
        <f>AVERAGE(BT36:BT38)</f>
        <v>2.3687277717556032E-3</v>
      </c>
      <c r="BV36" s="1">
        <f>BU36/BU30</f>
        <v>0.92656199826643726</v>
      </c>
      <c r="BW36" s="1">
        <v>0.37716981665552801</v>
      </c>
      <c r="BX36" s="1">
        <f>AVERAGE(BW36:BW38)</f>
        <v>0.37424406257934334</v>
      </c>
      <c r="BY36" s="1">
        <f>BX36/BX30</f>
        <v>1.0602351805751962</v>
      </c>
      <c r="CA36" s="1">
        <v>3.6477611145817654</v>
      </c>
      <c r="CB36" s="1">
        <f>AVERAGE(CA36:CA38)</f>
        <v>3.6357044148129334</v>
      </c>
      <c r="CC36" s="1">
        <f>CB36/CB30</f>
        <v>0.7090760524869606</v>
      </c>
      <c r="CD36" s="1">
        <v>0.21399107776599574</v>
      </c>
      <c r="CE36" s="1">
        <f>AVERAGE(CD36:CD38)</f>
        <v>0.21166517910315652</v>
      </c>
      <c r="CF36" s="1">
        <f>CE36/CE30</f>
        <v>0.97228781193200231</v>
      </c>
      <c r="CG36">
        <v>7.3123056029676906E-2</v>
      </c>
      <c r="CH36" s="1">
        <f>AVERAGE(CG36:CG38)</f>
        <v>7.6739468018451842E-2</v>
      </c>
      <c r="CI36" s="1">
        <f>CH36/CH30</f>
        <v>1.0475472152971923</v>
      </c>
      <c r="CJ36" s="1"/>
      <c r="CK36" s="1"/>
      <c r="CL36" s="1"/>
      <c r="CM36" s="1"/>
      <c r="CN36" s="1"/>
      <c r="CO36" s="1"/>
      <c r="CP36" s="1"/>
      <c r="CQ36" s="1"/>
      <c r="CR36" s="1"/>
    </row>
    <row r="37" spans="1:96" x14ac:dyDescent="0.25">
      <c r="A37" s="1"/>
      <c r="B37" s="1" t="s">
        <v>4</v>
      </c>
      <c r="C37" s="1">
        <v>16</v>
      </c>
      <c r="D37" s="1"/>
      <c r="E37" s="1">
        <v>6.1741141810482363</v>
      </c>
      <c r="F37" s="1"/>
      <c r="G37" s="1"/>
      <c r="H37" s="1">
        <v>0.16297029268389518</v>
      </c>
      <c r="I37" s="1"/>
      <c r="J37" s="1"/>
      <c r="K37" s="1">
        <v>0.19977274466921632</v>
      </c>
      <c r="L37" s="1"/>
      <c r="M37" s="1"/>
      <c r="N37" s="1">
        <v>6.6795224914695138E-3</v>
      </c>
      <c r="O37" s="1"/>
      <c r="P37" s="1"/>
      <c r="Q37" s="1">
        <v>6.8025422451096417E-3</v>
      </c>
      <c r="R37" s="1"/>
      <c r="S37" s="1"/>
      <c r="T37" s="1">
        <v>6.410173853434795E-3</v>
      </c>
      <c r="U37" s="1"/>
      <c r="V37" s="1"/>
      <c r="W37" s="1">
        <v>4.4621423475750842E-2</v>
      </c>
      <c r="X37" s="1"/>
      <c r="Y37" s="1"/>
      <c r="Z37" s="1">
        <v>9.0931903678980477E-2</v>
      </c>
      <c r="AA37" s="1"/>
      <c r="AB37" s="1"/>
      <c r="AC37" s="1">
        <v>0.10378096287226768</v>
      </c>
      <c r="AD37" s="1"/>
      <c r="AE37" s="1"/>
      <c r="AF37" s="1">
        <v>0.19813991010026322</v>
      </c>
      <c r="AG37" s="1"/>
      <c r="AH37" s="1"/>
      <c r="AI37" s="1">
        <v>7.4971499938976172E-2</v>
      </c>
      <c r="AJ37" s="1"/>
      <c r="AK37" s="1"/>
      <c r="AL37" s="1">
        <v>0.23729031957055566</v>
      </c>
      <c r="AM37" s="1"/>
      <c r="AN37" s="1"/>
      <c r="AP37" s="1">
        <v>3.021818730600494</v>
      </c>
      <c r="AQ37" s="1"/>
      <c r="AR37" s="1"/>
      <c r="AS37" s="1">
        <v>0.11506324627839827</v>
      </c>
      <c r="AT37" s="1"/>
      <c r="AU37" s="1"/>
      <c r="AV37" s="1">
        <v>0.10872946586576326</v>
      </c>
      <c r="AW37" s="1"/>
      <c r="AX37" s="1"/>
      <c r="AY37" s="1">
        <v>0.11701456163141492</v>
      </c>
      <c r="AZ37" s="1"/>
      <c r="BA37" s="1"/>
      <c r="BB37" s="1">
        <v>3.5221248847833106E-2</v>
      </c>
      <c r="BC37" s="1"/>
      <c r="BD37" s="1"/>
      <c r="BE37" s="1">
        <v>8.6438787595830596E-2</v>
      </c>
      <c r="BF37" s="1"/>
      <c r="BG37" s="1"/>
      <c r="BH37" s="1">
        <v>5.3177570233199883E-2</v>
      </c>
      <c r="BI37" s="1"/>
      <c r="BJ37" s="1"/>
      <c r="BK37" s="1">
        <v>0.32299990295971731</v>
      </c>
      <c r="BL37" s="1"/>
      <c r="BM37" s="1"/>
      <c r="BN37" s="1">
        <v>0.39600041224093979</v>
      </c>
      <c r="BO37" s="1"/>
      <c r="BP37" s="1"/>
      <c r="BQ37" s="1">
        <v>0.41417902987037403</v>
      </c>
      <c r="BR37" s="1"/>
      <c r="BS37" s="1"/>
      <c r="BT37" s="1">
        <v>2.2782274972521677E-3</v>
      </c>
      <c r="BU37" s="1"/>
      <c r="BV37" s="1"/>
      <c r="BW37" s="1">
        <v>0.37347313780999536</v>
      </c>
      <c r="BX37" s="1"/>
      <c r="BY37" s="1"/>
      <c r="CA37" s="1">
        <v>3.6276582126645094</v>
      </c>
      <c r="CB37" s="1"/>
      <c r="CC37" s="1"/>
      <c r="CD37" s="1">
        <v>0.20071801687284843</v>
      </c>
      <c r="CE37" s="1"/>
      <c r="CF37" s="1"/>
      <c r="CG37">
        <v>8.0275960034728019E-2</v>
      </c>
      <c r="CH37" s="1"/>
      <c r="CI37" s="1"/>
      <c r="CJ37" s="1"/>
      <c r="CK37" s="1"/>
      <c r="CL37" s="1"/>
      <c r="CM37" s="1"/>
      <c r="CN37" s="1"/>
      <c r="CO37" s="1"/>
      <c r="CP37" s="1"/>
      <c r="CQ37" s="1"/>
      <c r="CR37" s="1"/>
    </row>
    <row r="38" spans="1:96" x14ac:dyDescent="0.25">
      <c r="A38" s="1"/>
      <c r="B38" s="1" t="s">
        <v>4</v>
      </c>
      <c r="C38" s="1">
        <v>16</v>
      </c>
      <c r="D38" s="1"/>
      <c r="E38" s="1">
        <v>6.287792351975618</v>
      </c>
      <c r="F38" s="1"/>
      <c r="G38" s="1"/>
      <c r="H38" s="1">
        <v>0.16424060681263575</v>
      </c>
      <c r="I38" s="1"/>
      <c r="J38" s="1"/>
      <c r="K38" s="1">
        <v>0.20801731987145272</v>
      </c>
      <c r="L38" s="1"/>
      <c r="M38" s="1"/>
      <c r="N38" s="1">
        <v>7.0264986292668356E-3</v>
      </c>
      <c r="O38" s="1"/>
      <c r="P38" s="1"/>
      <c r="Q38" s="1">
        <v>6.9617349582612835E-3</v>
      </c>
      <c r="R38" s="1"/>
      <c r="S38" s="1"/>
      <c r="T38" s="1">
        <v>6.1866107591724302E-3</v>
      </c>
      <c r="U38" s="1"/>
      <c r="V38" s="1"/>
      <c r="W38" s="1">
        <v>4.0795032932573354E-2</v>
      </c>
      <c r="X38" s="1"/>
      <c r="Y38" s="1"/>
      <c r="Z38" s="1">
        <v>8.9383596647312463E-2</v>
      </c>
      <c r="AA38" s="1"/>
      <c r="AB38" s="1"/>
      <c r="AC38" s="1">
        <v>0.10077059424126932</v>
      </c>
      <c r="AD38" s="1"/>
      <c r="AE38" s="1"/>
      <c r="AF38" s="1">
        <v>0.17498561899319021</v>
      </c>
      <c r="AG38" s="1"/>
      <c r="AH38" s="1"/>
      <c r="AI38" s="1">
        <v>7.3435855040595494E-2</v>
      </c>
      <c r="AJ38" s="1"/>
      <c r="AK38" s="1"/>
      <c r="AL38" s="1">
        <v>0.23272476774251108</v>
      </c>
      <c r="AM38" s="1"/>
      <c r="AN38" s="1"/>
      <c r="AP38" s="1">
        <v>3.0781239699300538</v>
      </c>
      <c r="AQ38" s="1"/>
      <c r="AR38" s="1"/>
      <c r="AS38" s="1">
        <v>0.10957582688609237</v>
      </c>
      <c r="AT38" s="1"/>
      <c r="AU38" s="1"/>
      <c r="AV38" s="1">
        <v>0.10911654875519758</v>
      </c>
      <c r="AW38" s="1"/>
      <c r="AX38" s="1"/>
      <c r="AY38" s="1">
        <v>0.12143958741172167</v>
      </c>
      <c r="AZ38" s="1"/>
      <c r="BA38" s="1"/>
      <c r="BB38" s="1">
        <v>3.5661503081825412E-2</v>
      </c>
      <c r="BC38" s="1"/>
      <c r="BD38" s="1"/>
      <c r="BE38" s="1">
        <v>8.4680011952344772E-2</v>
      </c>
      <c r="BF38" s="1"/>
      <c r="BG38" s="1"/>
      <c r="BH38" s="1">
        <v>5.3539388110320357E-2</v>
      </c>
      <c r="BI38" s="1"/>
      <c r="BJ38" s="1"/>
      <c r="BK38" s="1">
        <v>0.31484209454507117</v>
      </c>
      <c r="BL38" s="1"/>
      <c r="BM38" s="1"/>
      <c r="BN38" s="1">
        <v>0.39238157622886172</v>
      </c>
      <c r="BO38" s="1"/>
      <c r="BP38" s="1"/>
      <c r="BQ38" s="1">
        <v>0.41092667670408878</v>
      </c>
      <c r="BR38" s="1"/>
      <c r="BS38" s="1"/>
      <c r="BT38" s="1">
        <v>2.3557786310266075E-3</v>
      </c>
      <c r="BU38" s="1"/>
      <c r="BV38" s="1"/>
      <c r="BW38" s="1">
        <v>0.37208923327250676</v>
      </c>
      <c r="BX38" s="1"/>
      <c r="BY38" s="1"/>
      <c r="CA38" s="1">
        <v>3.6316939171925249</v>
      </c>
      <c r="CB38" s="1"/>
      <c r="CC38" s="1"/>
      <c r="CD38" s="1">
        <v>0.22028644267062536</v>
      </c>
      <c r="CE38" s="1"/>
      <c r="CF38" s="1"/>
      <c r="CG38">
        <v>7.6819387990950602E-2</v>
      </c>
      <c r="CH38" s="1"/>
      <c r="CI38" s="1"/>
      <c r="CJ38" s="1"/>
      <c r="CK38" s="1"/>
      <c r="CL38" s="1"/>
      <c r="CM38" s="1"/>
      <c r="CN38" s="1"/>
      <c r="CO38" s="1"/>
      <c r="CP38" s="1"/>
      <c r="CQ38" s="1"/>
      <c r="CR38" s="1"/>
    </row>
    <row r="39" spans="1:96" x14ac:dyDescent="0.25">
      <c r="A39" s="1"/>
      <c r="B39" s="1" t="s">
        <v>118</v>
      </c>
      <c r="C39" s="1">
        <v>16</v>
      </c>
      <c r="D39" s="1"/>
      <c r="E39" s="1">
        <v>8.4627021793059765</v>
      </c>
      <c r="F39" s="1">
        <f>AVERAGE(E39:E41)</f>
        <v>8.9100843409530182</v>
      </c>
      <c r="G39" s="1">
        <f>F39/F27</f>
        <v>1.5990846394877443</v>
      </c>
      <c r="H39" s="1">
        <v>0.37758721561537512</v>
      </c>
      <c r="I39" s="1">
        <f>AVERAGE(H39:H41)</f>
        <v>0.32759181467850818</v>
      </c>
      <c r="J39" s="1">
        <f>I39/I27</f>
        <v>1.3185977966154225</v>
      </c>
      <c r="K39" s="1">
        <v>0.10054358011646404</v>
      </c>
      <c r="L39" s="1">
        <f>AVERAGE(K39:K41)</f>
        <v>0.12620097102214198</v>
      </c>
      <c r="M39" s="1">
        <f>L39/L27</f>
        <v>0.95047039657100252</v>
      </c>
      <c r="N39" s="1">
        <v>4.6404773319854098E-2</v>
      </c>
      <c r="O39" s="1">
        <f>AVERAGE(N39:N41)</f>
        <v>4.2497611492031837E-2</v>
      </c>
      <c r="P39" s="1">
        <f>O39/O27</f>
        <v>3.2597632827627923</v>
      </c>
      <c r="Q39" s="1">
        <v>0.36850032011808076</v>
      </c>
      <c r="R39" s="1">
        <f>AVERAGE(Q39:Q41)</f>
        <v>0.35408283691186332</v>
      </c>
      <c r="S39" s="1">
        <f>R39/R27</f>
        <v>2.0180879823001105</v>
      </c>
      <c r="T39" s="1">
        <v>5.2752905393348315E-2</v>
      </c>
      <c r="U39" s="1">
        <f>AVERAGE(T39:T41)</f>
        <v>6.6284028996515088E-2</v>
      </c>
      <c r="V39" s="1">
        <f>U39/U27</f>
        <v>5.8604151611801587</v>
      </c>
      <c r="W39" s="1">
        <v>1.8867502598491266</v>
      </c>
      <c r="X39" s="1">
        <f>AVERAGE(W39:W41)</f>
        <v>1.8772719977594896</v>
      </c>
      <c r="Y39" s="1">
        <f>X39/X27</f>
        <v>3.0260539823482553</v>
      </c>
      <c r="Z39" s="1">
        <v>0.35973653393631444</v>
      </c>
      <c r="AA39" s="1">
        <f>AVERAGE(Z39:Z41)</f>
        <v>0.40016554505247959</v>
      </c>
      <c r="AB39" s="1">
        <f>AA39/AA27</f>
        <v>3.2362812439278308</v>
      </c>
      <c r="AC39" s="1">
        <v>0.10397426016741115</v>
      </c>
      <c r="AD39" s="1">
        <f>AVERAGE(AC39:AC41)</f>
        <v>9.1562783720401872E-2</v>
      </c>
      <c r="AE39" s="1">
        <f>AD39/AD27</f>
        <v>2.0585350863348002</v>
      </c>
      <c r="AF39" s="1">
        <v>3.0436622156901443</v>
      </c>
      <c r="AG39" s="1">
        <f>AVERAGE(AF39:AF41)</f>
        <v>3.0416214333629066</v>
      </c>
      <c r="AH39" s="1">
        <f>AG39/AG27</f>
        <v>22.251754960004089</v>
      </c>
      <c r="AI39" s="1">
        <v>6.0488414586496196E-2</v>
      </c>
      <c r="AJ39" s="1">
        <f>AVERAGE(AI39:AI41)</f>
        <v>7.0861038837063989E-2</v>
      </c>
      <c r="AK39" s="1">
        <f>AJ39/AJ27</f>
        <v>5.7386465607027324</v>
      </c>
      <c r="AL39" s="1">
        <v>0.27308701693636167</v>
      </c>
      <c r="AM39" s="1">
        <f>AVERAGE(AL39:AL41)</f>
        <v>0.26120376848057347</v>
      </c>
      <c r="AN39" s="1">
        <f>AM39/AM27</f>
        <v>2.1674647550141537</v>
      </c>
      <c r="AP39" s="1">
        <v>5.4389521338482529</v>
      </c>
      <c r="AQ39" s="1">
        <f>AVERAGE(AP39:AP41)</f>
        <v>5.7523824655864608</v>
      </c>
      <c r="AR39" s="1">
        <f>AQ39/AQ27</f>
        <v>1.1319516667422187</v>
      </c>
      <c r="AS39" s="1">
        <v>0.21607442754442738</v>
      </c>
      <c r="AT39" s="1">
        <f>AVERAGE(AS39:AS41)</f>
        <v>0.2201023975434597</v>
      </c>
      <c r="AU39" s="1">
        <f>AT39/AT27</f>
        <v>1.6131722849282968</v>
      </c>
      <c r="AV39" s="1">
        <v>0.11446527447585182</v>
      </c>
      <c r="AW39" s="1">
        <f>AVERAGE(AV39:AV41)</f>
        <v>0.11405626804884493</v>
      </c>
      <c r="AX39" s="1">
        <f>AW39/AW27</f>
        <v>1.0963554507173849</v>
      </c>
      <c r="AY39" s="1">
        <v>8.2061262132500534E-2</v>
      </c>
      <c r="AZ39" s="1">
        <f>AVERAGE(AY39:AY41)</f>
        <v>8.4900904609355995E-2</v>
      </c>
      <c r="BA39" s="1">
        <f>AZ39/AZ27</f>
        <v>1.4448404214801911</v>
      </c>
      <c r="BB39" s="1">
        <v>0.67305788446020631</v>
      </c>
      <c r="BC39" s="1">
        <f>AVERAGE(BB39:BB41)</f>
        <v>0.66107376321977751</v>
      </c>
      <c r="BD39" s="1">
        <f>BC39/BC27</f>
        <v>1.1742151687198519</v>
      </c>
      <c r="BE39" s="1">
        <v>4.5792545112324556E-2</v>
      </c>
      <c r="BF39" s="1">
        <f>AVERAGE(BE39:BE41)</f>
        <v>4.75182777998613E-2</v>
      </c>
      <c r="BG39" s="1">
        <f>BF39/BF27</f>
        <v>1.2169013698249693</v>
      </c>
      <c r="BH39" s="1">
        <v>3.0969955138787064</v>
      </c>
      <c r="BI39" s="1">
        <f>AVERAGE(BH39:BH41)</f>
        <v>3.1590268405456898</v>
      </c>
      <c r="BJ39" s="1">
        <f>BI39/BI27</f>
        <v>2.025331060447618</v>
      </c>
      <c r="BK39" s="1">
        <v>1.4847432348295589E-2</v>
      </c>
      <c r="BL39" s="1">
        <f>AVERAGE(BK39:BK41)</f>
        <v>1.5350117074076193E-2</v>
      </c>
      <c r="BM39" s="1">
        <f>BL39/BL27</f>
        <v>2.3069400775348168</v>
      </c>
      <c r="BN39" s="1">
        <v>0.11073797997074628</v>
      </c>
      <c r="BO39" s="1">
        <f>AVERAGE(BN39:BN41)</f>
        <v>0.11217781646069933</v>
      </c>
      <c r="BP39" s="1">
        <f>BO39/BO27</f>
        <v>1.0564184554775027</v>
      </c>
      <c r="BQ39" s="1">
        <v>0.18765156597643343</v>
      </c>
      <c r="BR39" s="1">
        <f>AVERAGE(BQ39:BQ41)</f>
        <v>0.19860138235875213</v>
      </c>
      <c r="BS39" s="1">
        <f>BR39/BR27</f>
        <v>0.55543145708857644</v>
      </c>
      <c r="BT39" s="1">
        <v>6.2256799761794171E-2</v>
      </c>
      <c r="BU39" s="1">
        <f>AVERAGE(BT39:BT41)</f>
        <v>6.1079150328040205E-2</v>
      </c>
      <c r="BV39" s="1">
        <f>BU39/BU27</f>
        <v>3.466770818334338</v>
      </c>
      <c r="BW39" s="1">
        <v>0.3756646229439381</v>
      </c>
      <c r="BX39" s="1">
        <f>AVERAGE(BW39:BW41)</f>
        <v>0.37781820842479336</v>
      </c>
      <c r="BY39" s="1">
        <f>BX39/BX27</f>
        <v>1.1858101934330563</v>
      </c>
      <c r="CA39" s="1">
        <v>9.0416114211891152</v>
      </c>
      <c r="CB39" s="1">
        <f>AVERAGE(CA39:CA41)</f>
        <v>9.185868707408277</v>
      </c>
      <c r="CC39" s="1">
        <f>CB39/CB27</f>
        <v>3.3154353053334318</v>
      </c>
      <c r="CD39" s="1">
        <v>0.39088028347166626</v>
      </c>
      <c r="CE39" s="1">
        <f>AVERAGE(CD39:CD41)</f>
        <v>0.40587729257814181</v>
      </c>
      <c r="CF39" s="1">
        <f>CE39/CE27</f>
        <v>0.76263281525223969</v>
      </c>
      <c r="CG39" s="1">
        <v>0.17142153349754494</v>
      </c>
      <c r="CH39" s="1">
        <f>AVERAGE(CG39:CG41)</f>
        <v>0.17240054124302637</v>
      </c>
      <c r="CI39" s="1">
        <f>CH39/CH27</f>
        <v>1.3892566080878956</v>
      </c>
      <c r="CJ39" s="1">
        <v>2.7587125141387527E-2</v>
      </c>
      <c r="CK39" s="1">
        <v>8.3686174609580409E-3</v>
      </c>
      <c r="CL39" s="1">
        <v>1.6475930474751127E-2</v>
      </c>
      <c r="CM39" s="1">
        <v>0.14089397342358703</v>
      </c>
      <c r="CN39" s="1">
        <v>0.31481220962021766</v>
      </c>
      <c r="CO39" s="1">
        <v>9.0259816836705448E-2</v>
      </c>
      <c r="CP39" s="1">
        <v>3.8310161714830523E-2</v>
      </c>
      <c r="CQ39" s="1">
        <v>1.5858585867672721</v>
      </c>
      <c r="CR39" s="1">
        <v>6.7041232130678544E-2</v>
      </c>
    </row>
    <row r="40" spans="1:96" x14ac:dyDescent="0.25">
      <c r="A40" s="1"/>
      <c r="B40" s="1" t="s">
        <v>118</v>
      </c>
      <c r="C40" s="1">
        <v>16</v>
      </c>
      <c r="D40" s="1"/>
      <c r="E40" s="1">
        <v>9.1713421553442913</v>
      </c>
      <c r="F40" s="1"/>
      <c r="G40" s="1">
        <f>AVERAGE(G39,G42)</f>
        <v>1.5724378165288617</v>
      </c>
      <c r="H40" s="1">
        <v>0.24965002849342144</v>
      </c>
      <c r="I40" s="1"/>
      <c r="J40" s="1">
        <f>AVERAGE(J39,J42)</f>
        <v>1.7006883810705502</v>
      </c>
      <c r="K40" s="1">
        <v>0.14969285728712847</v>
      </c>
      <c r="L40" s="1"/>
      <c r="M40" s="1">
        <f>AVERAGE(M39,M42)</f>
        <v>1.1162894906617347</v>
      </c>
      <c r="N40" s="1">
        <v>3.8590449664209575E-2</v>
      </c>
      <c r="O40" s="1"/>
      <c r="P40" s="1">
        <f>AVERAGE(P39,P42)</f>
        <v>2.1647542420709689</v>
      </c>
      <c r="Q40" s="1">
        <v>0.33966535370564588</v>
      </c>
      <c r="R40" s="1"/>
      <c r="S40" s="1">
        <f>AVERAGE(S39,S42)</f>
        <v>2.2819524243545457</v>
      </c>
      <c r="T40" s="1">
        <v>7.981515259968186E-2</v>
      </c>
      <c r="U40" s="1"/>
      <c r="V40" s="1">
        <f>AVERAGE(V39,V42)</f>
        <v>3.3476331746852508</v>
      </c>
      <c r="W40" s="1">
        <v>1.8677937356698526</v>
      </c>
      <c r="X40" s="1"/>
      <c r="Y40" s="1">
        <f>AVERAGE(Y39,Y42)</f>
        <v>2.7283592875337312</v>
      </c>
      <c r="Z40" s="1">
        <v>0.44059455616864474</v>
      </c>
      <c r="AA40" s="1"/>
      <c r="AB40" s="1">
        <f>AVERAGE(AB39,AB42)</f>
        <v>2.4777577293594648</v>
      </c>
      <c r="AC40" s="1">
        <v>7.915130727339259E-2</v>
      </c>
      <c r="AD40" s="1"/>
      <c r="AE40" s="1">
        <f>AVERAGE(AE39,AE42)</f>
        <v>1.4928024415868268</v>
      </c>
      <c r="AF40" s="1">
        <v>3.0395806510356684</v>
      </c>
      <c r="AG40" s="1"/>
      <c r="AH40" s="1">
        <f>AVERAGE(AH39,AH42)</f>
        <v>12.208740881571623</v>
      </c>
      <c r="AI40" s="1">
        <v>8.1233663087631774E-2</v>
      </c>
      <c r="AJ40" s="1"/>
      <c r="AK40" s="1">
        <f>AVERAGE(AK39,AK42)</f>
        <v>3.0218067505154229</v>
      </c>
      <c r="AL40" s="1">
        <v>0.24932052002478525</v>
      </c>
      <c r="AM40" s="1"/>
      <c r="AN40" s="1">
        <f>AVERAGE(AN39,AN42)</f>
        <v>3.690642055057519</v>
      </c>
      <c r="AP40" s="1">
        <v>5.9499980674232837</v>
      </c>
      <c r="AQ40" s="1"/>
      <c r="AR40" s="1">
        <f>AVERAGE(AR39,AR42)</f>
        <v>1.2176613623900905</v>
      </c>
      <c r="AS40" s="1">
        <v>0.22222532822199312</v>
      </c>
      <c r="AT40" s="1"/>
      <c r="AU40" s="1">
        <f>AVERAGE(AU39,AU42)</f>
        <v>1.3668333640499801</v>
      </c>
      <c r="AV40" s="1">
        <v>0.11424529880559182</v>
      </c>
      <c r="AW40" s="1"/>
      <c r="AX40" s="1">
        <f>AVERAGE(AX39,AX42)</f>
        <v>1.1033191278914465</v>
      </c>
      <c r="AY40" s="1">
        <v>8.7740547086211457E-2</v>
      </c>
      <c r="AZ40" s="1"/>
      <c r="BA40" s="1">
        <f>AVERAGE(BA39,BA42)</f>
        <v>1.5561473725886965</v>
      </c>
      <c r="BB40" s="1">
        <v>0.64908964197934871</v>
      </c>
      <c r="BC40" s="1"/>
      <c r="BD40" s="1">
        <f>AVERAGE(BD39,BD42)</f>
        <v>1.8552655879189572</v>
      </c>
      <c r="BE40" s="1">
        <v>4.9244010487398043E-2</v>
      </c>
      <c r="BF40" s="1"/>
      <c r="BG40" s="1">
        <f>AVERAGE(BG39,BG42)</f>
        <v>0.65439933350074442</v>
      </c>
      <c r="BH40" s="1">
        <v>3.2210581672126737</v>
      </c>
      <c r="BI40" s="1"/>
      <c r="BJ40" s="1">
        <f>AVERAGE(BJ39,BJ42)</f>
        <v>1.8220030032161967</v>
      </c>
      <c r="BK40" s="1">
        <v>1.5852801799856795E-2</v>
      </c>
      <c r="BL40" s="1"/>
      <c r="BM40" s="1">
        <f>AVERAGE(BM39,BM42)</f>
        <v>2.1303026727121575</v>
      </c>
      <c r="BN40" s="1">
        <v>0.11361765295065238</v>
      </c>
      <c r="BO40" s="1"/>
      <c r="BP40" s="1">
        <f>AVERAGE(BP39,BP42)</f>
        <v>1.2196066630853202</v>
      </c>
      <c r="BQ40" s="1">
        <v>0.20955119874107084</v>
      </c>
      <c r="BR40" s="1"/>
      <c r="BS40" s="1">
        <f>AVERAGE(BS39,BS42)</f>
        <v>1.1028300368477035</v>
      </c>
      <c r="BT40" s="1">
        <v>5.9901500894286239E-2</v>
      </c>
      <c r="BU40" s="1"/>
      <c r="BV40" s="1">
        <f>AVERAGE(BV39,BV42)</f>
        <v>6.2954365121744704</v>
      </c>
      <c r="BW40" s="1">
        <v>0.37997179390564861</v>
      </c>
      <c r="BX40" s="1"/>
      <c r="BY40" s="1">
        <f>AVERAGE(BY39,BY42)</f>
        <v>1.4994325290930246</v>
      </c>
      <c r="CA40" s="1">
        <v>9.1480650710220015</v>
      </c>
      <c r="CB40" s="1"/>
      <c r="CC40" s="1">
        <f>AVERAGE(CC39,CC42)</f>
        <v>2.5062046028008251</v>
      </c>
      <c r="CD40" s="1">
        <v>0.40986672070874003</v>
      </c>
      <c r="CE40" s="1"/>
      <c r="CF40" s="1">
        <f>AVERAGE(CF39,CF42)</f>
        <v>1.2493207534875357</v>
      </c>
      <c r="CG40" s="1">
        <v>0.17405346573875588</v>
      </c>
      <c r="CH40" s="1"/>
      <c r="CI40" s="1">
        <f>AVERAGE(CI39,CI42)</f>
        <v>1.6125240717775027</v>
      </c>
      <c r="CJ40" s="1">
        <v>2.9312726481771242E-2</v>
      </c>
      <c r="CK40" s="1">
        <v>8.3369462033877333E-3</v>
      </c>
      <c r="CL40" s="1">
        <v>1.6728939034095374E-2</v>
      </c>
      <c r="CM40" s="1">
        <v>0.13979739454583043</v>
      </c>
      <c r="CN40" s="1">
        <v>0.32248923809479524</v>
      </c>
      <c r="CO40" s="1">
        <v>8.8659752262242958E-2</v>
      </c>
      <c r="CP40" s="1">
        <v>3.7624856638331053E-2</v>
      </c>
      <c r="CQ40" s="1">
        <v>1.5408616536423694</v>
      </c>
      <c r="CR40" s="1">
        <v>6.4504075850257941E-2</v>
      </c>
    </row>
    <row r="41" spans="1:96" x14ac:dyDescent="0.25">
      <c r="A41" s="1"/>
      <c r="B41" s="1" t="s">
        <v>118</v>
      </c>
      <c r="C41" s="1">
        <v>16</v>
      </c>
      <c r="D41" s="1"/>
      <c r="E41" s="1">
        <v>9.0962086882087867</v>
      </c>
      <c r="F41" s="1"/>
      <c r="G41" s="1">
        <f>STDEVA(G39,G42)</f>
        <v>3.7684298422606302E-2</v>
      </c>
      <c r="H41" s="1">
        <v>0.35553819992672797</v>
      </c>
      <c r="I41" s="1"/>
      <c r="J41" s="1">
        <f>STDEVA(J39,J42)</f>
        <v>0.54035768659150452</v>
      </c>
      <c r="K41" s="1">
        <v>0.12836647566283343</v>
      </c>
      <c r="L41" s="1"/>
      <c r="M41" s="1">
        <f>STDEVA(M39,M42)</f>
        <v>0.23450361176353307</v>
      </c>
      <c r="O41" s="1"/>
      <c r="P41" s="1">
        <f>STDEVA(P39,P42)</f>
        <v>1.5485766362675286</v>
      </c>
      <c r="R41" s="1"/>
      <c r="S41" s="1">
        <f>STDEVA(S39,S42)</f>
        <v>0.37316067258139468</v>
      </c>
      <c r="U41" s="1"/>
      <c r="V41" s="1">
        <f>STDEVA(V39,V42)</f>
        <v>3.5536103645879065</v>
      </c>
      <c r="X41" s="1"/>
      <c r="Y41" s="1">
        <f>STDEVA(Y39,Y42)</f>
        <v>0.42100387485322338</v>
      </c>
      <c r="AA41" s="1"/>
      <c r="AB41" s="1">
        <f>STDEVA(AB39,AB42)</f>
        <v>1.0727142416814883</v>
      </c>
      <c r="AD41" s="1"/>
      <c r="AE41" s="1">
        <f>STDEVA(AE39,AE42)</f>
        <v>0.80006677887978339</v>
      </c>
      <c r="AG41" s="1"/>
      <c r="AH41" s="1">
        <f>STDEVA(AH39,AH42)</f>
        <v>14.202966716823124</v>
      </c>
      <c r="AJ41" s="1"/>
      <c r="AK41" s="1">
        <f>STDEVA(AK39,AK42)</f>
        <v>3.8421917063620383</v>
      </c>
      <c r="AM41" s="1"/>
      <c r="AN41" s="1">
        <f>STDEVA(AN39,AN42)</f>
        <v>2.1540979956201625</v>
      </c>
      <c r="AP41" s="1">
        <v>5.8681971954878449</v>
      </c>
      <c r="AQ41" s="1"/>
      <c r="AR41" s="1">
        <f>STDEVA(AR39,AR42)</f>
        <v>0.12121181401209068</v>
      </c>
      <c r="AS41" s="1">
        <v>0.22200743686395855</v>
      </c>
      <c r="AT41" s="1"/>
      <c r="AU41" s="1">
        <f>STDEVA(AU39,AU42)</f>
        <v>0.34837584284646839</v>
      </c>
      <c r="AV41" s="1">
        <v>0.11345823086509112</v>
      </c>
      <c r="AW41" s="1"/>
      <c r="AX41" s="1">
        <f>STDEVA(AX39,AX42)</f>
        <v>9.8481267035457846E-3</v>
      </c>
      <c r="AZ41" s="1"/>
      <c r="BA41" s="1">
        <f>STDEVA(BA39,BA42)</f>
        <v>0.15741179984404738</v>
      </c>
      <c r="BC41" s="1"/>
      <c r="BD41" s="1">
        <f>STDEVA(BD39,BD42)</f>
        <v>0.96315073949125551</v>
      </c>
      <c r="BF41" s="1"/>
      <c r="BG41" s="1">
        <f>STDEVA(BG39,BG42)</f>
        <v>0.79549800863220232</v>
      </c>
      <c r="BI41" s="1"/>
      <c r="BJ41" s="1">
        <f>STDEVA(BJ39,BJ42)</f>
        <v>0.28754929614764629</v>
      </c>
      <c r="BL41" s="1"/>
      <c r="BM41" s="1">
        <f>STDEVA(BM39,BM42)</f>
        <v>0.24980301352259174</v>
      </c>
      <c r="BO41" s="1"/>
      <c r="BP41" s="1">
        <f>STDEVA(BP39,BP42)</f>
        <v>0.23078297641833148</v>
      </c>
      <c r="BR41" s="1"/>
      <c r="BS41" s="1">
        <f>STDEVA(BS39,BS42)</f>
        <v>0.77413849551912806</v>
      </c>
      <c r="BU41" s="1"/>
      <c r="BV41" s="1">
        <f>STDEVA(BV39,BV42)</f>
        <v>4.0003373876482158</v>
      </c>
      <c r="BX41" s="1"/>
      <c r="BY41" s="1">
        <f>STDEVA(BY39,BY42)</f>
        <v>0.44352896055345453</v>
      </c>
      <c r="CA41" s="1">
        <v>9.3679296300137178</v>
      </c>
      <c r="CB41" s="1"/>
      <c r="CC41" s="1">
        <f>STDEVA(CC39,CC42)</f>
        <v>1.1444250346103197</v>
      </c>
      <c r="CD41" s="1">
        <v>0.41688487355401904</v>
      </c>
      <c r="CE41" s="1"/>
      <c r="CF41" s="1">
        <f>STDEVA(CF39,CF42)</f>
        <v>0.68828068289575473</v>
      </c>
      <c r="CG41" s="1">
        <v>0.1717266244927782</v>
      </c>
      <c r="CH41" s="1"/>
      <c r="CI41" s="1">
        <f>STDEVA(CI39,CI42)</f>
        <v>0.31574787518648356</v>
      </c>
      <c r="CJ41" s="1"/>
      <c r="CK41" s="1"/>
      <c r="CL41" s="1"/>
      <c r="CM41" s="1"/>
      <c r="CN41" s="1"/>
      <c r="CO41" s="1"/>
      <c r="CP41" s="1"/>
      <c r="CQ41" s="1"/>
      <c r="CR41" s="1"/>
    </row>
    <row r="42" spans="1:96" x14ac:dyDescent="0.25">
      <c r="A42" s="1"/>
      <c r="B42" s="1" t="s">
        <v>118</v>
      </c>
      <c r="C42" s="1">
        <v>16</v>
      </c>
      <c r="D42" s="1"/>
      <c r="E42" s="1">
        <v>9.2612692699764345</v>
      </c>
      <c r="F42" s="1">
        <f>AVERAGE(E42:E44)</f>
        <v>9.6731764666487496</v>
      </c>
      <c r="G42" s="1">
        <f>F42/F30</f>
        <v>1.5457909935699794</v>
      </c>
      <c r="H42" s="1">
        <v>0.27366508853276811</v>
      </c>
      <c r="I42" s="1">
        <f>AVERAGE(H42:H44)</f>
        <v>0.27146796254704453</v>
      </c>
      <c r="J42" s="1">
        <f>I42/I30</f>
        <v>2.0827789655256779</v>
      </c>
      <c r="K42" s="1">
        <v>0.19753507145503377</v>
      </c>
      <c r="L42" s="1">
        <f>AVERAGE(K42:K44)</f>
        <v>0.21139951763224629</v>
      </c>
      <c r="M42" s="1">
        <f>L42/L30</f>
        <v>1.2821085847524667</v>
      </c>
      <c r="N42" s="1">
        <v>8.1335607637727323E-3</v>
      </c>
      <c r="O42" s="1">
        <f>AVERAGE(N42:N44)</f>
        <v>7.9343979060064896E-3</v>
      </c>
      <c r="P42" s="1">
        <f>O42/O30</f>
        <v>1.0697452013791455</v>
      </c>
      <c r="Q42" s="1">
        <v>1.1982939805805655E-2</v>
      </c>
      <c r="R42" s="1">
        <f>AVERAGE(Q42:Q44)</f>
        <v>1.3007942234190523E-2</v>
      </c>
      <c r="S42" s="1">
        <f>R42/R30</f>
        <v>2.5458168664089813</v>
      </c>
      <c r="T42" s="1">
        <v>5.1109631249617931E-3</v>
      </c>
      <c r="U42" s="1">
        <f>AVERAGE(T42:T44)</f>
        <v>5.0191209855711344E-3</v>
      </c>
      <c r="V42" s="1">
        <f>U42/U30</f>
        <v>0.83485118819034299</v>
      </c>
      <c r="W42" s="1">
        <v>6.662969910986398E-2</v>
      </c>
      <c r="X42" s="1">
        <f>AVERAGE(W42:W44)</f>
        <v>6.9531429262621389E-2</v>
      </c>
      <c r="Y42" s="1">
        <f>X42/X30</f>
        <v>2.4306645927192077</v>
      </c>
      <c r="Z42" s="1">
        <v>9.5810809684294701E-2</v>
      </c>
      <c r="AA42" s="1">
        <f>AVERAGE(Z42:Z44)</f>
        <v>0.10016631946927131</v>
      </c>
      <c r="AB42" s="1">
        <f>AA42/AA30</f>
        <v>1.7192342147910984</v>
      </c>
      <c r="AC42" s="1">
        <v>9.6603599034715409E-2</v>
      </c>
      <c r="AD42" s="1">
        <f>AVERAGE(AC42:AC44)</f>
        <v>9.8374476219772342E-2</v>
      </c>
      <c r="AE42" s="1">
        <f>AD42/AD30</f>
        <v>0.92706979683885327</v>
      </c>
      <c r="AF42" s="1">
        <v>0.47038503333910103</v>
      </c>
      <c r="AG42" s="1">
        <f>AVERAGE(AF42:AF44)</f>
        <v>0.50007919318172933</v>
      </c>
      <c r="AH42" s="1">
        <f>AG42/AG30</f>
        <v>2.1657268031391586</v>
      </c>
      <c r="AI42" s="1">
        <v>1.7511622358876155E-2</v>
      </c>
      <c r="AJ42" s="1">
        <f>AVERAGE(AI42:AI44)</f>
        <v>1.6769086297698532E-2</v>
      </c>
      <c r="AK42" s="1">
        <f>AJ42/AJ30</f>
        <v>0.3049669403281135</v>
      </c>
      <c r="AL42" s="1">
        <v>0.89881329424753809</v>
      </c>
      <c r="AM42" s="1">
        <f>AVERAGE(AL42:AL44)</f>
        <v>0.89723750594437579</v>
      </c>
      <c r="AN42" s="1">
        <f>AM42/AM30</f>
        <v>5.2138193551008847</v>
      </c>
      <c r="AP42" s="1">
        <v>4.2815431054664392</v>
      </c>
      <c r="AQ42" s="1">
        <f>AVERAGE(AP42:AP44)</f>
        <v>4.3822000933615026</v>
      </c>
      <c r="AR42" s="1">
        <f>AQ42/AQ30</f>
        <v>1.3033710580379625</v>
      </c>
      <c r="AS42" s="1">
        <v>0.11705200967331372</v>
      </c>
      <c r="AT42" s="1">
        <f>AVERAGE(AS42:AS44)</f>
        <v>0.1175064774856001</v>
      </c>
      <c r="AU42" s="1">
        <f>AT42/AT30</f>
        <v>1.1204944431716635</v>
      </c>
      <c r="AV42" s="1">
        <v>0.12761507406322242</v>
      </c>
      <c r="AW42" s="1">
        <f>AVERAGE(AV42:AV44)</f>
        <v>0.13001206233720106</v>
      </c>
      <c r="AX42" s="1">
        <f>AW42/AW30</f>
        <v>1.110282805065508</v>
      </c>
      <c r="AY42" s="1">
        <v>0.15494193592648844</v>
      </c>
      <c r="AZ42" s="1">
        <f>AVERAGE(AY42:AY44)</f>
        <v>0.16137463848606934</v>
      </c>
      <c r="BA42" s="1">
        <f>AZ42/AZ30</f>
        <v>1.6674543236972019</v>
      </c>
      <c r="BB42" s="1">
        <v>7.6927382827400248E-2</v>
      </c>
      <c r="BC42" s="1">
        <f>AVERAGE(BB42:BB44)</f>
        <v>7.6425740571399253E-2</v>
      </c>
      <c r="BD42" s="1">
        <f>BC42/BC30</f>
        <v>2.5363160071180624</v>
      </c>
      <c r="BE42" s="1">
        <v>0.18826415302214525</v>
      </c>
      <c r="BF42" s="1">
        <f>AVERAGE(BE42:BE44)</f>
        <v>0.19195874587719111</v>
      </c>
      <c r="BG42" s="1">
        <f>BF42/BF30</f>
        <v>9.1897297176519496E-2</v>
      </c>
      <c r="BH42" s="1">
        <v>8.2541454135216616E-2</v>
      </c>
      <c r="BI42" s="1">
        <f>AVERAGE(BH42:BH44)</f>
        <v>8.2585681855348064E-2</v>
      </c>
      <c r="BJ42" s="1">
        <f>BI42/BI30</f>
        <v>1.6186749459847751</v>
      </c>
      <c r="BK42" s="1">
        <v>0.49070680956720875</v>
      </c>
      <c r="BL42" s="1">
        <f>AVERAGE(BK42:BK44)</f>
        <v>0.50860431968561792</v>
      </c>
      <c r="BM42" s="1">
        <f>BL42/BL30</f>
        <v>1.9536652678894979</v>
      </c>
      <c r="BN42" s="1">
        <v>0.62042277295472192</v>
      </c>
      <c r="BO42" s="1">
        <f>AVERAGE(BN42:BN44)</f>
        <v>0.62632002807286835</v>
      </c>
      <c r="BP42" s="1">
        <f>BO42/BO30</f>
        <v>1.3827948706931377</v>
      </c>
      <c r="BQ42" s="1">
        <v>0.72083208717894487</v>
      </c>
      <c r="BR42" s="1">
        <f>AVERAGE(BQ42:BQ44)</f>
        <v>0.71102860205028129</v>
      </c>
      <c r="BS42" s="1">
        <f>BR42/BR30</f>
        <v>1.6502286166068307</v>
      </c>
      <c r="BT42" s="1">
        <v>2.4310869183883338E-2</v>
      </c>
      <c r="BU42" s="1">
        <f>AVERAGE(BT42:BT44)</f>
        <v>2.3325491794569126E-2</v>
      </c>
      <c r="BV42" s="1">
        <f>BU42/BU30</f>
        <v>9.1241022060146033</v>
      </c>
      <c r="BW42" s="1">
        <v>0.65712242659741005</v>
      </c>
      <c r="BX42" s="1">
        <f>AVERAGE(BW42:BW44)</f>
        <v>0.63997595127553708</v>
      </c>
      <c r="BY42" s="1">
        <f>BX42/BX30</f>
        <v>1.8130548647529932</v>
      </c>
      <c r="CA42" s="1">
        <v>8.5746498975471486</v>
      </c>
      <c r="CB42" s="1">
        <f>AVERAGE(CA42:CA44)</f>
        <v>8.7010349304399046</v>
      </c>
      <c r="CC42" s="1">
        <f>CB42/CB30</f>
        <v>1.6969739002682183</v>
      </c>
      <c r="CD42" s="1">
        <v>0.33259396625671656</v>
      </c>
      <c r="CE42" s="1">
        <f>AVERAGE(CD42:CD44)</f>
        <v>0.37792573983622835</v>
      </c>
      <c r="CF42" s="1">
        <f>CE42/CE30</f>
        <v>1.7360086917228317</v>
      </c>
      <c r="CG42">
        <v>0.11412764433100099</v>
      </c>
      <c r="CH42" s="1">
        <f>AVERAGE(CG42:CG44)</f>
        <v>0.13448335670918224</v>
      </c>
      <c r="CI42" s="1">
        <f>CH42/CH30</f>
        <v>1.8357915354671095</v>
      </c>
      <c r="CJ42" s="1"/>
      <c r="CK42" s="1"/>
      <c r="CL42" s="1"/>
      <c r="CM42" s="1"/>
      <c r="CN42" s="1"/>
      <c r="CO42" s="1"/>
      <c r="CP42" s="1"/>
      <c r="CQ42" s="1"/>
      <c r="CR42" s="1"/>
    </row>
    <row r="43" spans="1:96" x14ac:dyDescent="0.25">
      <c r="A43" s="1"/>
      <c r="B43" s="1" t="s">
        <v>118</v>
      </c>
      <c r="C43" s="1">
        <v>16</v>
      </c>
      <c r="D43" s="1"/>
      <c r="E43" s="1">
        <v>9.7833507040031975</v>
      </c>
      <c r="F43" s="1"/>
      <c r="G43" s="1"/>
      <c r="H43" s="1">
        <v>0.26964771340964905</v>
      </c>
      <c r="I43" s="1"/>
      <c r="J43" s="1"/>
      <c r="K43" s="1">
        <v>0.20985112613281579</v>
      </c>
      <c r="L43" s="1"/>
      <c r="M43" s="1"/>
      <c r="N43" s="1">
        <v>7.7553096487954732E-3</v>
      </c>
      <c r="O43" s="1"/>
      <c r="P43" s="1"/>
      <c r="Q43" s="1">
        <v>1.3467488979355893E-2</v>
      </c>
      <c r="R43" s="1"/>
      <c r="S43" s="1"/>
      <c r="T43" s="1">
        <v>4.7085919342766116E-3</v>
      </c>
      <c r="U43" s="1"/>
      <c r="V43" s="1"/>
      <c r="W43" s="1">
        <v>6.9907255074167313E-2</v>
      </c>
      <c r="X43" s="1"/>
      <c r="Y43" s="1"/>
      <c r="Z43" s="1">
        <v>0.10181679009979151</v>
      </c>
      <c r="AA43" s="1"/>
      <c r="AB43" s="1"/>
      <c r="AC43" s="1">
        <v>0.10014535340482927</v>
      </c>
      <c r="AD43" s="1"/>
      <c r="AE43" s="1"/>
      <c r="AF43" s="1">
        <v>0.49584791321282801</v>
      </c>
      <c r="AG43" s="1"/>
      <c r="AH43" s="1"/>
      <c r="AI43" s="1">
        <v>1.4879277847811062E-2</v>
      </c>
      <c r="AJ43" s="1"/>
      <c r="AK43" s="1"/>
      <c r="AL43" s="1">
        <v>0.89978822622159249</v>
      </c>
      <c r="AM43" s="1"/>
      <c r="AN43" s="1"/>
      <c r="AP43" s="1">
        <v>4.3315262605212315</v>
      </c>
      <c r="AQ43" s="1"/>
      <c r="AR43" s="1"/>
      <c r="AS43" s="1">
        <v>0.11643017414017991</v>
      </c>
      <c r="AT43" s="1"/>
      <c r="AU43" s="1"/>
      <c r="AV43" s="1">
        <v>0.13128046486828979</v>
      </c>
      <c r="AW43" s="1"/>
      <c r="AX43" s="1"/>
      <c r="AY43" s="1">
        <v>0.16806197833646719</v>
      </c>
      <c r="AZ43" s="1"/>
      <c r="BA43" s="1"/>
      <c r="BB43" s="1">
        <v>7.6406297266899112E-2</v>
      </c>
      <c r="BC43" s="1"/>
      <c r="BD43" s="1"/>
      <c r="BE43" s="1">
        <v>0.19503437233847296</v>
      </c>
      <c r="BF43" s="1"/>
      <c r="BG43" s="1"/>
      <c r="BH43" s="1">
        <v>8.368397988601152E-2</v>
      </c>
      <c r="BI43" s="1"/>
      <c r="BJ43" s="1"/>
      <c r="BK43" s="1">
        <v>0.51121695794922661</v>
      </c>
      <c r="BL43" s="1"/>
      <c r="BM43" s="1"/>
      <c r="BN43" s="1">
        <v>0.62489272542553942</v>
      </c>
      <c r="BO43" s="1"/>
      <c r="BP43" s="1"/>
      <c r="BQ43" s="1">
        <v>0.72011103245133756</v>
      </c>
      <c r="BR43" s="1"/>
      <c r="BS43" s="1"/>
      <c r="BT43" s="1">
        <v>2.2279876884617616E-2</v>
      </c>
      <c r="BU43" s="1"/>
      <c r="BV43" s="1"/>
      <c r="BW43" s="1">
        <v>0.63936256980112804</v>
      </c>
      <c r="BX43" s="1"/>
      <c r="BY43" s="1"/>
      <c r="CA43" s="1">
        <v>9.0057600004701683</v>
      </c>
      <c r="CB43" s="1"/>
      <c r="CC43" s="1"/>
      <c r="CD43" s="1">
        <v>0.42891847176274406</v>
      </c>
      <c r="CE43" s="1"/>
      <c r="CF43" s="1"/>
      <c r="CG43">
        <v>0.10744773292046726</v>
      </c>
      <c r="CH43" s="1"/>
      <c r="CI43" s="1"/>
      <c r="CJ43" s="1"/>
      <c r="CK43" s="1"/>
      <c r="CL43" s="1"/>
      <c r="CM43" s="1"/>
      <c r="CN43" s="1"/>
      <c r="CO43" s="1"/>
      <c r="CP43" s="1"/>
      <c r="CQ43" s="1"/>
      <c r="CR43" s="1"/>
    </row>
    <row r="44" spans="1:96" x14ac:dyDescent="0.25">
      <c r="A44" s="1"/>
      <c r="B44" s="1" t="s">
        <v>118</v>
      </c>
      <c r="C44" s="1">
        <v>16</v>
      </c>
      <c r="D44" s="1"/>
      <c r="E44" s="1">
        <v>9.9749094259666187</v>
      </c>
      <c r="F44" s="1"/>
      <c r="G44" s="1"/>
      <c r="H44" s="1">
        <v>0.27109108569871643</v>
      </c>
      <c r="I44" s="1"/>
      <c r="J44" s="1"/>
      <c r="K44" s="1">
        <v>0.22681235530888938</v>
      </c>
      <c r="L44" s="1"/>
      <c r="M44" s="1"/>
      <c r="N44" s="1">
        <v>7.9143233054512624E-3</v>
      </c>
      <c r="O44" s="1"/>
      <c r="P44" s="1"/>
      <c r="Q44" s="1">
        <v>1.357339791741002E-2</v>
      </c>
      <c r="R44" s="1"/>
      <c r="S44" s="1"/>
      <c r="T44" s="1">
        <v>5.2378078974749994E-3</v>
      </c>
      <c r="U44" s="1"/>
      <c r="V44" s="1"/>
      <c r="W44" s="1">
        <v>7.2057333603832888E-2</v>
      </c>
      <c r="X44" s="1"/>
      <c r="Y44" s="1"/>
      <c r="Z44" s="1">
        <v>0.1028713586237277</v>
      </c>
      <c r="AA44" s="1"/>
      <c r="AB44" s="1"/>
      <c r="AC44" s="1"/>
      <c r="AD44" s="1"/>
      <c r="AE44" s="1"/>
      <c r="AF44" s="1">
        <v>0.53400463299325895</v>
      </c>
      <c r="AG44" s="1"/>
      <c r="AH44" s="1"/>
      <c r="AI44" s="1">
        <v>1.7916358686408375E-2</v>
      </c>
      <c r="AJ44" s="1"/>
      <c r="AK44" s="1"/>
      <c r="AL44" s="1">
        <v>0.89311099736399702</v>
      </c>
      <c r="AM44" s="1"/>
      <c r="AN44" s="1"/>
      <c r="AP44" s="1">
        <v>4.5335309140968381</v>
      </c>
      <c r="AQ44" s="1"/>
      <c r="AR44" s="1"/>
      <c r="AS44" s="1">
        <v>0.11903724864330667</v>
      </c>
      <c r="AT44" s="1"/>
      <c r="AU44" s="1"/>
      <c r="AV44" s="1">
        <v>0.13114064808009099</v>
      </c>
      <c r="AW44" s="1"/>
      <c r="AX44" s="1"/>
      <c r="AY44" s="1">
        <v>0.16112000119525235</v>
      </c>
      <c r="AZ44" s="1"/>
      <c r="BA44" s="1"/>
      <c r="BB44" s="1">
        <v>7.5943541619898386E-2</v>
      </c>
      <c r="BC44" s="1"/>
      <c r="BD44" s="1"/>
      <c r="BE44" s="1">
        <v>0.19257771227095513</v>
      </c>
      <c r="BF44" s="1"/>
      <c r="BG44" s="1"/>
      <c r="BH44" s="1">
        <v>8.1531611544816057E-2</v>
      </c>
      <c r="BI44" s="1"/>
      <c r="BJ44" s="1"/>
      <c r="BK44" s="1">
        <v>0.52388919154041813</v>
      </c>
      <c r="BL44" s="1"/>
      <c r="BM44" s="1"/>
      <c r="BN44" s="1">
        <v>0.63364458583834382</v>
      </c>
      <c r="BO44" s="1"/>
      <c r="BP44" s="1"/>
      <c r="BQ44" s="1">
        <v>0.69214268652056143</v>
      </c>
      <c r="BR44" s="1"/>
      <c r="BS44" s="1"/>
      <c r="BT44" s="1">
        <v>2.3385729315206431E-2</v>
      </c>
      <c r="BU44" s="1"/>
      <c r="BV44" s="1"/>
      <c r="BW44" s="1">
        <v>0.62344285742807293</v>
      </c>
      <c r="BX44" s="1"/>
      <c r="BY44" s="1"/>
      <c r="CA44" s="1">
        <v>8.5226948933024005</v>
      </c>
      <c r="CB44" s="1"/>
      <c r="CC44" s="1"/>
      <c r="CD44" s="1">
        <v>0.37226478148922432</v>
      </c>
      <c r="CE44" s="1"/>
      <c r="CF44" s="1"/>
      <c r="CG44">
        <v>0.18187469287607844</v>
      </c>
      <c r="CH44" s="1"/>
      <c r="CI44" s="1"/>
      <c r="CJ44" s="1"/>
      <c r="CK44" s="1"/>
      <c r="CL44" s="1"/>
      <c r="CM44" s="1"/>
      <c r="CN44" s="1"/>
      <c r="CO44" s="1"/>
      <c r="CP44" s="1"/>
      <c r="CQ44" s="1"/>
      <c r="CR44" s="1"/>
    </row>
    <row r="45" spans="1:96" x14ac:dyDescent="0.25">
      <c r="A45" s="1"/>
      <c r="B45" s="1" t="s">
        <v>16</v>
      </c>
      <c r="C45" s="1">
        <v>16</v>
      </c>
      <c r="D45" s="1"/>
      <c r="E45" s="1">
        <v>6.4128731480391936</v>
      </c>
      <c r="F45" s="1">
        <f>AVERAGE(E45:E47)</f>
        <v>6.5809847767471226</v>
      </c>
      <c r="G45" s="1">
        <f>F45/F27</f>
        <v>1.181083283446609</v>
      </c>
      <c r="H45" s="1">
        <v>0.32081328371468304</v>
      </c>
      <c r="I45" s="1">
        <f>AVERAGE(H45:H47)</f>
        <v>0.34546251129451627</v>
      </c>
      <c r="J45" s="1">
        <f>I45/I27</f>
        <v>1.3905295730701439</v>
      </c>
      <c r="K45" s="1">
        <v>0.13558121275630303</v>
      </c>
      <c r="L45" s="1">
        <f>AVERAGE(K45:K47)</f>
        <v>0.14007880537827536</v>
      </c>
      <c r="M45" s="1">
        <f>L45/L27</f>
        <v>1.0549899626027608</v>
      </c>
      <c r="N45" s="1">
        <v>2.9009386072143598E-2</v>
      </c>
      <c r="O45" s="1">
        <f>AVERAGE(N45:N47)</f>
        <v>2.5700436038793736E-2</v>
      </c>
      <c r="P45" s="1">
        <f>O45/O27</f>
        <v>1.9713422662815159</v>
      </c>
      <c r="Q45" s="1">
        <v>0.26729482842709995</v>
      </c>
      <c r="R45" s="1">
        <f>AVERAGE(Q45:Q47)</f>
        <v>0.28579609137491779</v>
      </c>
      <c r="S45" s="1">
        <f>R45/R27</f>
        <v>1.6288890543870973</v>
      </c>
      <c r="T45" s="1">
        <v>3.4835139823421443E-2</v>
      </c>
      <c r="U45" s="1">
        <f>AVERAGE(T45:T47)</f>
        <v>2.782963814983316E-2</v>
      </c>
      <c r="V45" s="1">
        <f>U45/U27</f>
        <v>2.4605208194573489</v>
      </c>
      <c r="W45" s="1">
        <v>1.2605084043585135</v>
      </c>
      <c r="X45" s="1">
        <f>AVERAGE(W45:W47)</f>
        <v>1.4780505774804786</v>
      </c>
      <c r="Y45" s="1">
        <f>X45/X27</f>
        <v>2.3825321218422415</v>
      </c>
      <c r="Z45" s="1">
        <v>0.22960322530439878</v>
      </c>
      <c r="AA45" s="1">
        <f>AVERAGE(Z45:Z47)</f>
        <v>0.22701768249940563</v>
      </c>
      <c r="AB45" s="1">
        <f>AA45/AA27</f>
        <v>1.8359728292360571</v>
      </c>
      <c r="AC45" s="1">
        <v>6.3942177372196388E-2</v>
      </c>
      <c r="AD45" s="1">
        <f>AVERAGE(AC45:AC47)</f>
        <v>6.2960583568391265E-2</v>
      </c>
      <c r="AE45" s="1">
        <f>AD45/AD27</f>
        <v>1.4154939929242123</v>
      </c>
      <c r="AF45" s="1">
        <v>1.1720266966571145</v>
      </c>
      <c r="AG45" s="1">
        <f>AVERAGE(AF45:AF47)</f>
        <v>1.1652958613791338</v>
      </c>
      <c r="AH45" s="1">
        <f>AG45/AG27</f>
        <v>8.5250181626470631</v>
      </c>
      <c r="AI45" s="1">
        <v>4.2057987725732243E-2</v>
      </c>
      <c r="AJ45" s="1">
        <f>AVERAGE(AI45:AI47)</f>
        <v>4.0795040598430678E-2</v>
      </c>
      <c r="AK45" s="1">
        <f>AJ45/AJ27</f>
        <v>3.3037664034564194</v>
      </c>
      <c r="AL45" s="1">
        <v>0.27100156012268584</v>
      </c>
      <c r="AM45" s="1">
        <f>AVERAGE(AL45:AL47)</f>
        <v>0.27227909467127898</v>
      </c>
      <c r="AN45" s="1">
        <f>AM45/AM27</f>
        <v>2.2593676372285989</v>
      </c>
      <c r="AP45" s="1">
        <v>5.8013534263178714</v>
      </c>
      <c r="AQ45" s="1">
        <f>AVERAGE(AP45:AP47)</f>
        <v>5.7656862927642178</v>
      </c>
      <c r="AR45" s="1">
        <f>AQ45/AQ27</f>
        <v>1.1345695888706593</v>
      </c>
      <c r="AS45" s="1">
        <v>0.20634663720136528</v>
      </c>
      <c r="AT45" s="1">
        <f>AVERAGE(AS45:AS47)</f>
        <v>0.147844711867784</v>
      </c>
      <c r="AU45" s="1">
        <f>AT45/AT27</f>
        <v>1.0835819796612012</v>
      </c>
      <c r="AV45" s="1">
        <v>0.10728719192037843</v>
      </c>
      <c r="AW45" s="1">
        <f>AVERAGE(AV45:AV47)</f>
        <v>0.10419945603172746</v>
      </c>
      <c r="AX45" s="1">
        <f>AW45/AW27</f>
        <v>1.0016077462156436</v>
      </c>
      <c r="AY45" s="1">
        <v>6.8781378950324101E-2</v>
      </c>
      <c r="AZ45" s="1">
        <f>AVERAGE(AY45:AY47)</f>
        <v>6.9430283071640564E-2</v>
      </c>
      <c r="BA45" s="1">
        <f>AZ45/AZ27</f>
        <v>1.1815619623641023</v>
      </c>
      <c r="BB45" s="1">
        <v>0.56863421520984625</v>
      </c>
      <c r="BC45" s="1">
        <f>AVERAGE(BB45:BB47)</f>
        <v>0.5965778060827156</v>
      </c>
      <c r="BD45" s="1">
        <f>BC45/BC27</f>
        <v>1.0596558934846829</v>
      </c>
      <c r="BE45" s="1">
        <v>4.1912812828220056E-2</v>
      </c>
      <c r="BF45" s="1">
        <f>AVERAGE(BE45:BE47)</f>
        <v>4.2886625360900356E-2</v>
      </c>
      <c r="BG45" s="1">
        <f>BF45/BF27</f>
        <v>1.09828881780312</v>
      </c>
      <c r="BH45" s="1">
        <v>2.7712740641870584</v>
      </c>
      <c r="BI45" s="1">
        <f>AVERAGE(BH45:BH47)</f>
        <v>2.6855413009675742</v>
      </c>
      <c r="BJ45" s="1">
        <f>BI45/BI27</f>
        <v>1.7217676472875367</v>
      </c>
      <c r="BK45" s="1">
        <v>1.2517662757757706E-2</v>
      </c>
      <c r="BL45" s="1">
        <f>AVERAGE(BK45:BK47)</f>
        <v>1.2594966231463953E-2</v>
      </c>
      <c r="BM45" s="1">
        <f>BL45/BL27</f>
        <v>1.8928736656759668</v>
      </c>
      <c r="BN45" s="1">
        <v>0.10699361568784516</v>
      </c>
      <c r="BO45" s="1">
        <f>AVERAGE(BN45:BN47)</f>
        <v>0.10749235690307107</v>
      </c>
      <c r="BP45" s="1">
        <f>BO45/BO27</f>
        <v>1.0122938138572402</v>
      </c>
      <c r="BQ45" s="1">
        <v>0.36616575355060133</v>
      </c>
      <c r="BR45" s="1">
        <f>AVERAGE(BQ45:BQ47)</f>
        <v>0.35391016436834544</v>
      </c>
      <c r="BS45" s="1">
        <f>BR45/BR27</f>
        <v>0.98978585113007889</v>
      </c>
      <c r="BT45" s="1">
        <v>4.887653415194089E-2</v>
      </c>
      <c r="BU45" s="1">
        <f>AVERAGE(BT45:BT47)</f>
        <v>5.0452727801651075E-2</v>
      </c>
      <c r="BV45" s="1">
        <f>BU45/BU27</f>
        <v>2.8636292991756429</v>
      </c>
      <c r="BW45" s="1">
        <v>0.38773079060515042</v>
      </c>
      <c r="BX45" s="1">
        <f>AVERAGE(BW45:BW47)</f>
        <v>0.39010137237394577</v>
      </c>
      <c r="BY45" s="1">
        <f>BX45/BX27</f>
        <v>1.2243618055410093</v>
      </c>
      <c r="CA45" s="1">
        <v>6.279253659607317</v>
      </c>
      <c r="CB45" s="1">
        <f>AVERAGE(CA45:CA47)</f>
        <v>6.1762761690625796</v>
      </c>
      <c r="CC45" s="1">
        <f>CB45/CB27</f>
        <v>2.2291897172322019</v>
      </c>
      <c r="CD45" s="1">
        <v>0.48489172625379423</v>
      </c>
      <c r="CE45" s="1">
        <f>AVERAGE(CD45:CD47)</f>
        <v>0.48507733488374072</v>
      </c>
      <c r="CF45" s="1">
        <f>CE45/CE27</f>
        <v>0.91144762291972392</v>
      </c>
      <c r="CG45" s="1">
        <v>0.14978585201957884</v>
      </c>
      <c r="CH45" s="1">
        <f>AVERAGE(CG45:CG47)</f>
        <v>0.14859346400910634</v>
      </c>
      <c r="CI45" s="1">
        <f>CH45/CH27</f>
        <v>1.1974118544228884</v>
      </c>
      <c r="CJ45" s="1">
        <v>1.8860379225813746E-2</v>
      </c>
      <c r="CK45" s="1">
        <v>4.3074602540659817E-3</v>
      </c>
      <c r="CL45" s="1">
        <v>1.3785367878400769E-2</v>
      </c>
      <c r="CM45" s="1">
        <v>0.10898426299906905</v>
      </c>
      <c r="CN45" s="1">
        <v>0.2095729476706002</v>
      </c>
      <c r="CO45" s="1">
        <v>6.8230436566274574E-2</v>
      </c>
      <c r="CP45" s="1">
        <v>2.3589035077281054E-2</v>
      </c>
      <c r="CQ45" s="1">
        <v>0.63266545663898943</v>
      </c>
      <c r="CR45" s="1">
        <v>3.8863739082394599E-2</v>
      </c>
    </row>
    <row r="46" spans="1:96" x14ac:dyDescent="0.25">
      <c r="A46" s="1"/>
      <c r="B46" s="1" t="s">
        <v>16</v>
      </c>
      <c r="C46" s="1">
        <v>16</v>
      </c>
      <c r="D46" s="1"/>
      <c r="E46" s="1">
        <v>6.815527187258593</v>
      </c>
      <c r="F46" s="1"/>
      <c r="G46" s="1">
        <f>AVERAGE(G45,G48)</f>
        <v>1.2679583545659681</v>
      </c>
      <c r="H46" s="1">
        <v>0.36479072257971079</v>
      </c>
      <c r="I46" s="1"/>
      <c r="J46" s="1">
        <f>AVERAGE(J45,J48)</f>
        <v>1.5712025099552274</v>
      </c>
      <c r="K46" s="1">
        <v>0.14815565264074673</v>
      </c>
      <c r="L46" s="1"/>
      <c r="M46" s="1">
        <f>AVERAGE(M45,M48)</f>
        <v>1.2259321176793159</v>
      </c>
      <c r="N46" s="1">
        <v>2.2391486005443873E-2</v>
      </c>
      <c r="O46" s="1"/>
      <c r="P46" s="1">
        <f>AVERAGE(P45,P48)</f>
        <v>1.5461608271879728</v>
      </c>
      <c r="Q46" s="1">
        <v>0.30429735432273564</v>
      </c>
      <c r="R46" s="1"/>
      <c r="S46" s="1">
        <f>AVERAGE(S45,S48)</f>
        <v>1.8068870963678514</v>
      </c>
      <c r="T46" s="1">
        <v>2.0824136476244877E-2</v>
      </c>
      <c r="U46" s="1"/>
      <c r="V46" s="1">
        <f>AVERAGE(V45,V48)</f>
        <v>1.5790038532929906</v>
      </c>
      <c r="W46" s="1">
        <v>1.695592750602444</v>
      </c>
      <c r="X46" s="1"/>
      <c r="Y46" s="1">
        <f>AVERAGE(Y45,Y48)</f>
        <v>2.1152352929414251</v>
      </c>
      <c r="Z46" s="1">
        <v>0.2244321396944125</v>
      </c>
      <c r="AA46" s="1"/>
      <c r="AB46" s="1">
        <f>AVERAGE(AB45,AB48)</f>
        <v>1.5935149965722684</v>
      </c>
      <c r="AC46" s="1">
        <v>6.1978989764586156E-2</v>
      </c>
      <c r="AD46" s="1"/>
      <c r="AE46" s="1">
        <f>AVERAGE(AE45,AE48)</f>
        <v>1.2397635114169101</v>
      </c>
      <c r="AF46" s="1">
        <v>1.1585650261011529</v>
      </c>
      <c r="AG46" s="1"/>
      <c r="AH46" s="1">
        <f>AVERAGE(AH45,AH48)</f>
        <v>4.6506631453701326</v>
      </c>
      <c r="AI46" s="1">
        <v>3.9532093471129112E-2</v>
      </c>
      <c r="AJ46" s="1"/>
      <c r="AK46" s="1">
        <f>AVERAGE(AK45,AK48)</f>
        <v>1.8345453628223891</v>
      </c>
      <c r="AL46" s="1">
        <v>0.27355662921987206</v>
      </c>
      <c r="AM46" s="1"/>
      <c r="AN46" s="1">
        <f>AVERAGE(AN45,AN48)</f>
        <v>2.9125232277370561</v>
      </c>
      <c r="AP46" s="1">
        <v>5.8457156546573152</v>
      </c>
      <c r="AQ46" s="1"/>
      <c r="AR46" s="1">
        <f>AVERAGE(AR45,AR48)</f>
        <v>1.1225352692370048</v>
      </c>
      <c r="AS46" s="1">
        <v>0.11873407585667015</v>
      </c>
      <c r="AT46" s="1"/>
      <c r="AU46" s="1">
        <f>AVERAGE(AU45,AU48)</f>
        <v>1.1247948290420253</v>
      </c>
      <c r="AV46" s="1">
        <v>0.10788272921041728</v>
      </c>
      <c r="AW46" s="1"/>
      <c r="AX46" s="1">
        <f>AVERAGE(AX45,AX48)</f>
        <v>0.97031303205378638</v>
      </c>
      <c r="AY46" s="1">
        <v>7.007918719295704E-2</v>
      </c>
      <c r="AZ46" s="1"/>
      <c r="BA46" s="1">
        <f>AVERAGE(BA45,BA48)</f>
        <v>1.2083296745511503</v>
      </c>
      <c r="BB46" s="1">
        <v>0.62452139695558484</v>
      </c>
      <c r="BC46" s="1"/>
      <c r="BD46" s="1">
        <f>AVERAGE(BD45,BD48)</f>
        <v>1.5400381473778957</v>
      </c>
      <c r="BE46" s="1">
        <v>4.3860437893580656E-2</v>
      </c>
      <c r="BF46" s="1"/>
      <c r="BG46" s="1">
        <f>AVERAGE(BG45,BG48)</f>
        <v>0.58861562587265681</v>
      </c>
      <c r="BH46" s="1">
        <v>2.5998085377480904</v>
      </c>
      <c r="BI46" s="1"/>
      <c r="BJ46" s="1">
        <f>AVERAGE(BJ45,BJ48)</f>
        <v>1.5992716751230467</v>
      </c>
      <c r="BK46" s="1">
        <v>1.26722697051702E-2</v>
      </c>
      <c r="BL46" s="1"/>
      <c r="BM46" s="1">
        <f>AVERAGE(BM45,BM48)</f>
        <v>1.4062488198496061</v>
      </c>
      <c r="BN46" s="1">
        <v>0.107991098118297</v>
      </c>
      <c r="BO46" s="1"/>
      <c r="BP46" s="1">
        <f>AVERAGE(BP45,BP48)</f>
        <v>1.0237703093974526</v>
      </c>
      <c r="BQ46" s="1">
        <v>0.34165457518608955</v>
      </c>
      <c r="BR46" s="1"/>
      <c r="BS46" s="1">
        <f>AVERAGE(BS45,BS48)</f>
        <v>1.1493578293180018</v>
      </c>
      <c r="BT46" s="1">
        <v>5.202892145136126E-2</v>
      </c>
      <c r="BU46" s="1"/>
      <c r="BV46" s="1">
        <f>AVERAGE(BV45,BV48)</f>
        <v>4.2204828389540534</v>
      </c>
      <c r="BW46" s="1">
        <v>0.39247195414274111</v>
      </c>
      <c r="BX46" s="1"/>
      <c r="BY46" s="1">
        <f>AVERAGE(BY45,BY48)</f>
        <v>1.3855153337382773</v>
      </c>
      <c r="CA46" s="1">
        <v>6.154816458150778</v>
      </c>
      <c r="CB46" s="1"/>
      <c r="CC46" s="1">
        <f>AVERAGE(CC45,CC48)</f>
        <v>1.7471498824966805</v>
      </c>
      <c r="CD46" s="1">
        <v>0.48484044397237153</v>
      </c>
      <c r="CE46" s="1"/>
      <c r="CF46" s="1">
        <f>AVERAGE(CF45,CF48)</f>
        <v>1.3367613123789353</v>
      </c>
      <c r="CG46" s="1">
        <v>0.14857036477856939</v>
      </c>
      <c r="CH46" s="1"/>
      <c r="CI46" s="1">
        <f>AVERAGE(CI45,CI48)</f>
        <v>1.3596311037745779</v>
      </c>
      <c r="CJ46" s="1">
        <v>1.9366674267761966E-2</v>
      </c>
      <c r="CK46" s="1">
        <v>4.2722178643879389E-3</v>
      </c>
      <c r="CL46" s="1">
        <v>1.3432989746799982E-2</v>
      </c>
      <c r="CM46" s="1">
        <v>0.11187629682525808</v>
      </c>
      <c r="CN46" s="1">
        <v>0.20487248137407824</v>
      </c>
      <c r="CO46" s="1">
        <v>6.886380543480132E-2</v>
      </c>
      <c r="CP46" s="1">
        <v>3.748903091291627E-2</v>
      </c>
      <c r="CQ46" s="1">
        <v>0.63004450999102268</v>
      </c>
      <c r="CR46" s="1">
        <v>3.8690664327153887E-2</v>
      </c>
    </row>
    <row r="47" spans="1:96" x14ac:dyDescent="0.25">
      <c r="A47" s="1"/>
      <c r="B47" s="1" t="s">
        <v>16</v>
      </c>
      <c r="C47" s="1">
        <v>16</v>
      </c>
      <c r="D47" s="1"/>
      <c r="E47" s="1">
        <v>6.5145539949435802</v>
      </c>
      <c r="F47" s="1"/>
      <c r="G47" s="1">
        <f>STDEVA(G45,G48)</f>
        <v>0.12285990380912483</v>
      </c>
      <c r="H47" s="1">
        <v>0.3507835275891551</v>
      </c>
      <c r="I47" s="1"/>
      <c r="J47" s="1">
        <f>STDEVA(J45,J48)</f>
        <v>0.25551011769666249</v>
      </c>
      <c r="K47" s="1">
        <v>0.13649955073777631</v>
      </c>
      <c r="L47" s="1"/>
      <c r="M47" s="1">
        <f>STDEVA(M45,M48)</f>
        <v>0.24174871409054841</v>
      </c>
      <c r="O47" s="1"/>
      <c r="P47" s="1">
        <f>STDEVA(P45,P48)</f>
        <v>0.60129735763539816</v>
      </c>
      <c r="R47" s="1"/>
      <c r="S47" s="1">
        <f>STDEVA(S45,S48)</f>
        <v>0.25172724504503796</v>
      </c>
      <c r="U47" s="1"/>
      <c r="V47" s="1">
        <f>STDEVA(V45,V48)</f>
        <v>1.2466532490116204</v>
      </c>
      <c r="X47" s="1"/>
      <c r="Y47" s="1">
        <f>STDEVA(Y45,Y48)</f>
        <v>0.37801480061085685</v>
      </c>
      <c r="AA47" s="1"/>
      <c r="AB47" s="1">
        <f>STDEVA(AB45,AB48)</f>
        <v>0.34288715525671748</v>
      </c>
      <c r="AD47" s="1"/>
      <c r="AE47" s="1">
        <f>STDEVA(AE45,AE48)</f>
        <v>0.24852043026998197</v>
      </c>
      <c r="AG47" s="1"/>
      <c r="AH47" s="1">
        <f>STDEVA(AH45,AH48)</f>
        <v>5.479165410881282</v>
      </c>
      <c r="AJ47" s="1"/>
      <c r="AK47" s="1">
        <f>STDEVA(AK45,AK48)</f>
        <v>2.0777923217885577</v>
      </c>
      <c r="AM47" s="1"/>
      <c r="AN47" s="1">
        <f>STDEVA(AN45,AN48)</f>
        <v>0.92370149443686822</v>
      </c>
      <c r="AP47" s="1">
        <v>5.6499897973174669</v>
      </c>
      <c r="AQ47" s="1"/>
      <c r="AR47" s="1">
        <f>STDEVA(AR45,AR48)</f>
        <v>1.701909803984706E-2</v>
      </c>
      <c r="AS47" s="1">
        <v>0.11845342254531654</v>
      </c>
      <c r="AT47" s="1"/>
      <c r="AU47" s="1">
        <f>STDEVA(AU45,AU48)</f>
        <v>5.8283770538401121E-2</v>
      </c>
      <c r="AV47" s="1">
        <v>9.7428446964386711E-2</v>
      </c>
      <c r="AW47" s="1"/>
      <c r="AX47" s="1">
        <f>STDEVA(AX45,AX48)</f>
        <v>4.4257409198287891E-2</v>
      </c>
      <c r="AZ47" s="1"/>
      <c r="BA47" s="1">
        <f>STDEVA(BA45,BA48)</f>
        <v>3.7855261608622848E-2</v>
      </c>
      <c r="BC47" s="1"/>
      <c r="BD47" s="1">
        <f>STDEVA(BD45,BD48)</f>
        <v>0.67936309857913757</v>
      </c>
      <c r="BF47" s="1"/>
      <c r="BG47" s="1">
        <f>STDEVA(BG45,BG48)</f>
        <v>0.72078674040604662</v>
      </c>
      <c r="BI47" s="1"/>
      <c r="BJ47" s="1">
        <f>STDEVA(BJ45,BJ48)</f>
        <v>0.17323546517109881</v>
      </c>
      <c r="BL47" s="1"/>
      <c r="BM47" s="1">
        <f>STDEVA(BM45,BM48)</f>
        <v>0.68819145675535587</v>
      </c>
      <c r="BO47" s="1"/>
      <c r="BP47" s="1">
        <f>STDEVA(BP45,BP48)</f>
        <v>1.6230215641482804E-2</v>
      </c>
      <c r="BR47" s="1"/>
      <c r="BS47" s="1">
        <f>STDEVA(BS45,BS48)</f>
        <v>0.22566885572806356</v>
      </c>
      <c r="BU47" s="1"/>
      <c r="BV47" s="1">
        <f>STDEVA(BV45,BV48)</f>
        <v>1.9188806781085701</v>
      </c>
      <c r="BX47" s="1"/>
      <c r="BY47" s="1">
        <f>STDEVA(BY45,BY48)</f>
        <v>0.2279055052008519</v>
      </c>
      <c r="CA47" s="1">
        <v>6.0947583894296447</v>
      </c>
      <c r="CB47" s="1"/>
      <c r="CC47" s="1">
        <f>STDEVA(CC45,CC48)</f>
        <v>0.68170727188705993</v>
      </c>
      <c r="CD47" s="1">
        <v>0.48549983442505651</v>
      </c>
      <c r="CE47" s="1"/>
      <c r="CF47" s="1">
        <f>STDEVA(CF45,CF48)</f>
        <v>0.60148438789615488</v>
      </c>
      <c r="CG47" s="1">
        <v>0.14742417522917076</v>
      </c>
      <c r="CH47" s="1"/>
      <c r="CI47" s="1">
        <f>STDEVA(CI45,CI48)</f>
        <v>0.22941266251114215</v>
      </c>
      <c r="CJ47" s="1"/>
      <c r="CK47" s="1"/>
      <c r="CL47" s="1"/>
      <c r="CM47" s="1"/>
      <c r="CN47" s="1"/>
      <c r="CO47" s="1"/>
      <c r="CP47" s="1"/>
      <c r="CQ47" s="1"/>
      <c r="CR47" s="1"/>
    </row>
    <row r="48" spans="1:96" x14ac:dyDescent="0.25">
      <c r="A48" s="1"/>
      <c r="B48" s="1" t="s">
        <v>16</v>
      </c>
      <c r="C48" s="1">
        <v>16</v>
      </c>
      <c r="D48" s="1"/>
      <c r="E48" s="1">
        <v>8.4094884532856948</v>
      </c>
      <c r="F48" s="1">
        <f>AVERAGE(E48:E50)</f>
        <v>8.4782113908565186</v>
      </c>
      <c r="G48" s="1">
        <f>F48/F30</f>
        <v>1.3548334256853272</v>
      </c>
      <c r="H48" s="1">
        <v>0.22838165188705711</v>
      </c>
      <c r="I48" s="1">
        <f>AVERAGE(H48:H50)</f>
        <v>0.22833822794532596</v>
      </c>
      <c r="J48" s="1">
        <f>I48/I30</f>
        <v>1.7518754468403108</v>
      </c>
      <c r="K48" s="1">
        <v>0.23813127563735895</v>
      </c>
      <c r="L48" s="1">
        <f>AVERAGE(K48:K50)</f>
        <v>0.23032257249139196</v>
      </c>
      <c r="M48" s="1">
        <f>L48/L30</f>
        <v>1.3968742727558709</v>
      </c>
      <c r="N48" s="1">
        <v>8.3433061489031988E-3</v>
      </c>
      <c r="O48" s="1">
        <f>AVERAGE(N48:N50)</f>
        <v>8.3144065503692865E-3</v>
      </c>
      <c r="P48" s="1">
        <f>O48/O30</f>
        <v>1.1209793880944297</v>
      </c>
      <c r="Q48" s="1">
        <v>1.0103787152210712E-2</v>
      </c>
      <c r="R48" s="1">
        <f>AVERAGE(Q48:Q50)</f>
        <v>1.0141841529065469E-2</v>
      </c>
      <c r="S48" s="1">
        <f>R48/R30</f>
        <v>1.9848851383486055</v>
      </c>
      <c r="T48" s="1">
        <v>4.2070001908052993E-3</v>
      </c>
      <c r="U48" s="1">
        <f>AVERAGE(T48:T50)</f>
        <v>4.1932875246143177E-3</v>
      </c>
      <c r="V48" s="1">
        <f>U48/U30</f>
        <v>0.6974868871286326</v>
      </c>
      <c r="W48" s="1">
        <v>5.3668935908057949E-2</v>
      </c>
      <c r="X48" s="1">
        <f>AVERAGE(W48:W50)</f>
        <v>5.2862004481817083E-2</v>
      </c>
      <c r="Y48" s="1">
        <f>X48/X30</f>
        <v>1.8479384640406091</v>
      </c>
      <c r="Z48" s="1">
        <v>7.9729262150093447E-2</v>
      </c>
      <c r="AA48" s="1">
        <f>AVERAGE(Z48:Z50)</f>
        <v>7.8715524817395646E-2</v>
      </c>
      <c r="AB48" s="1">
        <f>AA48/AA30</f>
        <v>1.3510571639084796</v>
      </c>
      <c r="AC48" s="1">
        <v>0.11284263662129838</v>
      </c>
      <c r="AD48" s="1">
        <f>AVERAGE(AC48:AC50)</f>
        <v>0.11290810287943163</v>
      </c>
      <c r="AE48" s="1">
        <f>AD48/AD30</f>
        <v>1.0640330299096079</v>
      </c>
      <c r="AF48" s="1">
        <v>0.17684677596798717</v>
      </c>
      <c r="AG48" s="1">
        <f>AVERAGE(AF48:AF50)</f>
        <v>0.17925416160272822</v>
      </c>
      <c r="AH48" s="1">
        <f>AG48/AG30</f>
        <v>0.77630812809320138</v>
      </c>
      <c r="AI48" s="1">
        <v>2.0184211412168616E-2</v>
      </c>
      <c r="AJ48" s="1">
        <f>AVERAGE(AI48:AI50)</f>
        <v>2.0087931756910076E-2</v>
      </c>
      <c r="AK48" s="1">
        <f>AJ48/AJ30</f>
        <v>0.36532432218835881</v>
      </c>
      <c r="AL48" s="1">
        <v>0.62261471988184358</v>
      </c>
      <c r="AM48" s="1">
        <f>AVERAGE(AL48:AL50)</f>
        <v>0.61361174064293789</v>
      </c>
      <c r="AN48" s="1">
        <f>AM48/AM30</f>
        <v>3.5656788182455132</v>
      </c>
      <c r="AP48" s="1">
        <v>3.7417795612717026</v>
      </c>
      <c r="AQ48" s="1">
        <f>AVERAGE(AP48:AP50)</f>
        <v>3.7337313384536555</v>
      </c>
      <c r="AR48" s="1">
        <f>AQ48/AQ30</f>
        <v>1.1105009496033502</v>
      </c>
      <c r="AS48" s="1">
        <v>0.12227945961499113</v>
      </c>
      <c r="AT48" s="1">
        <f>AVERAGE(AS48:AS50)</f>
        <v>0.12227945961499113</v>
      </c>
      <c r="AU48" s="1">
        <f>AT48/AT30</f>
        <v>1.1660076784228495</v>
      </c>
      <c r="AV48" s="1">
        <v>0.1091253338320866</v>
      </c>
      <c r="AW48" s="1">
        <f>AVERAGE(AV48:AV50)</f>
        <v>0.10995730774587299</v>
      </c>
      <c r="AX48" s="1">
        <f>AW48/AW30</f>
        <v>0.93901831789192913</v>
      </c>
      <c r="AY48" s="1">
        <v>0.12310289149199545</v>
      </c>
      <c r="AZ48" s="1">
        <f>AVERAGE(AY48:AY50)</f>
        <v>0.11953154665012559</v>
      </c>
      <c r="BA48" s="1">
        <f>AZ48/AZ30</f>
        <v>1.2350973867381982</v>
      </c>
      <c r="BB48" s="1">
        <v>6.1992609816732075E-2</v>
      </c>
      <c r="BC48" s="1">
        <f>AVERAGE(BB48:BB50)</f>
        <v>6.0880475855278719E-2</v>
      </c>
      <c r="BD48" s="1">
        <f>BC48/BC30</f>
        <v>2.0204204012711084</v>
      </c>
      <c r="BE48" s="1">
        <v>0.16859256013241347</v>
      </c>
      <c r="BF48" s="1">
        <f>AVERAGE(BE48:BE50)</f>
        <v>0.16489810997301416</v>
      </c>
      <c r="BG48" s="1">
        <f>BF48/BF30</f>
        <v>7.8942433942193538E-2</v>
      </c>
      <c r="BH48" s="1">
        <v>7.562844995857651E-2</v>
      </c>
      <c r="BI48" s="1">
        <f>AVERAGE(BH48:BH50)</f>
        <v>7.5345904796249627E-2</v>
      </c>
      <c r="BJ48" s="1">
        <f>BI48/BI30</f>
        <v>1.4767757029585569</v>
      </c>
      <c r="BK48" s="1">
        <v>0.24294038497261758</v>
      </c>
      <c r="BL48" s="1">
        <f>AVERAGE(BK48:BK50)</f>
        <v>0.23940883495356916</v>
      </c>
      <c r="BM48" s="1">
        <f>BL48/BL30</f>
        <v>0.91962397402324569</v>
      </c>
      <c r="BN48" s="1">
        <v>0.46338902852963632</v>
      </c>
      <c r="BO48" s="1">
        <f>AVERAGE(BN48:BN50)</f>
        <v>0.46890238145437418</v>
      </c>
      <c r="BP48" s="1">
        <f>BO48/BO30</f>
        <v>1.0352468049376651</v>
      </c>
      <c r="BQ48" s="1">
        <v>0.55290014919057728</v>
      </c>
      <c r="BR48" s="1">
        <f>AVERAGE(BQ48:BQ50)</f>
        <v>0.56397430140712357</v>
      </c>
      <c r="BS48" s="1">
        <f>BR48/BR30</f>
        <v>1.3089298075059246</v>
      </c>
      <c r="BT48" s="1">
        <v>1.5511148365956427E-2</v>
      </c>
      <c r="BU48" s="1">
        <f>AVERAGE(BT48:BT50)</f>
        <v>1.4258292048933648E-2</v>
      </c>
      <c r="BV48" s="1">
        <f>BU48/BU30</f>
        <v>5.5773363787324639</v>
      </c>
      <c r="BW48" s="1">
        <v>0.56154724980554183</v>
      </c>
      <c r="BX48" s="1">
        <f>AVERAGE(BW48:BW50)</f>
        <v>0.54594645505132322</v>
      </c>
      <c r="BY48" s="1">
        <f>BX48/BX30</f>
        <v>1.5466688619355453</v>
      </c>
      <c r="CA48" s="1">
        <v>6.7482965728070283</v>
      </c>
      <c r="CB48" s="1">
        <f>AVERAGE(CA48:CA50)</f>
        <v>6.4867036049761815</v>
      </c>
      <c r="CC48" s="1">
        <f>CB48/CB30</f>
        <v>1.2651100477611592</v>
      </c>
      <c r="CD48" s="1">
        <v>0.36380853228645016</v>
      </c>
      <c r="CE48" s="1">
        <f>AVERAGE(CD48:CD50)</f>
        <v>0.38360032521249998</v>
      </c>
      <c r="CF48" s="1">
        <f>CE48/CE30</f>
        <v>1.7620750018381464</v>
      </c>
      <c r="CG48">
        <v>0.11159031960760407</v>
      </c>
      <c r="CH48" s="1">
        <f>AVERAGE(CG48:CG50)</f>
        <v>0.11148517679889998</v>
      </c>
      <c r="CI48" s="1">
        <f>CH48/CH30</f>
        <v>1.5218503531262673</v>
      </c>
      <c r="CJ48" s="1"/>
      <c r="CK48" s="1"/>
      <c r="CL48" s="1"/>
      <c r="CM48" s="1"/>
      <c r="CN48" s="1"/>
      <c r="CO48" s="1"/>
      <c r="CP48" s="1"/>
      <c r="CQ48" s="1"/>
      <c r="CR48" s="1"/>
    </row>
    <row r="49" spans="1:96" x14ac:dyDescent="0.25">
      <c r="A49" s="1"/>
      <c r="B49" s="1" t="s">
        <v>16</v>
      </c>
      <c r="C49" s="1">
        <v>16</v>
      </c>
      <c r="D49" s="1"/>
      <c r="E49" s="1">
        <v>8.5478997335355764</v>
      </c>
      <c r="F49" s="1"/>
      <c r="G49" s="1"/>
      <c r="H49" s="1">
        <v>0.23096106677682063</v>
      </c>
      <c r="I49" s="1"/>
      <c r="J49" s="1"/>
      <c r="K49" s="1">
        <v>0.22725038651540905</v>
      </c>
      <c r="L49" s="1"/>
      <c r="M49" s="1"/>
      <c r="N49" s="1">
        <v>8.1710161362953272E-3</v>
      </c>
      <c r="O49" s="1"/>
      <c r="P49" s="1"/>
      <c r="Q49" s="1">
        <v>1.0001796515592049E-2</v>
      </c>
      <c r="R49" s="1"/>
      <c r="S49" s="1"/>
      <c r="T49" s="1">
        <v>4.2532218836930915E-3</v>
      </c>
      <c r="U49" s="1"/>
      <c r="V49" s="1"/>
      <c r="W49" s="1">
        <v>5.2813938082874323E-2</v>
      </c>
      <c r="X49" s="1"/>
      <c r="Y49" s="1"/>
      <c r="Z49" s="1">
        <v>7.5653990785801623E-2</v>
      </c>
      <c r="AA49" s="1"/>
      <c r="AB49" s="1"/>
      <c r="AC49" s="1">
        <v>0.11417204751968082</v>
      </c>
      <c r="AD49" s="1"/>
      <c r="AE49" s="1"/>
      <c r="AF49" s="1">
        <v>0.18707460556854422</v>
      </c>
      <c r="AG49" s="1"/>
      <c r="AH49" s="1"/>
      <c r="AI49" s="1">
        <v>1.992441151026619E-2</v>
      </c>
      <c r="AJ49" s="1"/>
      <c r="AK49" s="1"/>
      <c r="AL49" s="1">
        <v>0.60813625551425754</v>
      </c>
      <c r="AM49" s="1"/>
      <c r="AN49" s="1"/>
      <c r="AP49" s="1">
        <v>3.8034004914137851</v>
      </c>
      <c r="AQ49" s="1"/>
      <c r="AR49" s="1"/>
      <c r="AS49" s="1"/>
      <c r="AT49" s="1"/>
      <c r="AU49" s="1"/>
      <c r="AV49" s="1">
        <v>0.1095222239031491</v>
      </c>
      <c r="AW49" s="1"/>
      <c r="AX49" s="1"/>
      <c r="AY49" s="1">
        <v>0.11678993387088346</v>
      </c>
      <c r="AZ49" s="1"/>
      <c r="BA49" s="1"/>
      <c r="BB49" s="1">
        <v>6.0543250947627102E-2</v>
      </c>
      <c r="BC49" s="1"/>
      <c r="BD49" s="1"/>
      <c r="BE49" s="1">
        <v>0.16271913046847758</v>
      </c>
      <c r="BF49" s="1"/>
      <c r="BG49" s="1"/>
      <c r="BH49" s="1">
        <v>7.3697982509953172E-2</v>
      </c>
      <c r="BI49" s="1"/>
      <c r="BJ49" s="1"/>
      <c r="BK49" s="1">
        <v>0.24050778563994829</v>
      </c>
      <c r="BL49" s="1"/>
      <c r="BM49" s="1"/>
      <c r="BN49" s="1">
        <v>0.47636091560474664</v>
      </c>
      <c r="BO49" s="1"/>
      <c r="BP49" s="1"/>
      <c r="BQ49" s="1">
        <v>0.56923730890472102</v>
      </c>
      <c r="BR49" s="1"/>
      <c r="BS49" s="1"/>
      <c r="BT49" s="1">
        <v>1.5483284073018575E-2</v>
      </c>
      <c r="BU49" s="1"/>
      <c r="BV49" s="1"/>
      <c r="BW49" s="1">
        <v>0.55674817036305002</v>
      </c>
      <c r="BX49" s="1"/>
      <c r="BY49" s="1"/>
      <c r="CA49" s="1">
        <v>6.2895428342187083</v>
      </c>
      <c r="CB49" s="1"/>
      <c r="CC49" s="1"/>
      <c r="CD49" s="1">
        <v>0.42675153969916096</v>
      </c>
      <c r="CE49" s="1"/>
      <c r="CF49" s="1"/>
      <c r="CG49">
        <v>0.10931024562071263</v>
      </c>
      <c r="CH49" s="1"/>
      <c r="CI49" s="1"/>
      <c r="CJ49" s="1"/>
      <c r="CK49" s="1"/>
      <c r="CL49" s="1"/>
      <c r="CM49" s="1"/>
      <c r="CN49" s="1"/>
      <c r="CO49" s="1"/>
      <c r="CP49" s="1"/>
      <c r="CQ49" s="1"/>
      <c r="CR49" s="1"/>
    </row>
    <row r="50" spans="1:96" x14ac:dyDescent="0.25">
      <c r="A50" s="1"/>
      <c r="B50" s="1" t="s">
        <v>16</v>
      </c>
      <c r="C50" s="1">
        <v>16</v>
      </c>
      <c r="D50" s="1"/>
      <c r="E50" s="1">
        <v>8.4772459857482865</v>
      </c>
      <c r="F50" s="1"/>
      <c r="G50" s="1"/>
      <c r="H50" s="1">
        <v>0.22567196517210003</v>
      </c>
      <c r="I50" s="1"/>
      <c r="J50" s="1"/>
      <c r="K50" s="1">
        <v>0.22558605532140788</v>
      </c>
      <c r="L50" s="1"/>
      <c r="M50" s="1"/>
      <c r="N50" s="1">
        <v>8.4288973659093318E-3</v>
      </c>
      <c r="O50" s="1"/>
      <c r="P50" s="1"/>
      <c r="Q50" s="1">
        <v>1.0319940919393642E-2</v>
      </c>
      <c r="R50" s="1"/>
      <c r="S50" s="1"/>
      <c r="T50" s="1">
        <v>4.119640499344563E-3</v>
      </c>
      <c r="U50" s="1"/>
      <c r="V50" s="1"/>
      <c r="W50" s="1">
        <v>5.2103139454518978E-2</v>
      </c>
      <c r="X50" s="1"/>
      <c r="Y50" s="1"/>
      <c r="Z50" s="1">
        <v>8.0763321516291911E-2</v>
      </c>
      <c r="AA50" s="1"/>
      <c r="AB50" s="1"/>
      <c r="AC50" s="1">
        <v>0.11170962449731568</v>
      </c>
      <c r="AD50" s="1"/>
      <c r="AE50" s="1"/>
      <c r="AF50" s="1">
        <v>0.17384110327165325</v>
      </c>
      <c r="AG50" s="1"/>
      <c r="AH50" s="1"/>
      <c r="AI50" s="1">
        <v>2.0155172348295423E-2</v>
      </c>
      <c r="AJ50" s="1"/>
      <c r="AK50" s="1"/>
      <c r="AL50" s="1">
        <v>0.61008424653271243</v>
      </c>
      <c r="AM50" s="1"/>
      <c r="AN50" s="1"/>
      <c r="AP50" s="1">
        <v>3.6560139626754786</v>
      </c>
      <c r="AQ50" s="1"/>
      <c r="AR50" s="1"/>
      <c r="AS50" s="1"/>
      <c r="AT50" s="1"/>
      <c r="AU50" s="1"/>
      <c r="AV50" s="1">
        <v>0.11122436550238328</v>
      </c>
      <c r="AW50" s="1"/>
      <c r="AX50" s="1"/>
      <c r="AY50" s="1">
        <v>0.11870181458749787</v>
      </c>
      <c r="AZ50" s="1"/>
      <c r="BA50" s="1"/>
      <c r="BB50" s="1">
        <v>6.0105566801476967E-2</v>
      </c>
      <c r="BC50" s="1"/>
      <c r="BD50" s="1"/>
      <c r="BE50" s="1">
        <v>0.16338263931815147</v>
      </c>
      <c r="BF50" s="1"/>
      <c r="BG50" s="1"/>
      <c r="BH50" s="1">
        <v>7.6711281920219185E-2</v>
      </c>
      <c r="BI50" s="1"/>
      <c r="BJ50" s="1"/>
      <c r="BK50" s="1">
        <v>0.2347783342481416</v>
      </c>
      <c r="BL50" s="1"/>
      <c r="BM50" s="1"/>
      <c r="BN50" s="1">
        <v>0.4669572002287396</v>
      </c>
      <c r="BO50" s="1"/>
      <c r="BP50" s="1"/>
      <c r="BQ50" s="1">
        <v>0.56978544612607251</v>
      </c>
      <c r="BR50" s="1"/>
      <c r="BS50" s="1"/>
      <c r="BT50" s="1">
        <v>1.178044370782594E-2</v>
      </c>
      <c r="BU50" s="1"/>
      <c r="BV50" s="1"/>
      <c r="BW50" s="1">
        <v>0.51954394498537781</v>
      </c>
      <c r="BX50" s="1"/>
      <c r="BY50" s="1"/>
      <c r="CA50" s="1">
        <v>6.4222714079028096</v>
      </c>
      <c r="CB50" s="1"/>
      <c r="CC50" s="1"/>
      <c r="CD50" s="1">
        <v>0.36024090365188871</v>
      </c>
      <c r="CE50" s="1"/>
      <c r="CF50" s="1"/>
      <c r="CG50">
        <v>0.11355496516838327</v>
      </c>
      <c r="CH50" s="1"/>
      <c r="CI50" s="1"/>
      <c r="CJ50" s="1"/>
      <c r="CK50" s="1"/>
      <c r="CL50" s="1"/>
      <c r="CM50" s="1"/>
      <c r="CN50" s="1"/>
      <c r="CO50" s="1"/>
      <c r="CP50" s="1"/>
      <c r="CQ50" s="1"/>
      <c r="CR50"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3D7 Trophs 2 h</vt:lpstr>
      <vt:lpstr>3D7 Trophs 6 h</vt:lpstr>
      <vt:lpstr>3518 Trophs 2 h</vt:lpstr>
      <vt:lpstr>3518 Trophs 6 h</vt:lpstr>
      <vt:lpstr>9775 Trophs 2 h</vt:lpstr>
      <vt:lpstr>9775 Trophs 6 h</vt:lpstr>
      <vt:lpstr>10668 Trophs 2 h</vt:lpstr>
      <vt:lpstr>10668 Trophs 6 h</vt:lpstr>
      <vt:lpstr>3518 Rings 6 h</vt:lpstr>
      <vt:lpstr>3518 Rings 16 h</vt:lpstr>
      <vt:lpstr>dCt rings by strain_ref5 4 var</vt:lpstr>
      <vt:lpstr>9775 Rings 6 h</vt:lpstr>
      <vt:lpstr>9775 Rings 16 h</vt:lpstr>
      <vt:lpstr>RCN in rings by strain_ref5var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anaurch</dc:creator>
  <cp:lastModifiedBy>CJM</cp:lastModifiedBy>
  <dcterms:created xsi:type="dcterms:W3CDTF">2017-12-07T22:57:43Z</dcterms:created>
  <dcterms:modified xsi:type="dcterms:W3CDTF">2020-09-22T07:45:53Z</dcterms:modified>
</cp:coreProperties>
</file>