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NGC5005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55" i="1" l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37" i="1"/>
  <c r="E37" i="1" s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C12" i="1" l="1"/>
  <c r="E9" i="1" l="1"/>
  <c r="C9" i="1"/>
  <c r="A49" i="1" l="1"/>
  <c r="B49" i="1"/>
  <c r="C49" i="1"/>
  <c r="A50" i="1"/>
  <c r="B50" i="1"/>
  <c r="C50" i="1"/>
  <c r="A51" i="1"/>
  <c r="B51" i="1"/>
  <c r="C51" i="1"/>
  <c r="A52" i="1"/>
  <c r="B52" i="1"/>
  <c r="C52" i="1"/>
  <c r="A53" i="1"/>
  <c r="B53" i="1"/>
  <c r="C53" i="1"/>
  <c r="A54" i="1"/>
  <c r="B54" i="1"/>
  <c r="C54" i="1"/>
  <c r="A38" i="1" l="1"/>
  <c r="A39" i="1"/>
  <c r="A40" i="1"/>
  <c r="A41" i="1"/>
  <c r="A42" i="1"/>
  <c r="A43" i="1"/>
  <c r="A44" i="1"/>
  <c r="A45" i="1"/>
  <c r="A46" i="1"/>
  <c r="A47" i="1"/>
  <c r="A48" i="1"/>
  <c r="A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C37" i="1"/>
  <c r="B37" i="1"/>
  <c r="I8" i="1"/>
  <c r="D16" i="1" l="1"/>
  <c r="J16" i="1" s="1"/>
  <c r="D27" i="1"/>
  <c r="D30" i="1"/>
  <c r="D31" i="1"/>
  <c r="D28" i="1"/>
  <c r="D29" i="1"/>
  <c r="D32" i="1"/>
  <c r="E10" i="1"/>
  <c r="E12" i="1" s="1"/>
  <c r="D15" i="1"/>
  <c r="D25" i="1"/>
  <c r="D23" i="1"/>
  <c r="D21" i="1"/>
  <c r="D19" i="1"/>
  <c r="D17" i="1"/>
  <c r="D26" i="1"/>
  <c r="D24" i="1"/>
  <c r="D22" i="1"/>
  <c r="D20" i="1"/>
  <c r="D18" i="1"/>
  <c r="L16" i="1" l="1"/>
  <c r="N16" i="1" s="1"/>
  <c r="M16" i="1"/>
  <c r="K16" i="1"/>
  <c r="J29" i="1"/>
  <c r="K29" i="1"/>
  <c r="M29" i="1"/>
  <c r="L29" i="1"/>
  <c r="J31" i="1"/>
  <c r="M31" i="1"/>
  <c r="K31" i="1"/>
  <c r="L31" i="1"/>
  <c r="J27" i="1"/>
  <c r="M27" i="1"/>
  <c r="K27" i="1"/>
  <c r="L27" i="1"/>
  <c r="J32" i="1"/>
  <c r="L32" i="1"/>
  <c r="K32" i="1"/>
  <c r="M32" i="1"/>
  <c r="J28" i="1"/>
  <c r="L28" i="1"/>
  <c r="K28" i="1"/>
  <c r="M28" i="1"/>
  <c r="K30" i="1"/>
  <c r="M30" i="1"/>
  <c r="J30" i="1"/>
  <c r="L30" i="1"/>
  <c r="J18" i="1"/>
  <c r="L18" i="1"/>
  <c r="K18" i="1"/>
  <c r="M18" i="1"/>
  <c r="J22" i="1"/>
  <c r="L22" i="1"/>
  <c r="K22" i="1"/>
  <c r="M22" i="1"/>
  <c r="J26" i="1"/>
  <c r="L26" i="1"/>
  <c r="M26" i="1"/>
  <c r="K26" i="1"/>
  <c r="J17" i="1"/>
  <c r="L17" i="1"/>
  <c r="K17" i="1"/>
  <c r="M17" i="1"/>
  <c r="J21" i="1"/>
  <c r="L21" i="1"/>
  <c r="K21" i="1"/>
  <c r="M21" i="1"/>
  <c r="J25" i="1"/>
  <c r="L25" i="1"/>
  <c r="M25" i="1"/>
  <c r="K25" i="1"/>
  <c r="J20" i="1"/>
  <c r="L20" i="1"/>
  <c r="K20" i="1"/>
  <c r="M20" i="1"/>
  <c r="J24" i="1"/>
  <c r="L24" i="1"/>
  <c r="K24" i="1"/>
  <c r="M24" i="1"/>
  <c r="J19" i="1"/>
  <c r="L19" i="1"/>
  <c r="K19" i="1"/>
  <c r="M19" i="1"/>
  <c r="J23" i="1"/>
  <c r="L23" i="1"/>
  <c r="K23" i="1"/>
  <c r="M23" i="1"/>
  <c r="M15" i="1"/>
  <c r="K15" i="1"/>
  <c r="L15" i="1"/>
  <c r="J15" i="1"/>
  <c r="O16" i="1"/>
  <c r="N30" i="1" l="1"/>
  <c r="N28" i="1"/>
  <c r="N32" i="1"/>
  <c r="N27" i="1"/>
  <c r="N31" i="1"/>
  <c r="N29" i="1"/>
  <c r="O30" i="1"/>
  <c r="O28" i="1"/>
  <c r="O32" i="1"/>
  <c r="O27" i="1"/>
  <c r="O31" i="1"/>
  <c r="O29" i="1"/>
  <c r="N23" i="1"/>
  <c r="N19" i="1"/>
  <c r="N24" i="1"/>
  <c r="N20" i="1"/>
  <c r="N25" i="1"/>
  <c r="N21" i="1"/>
  <c r="N17" i="1"/>
  <c r="N26" i="1"/>
  <c r="N22" i="1"/>
  <c r="N18" i="1"/>
  <c r="N15" i="1"/>
  <c r="O15" i="1"/>
  <c r="O25" i="1"/>
  <c r="O17" i="1"/>
  <c r="O22" i="1"/>
  <c r="E16" i="1"/>
  <c r="F16" i="1" s="1"/>
  <c r="G16" i="1" s="1"/>
  <c r="O19" i="1"/>
  <c r="O26" i="1"/>
  <c r="O24" i="1"/>
  <c r="O23" i="1"/>
  <c r="O20" i="1"/>
  <c r="O21" i="1"/>
  <c r="O18" i="1"/>
  <c r="E28" i="1" l="1"/>
  <c r="F28" i="1" s="1"/>
  <c r="G28" i="1" s="1"/>
  <c r="E30" i="1"/>
  <c r="F30" i="1" s="1"/>
  <c r="G30" i="1" s="1"/>
  <c r="E15" i="1"/>
  <c r="F15" i="1" s="1"/>
  <c r="G15" i="1" s="1"/>
  <c r="H15" i="1" s="1"/>
  <c r="E29" i="1"/>
  <c r="F29" i="1" s="1"/>
  <c r="G29" i="1" s="1"/>
  <c r="E31" i="1"/>
  <c r="F31" i="1" s="1"/>
  <c r="G31" i="1" s="1"/>
  <c r="E32" i="1"/>
  <c r="F32" i="1" s="1"/>
  <c r="G32" i="1" s="1"/>
  <c r="E27" i="1"/>
  <c r="F27" i="1" s="1"/>
  <c r="G27" i="1" s="1"/>
  <c r="H16" i="1"/>
  <c r="E17" i="1"/>
  <c r="F17" i="1" s="1"/>
  <c r="G17" i="1" s="1"/>
  <c r="E22" i="1"/>
  <c r="F22" i="1" s="1"/>
  <c r="G22" i="1" s="1"/>
  <c r="E26" i="1"/>
  <c r="F26" i="1" s="1"/>
  <c r="G26" i="1" s="1"/>
  <c r="E25" i="1"/>
  <c r="F25" i="1" s="1"/>
  <c r="G25" i="1" s="1"/>
  <c r="E24" i="1"/>
  <c r="F24" i="1" s="1"/>
  <c r="G24" i="1" s="1"/>
  <c r="E19" i="1"/>
  <c r="F19" i="1" s="1"/>
  <c r="G19" i="1" s="1"/>
  <c r="E18" i="1"/>
  <c r="F18" i="1" s="1"/>
  <c r="G18" i="1" s="1"/>
  <c r="E21" i="1"/>
  <c r="F21" i="1" s="1"/>
  <c r="G21" i="1" s="1"/>
  <c r="E20" i="1"/>
  <c r="F20" i="1" s="1"/>
  <c r="G20" i="1" s="1"/>
  <c r="E23" i="1"/>
  <c r="F23" i="1" s="1"/>
  <c r="G23" i="1" s="1"/>
  <c r="H28" i="1" l="1"/>
  <c r="H31" i="1"/>
  <c r="H27" i="1"/>
  <c r="H32" i="1"/>
  <c r="H29" i="1"/>
  <c r="H30" i="1"/>
  <c r="H23" i="1"/>
  <c r="H21" i="1"/>
  <c r="H19" i="1"/>
  <c r="H25" i="1"/>
  <c r="H22" i="1"/>
  <c r="H20" i="1"/>
  <c r="H18" i="1"/>
  <c r="H24" i="1"/>
  <c r="H26" i="1"/>
  <c r="H17" i="1"/>
  <c r="H33" i="1" l="1"/>
  <c r="C34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<sst xmlns="http://schemas.openxmlformats.org/spreadsheetml/2006/main" count="40" uniqueCount="37">
  <si>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</si>
  <si>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</si>
  <si>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</si>
  <si>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</si>
  <si>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</si>
  <si>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</si>
  <si>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</si>
  <si>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</si>
  <si>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</si>
  <si>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</si>
  <si>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</si>
  <si>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</si>
  <si>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</si>
  <si>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</si>
  <si>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</si>
  <si>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</si>
  <si>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</si>
  <si>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</si>
  <si>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</si>
  <si>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</si>
  <si>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</si>
  <si>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</si>
  <si>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</si>
  <si>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</si>
  <si>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</si>
  <si>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</si>
  <si>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</si>
  <si>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</si>
  <si>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</si>
  <si>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</si>
  <si>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</si>
  <si>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</si>
  <si>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NGC5005</t>
  </si>
  <si>
    <t>r_c=R_max/1,5=</t>
  </si>
  <si>
    <t>A=(V_obs-V_TURI)^2</t>
  </si>
  <si>
    <t>A/Incer V_Obs^2</t>
  </si>
  <si>
    <t>X^2/d_f=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</si>
</sst>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'NGC5005'!$B$36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'NGC5005'!$C$37:$C$54</c:f>
                <c:numCache>
                  <c:formatCode>General</c:formatCode>
                  <c:ptCount val="18"/>
                  <c:pt idx="0">
                    <c:v>40.1</c:v>
                  </c:pt>
                  <c:pt idx="1">
                    <c:v>17.399999999999999</c:v>
                  </c:pt>
                  <c:pt idx="2">
                    <c:v>14.4</c:v>
                  </c:pt>
                  <c:pt idx="3">
                    <c:v>10.8</c:v>
                  </c:pt>
                  <c:pt idx="4">
                    <c:v>7.67</c:v>
                  </c:pt>
                  <c:pt idx="5">
                    <c:v>23.3</c:v>
                  </c:pt>
                  <c:pt idx="6">
                    <c:v>23.3</c:v>
                  </c:pt>
                  <c:pt idx="7">
                    <c:v>22.7</c:v>
                  </c:pt>
                  <c:pt idx="8">
                    <c:v>22.7</c:v>
                  </c:pt>
                  <c:pt idx="9">
                    <c:v>22.5</c:v>
                  </c:pt>
                  <c:pt idx="10">
                    <c:v>22.4</c:v>
                  </c:pt>
                  <c:pt idx="11">
                    <c:v>22.4</c:v>
                  </c:pt>
                  <c:pt idx="12">
                    <c:v>22.3</c:v>
                  </c:pt>
                  <c:pt idx="13">
                    <c:v>22.2</c:v>
                  </c:pt>
                  <c:pt idx="14">
                    <c:v>22.2</c:v>
                  </c:pt>
                  <c:pt idx="15">
                    <c:v>22</c:v>
                  </c:pt>
                  <c:pt idx="16">
                    <c:v>21.9</c:v>
                  </c:pt>
                  <c:pt idx="17">
                    <c:v>22</c:v>
                  </c:pt>
                </c:numCache>
              </c:numRef>
            </c:plus>
            <c:minus>
              <c:numRef>
                <c:f>'NGC5005'!$C$37:$C$54</c:f>
                <c:numCache>
                  <c:formatCode>General</c:formatCode>
                  <c:ptCount val="18"/>
                  <c:pt idx="0">
                    <c:v>40.1</c:v>
                  </c:pt>
                  <c:pt idx="1">
                    <c:v>17.399999999999999</c:v>
                  </c:pt>
                  <c:pt idx="2">
                    <c:v>14.4</c:v>
                  </c:pt>
                  <c:pt idx="3">
                    <c:v>10.8</c:v>
                  </c:pt>
                  <c:pt idx="4">
                    <c:v>7.67</c:v>
                  </c:pt>
                  <c:pt idx="5">
                    <c:v>23.3</c:v>
                  </c:pt>
                  <c:pt idx="6">
                    <c:v>23.3</c:v>
                  </c:pt>
                  <c:pt idx="7">
                    <c:v>22.7</c:v>
                  </c:pt>
                  <c:pt idx="8">
                    <c:v>22.7</c:v>
                  </c:pt>
                  <c:pt idx="9">
                    <c:v>22.5</c:v>
                  </c:pt>
                  <c:pt idx="10">
                    <c:v>22.4</c:v>
                  </c:pt>
                  <c:pt idx="11">
                    <c:v>22.4</c:v>
                  </c:pt>
                  <c:pt idx="12">
                    <c:v>22.3</c:v>
                  </c:pt>
                  <c:pt idx="13">
                    <c:v>22.2</c:v>
                  </c:pt>
                  <c:pt idx="14">
                    <c:v>22.2</c:v>
                  </c:pt>
                  <c:pt idx="15">
                    <c:v>22</c:v>
                  </c:pt>
                  <c:pt idx="16">
                    <c:v>21.9</c:v>
                  </c:pt>
                  <c:pt idx="17">
                    <c:v>22</c:v>
                  </c:pt>
                </c:numCache>
              </c:numRef>
            </c:minus>
          </c:errBars>
          <c:xVal>
            <c:numRef>
              <c:f>'NGC5005'!$A$37:$A$54</c:f>
              <c:numCache>
                <c:formatCode>General</c:formatCode>
                <c:ptCount val="18"/>
                <c:pt idx="0">
                  <c:v>0.49</c:v>
                </c:pt>
                <c:pt idx="1">
                  <c:v>0.98</c:v>
                </c:pt>
                <c:pt idx="2">
                  <c:v>1.47</c:v>
                </c:pt>
                <c:pt idx="3">
                  <c:v>1.97</c:v>
                </c:pt>
                <c:pt idx="4">
                  <c:v>2.46</c:v>
                </c:pt>
                <c:pt idx="5">
                  <c:v>2.95</c:v>
                </c:pt>
                <c:pt idx="6">
                  <c:v>3.44</c:v>
                </c:pt>
                <c:pt idx="7">
                  <c:v>3.93</c:v>
                </c:pt>
                <c:pt idx="8">
                  <c:v>4.42</c:v>
                </c:pt>
                <c:pt idx="9">
                  <c:v>4.92</c:v>
                </c:pt>
                <c:pt idx="10">
                  <c:v>5.74</c:v>
                </c:pt>
                <c:pt idx="11">
                  <c:v>6.56</c:v>
                </c:pt>
                <c:pt idx="12">
                  <c:v>7.37</c:v>
                </c:pt>
                <c:pt idx="13">
                  <c:v>8.19</c:v>
                </c:pt>
                <c:pt idx="14">
                  <c:v>9.01</c:v>
                </c:pt>
                <c:pt idx="15">
                  <c:v>9.83</c:v>
                </c:pt>
                <c:pt idx="16">
                  <c:v>10.65</c:v>
                </c:pt>
                <c:pt idx="17">
                  <c:v>11.47</c:v>
                </c:pt>
              </c:numCache>
            </c:numRef>
          </c:xVal>
          <c:yVal>
            <c:numRef>
              <c:f>'NGC5005'!$B$37:$B$54</c:f>
              <c:numCache>
                <c:formatCode>General</c:formatCode>
                <c:ptCount val="18"/>
                <c:pt idx="0">
                  <c:v>211</c:v>
                </c:pt>
                <c:pt idx="1">
                  <c:v>233</c:v>
                </c:pt>
                <c:pt idx="2">
                  <c:v>227</c:v>
                </c:pt>
                <c:pt idx="3">
                  <c:v>234</c:v>
                </c:pt>
                <c:pt idx="4">
                  <c:v>245</c:v>
                </c:pt>
                <c:pt idx="5">
                  <c:v>244</c:v>
                </c:pt>
                <c:pt idx="6">
                  <c:v>261</c:v>
                </c:pt>
                <c:pt idx="7">
                  <c:v>259</c:v>
                </c:pt>
                <c:pt idx="8">
                  <c:v>258</c:v>
                </c:pt>
                <c:pt idx="9">
                  <c:v>258</c:v>
                </c:pt>
                <c:pt idx="10">
                  <c:v>261</c:v>
                </c:pt>
                <c:pt idx="11">
                  <c:v>263</c:v>
                </c:pt>
                <c:pt idx="12">
                  <c:v>264</c:v>
                </c:pt>
                <c:pt idx="13">
                  <c:v>265</c:v>
                </c:pt>
                <c:pt idx="14">
                  <c:v>265</c:v>
                </c:pt>
                <c:pt idx="15">
                  <c:v>264</c:v>
                </c:pt>
                <c:pt idx="16">
                  <c:v>264</c:v>
                </c:pt>
                <c:pt idx="17">
                  <c:v>265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1712"/>
        <c:axId val="134704128"/>
      </c:scatterChart>
      <c:scatterChart>
        <c:scatterStyle val="smoothMarker"/>
        <c:varyColors val="0"/>
        <c:ser>
          <c:idx val="1"/>
          <c:order val="1"/>
          <c:tx>
            <c:strRef>
              <c:f>'NGC5005'!$D$36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'NGC5005'!$A$37:$A$54</c:f>
              <c:numCache>
                <c:formatCode>General</c:formatCode>
                <c:ptCount val="18"/>
                <c:pt idx="0">
                  <c:v>0.49</c:v>
                </c:pt>
                <c:pt idx="1">
                  <c:v>0.98</c:v>
                </c:pt>
                <c:pt idx="2">
                  <c:v>1.47</c:v>
                </c:pt>
                <c:pt idx="3">
                  <c:v>1.97</c:v>
                </c:pt>
                <c:pt idx="4">
                  <c:v>2.46</c:v>
                </c:pt>
                <c:pt idx="5">
                  <c:v>2.95</c:v>
                </c:pt>
                <c:pt idx="6">
                  <c:v>3.44</c:v>
                </c:pt>
                <c:pt idx="7">
                  <c:v>3.93</c:v>
                </c:pt>
                <c:pt idx="8">
                  <c:v>4.42</c:v>
                </c:pt>
                <c:pt idx="9">
                  <c:v>4.92</c:v>
                </c:pt>
                <c:pt idx="10">
                  <c:v>5.74</c:v>
                </c:pt>
                <c:pt idx="11">
                  <c:v>6.56</c:v>
                </c:pt>
                <c:pt idx="12">
                  <c:v>7.37</c:v>
                </c:pt>
                <c:pt idx="13">
                  <c:v>8.19</c:v>
                </c:pt>
                <c:pt idx="14">
                  <c:v>9.01</c:v>
                </c:pt>
                <c:pt idx="15">
                  <c:v>9.83</c:v>
                </c:pt>
                <c:pt idx="16">
                  <c:v>10.65</c:v>
                </c:pt>
                <c:pt idx="17">
                  <c:v>11.47</c:v>
                </c:pt>
              </c:numCache>
            </c:numRef>
          </c:xVal>
          <c:yVal>
            <c:numRef>
              <c:f>'NGC5005'!$D$37:$D$54</c:f>
              <c:numCache>
                <c:formatCode>General</c:formatCode>
                <c:ptCount val="18"/>
                <c:pt idx="0">
                  <c:v>47.59</c:v>
                </c:pt>
                <c:pt idx="1">
                  <c:v>92.7</c:v>
                </c:pt>
                <c:pt idx="2">
                  <c:v>135.52000000000001</c:v>
                </c:pt>
                <c:pt idx="3">
                  <c:v>175.43</c:v>
                </c:pt>
                <c:pt idx="4">
                  <c:v>210</c:v>
                </c:pt>
                <c:pt idx="5">
                  <c:v>239.56</c:v>
                </c:pt>
                <c:pt idx="6">
                  <c:v>263.87</c:v>
                </c:pt>
                <c:pt idx="7">
                  <c:v>283.02999999999997</c:v>
                </c:pt>
                <c:pt idx="8">
                  <c:v>297.3</c:v>
                </c:pt>
                <c:pt idx="9">
                  <c:v>307.31</c:v>
                </c:pt>
                <c:pt idx="10">
                  <c:v>315.37</c:v>
                </c:pt>
                <c:pt idx="11">
                  <c:v>315.54000000000002</c:v>
                </c:pt>
                <c:pt idx="12">
                  <c:v>310.58999999999997</c:v>
                </c:pt>
                <c:pt idx="13">
                  <c:v>302.56</c:v>
                </c:pt>
                <c:pt idx="14">
                  <c:v>293.07</c:v>
                </c:pt>
                <c:pt idx="15">
                  <c:v>283.14999999999998</c:v>
                </c:pt>
                <c:pt idx="16">
                  <c:v>273.43</c:v>
                </c:pt>
                <c:pt idx="17">
                  <c:v>264.20999999999998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1712"/>
        <c:axId val="134704128"/>
      </c:scatterChart>
      <c:valAx>
        <c:axId val="1346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704128"/>
        <c:crosses val="autoZero"/>
        <c:crossBetween val="midCat"/>
      </c:valAx>
      <c:valAx>
        <c:axId val="134704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6117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34</xdr:row>
      <xdr:rowOff>171450</xdr:rowOff>
    </xdr:from>
    <xdr:to>
      <xdr:col>12</xdr:col>
      <xdr:colOff>571500</xdr:colOff>
      <xdr:row>51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8"/>
  <sheetViews>
    <sheetView tabSelected="1" workbookViewId="0">
      <selection activeCell="F33" sqref="F33"/>
    </sheetView>
  </sheetViews>
  <sheetFormatPr baseColWidth="10" defaultRowHeight="18.75" x14ac:dyDescent="0.3"/>
  <cols>
    <col min="1" max="1" width="13.85546875" style="1" customWidth="1"/>
    <col min="2" max="2" width="20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32</v>
      </c>
      <c r="B9" s="14" t="s">
        <v>8</v>
      </c>
      <c r="C9" s="21">
        <f>A32</f>
        <v>11.47</v>
      </c>
      <c r="D9" s="14" t="s">
        <v>9</v>
      </c>
      <c r="E9" s="21">
        <f>B32</f>
        <v>265</v>
      </c>
      <c r="F9" s="10"/>
      <c r="G9" s="10"/>
      <c r="H9" s="10"/>
      <c r="I9" s="11"/>
    </row>
    <row r="10" spans="1:15" x14ac:dyDescent="0.3">
      <c r="B10" s="5" t="s">
        <v>10</v>
      </c>
      <c r="C10" s="28" t="s">
        <v>12</v>
      </c>
      <c r="D10" s="28"/>
      <c r="E10" s="9">
        <f>E9*E9*C9/I8</f>
        <v>187281906112.67407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21</v>
      </c>
      <c r="H11" s="6"/>
      <c r="I11" s="2"/>
    </row>
    <row r="12" spans="1:15" x14ac:dyDescent="0.3">
      <c r="B12" s="5" t="s">
        <v>33</v>
      </c>
      <c r="C12" s="7">
        <f>C9/1.5</f>
        <v>7.6466666666666674</v>
      </c>
      <c r="D12" s="5" t="s">
        <v>14</v>
      </c>
      <c r="E12" s="9">
        <f>E10/(POWER(C12,3)*4*3.14159*H10)</f>
        <v>513807437.33890152</v>
      </c>
      <c r="F12" s="6" t="s">
        <v>15</v>
      </c>
      <c r="G12" s="17" t="s">
        <v>20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31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29" t="s">
        <v>29</v>
      </c>
      <c r="K14" s="29"/>
      <c r="L14" s="29"/>
      <c r="M14" s="29"/>
      <c r="N14" s="29"/>
      <c r="O14" s="29"/>
    </row>
    <row r="15" spans="1:15" x14ac:dyDescent="0.3">
      <c r="A15" s="13">
        <v>0.49</v>
      </c>
      <c r="B15" s="13">
        <v>211</v>
      </c>
      <c r="C15" s="13">
        <v>40.1</v>
      </c>
      <c r="D15" s="13">
        <f>A15/$C$12</f>
        <v>6.4080209241499556E-2</v>
      </c>
      <c r="E15" s="13">
        <f>N15*K15+O15*M15</f>
        <v>8.9395095553618099E-5</v>
      </c>
      <c r="F15" s="13">
        <f>4*$H$12*$E$12*POWER($C$12,3)*E15</f>
        <v>258071504.11862037</v>
      </c>
      <c r="G15" s="13">
        <f t="shared" ref="G15:G26" si="0">POWER($I$8*F15/A15,0.5)</f>
        <v>47.593940020350956</v>
      </c>
      <c r="H15" s="13">
        <f t="shared" ref="H15:H26" si="1">ROUND(ABS((B15-G15)/B15)*100,2)</f>
        <v>77.44</v>
      </c>
      <c r="J15" s="13">
        <f>INDEX(Integrale!$H$3:$H$502,MATCH('NGC5005'!D15,Integrale!$H$3:$H$502,1))</f>
        <v>0.06</v>
      </c>
      <c r="K15" s="13">
        <f>INDEX(Integrale!$I$3:$I$502,MATCH('NGC5005'!D15,Integrale!$H$3:$H$502,1))</f>
        <v>7.2353000000000003E-5</v>
      </c>
      <c r="L15" s="13">
        <f>INDEX(Integrale!$H$3:$H$502,MATCH('NGC5005'!D15,Integrale!$H$3:$H$502,1)+1)</f>
        <v>7.0000000000000007E-2</v>
      </c>
      <c r="M15" s="13">
        <f>INDEX(Integrale!$I$3:$I$502,MATCH('NGC5005'!D15,Integrale!$H$3:$H$502,1)+1)</f>
        <v>1.1412070000000001E-4</v>
      </c>
      <c r="N15" s="13">
        <f>(L15-D15)/(L15-J15)</f>
        <v>0.59197907585004461</v>
      </c>
      <c r="O15" s="13">
        <f t="shared" ref="O15:O26" si="2">(D15-J15)/(L15-J15)</f>
        <v>0.40802092414995539</v>
      </c>
    </row>
    <row r="16" spans="1:15" x14ac:dyDescent="0.3">
      <c r="A16" s="13">
        <v>0.98</v>
      </c>
      <c r="B16" s="13">
        <v>233</v>
      </c>
      <c r="C16" s="13">
        <v>17.399999999999999</v>
      </c>
      <c r="D16" s="13">
        <f t="shared" ref="D16:D26" si="3">A16/$C$12</f>
        <v>0.12816041848299911</v>
      </c>
      <c r="E16" s="13">
        <f t="shared" ref="E16:E25" si="4">N16*K16+O16*M16</f>
        <v>6.7824400488230132E-4</v>
      </c>
      <c r="F16" s="13">
        <f t="shared" ref="F16:F26" si="5">4*$H$12*$E$12*POWER($C$12,3)*E16</f>
        <v>1957998360.1497271</v>
      </c>
      <c r="G16" s="13">
        <f t="shared" si="0"/>
        <v>92.698519169908209</v>
      </c>
      <c r="H16" s="13">
        <f t="shared" si="1"/>
        <v>60.22</v>
      </c>
      <c r="J16" s="13">
        <f>INDEX(Integrale!$H$3:$H$502,MATCH('NGC5005'!D16,Integrale!$H$3:$H$502,1))</f>
        <v>0.12</v>
      </c>
      <c r="K16" s="13">
        <f>INDEX(Integrale!$I$3:$I$502,MATCH('NGC5005'!D16,Integrale!$H$3:$H$502,1))</f>
        <v>5.5830959999999998E-4</v>
      </c>
      <c r="L16" s="13">
        <f>INDEX(Integrale!$H$3:$H$502,MATCH('NGC5005'!D16,Integrale!$H$3:$H$502,1)+1)</f>
        <v>0.13</v>
      </c>
      <c r="M16" s="13">
        <f>INDEX(Integrale!$I$3:$I$502,MATCH('NGC5005'!D16,Integrale!$H$3:$H$502,1)+1)</f>
        <v>7.0528050000000003E-4</v>
      </c>
      <c r="N16" s="13">
        <f t="shared" ref="N16:N26" si="6">(L16-D16)/(L16-J16)</f>
        <v>0.18395815170008917</v>
      </c>
      <c r="O16" s="13">
        <f t="shared" si="2"/>
        <v>0.81604184829991078</v>
      </c>
    </row>
    <row r="17" spans="1:15" x14ac:dyDescent="0.3">
      <c r="A17" s="13">
        <v>1.47</v>
      </c>
      <c r="B17" s="13">
        <v>227</v>
      </c>
      <c r="C17" s="13">
        <v>14.4</v>
      </c>
      <c r="D17" s="13">
        <f t="shared" si="3"/>
        <v>0.19224062772449868</v>
      </c>
      <c r="E17" s="13">
        <f t="shared" si="4"/>
        <v>2.1744599665213596E-3</v>
      </c>
      <c r="F17" s="13">
        <f t="shared" si="5"/>
        <v>6277370707.314827</v>
      </c>
      <c r="G17" s="13">
        <f t="shared" si="0"/>
        <v>135.52202842023982</v>
      </c>
      <c r="H17" s="13">
        <f t="shared" si="1"/>
        <v>40.299999999999997</v>
      </c>
      <c r="J17" s="13">
        <f>INDEX(Integrale!$H$3:$H$502,MATCH('NGC5005'!D17,Integrale!$H$3:$H$502,1))</f>
        <v>0.19</v>
      </c>
      <c r="K17" s="13">
        <f>INDEX(Integrale!$I$3:$I$502,MATCH('NGC5005'!D17,Integrale!$H$3:$H$502,1))</f>
        <v>2.1011974000000001E-3</v>
      </c>
      <c r="L17" s="13">
        <f>INDEX(Integrale!$H$3:$H$502,MATCH('NGC5005'!D17,Integrale!$H$3:$H$502,1)+1)</f>
        <v>0.2</v>
      </c>
      <c r="M17" s="13">
        <f>INDEX(Integrale!$I$3:$I$502,MATCH('NGC5005'!D17,Integrale!$H$3:$H$502,1)+1)</f>
        <v>2.4281708000000002E-3</v>
      </c>
      <c r="N17" s="13">
        <f t="shared" si="6"/>
        <v>0.77593722755013239</v>
      </c>
      <c r="O17" s="13">
        <f t="shared" si="2"/>
        <v>0.22406277244986764</v>
      </c>
    </row>
    <row r="18" spans="1:15" x14ac:dyDescent="0.3">
      <c r="A18" s="13">
        <v>1.97</v>
      </c>
      <c r="B18" s="13">
        <v>234</v>
      </c>
      <c r="C18" s="13">
        <v>10.8</v>
      </c>
      <c r="D18" s="13">
        <f t="shared" si="3"/>
        <v>0.25762859633827373</v>
      </c>
      <c r="E18" s="13">
        <f t="shared" si="4"/>
        <v>4.8832119299040957E-3</v>
      </c>
      <c r="F18" s="13">
        <f t="shared" si="5"/>
        <v>14097169871.298784</v>
      </c>
      <c r="G18" s="13">
        <f t="shared" si="0"/>
        <v>175.43349919363843</v>
      </c>
      <c r="H18" s="13">
        <f t="shared" si="1"/>
        <v>25.03</v>
      </c>
      <c r="J18" s="13">
        <f>INDEX(Integrale!$H$3:$H$502,MATCH('NGC5005'!D18,Integrale!$H$3:$H$502,1))</f>
        <v>0.25</v>
      </c>
      <c r="K18" s="13">
        <f>INDEX(Integrale!$I$3:$I$502,MATCH('NGC5005'!D18,Integrale!$H$3:$H$502,1))</f>
        <v>4.4997288E-3</v>
      </c>
      <c r="L18" s="13">
        <f>INDEX(Integrale!$H$3:$H$502,MATCH('NGC5005'!D18,Integrale!$H$3:$H$502,1)+1)</f>
        <v>0.26</v>
      </c>
      <c r="M18" s="13">
        <f>INDEX(Integrale!$I$3:$I$502,MATCH('NGC5005'!D18,Integrale!$H$3:$H$502,1)+1)</f>
        <v>5.0024203999999997E-3</v>
      </c>
      <c r="N18" s="13">
        <f t="shared" si="6"/>
        <v>0.23714036617262768</v>
      </c>
      <c r="O18" s="13">
        <f t="shared" si="2"/>
        <v>0.76285963382737232</v>
      </c>
    </row>
    <row r="19" spans="1:15" x14ac:dyDescent="0.3">
      <c r="A19" s="13">
        <v>2.46</v>
      </c>
      <c r="B19" s="13">
        <v>245</v>
      </c>
      <c r="C19" s="13">
        <v>7.67</v>
      </c>
      <c r="D19" s="13">
        <f t="shared" si="3"/>
        <v>0.32170880557977327</v>
      </c>
      <c r="E19" s="13">
        <f t="shared" si="4"/>
        <v>8.7372722377506498E-3</v>
      </c>
      <c r="F19" s="13">
        <f t="shared" si="5"/>
        <v>25223318732.712219</v>
      </c>
      <c r="G19" s="13">
        <f t="shared" si="0"/>
        <v>209.99706883119077</v>
      </c>
      <c r="H19" s="13">
        <f t="shared" si="1"/>
        <v>14.29</v>
      </c>
      <c r="J19" s="13">
        <f>INDEX(Integrale!$H$3:$H$502,MATCH('NGC5005'!D19,Integrale!$H$3:$H$502,1))</f>
        <v>0.32</v>
      </c>
      <c r="K19" s="13">
        <f>INDEX(Integrale!$I$3:$I$502,MATCH('NGC5005'!D19,Integrale!$H$3:$H$502,1))</f>
        <v>8.6181364999999999E-3</v>
      </c>
      <c r="L19" s="13">
        <f>INDEX(Integrale!$H$3:$H$502,MATCH('NGC5005'!D19,Integrale!$H$3:$H$502,1)+1)</f>
        <v>0.33</v>
      </c>
      <c r="M19" s="13">
        <f>INDEX(Integrale!$I$3:$I$502,MATCH('NGC5005'!D19,Integrale!$H$3:$H$502,1)+1)</f>
        <v>9.3153236999999993E-3</v>
      </c>
      <c r="N19" s="13">
        <f t="shared" si="6"/>
        <v>0.82911944202267363</v>
      </c>
      <c r="O19" s="13">
        <f t="shared" si="2"/>
        <v>0.17088055797732635</v>
      </c>
    </row>
    <row r="20" spans="1:15" x14ac:dyDescent="0.3">
      <c r="A20" s="13">
        <v>2.95</v>
      </c>
      <c r="B20" s="13">
        <v>244</v>
      </c>
      <c r="C20" s="13">
        <v>23.3</v>
      </c>
      <c r="D20" s="13">
        <f t="shared" si="3"/>
        <v>0.38578901482127287</v>
      </c>
      <c r="E20" s="13">
        <f t="shared" si="4"/>
        <v>1.3635447396163902E-2</v>
      </c>
      <c r="F20" s="13">
        <f t="shared" si="5"/>
        <v>39363685413.230949</v>
      </c>
      <c r="G20" s="13">
        <f t="shared" si="0"/>
        <v>239.56123352507586</v>
      </c>
      <c r="H20" s="13">
        <f t="shared" si="1"/>
        <v>1.82</v>
      </c>
      <c r="J20" s="13">
        <f>INDEX(Integrale!$H$3:$H$502,MATCH('NGC5005'!D20,Integrale!$H$3:$H$502,1))</f>
        <v>0.38</v>
      </c>
      <c r="K20" s="13">
        <f>INDEX(Integrale!$I$3:$I$502,MATCH('NGC5005'!D20,Integrale!$H$3:$H$502,1))</f>
        <v>1.31545302E-2</v>
      </c>
      <c r="L20" s="13">
        <f>INDEX(Integrale!$H$3:$H$502,MATCH('NGC5005'!D20,Integrale!$H$3:$H$502,1)+1)</f>
        <v>0.39</v>
      </c>
      <c r="M20" s="13">
        <f>INDEX(Integrale!$I$3:$I$502,MATCH('NGC5005'!D20,Integrale!$H$3:$H$502,1)+1)</f>
        <v>1.39852712E-2</v>
      </c>
      <c r="N20" s="13">
        <f t="shared" si="6"/>
        <v>0.42109851787271407</v>
      </c>
      <c r="O20" s="13">
        <f t="shared" si="2"/>
        <v>0.57890148212728587</v>
      </c>
    </row>
    <row r="21" spans="1:15" x14ac:dyDescent="0.3">
      <c r="A21" s="13">
        <v>3.44</v>
      </c>
      <c r="B21" s="13">
        <v>261</v>
      </c>
      <c r="C21" s="13">
        <v>23.3</v>
      </c>
      <c r="D21" s="13">
        <f t="shared" si="3"/>
        <v>0.44986922406277241</v>
      </c>
      <c r="E21" s="13">
        <f t="shared" si="4"/>
        <v>1.929126740514385E-2</v>
      </c>
      <c r="F21" s="13">
        <f t="shared" si="5"/>
        <v>55691269915.517097</v>
      </c>
      <c r="G21" s="13">
        <f t="shared" si="0"/>
        <v>263.87242710215338</v>
      </c>
      <c r="H21" s="13">
        <f t="shared" si="1"/>
        <v>1.1000000000000001</v>
      </c>
      <c r="J21" s="13">
        <f>INDEX(Integrale!$H$3:$H$502,MATCH('NGC5005'!D21,Integrale!$H$3:$H$502,1))</f>
        <v>0.44</v>
      </c>
      <c r="K21" s="13">
        <f>INDEX(Integrale!$I$3:$I$502,MATCH('NGC5005'!D21,Integrale!$H$3:$H$502,1))</f>
        <v>1.8384067899999999E-2</v>
      </c>
      <c r="L21" s="13">
        <f>INDEX(Integrale!$H$3:$H$502,MATCH('NGC5005'!D21,Integrale!$H$3:$H$502,1)+1)</f>
        <v>0.45</v>
      </c>
      <c r="M21" s="13">
        <f>INDEX(Integrale!$I$3:$I$502,MATCH('NGC5005'!D21,Integrale!$H$3:$H$502,1)+1)</f>
        <v>1.9303288599999999E-2</v>
      </c>
      <c r="N21" s="13">
        <f t="shared" si="6"/>
        <v>1.307759372276006E-2</v>
      </c>
      <c r="O21" s="13">
        <f t="shared" si="2"/>
        <v>0.98692240627723993</v>
      </c>
    </row>
    <row r="22" spans="1:15" x14ac:dyDescent="0.3">
      <c r="A22" s="13">
        <v>3.93</v>
      </c>
      <c r="B22" s="13">
        <v>259</v>
      </c>
      <c r="C22" s="13">
        <v>22.7</v>
      </c>
      <c r="D22" s="13">
        <f t="shared" si="3"/>
        <v>0.51394943330427201</v>
      </c>
      <c r="E22" s="13">
        <f t="shared" si="4"/>
        <v>2.535569496695728E-2</v>
      </c>
      <c r="F22" s="13">
        <f t="shared" si="5"/>
        <v>73198448948.139847</v>
      </c>
      <c r="G22" s="13">
        <f t="shared" si="0"/>
        <v>283.03121555292734</v>
      </c>
      <c r="H22" s="13">
        <f t="shared" si="1"/>
        <v>9.2799999999999994</v>
      </c>
      <c r="J22" s="13">
        <f>INDEX(Integrale!$H$3:$H$502,MATCH('NGC5005'!D22,Integrale!$H$3:$H$502,1))</f>
        <v>0.51</v>
      </c>
      <c r="K22" s="13">
        <f>INDEX(Integrale!$I$3:$I$502,MATCH('NGC5005'!D22,Integrale!$H$3:$H$502,1))</f>
        <v>2.4976934400000001E-2</v>
      </c>
      <c r="L22" s="13">
        <f>INDEX(Integrale!$H$3:$H$502,MATCH('NGC5005'!D22,Integrale!$H$3:$H$502,1)+1)</f>
        <v>0.52</v>
      </c>
      <c r="M22" s="13">
        <f>INDEX(Integrale!$I$3:$I$502,MATCH('NGC5005'!D22,Integrale!$H$3:$H$502,1)+1)</f>
        <v>2.5935959500000001E-2</v>
      </c>
      <c r="N22" s="13">
        <f t="shared" si="6"/>
        <v>0.60505666957280047</v>
      </c>
      <c r="O22" s="13">
        <f t="shared" si="2"/>
        <v>0.39494333042719953</v>
      </c>
    </row>
    <row r="23" spans="1:15" x14ac:dyDescent="0.3">
      <c r="A23" s="13">
        <v>4.42</v>
      </c>
      <c r="B23" s="13">
        <v>258</v>
      </c>
      <c r="C23" s="13">
        <v>22.7</v>
      </c>
      <c r="D23" s="13">
        <f t="shared" si="3"/>
        <v>0.57802964254577149</v>
      </c>
      <c r="E23" s="13">
        <f t="shared" si="4"/>
        <v>3.1465913280645158E-2</v>
      </c>
      <c r="F23" s="13">
        <f t="shared" si="5"/>
        <v>90837819664.63269</v>
      </c>
      <c r="G23" s="13">
        <f t="shared" si="0"/>
        <v>297.30477780215062</v>
      </c>
      <c r="H23" s="13">
        <f t="shared" si="1"/>
        <v>15.23</v>
      </c>
      <c r="J23" s="13">
        <f>INDEX(Integrale!$H$3:$H$502,MATCH('NGC5005'!D23,Integrale!$H$3:$H$502,1))</f>
        <v>0.56999999999999995</v>
      </c>
      <c r="K23" s="13">
        <f>INDEX(Integrale!$I$3:$I$502,MATCH('NGC5005'!D23,Integrale!$H$3:$H$502,1))</f>
        <v>3.0709555400000001E-2</v>
      </c>
      <c r="L23" s="13">
        <f>INDEX(Integrale!$H$3:$H$502,MATCH('NGC5005'!D23,Integrale!$H$3:$H$502,1)+1)</f>
        <v>0.57999999999999996</v>
      </c>
      <c r="M23" s="13">
        <f>INDEX(Integrale!$I$3:$I$502,MATCH('NGC5005'!D23,Integrale!$H$3:$H$502,1)+1)</f>
        <v>3.1651512499999999E-2</v>
      </c>
      <c r="N23" s="13">
        <f t="shared" si="6"/>
        <v>0.19703574542284646</v>
      </c>
      <c r="O23" s="13">
        <f t="shared" si="2"/>
        <v>0.80296425457715359</v>
      </c>
    </row>
    <row r="24" spans="1:15" x14ac:dyDescent="0.3">
      <c r="A24" s="13">
        <v>4.92</v>
      </c>
      <c r="B24" s="13">
        <v>258</v>
      </c>
      <c r="C24" s="13">
        <v>22.5</v>
      </c>
      <c r="D24" s="13">
        <f t="shared" si="3"/>
        <v>0.64341761115954654</v>
      </c>
      <c r="E24" s="13">
        <f t="shared" si="4"/>
        <v>3.7423419405928499E-2</v>
      </c>
      <c r="F24" s="13">
        <f t="shared" si="5"/>
        <v>108036331026.20525</v>
      </c>
      <c r="G24" s="13">
        <f t="shared" si="0"/>
        <v>307.3137799905407</v>
      </c>
      <c r="H24" s="13">
        <f t="shared" si="1"/>
        <v>19.11</v>
      </c>
      <c r="J24" s="13">
        <f>INDEX(Integrale!$H$3:$H$502,MATCH('NGC5005'!D24,Integrale!$H$3:$H$502,1))</f>
        <v>0.64</v>
      </c>
      <c r="K24" s="13">
        <f>INDEX(Integrale!$I$3:$I$502,MATCH('NGC5005'!D24,Integrale!$H$3:$H$502,1))</f>
        <v>3.7124703000000002E-2</v>
      </c>
      <c r="L24" s="13">
        <f>INDEX(Integrale!$H$3:$H$502,MATCH('NGC5005'!D24,Integrale!$H$3:$H$502,1)+1)</f>
        <v>0.65</v>
      </c>
      <c r="M24" s="13">
        <f>INDEX(Integrale!$I$3:$I$502,MATCH('NGC5005'!D24,Integrale!$H$3:$H$502,1)+1)</f>
        <v>3.79987533E-2</v>
      </c>
      <c r="N24" s="13">
        <f t="shared" si="6"/>
        <v>0.65823888404534736</v>
      </c>
      <c r="O24" s="13">
        <f t="shared" si="2"/>
        <v>0.34176111595465269</v>
      </c>
    </row>
    <row r="25" spans="1:15" x14ac:dyDescent="0.3">
      <c r="A25" s="13">
        <v>5.74</v>
      </c>
      <c r="B25" s="13">
        <v>261</v>
      </c>
      <c r="C25" s="13">
        <v>22.4</v>
      </c>
      <c r="D25" s="13">
        <f t="shared" si="3"/>
        <v>0.75065387968613773</v>
      </c>
      <c r="E25" s="13">
        <f t="shared" si="4"/>
        <v>4.5980848111508286E-2</v>
      </c>
      <c r="F25" s="13">
        <f t="shared" si="5"/>
        <v>132740465898.03662</v>
      </c>
      <c r="G25" s="13">
        <f t="shared" si="0"/>
        <v>315.37364316795544</v>
      </c>
      <c r="H25" s="13">
        <f t="shared" si="1"/>
        <v>20.83</v>
      </c>
      <c r="J25" s="13">
        <f>INDEX(Integrale!$H$3:$H$502,MATCH('NGC5005'!D25,Integrale!$H$3:$H$502,1))</f>
        <v>0.75</v>
      </c>
      <c r="K25" s="13">
        <f>INDEX(Integrale!$I$3:$I$502,MATCH('NGC5005'!D25,Integrale!$H$3:$H$502,1))</f>
        <v>4.5934821200000003E-2</v>
      </c>
      <c r="L25" s="13">
        <f>INDEX(Integrale!$H$3:$H$502,MATCH('NGC5005'!D25,Integrale!$H$3:$H$502,1)+1)</f>
        <v>0.76</v>
      </c>
      <c r="M25" s="13">
        <f>INDEX(Integrale!$I$3:$I$502,MATCH('NGC5005'!D25,Integrale!$H$3:$H$502,1)+1)</f>
        <v>4.66387261E-2</v>
      </c>
      <c r="N25" s="13">
        <f t="shared" si="6"/>
        <v>0.9346120313862275</v>
      </c>
      <c r="O25" s="13">
        <f t="shared" si="2"/>
        <v>6.5387968613772551E-2</v>
      </c>
    </row>
    <row r="26" spans="1:15" x14ac:dyDescent="0.3">
      <c r="A26" s="13">
        <v>6.56</v>
      </c>
      <c r="B26" s="13">
        <v>263</v>
      </c>
      <c r="C26" s="13">
        <v>22.4</v>
      </c>
      <c r="D26" s="13">
        <f t="shared" si="3"/>
        <v>0.85789014821272869</v>
      </c>
      <c r="E26" s="13">
        <f>N26*K26+O26*M26</f>
        <v>5.260517242920662E-2</v>
      </c>
      <c r="F26" s="13">
        <f t="shared" si="5"/>
        <v>151863990850.39371</v>
      </c>
      <c r="G26" s="13">
        <f t="shared" si="0"/>
        <v>315.54053464062173</v>
      </c>
      <c r="H26" s="13">
        <f t="shared" si="1"/>
        <v>19.98</v>
      </c>
      <c r="J26" s="13">
        <f>INDEX(Integrale!$H$3:$H$502,MATCH('NGC5005'!D26,Integrale!$H$3:$H$502,1))</f>
        <v>0.85</v>
      </c>
      <c r="K26" s="13">
        <f>INDEX(Integrale!$I$3:$I$502,MATCH('NGC5005'!D26,Integrale!$H$3:$H$502,1))</f>
        <v>5.2187248399999997E-2</v>
      </c>
      <c r="L26" s="13">
        <f>INDEX(Integrale!$H$3:$H$502,MATCH('NGC5005'!D26,Integrale!$H$3:$H$502,1)+1)</f>
        <v>0.86</v>
      </c>
      <c r="M26" s="13">
        <f>INDEX(Integrale!$I$3:$I$502,MATCH('NGC5005'!D26,Integrale!$H$3:$H$502,1)+1)</f>
        <v>5.27169267E-2</v>
      </c>
      <c r="N26" s="13">
        <f t="shared" si="6"/>
        <v>0.21098517872712977</v>
      </c>
      <c r="O26" s="13">
        <f t="shared" si="2"/>
        <v>0.78901482127287026</v>
      </c>
    </row>
    <row r="27" spans="1:15" x14ac:dyDescent="0.3">
      <c r="A27" s="13">
        <v>7.37</v>
      </c>
      <c r="B27" s="13">
        <v>264</v>
      </c>
      <c r="C27" s="13">
        <v>22.3</v>
      </c>
      <c r="D27" s="13">
        <f t="shared" ref="D27:D32" si="7">A27/$C$12</f>
        <v>0.96381865736704442</v>
      </c>
      <c r="E27" s="13">
        <f t="shared" ref="E27:E32" si="8">N27*K27+O27*M27</f>
        <v>5.7260360981081088E-2</v>
      </c>
      <c r="F27" s="13">
        <f t="shared" ref="F27:F32" si="9">4*$H$12*$E$12*POWER($C$12,3)*E27</f>
        <v>165302888186.96469</v>
      </c>
      <c r="G27" s="13">
        <f t="shared" ref="G27:G32" si="10">POWER($I$8*F27/A27,0.5)</f>
        <v>310.58905644187479</v>
      </c>
      <c r="H27" s="13">
        <f t="shared" ref="H27:H32" si="11">ROUND(ABS((B27-G27)/B27)*100,2)</f>
        <v>17.649999999999999</v>
      </c>
      <c r="J27" s="13">
        <f>INDEX(Integrale!$H$3:$H$502,MATCH('NGC5005'!D27,Integrale!$H$3:$H$502,1))</f>
        <v>0.96</v>
      </c>
      <c r="K27" s="13">
        <f>INDEX(Integrale!$I$3:$I$502,MATCH('NGC5005'!D27,Integrale!$H$3:$H$502,1))</f>
        <v>5.7123710899999999E-2</v>
      </c>
      <c r="L27" s="13">
        <f>INDEX(Integrale!$H$3:$H$502,MATCH('NGC5005'!D27,Integrale!$H$3:$H$502,1)+1)</f>
        <v>0.97</v>
      </c>
      <c r="M27" s="13">
        <f>INDEX(Integrale!$I$3:$I$502,MATCH('NGC5005'!D27,Integrale!$H$3:$H$502,1)+1)</f>
        <v>5.74815594E-2</v>
      </c>
      <c r="N27" s="13">
        <f t="shared" ref="N27:N32" si="12">(L27-D27)/(L27-J27)</f>
        <v>0.61813426329555499</v>
      </c>
      <c r="O27" s="13">
        <f t="shared" ref="O27:O32" si="13">(D27-J27)/(L27-J27)</f>
        <v>0.38186573670444501</v>
      </c>
    </row>
    <row r="28" spans="1:15" x14ac:dyDescent="0.3">
      <c r="A28" s="13">
        <v>8.19</v>
      </c>
      <c r="B28" s="13">
        <v>265</v>
      </c>
      <c r="C28" s="13">
        <v>22.2</v>
      </c>
      <c r="D28" s="13">
        <f t="shared" si="7"/>
        <v>1.0710549258936355</v>
      </c>
      <c r="E28" s="13">
        <f t="shared" si="8"/>
        <v>6.0383850033827374E-2</v>
      </c>
      <c r="F28" s="13">
        <f t="shared" si="9"/>
        <v>174319977021.0697</v>
      </c>
      <c r="G28" s="13">
        <f t="shared" si="10"/>
        <v>302.55985374816697</v>
      </c>
      <c r="H28" s="13">
        <f t="shared" si="11"/>
        <v>14.17</v>
      </c>
      <c r="J28" s="13">
        <f>INDEX(Integrale!$H$3:$H$502,MATCH('NGC5005'!D28,Integrale!$H$3:$H$502,1))</f>
        <v>1.07</v>
      </c>
      <c r="K28" s="13">
        <f>INDEX(Integrale!$I$3:$I$502,MATCH('NGC5005'!D28,Integrale!$H$3:$H$502,1))</f>
        <v>6.0360048299999997E-2</v>
      </c>
      <c r="L28" s="13">
        <f>INDEX(Integrale!$H$3:$H$502,MATCH('NGC5005'!D28,Integrale!$H$3:$H$502,1)+1)</f>
        <v>1.08</v>
      </c>
      <c r="M28" s="13">
        <f>INDEX(Integrale!$I$3:$I$502,MATCH('NGC5005'!D28,Integrale!$H$3:$H$502,1)+1)</f>
        <v>6.0585673E-2</v>
      </c>
      <c r="N28" s="13">
        <f t="shared" si="12"/>
        <v>0.89450741063645733</v>
      </c>
      <c r="O28" s="13">
        <f t="shared" si="13"/>
        <v>0.10549258936354268</v>
      </c>
    </row>
    <row r="29" spans="1:15" x14ac:dyDescent="0.3">
      <c r="A29" s="13">
        <v>9.01</v>
      </c>
      <c r="B29" s="13">
        <v>265</v>
      </c>
      <c r="C29" s="13">
        <v>22.2</v>
      </c>
      <c r="D29" s="13">
        <f t="shared" si="7"/>
        <v>1.1782911944202266</v>
      </c>
      <c r="E29" s="13">
        <f t="shared" si="8"/>
        <v>6.2326853524237134E-2</v>
      </c>
      <c r="F29" s="13">
        <f t="shared" si="9"/>
        <v>179929164305.58936</v>
      </c>
      <c r="G29" s="13">
        <f t="shared" si="10"/>
        <v>293.06776910412771</v>
      </c>
      <c r="H29" s="13">
        <f t="shared" si="11"/>
        <v>10.59</v>
      </c>
      <c r="J29" s="13">
        <f>INDEX(Integrale!$H$3:$H$502,MATCH('NGC5005'!D29,Integrale!$H$3:$H$502,1))</f>
        <v>1.17</v>
      </c>
      <c r="K29" s="13">
        <f>INDEX(Integrale!$I$3:$I$502,MATCH('NGC5005'!D29,Integrale!$H$3:$H$502,1))</f>
        <v>6.2209852500000003E-2</v>
      </c>
      <c r="L29" s="13">
        <f>INDEX(Integrale!$H$3:$H$502,MATCH('NGC5005'!D29,Integrale!$H$3:$H$502,1)+1)</f>
        <v>1.18</v>
      </c>
      <c r="M29" s="13">
        <f>INDEX(Integrale!$I$3:$I$502,MATCH('NGC5005'!D29,Integrale!$H$3:$H$502,1)+1)</f>
        <v>6.2350967299999997E-2</v>
      </c>
      <c r="N29" s="13">
        <f t="shared" si="12"/>
        <v>0.17088055797733745</v>
      </c>
      <c r="O29" s="13">
        <f t="shared" si="13"/>
        <v>0.82911944202266252</v>
      </c>
    </row>
    <row r="30" spans="1:15" x14ac:dyDescent="0.3">
      <c r="A30" s="13">
        <v>9.83</v>
      </c>
      <c r="B30" s="13">
        <v>264</v>
      </c>
      <c r="C30" s="13">
        <v>22</v>
      </c>
      <c r="D30" s="13">
        <f t="shared" si="7"/>
        <v>1.2855274629468176</v>
      </c>
      <c r="E30" s="13">
        <f t="shared" si="8"/>
        <v>6.3476605423714028E-2</v>
      </c>
      <c r="F30" s="13">
        <f t="shared" si="9"/>
        <v>183248341943.06137</v>
      </c>
      <c r="G30" s="13">
        <f t="shared" si="10"/>
        <v>283.15415603456228</v>
      </c>
      <c r="H30" s="13">
        <f t="shared" si="11"/>
        <v>7.26</v>
      </c>
      <c r="J30" s="13">
        <f>INDEX(Integrale!$H$3:$H$502,MATCH('NGC5005'!D30,Integrale!$H$3:$H$502,1))</f>
        <v>1.28</v>
      </c>
      <c r="K30" s="13">
        <f>INDEX(Integrale!$I$3:$I$502,MATCH('NGC5005'!D30,Integrale!$H$3:$H$502,1))</f>
        <v>6.3432149199999996E-2</v>
      </c>
      <c r="L30" s="13">
        <f>INDEX(Integrale!$H$3:$H$502,MATCH('NGC5005'!D30,Integrale!$H$3:$H$502,1)+1)</f>
        <v>1.29</v>
      </c>
      <c r="M30" s="13">
        <f>INDEX(Integrale!$I$3:$I$502,MATCH('NGC5005'!D30,Integrale!$H$3:$H$502,1)+1)</f>
        <v>6.3512577099999995E-2</v>
      </c>
      <c r="N30" s="13">
        <f t="shared" si="12"/>
        <v>0.44725370531823977</v>
      </c>
      <c r="O30" s="13">
        <f t="shared" si="13"/>
        <v>0.55274629468176029</v>
      </c>
    </row>
    <row r="31" spans="1:15" x14ac:dyDescent="0.3">
      <c r="A31" s="13">
        <v>10.65</v>
      </c>
      <c r="B31" s="13">
        <v>264</v>
      </c>
      <c r="C31" s="13">
        <v>21.9</v>
      </c>
      <c r="D31" s="13">
        <f t="shared" si="7"/>
        <v>1.3927637314734087</v>
      </c>
      <c r="E31" s="13">
        <f t="shared" si="8"/>
        <v>6.4129213025283349E-2</v>
      </c>
      <c r="F31" s="13">
        <f t="shared" si="9"/>
        <v>185132331487.37842</v>
      </c>
      <c r="G31" s="13">
        <f t="shared" si="10"/>
        <v>273.42990012274254</v>
      </c>
      <c r="H31" s="13">
        <f t="shared" si="11"/>
        <v>3.57</v>
      </c>
      <c r="J31" s="13">
        <f>INDEX(Integrale!$H$3:$H$502,MATCH('NGC5005'!D31,Integrale!$H$3:$H$502,1))</f>
        <v>1.39</v>
      </c>
      <c r="K31" s="13">
        <f>INDEX(Integrale!$I$3:$I$502,MATCH('NGC5005'!D31,Integrale!$H$3:$H$502,1))</f>
        <v>6.41170452E-2</v>
      </c>
      <c r="L31" s="13">
        <f>INDEX(Integrale!$H$3:$H$502,MATCH('NGC5005'!D31,Integrale!$H$3:$H$502,1)+1)</f>
        <v>1.4</v>
      </c>
      <c r="M31" s="13">
        <f>INDEX(Integrale!$I$3:$I$502,MATCH('NGC5005'!D31,Integrale!$H$3:$H$502,1)+1)</f>
        <v>6.4161072E-2</v>
      </c>
      <c r="N31" s="13">
        <f t="shared" si="12"/>
        <v>0.72362685265911986</v>
      </c>
      <c r="O31" s="13">
        <f t="shared" si="13"/>
        <v>0.27637314734088014</v>
      </c>
    </row>
    <row r="32" spans="1:15" x14ac:dyDescent="0.3">
      <c r="A32" s="13">
        <v>11.47</v>
      </c>
      <c r="B32" s="13">
        <v>265</v>
      </c>
      <c r="C32" s="13">
        <v>22</v>
      </c>
      <c r="D32" s="13">
        <f t="shared" si="7"/>
        <v>1.5</v>
      </c>
      <c r="E32" s="13">
        <f t="shared" si="8"/>
        <v>6.4486722199999999E-2</v>
      </c>
      <c r="F32" s="13">
        <f t="shared" si="9"/>
        <v>186164411937.47418</v>
      </c>
      <c r="G32" s="13">
        <f t="shared" si="10"/>
        <v>264.20820158342536</v>
      </c>
      <c r="H32" s="13">
        <f t="shared" si="11"/>
        <v>0.3</v>
      </c>
      <c r="J32" s="13">
        <f>INDEX(Integrale!$H$3:$H$502,MATCH('NGC5005'!D32,Integrale!$H$3:$H$502,1))</f>
        <v>1.5</v>
      </c>
      <c r="K32" s="13">
        <f>INDEX(Integrale!$I$3:$I$502,MATCH('NGC5005'!D32,Integrale!$H$3:$H$502,1))</f>
        <v>6.4486722199999999E-2</v>
      </c>
      <c r="L32" s="13">
        <f>INDEX(Integrale!$H$3:$H$502,MATCH('NGC5005'!D32,Integrale!$H$3:$H$502,1)+1)</f>
        <v>1.51</v>
      </c>
      <c r="M32" s="13">
        <f>INDEX(Integrale!$I$3:$I$502,MATCH('NGC5005'!D32,Integrale!$H$3:$H$502,1)+1)</f>
        <v>6.4510025299999996E-2</v>
      </c>
      <c r="N32" s="13">
        <f t="shared" si="12"/>
        <v>1</v>
      </c>
      <c r="O32" s="13">
        <f t="shared" si="13"/>
        <v>0</v>
      </c>
    </row>
    <row r="33" spans="1:8" x14ac:dyDescent="0.3">
      <c r="G33" s="13" t="s">
        <v>25</v>
      </c>
      <c r="H33" s="13">
        <f>ROUND(AVERAGE(H15:H32),2)</f>
        <v>19.899999999999999</v>
      </c>
    </row>
    <row r="34" spans="1:8" x14ac:dyDescent="0.3">
      <c r="B34" s="19" t="s">
        <v>24</v>
      </c>
      <c r="C34" s="20">
        <f>ROUND(MAX(0,100-H33),2)</f>
        <v>80.099999999999994</v>
      </c>
      <c r="D34" s="20" t="s">
        <v>26</v>
      </c>
    </row>
    <row r="36" spans="1:8" x14ac:dyDescent="0.3">
      <c r="A36" s="12" t="s">
        <v>7</v>
      </c>
      <c r="B36" s="12" t="s">
        <v>27</v>
      </c>
      <c r="C36" s="12" t="s">
        <v>28</v>
      </c>
      <c r="D36" s="12" t="s">
        <v>19</v>
      </c>
      <c r="E36" s="24" t="s">
        <v>34</v>
      </c>
      <c r="F36" s="24" t="s">
        <v>35</v>
      </c>
    </row>
    <row r="37" spans="1:8" x14ac:dyDescent="0.3">
      <c r="A37" s="13">
        <f t="shared" ref="A37:C54" si="14">A15</f>
        <v>0.49</v>
      </c>
      <c r="B37" s="13">
        <f t="shared" si="14"/>
        <v>211</v>
      </c>
      <c r="C37" s="13">
        <f t="shared" si="14"/>
        <v>40.1</v>
      </c>
      <c r="D37" s="13">
        <f>ROUND(G15,2)</f>
        <v>47.59</v>
      </c>
      <c r="E37" s="13">
        <f>ROUND(POWER((B37-D37),2),2)</f>
        <v>26702.83</v>
      </c>
      <c r="F37" s="13">
        <f>ROUND(E37/POWER(C37,2),2)</f>
        <v>16.61</v>
      </c>
    </row>
    <row r="38" spans="1:8" x14ac:dyDescent="0.3">
      <c r="A38" s="13">
        <f t="shared" si="14"/>
        <v>0.98</v>
      </c>
      <c r="B38" s="13">
        <f t="shared" si="14"/>
        <v>233</v>
      </c>
      <c r="C38" s="13">
        <f t="shared" si="14"/>
        <v>17.399999999999999</v>
      </c>
      <c r="D38" s="13">
        <f t="shared" ref="D38:D54" si="15">ROUND(G16,2)</f>
        <v>92.7</v>
      </c>
      <c r="E38" s="13">
        <f t="shared" ref="E38:E54" si="16">ROUND(POWER((B38-D38),2),2)</f>
        <v>19684.09</v>
      </c>
      <c r="F38" s="13">
        <f t="shared" ref="F38:F54" si="17">ROUND(E38/POWER(C38,2),2)</f>
        <v>65.02</v>
      </c>
    </row>
    <row r="39" spans="1:8" x14ac:dyDescent="0.3">
      <c r="A39" s="13">
        <f t="shared" si="14"/>
        <v>1.47</v>
      </c>
      <c r="B39" s="13">
        <f t="shared" si="14"/>
        <v>227</v>
      </c>
      <c r="C39" s="13">
        <f t="shared" si="14"/>
        <v>14.4</v>
      </c>
      <c r="D39" s="13">
        <f t="shared" si="15"/>
        <v>135.52000000000001</v>
      </c>
      <c r="E39" s="13">
        <f t="shared" si="16"/>
        <v>8368.59</v>
      </c>
      <c r="F39" s="13">
        <f t="shared" si="17"/>
        <v>40.36</v>
      </c>
    </row>
    <row r="40" spans="1:8" x14ac:dyDescent="0.3">
      <c r="A40" s="13">
        <f t="shared" si="14"/>
        <v>1.97</v>
      </c>
      <c r="B40" s="13">
        <f t="shared" si="14"/>
        <v>234</v>
      </c>
      <c r="C40" s="13">
        <f t="shared" si="14"/>
        <v>10.8</v>
      </c>
      <c r="D40" s="13">
        <f t="shared" si="15"/>
        <v>175.43</v>
      </c>
      <c r="E40" s="13">
        <f t="shared" si="16"/>
        <v>3430.44</v>
      </c>
      <c r="F40" s="13">
        <f t="shared" si="17"/>
        <v>29.41</v>
      </c>
    </row>
    <row r="41" spans="1:8" x14ac:dyDescent="0.3">
      <c r="A41" s="13">
        <f t="shared" si="14"/>
        <v>2.46</v>
      </c>
      <c r="B41" s="13">
        <f t="shared" si="14"/>
        <v>245</v>
      </c>
      <c r="C41" s="13">
        <f t="shared" si="14"/>
        <v>7.67</v>
      </c>
      <c r="D41" s="13">
        <f t="shared" si="15"/>
        <v>210</v>
      </c>
      <c r="E41" s="13">
        <f t="shared" si="16"/>
        <v>1225</v>
      </c>
      <c r="F41" s="13">
        <f t="shared" si="17"/>
        <v>20.82</v>
      </c>
    </row>
    <row r="42" spans="1:8" x14ac:dyDescent="0.3">
      <c r="A42" s="13">
        <f t="shared" si="14"/>
        <v>2.95</v>
      </c>
      <c r="B42" s="13">
        <f t="shared" si="14"/>
        <v>244</v>
      </c>
      <c r="C42" s="13">
        <f t="shared" si="14"/>
        <v>23.3</v>
      </c>
      <c r="D42" s="13">
        <f t="shared" si="15"/>
        <v>239.56</v>
      </c>
      <c r="E42" s="13">
        <f t="shared" si="16"/>
        <v>19.71</v>
      </c>
      <c r="F42" s="13">
        <f t="shared" si="17"/>
        <v>0.04</v>
      </c>
    </row>
    <row r="43" spans="1:8" x14ac:dyDescent="0.3">
      <c r="A43" s="13">
        <f t="shared" si="14"/>
        <v>3.44</v>
      </c>
      <c r="B43" s="13">
        <f t="shared" si="14"/>
        <v>261</v>
      </c>
      <c r="C43" s="13">
        <f t="shared" si="14"/>
        <v>23.3</v>
      </c>
      <c r="D43" s="13">
        <f t="shared" si="15"/>
        <v>263.87</v>
      </c>
      <c r="E43" s="13">
        <f t="shared" si="16"/>
        <v>8.24</v>
      </c>
      <c r="F43" s="13">
        <f t="shared" si="17"/>
        <v>0.02</v>
      </c>
    </row>
    <row r="44" spans="1:8" x14ac:dyDescent="0.3">
      <c r="A44" s="13">
        <f t="shared" si="14"/>
        <v>3.93</v>
      </c>
      <c r="B44" s="13">
        <f t="shared" si="14"/>
        <v>259</v>
      </c>
      <c r="C44" s="13">
        <f t="shared" si="14"/>
        <v>22.7</v>
      </c>
      <c r="D44" s="13">
        <f t="shared" si="15"/>
        <v>283.02999999999997</v>
      </c>
      <c r="E44" s="13">
        <f t="shared" si="16"/>
        <v>577.44000000000005</v>
      </c>
      <c r="F44" s="13">
        <f t="shared" si="17"/>
        <v>1.1200000000000001</v>
      </c>
    </row>
    <row r="45" spans="1:8" x14ac:dyDescent="0.3">
      <c r="A45" s="13">
        <f t="shared" si="14"/>
        <v>4.42</v>
      </c>
      <c r="B45" s="13">
        <f t="shared" si="14"/>
        <v>258</v>
      </c>
      <c r="C45" s="13">
        <f t="shared" si="14"/>
        <v>22.7</v>
      </c>
      <c r="D45" s="13">
        <f t="shared" si="15"/>
        <v>297.3</v>
      </c>
      <c r="E45" s="13">
        <f t="shared" si="16"/>
        <v>1544.49</v>
      </c>
      <c r="F45" s="13">
        <f t="shared" si="17"/>
        <v>3</v>
      </c>
    </row>
    <row r="46" spans="1:8" x14ac:dyDescent="0.3">
      <c r="A46" s="13">
        <f t="shared" si="14"/>
        <v>4.92</v>
      </c>
      <c r="B46" s="13">
        <f t="shared" si="14"/>
        <v>258</v>
      </c>
      <c r="C46" s="13">
        <f t="shared" si="14"/>
        <v>22.5</v>
      </c>
      <c r="D46" s="13">
        <f t="shared" si="15"/>
        <v>307.31</v>
      </c>
      <c r="E46" s="13">
        <f t="shared" si="16"/>
        <v>2431.48</v>
      </c>
      <c r="F46" s="13">
        <f t="shared" si="17"/>
        <v>4.8</v>
      </c>
    </row>
    <row r="47" spans="1:8" x14ac:dyDescent="0.3">
      <c r="A47" s="13">
        <f t="shared" si="14"/>
        <v>5.74</v>
      </c>
      <c r="B47" s="13">
        <f t="shared" si="14"/>
        <v>261</v>
      </c>
      <c r="C47" s="13">
        <f t="shared" si="14"/>
        <v>22.4</v>
      </c>
      <c r="D47" s="13">
        <f t="shared" si="15"/>
        <v>315.37</v>
      </c>
      <c r="E47" s="13">
        <f t="shared" si="16"/>
        <v>2956.1</v>
      </c>
      <c r="F47" s="13">
        <f t="shared" si="17"/>
        <v>5.89</v>
      </c>
    </row>
    <row r="48" spans="1:8" x14ac:dyDescent="0.3">
      <c r="A48" s="13">
        <f t="shared" si="14"/>
        <v>6.56</v>
      </c>
      <c r="B48" s="13">
        <f t="shared" si="14"/>
        <v>263</v>
      </c>
      <c r="C48" s="13">
        <f t="shared" si="14"/>
        <v>22.4</v>
      </c>
      <c r="D48" s="13">
        <f t="shared" si="15"/>
        <v>315.54000000000002</v>
      </c>
      <c r="E48" s="13">
        <f t="shared" si="16"/>
        <v>2760.45</v>
      </c>
      <c r="F48" s="13">
        <f t="shared" si="17"/>
        <v>5.5</v>
      </c>
    </row>
    <row r="49" spans="1:6" x14ac:dyDescent="0.3">
      <c r="A49" s="13">
        <f t="shared" si="14"/>
        <v>7.37</v>
      </c>
      <c r="B49" s="13">
        <f t="shared" si="14"/>
        <v>264</v>
      </c>
      <c r="C49" s="13">
        <f t="shared" si="14"/>
        <v>22.3</v>
      </c>
      <c r="D49" s="13">
        <f t="shared" si="15"/>
        <v>310.58999999999997</v>
      </c>
      <c r="E49" s="13">
        <f t="shared" si="16"/>
        <v>2170.63</v>
      </c>
      <c r="F49" s="13">
        <f t="shared" si="17"/>
        <v>4.3600000000000003</v>
      </c>
    </row>
    <row r="50" spans="1:6" x14ac:dyDescent="0.3">
      <c r="A50" s="13">
        <f t="shared" si="14"/>
        <v>8.19</v>
      </c>
      <c r="B50" s="13">
        <f t="shared" si="14"/>
        <v>265</v>
      </c>
      <c r="C50" s="13">
        <f t="shared" si="14"/>
        <v>22.2</v>
      </c>
      <c r="D50" s="13">
        <f t="shared" si="15"/>
        <v>302.56</v>
      </c>
      <c r="E50" s="13">
        <f t="shared" si="16"/>
        <v>1410.75</v>
      </c>
      <c r="F50" s="13">
        <f t="shared" si="17"/>
        <v>2.86</v>
      </c>
    </row>
    <row r="51" spans="1:6" x14ac:dyDescent="0.3">
      <c r="A51" s="13">
        <f t="shared" si="14"/>
        <v>9.01</v>
      </c>
      <c r="B51" s="13">
        <f t="shared" si="14"/>
        <v>265</v>
      </c>
      <c r="C51" s="13">
        <f t="shared" si="14"/>
        <v>22.2</v>
      </c>
      <c r="D51" s="13">
        <f t="shared" si="15"/>
        <v>293.07</v>
      </c>
      <c r="E51" s="13">
        <f t="shared" si="16"/>
        <v>787.92</v>
      </c>
      <c r="F51" s="13">
        <f t="shared" si="17"/>
        <v>1.6</v>
      </c>
    </row>
    <row r="52" spans="1:6" x14ac:dyDescent="0.3">
      <c r="A52" s="13">
        <f t="shared" si="14"/>
        <v>9.83</v>
      </c>
      <c r="B52" s="13">
        <f t="shared" si="14"/>
        <v>264</v>
      </c>
      <c r="C52" s="13">
        <f t="shared" si="14"/>
        <v>22</v>
      </c>
      <c r="D52" s="13">
        <f t="shared" si="15"/>
        <v>283.14999999999998</v>
      </c>
      <c r="E52" s="13">
        <f t="shared" si="16"/>
        <v>366.72</v>
      </c>
      <c r="F52" s="13">
        <f t="shared" si="17"/>
        <v>0.76</v>
      </c>
    </row>
    <row r="53" spans="1:6" x14ac:dyDescent="0.3">
      <c r="A53" s="13">
        <f t="shared" si="14"/>
        <v>10.65</v>
      </c>
      <c r="B53" s="13">
        <f t="shared" si="14"/>
        <v>264</v>
      </c>
      <c r="C53" s="13">
        <f t="shared" si="14"/>
        <v>21.9</v>
      </c>
      <c r="D53" s="13">
        <f t="shared" si="15"/>
        <v>273.43</v>
      </c>
      <c r="E53" s="13">
        <f t="shared" si="16"/>
        <v>88.92</v>
      </c>
      <c r="F53" s="13">
        <f t="shared" si="17"/>
        <v>0.19</v>
      </c>
    </row>
    <row r="54" spans="1:6" ht="19.5" thickBot="1" x14ac:dyDescent="0.35">
      <c r="A54" s="13">
        <f t="shared" si="14"/>
        <v>11.47</v>
      </c>
      <c r="B54" s="13">
        <f t="shared" si="14"/>
        <v>265</v>
      </c>
      <c r="C54" s="13">
        <f t="shared" si="14"/>
        <v>22</v>
      </c>
      <c r="D54" s="13">
        <f t="shared" si="15"/>
        <v>264.20999999999998</v>
      </c>
      <c r="E54" s="13">
        <f t="shared" si="16"/>
        <v>0.62</v>
      </c>
      <c r="F54" s="13">
        <f t="shared" si="17"/>
        <v>0</v>
      </c>
    </row>
    <row r="55" spans="1:6" ht="19.5" thickBot="1" x14ac:dyDescent="0.35">
      <c r="E55" s="25" t="s">
        <v>36</v>
      </c>
      <c r="F55" s="26">
        <f>ROUND(SUM(F37:F54)/(COUNT(F37:F54)-1),2)</f>
        <v>11.9</v>
      </c>
    </row>
    <row r="56" spans="1:6" x14ac:dyDescent="0.3">
      <c r="E56" s="2"/>
      <c r="F56" s="27"/>
    </row>
    <row r="57" spans="1:6" x14ac:dyDescent="0.3">
      <c r="E57" s="2"/>
      <c r="F57" s="27"/>
    </row>
    <row r="58" spans="1:6" x14ac:dyDescent="0.3">
      <c r="E58" s="2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NGC5005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2026-01-12T09:03:59Z</dcterms:modified>
</cp:coreProperties>
</file>