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06628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33" i="1" l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26" i="1"/>
  <c r="F26" i="1"/>
  <c r="D27" i="1"/>
  <c r="D28" i="1"/>
  <c r="D29" i="1"/>
  <c r="D30" i="1"/>
  <c r="D31" i="1"/>
  <c r="D32" i="1"/>
  <c r="D26" i="1"/>
  <c r="E9" i="1" l="1"/>
  <c r="C9" i="1"/>
  <c r="C12" i="1" l="1"/>
  <c r="A27" i="1" l="1"/>
  <c r="A28" i="1"/>
  <c r="A29" i="1"/>
  <c r="A30" i="1"/>
  <c r="A31" i="1"/>
  <c r="A32" i="1"/>
  <c r="A26" i="1"/>
  <c r="B27" i="1"/>
  <c r="C27" i="1"/>
  <c r="B28" i="1"/>
  <c r="C28" i="1"/>
  <c r="B29" i="1"/>
  <c r="C29" i="1"/>
  <c r="B30" i="1"/>
  <c r="C30" i="1"/>
  <c r="B31" i="1"/>
  <c r="C31" i="1"/>
  <c r="B32" i="1"/>
  <c r="C32" i="1"/>
  <c r="C26" i="1"/>
  <c r="B26" i="1"/>
  <c r="I8" i="1"/>
  <c r="D16" i="1" l="1"/>
  <c r="J16" i="1" s="1"/>
  <c r="E10" i="1"/>
  <c r="E12" i="1" s="1"/>
  <c r="D15" i="1"/>
  <c r="D21" i="1"/>
  <c r="D19" i="1"/>
  <c r="D17" i="1"/>
  <c r="D20" i="1"/>
  <c r="D18" i="1"/>
  <c r="L16" i="1" l="1"/>
  <c r="N16" i="1" s="1"/>
  <c r="M16" i="1"/>
  <c r="K16" i="1"/>
  <c r="J18" i="1"/>
  <c r="L18" i="1"/>
  <c r="K18" i="1"/>
  <c r="M18" i="1"/>
  <c r="J17" i="1"/>
  <c r="L17" i="1"/>
  <c r="K17" i="1"/>
  <c r="M17" i="1"/>
  <c r="J21" i="1"/>
  <c r="L21" i="1"/>
  <c r="K21" i="1"/>
  <c r="M21" i="1"/>
  <c r="J20" i="1"/>
  <c r="L20" i="1"/>
  <c r="K20" i="1"/>
  <c r="M20" i="1"/>
  <c r="J19" i="1"/>
  <c r="L19" i="1"/>
  <c r="K19" i="1"/>
  <c r="M19" i="1"/>
  <c r="M15" i="1"/>
  <c r="K15" i="1"/>
  <c r="L15" i="1"/>
  <c r="J15" i="1"/>
  <c r="O16" i="1" l="1"/>
  <c r="E16" i="1" s="1"/>
  <c r="F16" i="1" s="1"/>
  <c r="G16" i="1" s="1"/>
  <c r="N19" i="1"/>
  <c r="N20" i="1"/>
  <c r="N21" i="1"/>
  <c r="N17" i="1"/>
  <c r="N18" i="1"/>
  <c r="N15" i="1"/>
  <c r="O15" i="1"/>
  <c r="O17" i="1"/>
  <c r="O19" i="1"/>
  <c r="O20" i="1"/>
  <c r="O21" i="1"/>
  <c r="O18" i="1"/>
  <c r="E15" i="1" l="1"/>
  <c r="F15" i="1" s="1"/>
  <c r="G15" i="1" s="1"/>
  <c r="H15" i="1" s="1"/>
  <c r="H16" i="1"/>
  <c r="E17" i="1"/>
  <c r="F17" i="1" s="1"/>
  <c r="G17" i="1" s="1"/>
  <c r="E19" i="1"/>
  <c r="F19" i="1" s="1"/>
  <c r="G19" i="1" s="1"/>
  <c r="E18" i="1"/>
  <c r="F18" i="1" s="1"/>
  <c r="G18" i="1" s="1"/>
  <c r="E21" i="1"/>
  <c r="F21" i="1" s="1"/>
  <c r="G21" i="1" s="1"/>
  <c r="E20" i="1"/>
  <c r="F20" i="1" s="1"/>
  <c r="G20" i="1" s="1"/>
  <c r="H21" i="1" l="1"/>
  <c r="H19" i="1"/>
  <c r="H20" i="1"/>
  <c r="H18" i="1"/>
  <c r="H17" i="1"/>
  <c r="H22" i="1" l="1"/>
  <c r="C23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<sst xmlns="http://schemas.openxmlformats.org/spreadsheetml/2006/main" count="40" uniqueCount="37">
  <si>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</si>
  <si>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</si>
  <si>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</si>
  <si>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</si>
  <si>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</si>
  <si>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</si>
  <si>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</si>
  <si>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</si>
  <si>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</si>
  <si>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</si>
  <si>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</si>
  <si>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</si>
  <si>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</si>
  <si>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</si>
  <si>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</si>
  <si>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</si>
  <si>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</si>
  <si>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</si>
  <si>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</si>
  <si>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</si>
  <si>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</si>
  <si>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</si>
  <si>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</si>
  <si>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</si>
  <si>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</si>
  <si>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</si>
  <si>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</si>
  <si>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</si>
  <si>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</si>
  <si>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</si>
  <si>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</si>
  <si>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</si>
  <si>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r_c=R_max=</t>
  </si>
  <si>
    <t>UGC06628</t>
  </si>
  <si>
    <t>A=(V_obs-V_TURI)^2</t>
  </si>
  <si>
    <t>A/Incer V_Obs^2</t>
  </si>
  <si>
    <t>X^2/d_f=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</si>
</sst>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'UGC06628'!$B$25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'UGC06628'!$C$26:$C$32</c:f>
                <c:numCache>
                  <c:formatCode>General</c:formatCode>
                  <c:ptCount val="7"/>
                  <c:pt idx="0">
                    <c:v>8.27</c:v>
                  </c:pt>
                  <c:pt idx="1">
                    <c:v>8.27</c:v>
                  </c:pt>
                  <c:pt idx="2">
                    <c:v>8.27</c:v>
                  </c:pt>
                  <c:pt idx="3">
                    <c:v>8.27</c:v>
                  </c:pt>
                  <c:pt idx="4">
                    <c:v>8.27</c:v>
                  </c:pt>
                  <c:pt idx="5">
                    <c:v>8.27</c:v>
                  </c:pt>
                  <c:pt idx="6">
                    <c:v>8.27</c:v>
                  </c:pt>
                </c:numCache>
              </c:numRef>
            </c:plus>
            <c:minus>
              <c:numRef>
                <c:f>'UGC06628'!$C$26:$C$32</c:f>
                <c:numCache>
                  <c:formatCode>General</c:formatCode>
                  <c:ptCount val="7"/>
                  <c:pt idx="0">
                    <c:v>8.27</c:v>
                  </c:pt>
                  <c:pt idx="1">
                    <c:v>8.27</c:v>
                  </c:pt>
                  <c:pt idx="2">
                    <c:v>8.27</c:v>
                  </c:pt>
                  <c:pt idx="3">
                    <c:v>8.27</c:v>
                  </c:pt>
                  <c:pt idx="4">
                    <c:v>8.27</c:v>
                  </c:pt>
                  <c:pt idx="5">
                    <c:v>8.27</c:v>
                  </c:pt>
                  <c:pt idx="6">
                    <c:v>8.27</c:v>
                  </c:pt>
                </c:numCache>
              </c:numRef>
            </c:minus>
          </c:errBars>
          <c:xVal>
            <c:numRef>
              <c:f>'UGC06628'!$A$26:$A$32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2.2000000000000002</c:v>
                </c:pt>
                <c:pt idx="2">
                  <c:v>3.3</c:v>
                </c:pt>
                <c:pt idx="3">
                  <c:v>4.3899999999999997</c:v>
                </c:pt>
                <c:pt idx="4">
                  <c:v>5.5</c:v>
                </c:pt>
                <c:pt idx="5">
                  <c:v>6.59</c:v>
                </c:pt>
                <c:pt idx="6">
                  <c:v>7.69</c:v>
                </c:pt>
              </c:numCache>
            </c:numRef>
          </c:xVal>
          <c:yVal>
            <c:numRef>
              <c:f>'UGC06628'!$B$26:$B$32</c:f>
              <c:numCache>
                <c:formatCode>General</c:formatCode>
                <c:ptCount val="7"/>
                <c:pt idx="0">
                  <c:v>26.9</c:v>
                </c:pt>
                <c:pt idx="1">
                  <c:v>38</c:v>
                </c:pt>
                <c:pt idx="2">
                  <c:v>40.5</c:v>
                </c:pt>
                <c:pt idx="3">
                  <c:v>41.4</c:v>
                </c:pt>
                <c:pt idx="4">
                  <c:v>42.3</c:v>
                </c:pt>
                <c:pt idx="5">
                  <c:v>42.3</c:v>
                </c:pt>
                <c:pt idx="6">
                  <c:v>42.3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15264"/>
        <c:axId val="151116800"/>
      </c:scatterChart>
      <c:scatterChart>
        <c:scatterStyle val="smoothMarker"/>
        <c:varyColors val="0"/>
        <c:ser>
          <c:idx val="1"/>
          <c:order val="1"/>
          <c:tx>
            <c:strRef>
              <c:f>'UGC06628'!$D$25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'UGC06628'!$A$26:$A$32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2.2000000000000002</c:v>
                </c:pt>
                <c:pt idx="2">
                  <c:v>3.3</c:v>
                </c:pt>
                <c:pt idx="3">
                  <c:v>4.3899999999999997</c:v>
                </c:pt>
                <c:pt idx="4">
                  <c:v>5.5</c:v>
                </c:pt>
                <c:pt idx="5">
                  <c:v>6.59</c:v>
                </c:pt>
                <c:pt idx="6">
                  <c:v>7.69</c:v>
                </c:pt>
              </c:numCache>
            </c:numRef>
          </c:xVal>
          <c:yVal>
            <c:numRef>
              <c:f>'UGC06628'!$D$26:$D$32</c:f>
              <c:numCache>
                <c:formatCode>General</c:formatCode>
                <c:ptCount val="7"/>
                <c:pt idx="0">
                  <c:v>13.42</c:v>
                </c:pt>
                <c:pt idx="1">
                  <c:v>24.94</c:v>
                </c:pt>
                <c:pt idx="2">
                  <c:v>33.44</c:v>
                </c:pt>
                <c:pt idx="3">
                  <c:v>38.57</c:v>
                </c:pt>
                <c:pt idx="4">
                  <c:v>40.89</c:v>
                </c:pt>
                <c:pt idx="5">
                  <c:v>41.13</c:v>
                </c:pt>
                <c:pt idx="6">
                  <c:v>40.159999999999997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15264"/>
        <c:axId val="151116800"/>
      </c:scatterChart>
      <c:valAx>
        <c:axId val="1511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116800"/>
        <c:crosses val="autoZero"/>
        <c:crossBetween val="midCat"/>
      </c:valAx>
      <c:valAx>
        <c:axId val="15111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1152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866775</xdr:colOff>
      <xdr:row>23</xdr:row>
      <xdr:rowOff>190500</xdr:rowOff>
    </xdr:from>
    <xdr:to>
      <xdr:col>12</xdr:col>
      <xdr:colOff>914400</xdr:colOff>
      <xdr:row>33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6"/>
  <sheetViews>
    <sheetView tabSelected="1" topLeftCell="A18" workbookViewId="0">
      <selection activeCell="M12" sqref="M12"/>
    </sheetView>
  </sheetViews>
  <sheetFormatPr baseColWidth="10" defaultRowHeight="18.75" x14ac:dyDescent="0.3"/>
  <cols>
    <col min="1" max="1" width="15.85546875" style="1" customWidth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33</v>
      </c>
      <c r="B9" s="14" t="s">
        <v>8</v>
      </c>
      <c r="C9" s="21">
        <f>A21</f>
        <v>7.69</v>
      </c>
      <c r="D9" s="14" t="s">
        <v>9</v>
      </c>
      <c r="E9" s="21">
        <f>B21</f>
        <v>42.3</v>
      </c>
      <c r="F9" s="10"/>
      <c r="G9" s="10"/>
      <c r="H9" s="10"/>
      <c r="I9" s="11"/>
    </row>
    <row r="10" spans="1:15" x14ac:dyDescent="0.3">
      <c r="B10" s="5" t="s">
        <v>10</v>
      </c>
      <c r="C10" s="27" t="s">
        <v>12</v>
      </c>
      <c r="D10" s="27"/>
      <c r="E10" s="9">
        <f>E9*E9*C9/I8</f>
        <v>3199246692.5527205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21</v>
      </c>
      <c r="H11" s="6"/>
      <c r="I11" s="2"/>
    </row>
    <row r="12" spans="1:15" x14ac:dyDescent="0.3">
      <c r="B12" s="5" t="s">
        <v>32</v>
      </c>
      <c r="C12" s="7">
        <f>C9</f>
        <v>7.69</v>
      </c>
      <c r="D12" s="5" t="s">
        <v>14</v>
      </c>
      <c r="E12" s="9">
        <f>E10/(POWER(C12,3)*4*3.14159*H10)</f>
        <v>8629581.8494695425</v>
      </c>
      <c r="F12" s="6" t="s">
        <v>15</v>
      </c>
      <c r="G12" s="17" t="s">
        <v>20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31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28" t="s">
        <v>29</v>
      </c>
      <c r="K14" s="27"/>
      <c r="L14" s="27"/>
      <c r="M14" s="27"/>
      <c r="N14" s="27"/>
      <c r="O14" s="29"/>
    </row>
    <row r="15" spans="1:15" x14ac:dyDescent="0.3">
      <c r="A15" s="13">
        <v>1.1000000000000001</v>
      </c>
      <c r="B15" s="13">
        <v>26.9</v>
      </c>
      <c r="C15" s="13">
        <v>8.27</v>
      </c>
      <c r="D15" s="13">
        <f>A15/$C$12</f>
        <v>0.14304291287386217</v>
      </c>
      <c r="E15" s="13">
        <f>N15*K15+O15*M15</f>
        <v>9.337813301690508E-4</v>
      </c>
      <c r="F15" s="13">
        <f>4*$H$12*$E$12*POWER($C$12,3)*E15</f>
        <v>46049344.801797807</v>
      </c>
      <c r="G15" s="13">
        <f t="shared" ref="G15:G21" si="0">POWER($I$8*F15/A15,0.5)</f>
        <v>13.418224616951251</v>
      </c>
      <c r="H15" s="13">
        <f t="shared" ref="H15:H21" si="1">ROUND(ABS((B15-G15)/B15)*100,2)</f>
        <v>50.12</v>
      </c>
      <c r="J15" s="13">
        <f>INDEX(Integrale!$H$3:$H$502,MATCH('UGC06628'!D15,Integrale!$H$3:$H$502,1))</f>
        <v>0.14000000000000001</v>
      </c>
      <c r="K15" s="13">
        <f>INDEX(Integrale!$I$3:$I$502,MATCH('UGC06628'!D15,Integrale!$H$3:$H$502,1))</f>
        <v>8.7490549999999999E-4</v>
      </c>
      <c r="L15" s="13">
        <f>INDEX(Integrale!$H$3:$H$502,MATCH('UGC06628'!D15,Integrale!$H$3:$H$502,1)+1)</f>
        <v>0.15</v>
      </c>
      <c r="M15" s="13">
        <f>INDEX(Integrale!$I$3:$I$502,MATCH('UGC06628'!D15,Integrale!$H$3:$H$502,1)+1)</f>
        <v>1.0683906E-3</v>
      </c>
      <c r="N15" s="13">
        <f>(L15-D15)/(L15-J15)</f>
        <v>0.69570871261378364</v>
      </c>
      <c r="O15" s="13">
        <f t="shared" ref="O15:O21" si="2">(D15-J15)/(L15-J15)</f>
        <v>0.30429128738621636</v>
      </c>
    </row>
    <row r="16" spans="1:15" x14ac:dyDescent="0.3">
      <c r="A16" s="13">
        <v>2.2000000000000002</v>
      </c>
      <c r="B16" s="13">
        <v>38</v>
      </c>
      <c r="C16" s="13">
        <v>8.27</v>
      </c>
      <c r="D16" s="13">
        <f t="shared" ref="D16:D21" si="3">A16/$C$12</f>
        <v>0.28608582574772434</v>
      </c>
      <c r="E16" s="13">
        <f t="shared" ref="E16:E21" si="4">N16*K16+O16*M16</f>
        <v>6.4539481698309515E-3</v>
      </c>
      <c r="F16" s="13">
        <f t="shared" ref="F16:F21" si="5">4*$H$12*$E$12*POWER($C$12,3)*E16</f>
        <v>318275890.72879905</v>
      </c>
      <c r="G16" s="13">
        <f t="shared" si="0"/>
        <v>24.944235792841198</v>
      </c>
      <c r="H16" s="13">
        <f t="shared" si="1"/>
        <v>34.36</v>
      </c>
      <c r="J16" s="13">
        <f>INDEX(Integrale!$H$3:$H$502,MATCH('UGC06628'!D16,Integrale!$H$3:$H$502,1))</f>
        <v>0.28000000000000003</v>
      </c>
      <c r="K16" s="13">
        <f>INDEX(Integrale!$I$3:$I$502,MATCH('UGC06628'!D16,Integrale!$H$3:$H$502,1))</f>
        <v>6.0952510000000003E-3</v>
      </c>
      <c r="L16" s="13">
        <f>INDEX(Integrale!$H$3:$H$502,MATCH('UGC06628'!D16,Integrale!$H$3:$H$502,1)+1)</f>
        <v>0.28999999999999998</v>
      </c>
      <c r="M16" s="13">
        <f>INDEX(Integrale!$I$3:$I$502,MATCH('UGC06628'!D16,Integrale!$H$3:$H$502,1)+1)</f>
        <v>6.6846487000000003E-3</v>
      </c>
      <c r="N16" s="13">
        <f t="shared" ref="N16:N21" si="6">(L16-D16)/(L16-J16)</f>
        <v>0.39141742522756556</v>
      </c>
      <c r="O16" s="13">
        <f t="shared" si="2"/>
        <v>0.60858257477243449</v>
      </c>
    </row>
    <row r="17" spans="1:15" x14ac:dyDescent="0.3">
      <c r="A17" s="13">
        <v>3.3</v>
      </c>
      <c r="B17" s="13">
        <v>40.5</v>
      </c>
      <c r="C17" s="13">
        <v>8.27</v>
      </c>
      <c r="D17" s="13">
        <f t="shared" si="3"/>
        <v>0.42912873862158646</v>
      </c>
      <c r="E17" s="13">
        <f t="shared" si="4"/>
        <v>1.7398147543042912E-2</v>
      </c>
      <c r="F17" s="13">
        <f t="shared" si="5"/>
        <v>857988127.66698909</v>
      </c>
      <c r="G17" s="13">
        <f t="shared" si="0"/>
        <v>33.439774621734671</v>
      </c>
      <c r="H17" s="13">
        <f t="shared" si="1"/>
        <v>17.43</v>
      </c>
      <c r="J17" s="13">
        <f>INDEX(Integrale!$H$3:$H$502,MATCH('UGC06628'!D17,Integrale!$H$3:$H$502,1))</f>
        <v>0.42</v>
      </c>
      <c r="K17" s="13">
        <f>INDEX(Integrale!$I$3:$I$502,MATCH('UGC06628'!D17,Integrale!$H$3:$H$502,1))</f>
        <v>1.6580923599999998E-2</v>
      </c>
      <c r="L17" s="13">
        <f>INDEX(Integrale!$H$3:$H$502,MATCH('UGC06628'!D17,Integrale!$H$3:$H$502,1)+1)</f>
        <v>0.43</v>
      </c>
      <c r="M17" s="13">
        <f>INDEX(Integrale!$I$3:$I$502,MATCH('UGC06628'!D17,Integrale!$H$3:$H$502,1)+1)</f>
        <v>1.7476144700000001E-2</v>
      </c>
      <c r="N17" s="13">
        <f t="shared" si="6"/>
        <v>8.7126137841353396E-2</v>
      </c>
      <c r="O17" s="13">
        <f t="shared" si="2"/>
        <v>0.91287386215864663</v>
      </c>
    </row>
    <row r="18" spans="1:15" x14ac:dyDescent="0.3">
      <c r="A18" s="13">
        <v>4.3899999999999997</v>
      </c>
      <c r="B18" s="13">
        <v>41.4</v>
      </c>
      <c r="C18" s="13">
        <v>8.27</v>
      </c>
      <c r="D18" s="13">
        <f t="shared" si="3"/>
        <v>0.57087126137841349</v>
      </c>
      <c r="E18" s="13">
        <f t="shared" si="4"/>
        <v>3.0791624484135242E-2</v>
      </c>
      <c r="F18" s="13">
        <f t="shared" si="5"/>
        <v>1518486274.1052256</v>
      </c>
      <c r="G18" s="13">
        <f t="shared" si="0"/>
        <v>38.570284974107523</v>
      </c>
      <c r="H18" s="13">
        <f t="shared" si="1"/>
        <v>6.84</v>
      </c>
      <c r="J18" s="13">
        <f>INDEX(Integrale!$H$3:$H$502,MATCH('UGC06628'!D18,Integrale!$H$3:$H$502,1))</f>
        <v>0.56999999999999995</v>
      </c>
      <c r="K18" s="13">
        <f>INDEX(Integrale!$I$3:$I$502,MATCH('UGC06628'!D18,Integrale!$H$3:$H$502,1))</f>
        <v>3.0709555400000001E-2</v>
      </c>
      <c r="L18" s="13">
        <f>INDEX(Integrale!$H$3:$H$502,MATCH('UGC06628'!D18,Integrale!$H$3:$H$502,1)+1)</f>
        <v>0.57999999999999996</v>
      </c>
      <c r="M18" s="13">
        <f>INDEX(Integrale!$I$3:$I$502,MATCH('UGC06628'!D18,Integrale!$H$3:$H$502,1)+1)</f>
        <v>3.1651512499999999E-2</v>
      </c>
      <c r="N18" s="13">
        <f t="shared" si="6"/>
        <v>0.91287386215864663</v>
      </c>
      <c r="O18" s="13">
        <f t="shared" si="2"/>
        <v>8.7126137841353396E-2</v>
      </c>
    </row>
    <row r="19" spans="1:15" x14ac:dyDescent="0.3">
      <c r="A19" s="13">
        <v>5.5</v>
      </c>
      <c r="B19" s="13">
        <v>42.3</v>
      </c>
      <c r="C19" s="13">
        <v>8.27</v>
      </c>
      <c r="D19" s="13">
        <f t="shared" si="3"/>
        <v>0.71521456436931075</v>
      </c>
      <c r="E19" s="13">
        <f t="shared" si="4"/>
        <v>4.3351666787126139E-2</v>
      </c>
      <c r="F19" s="13">
        <f t="shared" si="5"/>
        <v>2137883664.103251</v>
      </c>
      <c r="G19" s="13">
        <f t="shared" si="0"/>
        <v>40.887481638230888</v>
      </c>
      <c r="H19" s="13">
        <f t="shared" si="1"/>
        <v>3.34</v>
      </c>
      <c r="J19" s="13">
        <f>INDEX(Integrale!$H$3:$H$502,MATCH('UGC06628'!D19,Integrale!$H$3:$H$502,1))</f>
        <v>0.71</v>
      </c>
      <c r="K19" s="13">
        <f>INDEX(Integrale!$I$3:$I$502,MATCH('UGC06628'!D19,Integrale!$H$3:$H$502,1))</f>
        <v>4.2949464100000001E-2</v>
      </c>
      <c r="L19" s="13">
        <f>INDEX(Integrale!$H$3:$H$502,MATCH('UGC06628'!D19,Integrale!$H$3:$H$502,1)+1)</f>
        <v>0.72</v>
      </c>
      <c r="M19" s="13">
        <f>INDEX(Integrale!$I$3:$I$502,MATCH('UGC06628'!D19,Integrale!$H$3:$H$502,1)+1)</f>
        <v>4.3720770499999999E-2</v>
      </c>
      <c r="N19" s="13">
        <f t="shared" si="6"/>
        <v>0.47854356306892232</v>
      </c>
      <c r="O19" s="13">
        <f t="shared" si="2"/>
        <v>0.52145643693107768</v>
      </c>
    </row>
    <row r="20" spans="1:15" x14ac:dyDescent="0.3">
      <c r="A20" s="13">
        <v>6.59</v>
      </c>
      <c r="B20" s="13">
        <v>42.3</v>
      </c>
      <c r="C20" s="13">
        <v>8.27</v>
      </c>
      <c r="D20" s="13">
        <f t="shared" si="3"/>
        <v>0.85695708712613783</v>
      </c>
      <c r="E20" s="13">
        <f t="shared" si="4"/>
        <v>5.2555750208192448E-2</v>
      </c>
      <c r="F20" s="13">
        <f t="shared" si="5"/>
        <v>2591782234.7294822</v>
      </c>
      <c r="G20" s="13">
        <f t="shared" si="0"/>
        <v>41.127870131703425</v>
      </c>
      <c r="H20" s="13">
        <f t="shared" si="1"/>
        <v>2.77</v>
      </c>
      <c r="J20" s="13">
        <f>INDEX(Integrale!$H$3:$H$502,MATCH('UGC06628'!D20,Integrale!$H$3:$H$502,1))</f>
        <v>0.85</v>
      </c>
      <c r="K20" s="13">
        <f>INDEX(Integrale!$I$3:$I$502,MATCH('UGC06628'!D20,Integrale!$H$3:$H$502,1))</f>
        <v>5.2187248399999997E-2</v>
      </c>
      <c r="L20" s="13">
        <f>INDEX(Integrale!$H$3:$H$502,MATCH('UGC06628'!D20,Integrale!$H$3:$H$502,1)+1)</f>
        <v>0.86</v>
      </c>
      <c r="M20" s="13">
        <f>INDEX(Integrale!$I$3:$I$502,MATCH('UGC06628'!D20,Integrale!$H$3:$H$502,1)+1)</f>
        <v>5.27169267E-2</v>
      </c>
      <c r="N20" s="13">
        <f t="shared" si="6"/>
        <v>0.30429128738621553</v>
      </c>
      <c r="O20" s="13">
        <f t="shared" si="2"/>
        <v>0.69570871261378442</v>
      </c>
    </row>
    <row r="21" spans="1:15" x14ac:dyDescent="0.3">
      <c r="A21" s="13">
        <v>7.69</v>
      </c>
      <c r="B21" s="13">
        <v>42.3</v>
      </c>
      <c r="C21" s="13">
        <v>8.27</v>
      </c>
      <c r="D21" s="13">
        <f t="shared" si="3"/>
        <v>1</v>
      </c>
      <c r="E21" s="13">
        <f t="shared" si="4"/>
        <v>5.8473808600000003E-2</v>
      </c>
      <c r="F21" s="13">
        <f t="shared" si="5"/>
        <v>2883630767.8246794</v>
      </c>
      <c r="G21" s="13">
        <f t="shared" si="0"/>
        <v>40.159317913261539</v>
      </c>
      <c r="H21" s="13">
        <f t="shared" si="1"/>
        <v>5.0599999999999996</v>
      </c>
      <c r="J21" s="13">
        <f>INDEX(Integrale!$H$3:$H$502,MATCH('UGC06628'!D21,Integrale!$H$3:$H$502,1))</f>
        <v>1</v>
      </c>
      <c r="K21" s="13">
        <f>INDEX(Integrale!$I$3:$I$502,MATCH('UGC06628'!D21,Integrale!$H$3:$H$502,1))</f>
        <v>5.8473808600000003E-2</v>
      </c>
      <c r="L21" s="13">
        <f>INDEX(Integrale!$H$3:$H$502,MATCH('UGC06628'!D21,Integrale!$H$3:$H$502,1)+1)</f>
        <v>1.01</v>
      </c>
      <c r="M21" s="13">
        <f>INDEX(Integrale!$I$3:$I$502,MATCH('UGC06628'!D21,Integrale!$H$3:$H$502,1)+1)</f>
        <v>5.8778624799999998E-2</v>
      </c>
      <c r="N21" s="13">
        <f t="shared" si="6"/>
        <v>1</v>
      </c>
      <c r="O21" s="13">
        <f t="shared" si="2"/>
        <v>0</v>
      </c>
    </row>
    <row r="22" spans="1:15" x14ac:dyDescent="0.3">
      <c r="G22" s="1" t="s">
        <v>25</v>
      </c>
      <c r="H22" s="1">
        <f>ROUND(AVERAGE(H15:H21),2)</f>
        <v>17.13</v>
      </c>
      <c r="J22" s="10"/>
      <c r="K22" s="10"/>
      <c r="L22" s="10"/>
      <c r="M22" s="10"/>
      <c r="N22" s="10"/>
      <c r="O22" s="10"/>
    </row>
    <row r="23" spans="1:15" x14ac:dyDescent="0.3">
      <c r="B23" s="19" t="s">
        <v>24</v>
      </c>
      <c r="C23" s="20">
        <f>ROUND(MAX(0,100-H22),2)</f>
        <v>82.87</v>
      </c>
      <c r="D23" s="20" t="s">
        <v>26</v>
      </c>
    </row>
    <row r="25" spans="1:15" x14ac:dyDescent="0.3">
      <c r="A25" s="12" t="s">
        <v>7</v>
      </c>
      <c r="B25" s="12" t="s">
        <v>27</v>
      </c>
      <c r="C25" s="12" t="s">
        <v>28</v>
      </c>
      <c r="D25" s="12" t="s">
        <v>19</v>
      </c>
      <c r="E25" s="24" t="s">
        <v>34</v>
      </c>
      <c r="F25" s="24" t="s">
        <v>35</v>
      </c>
    </row>
    <row r="26" spans="1:15" x14ac:dyDescent="0.3">
      <c r="A26" s="13">
        <f t="shared" ref="A26:C32" si="7">A15</f>
        <v>1.1000000000000001</v>
      </c>
      <c r="B26" s="13">
        <f t="shared" si="7"/>
        <v>26.9</v>
      </c>
      <c r="C26" s="13">
        <f t="shared" si="7"/>
        <v>8.27</v>
      </c>
      <c r="D26" s="13">
        <f>ROUND(G15,2)</f>
        <v>13.42</v>
      </c>
      <c r="E26" s="13">
        <f>ROUND(POWER((B26-D26),2),2)</f>
        <v>181.71</v>
      </c>
      <c r="F26" s="13">
        <f>ROUND(E26/POWER(C26,2),2)</f>
        <v>2.66</v>
      </c>
    </row>
    <row r="27" spans="1:15" x14ac:dyDescent="0.3">
      <c r="A27" s="13">
        <f t="shared" si="7"/>
        <v>2.2000000000000002</v>
      </c>
      <c r="B27" s="13">
        <f t="shared" si="7"/>
        <v>38</v>
      </c>
      <c r="C27" s="13">
        <f t="shared" si="7"/>
        <v>8.27</v>
      </c>
      <c r="D27" s="13">
        <f t="shared" ref="D27:D32" si="8">ROUND(G16,2)</f>
        <v>24.94</v>
      </c>
      <c r="E27" s="13">
        <f t="shared" ref="E27:E32" si="9">ROUND(POWER((B27-D27),2),2)</f>
        <v>170.56</v>
      </c>
      <c r="F27" s="13">
        <f t="shared" ref="F27:F32" si="10">ROUND(E27/POWER(C27,2),2)</f>
        <v>2.4900000000000002</v>
      </c>
    </row>
    <row r="28" spans="1:15" x14ac:dyDescent="0.3">
      <c r="A28" s="13">
        <f t="shared" si="7"/>
        <v>3.3</v>
      </c>
      <c r="B28" s="13">
        <f t="shared" si="7"/>
        <v>40.5</v>
      </c>
      <c r="C28" s="13">
        <f t="shared" si="7"/>
        <v>8.27</v>
      </c>
      <c r="D28" s="13">
        <f t="shared" si="8"/>
        <v>33.44</v>
      </c>
      <c r="E28" s="13">
        <f t="shared" si="9"/>
        <v>49.84</v>
      </c>
      <c r="F28" s="13">
        <f t="shared" si="10"/>
        <v>0.73</v>
      </c>
    </row>
    <row r="29" spans="1:15" x14ac:dyDescent="0.3">
      <c r="A29" s="13">
        <f t="shared" si="7"/>
        <v>4.3899999999999997</v>
      </c>
      <c r="B29" s="13">
        <f t="shared" si="7"/>
        <v>41.4</v>
      </c>
      <c r="C29" s="13">
        <f t="shared" si="7"/>
        <v>8.27</v>
      </c>
      <c r="D29" s="13">
        <f t="shared" si="8"/>
        <v>38.57</v>
      </c>
      <c r="E29" s="13">
        <f t="shared" si="9"/>
        <v>8.01</v>
      </c>
      <c r="F29" s="13">
        <f t="shared" si="10"/>
        <v>0.12</v>
      </c>
    </row>
    <row r="30" spans="1:15" x14ac:dyDescent="0.3">
      <c r="A30" s="13">
        <f t="shared" si="7"/>
        <v>5.5</v>
      </c>
      <c r="B30" s="13">
        <f t="shared" si="7"/>
        <v>42.3</v>
      </c>
      <c r="C30" s="13">
        <f t="shared" si="7"/>
        <v>8.27</v>
      </c>
      <c r="D30" s="13">
        <f t="shared" si="8"/>
        <v>40.89</v>
      </c>
      <c r="E30" s="13">
        <f t="shared" si="9"/>
        <v>1.99</v>
      </c>
      <c r="F30" s="13">
        <f t="shared" si="10"/>
        <v>0.03</v>
      </c>
    </row>
    <row r="31" spans="1:15" x14ac:dyDescent="0.3">
      <c r="A31" s="13">
        <f t="shared" si="7"/>
        <v>6.59</v>
      </c>
      <c r="B31" s="13">
        <f t="shared" si="7"/>
        <v>42.3</v>
      </c>
      <c r="C31" s="13">
        <f t="shared" si="7"/>
        <v>8.27</v>
      </c>
      <c r="D31" s="13">
        <f t="shared" si="8"/>
        <v>41.13</v>
      </c>
      <c r="E31" s="13">
        <f t="shared" si="9"/>
        <v>1.37</v>
      </c>
      <c r="F31" s="13">
        <f t="shared" si="10"/>
        <v>0.02</v>
      </c>
    </row>
    <row r="32" spans="1:15" ht="19.5" thickBot="1" x14ac:dyDescent="0.35">
      <c r="A32" s="13">
        <f t="shared" si="7"/>
        <v>7.69</v>
      </c>
      <c r="B32" s="13">
        <f t="shared" si="7"/>
        <v>42.3</v>
      </c>
      <c r="C32" s="13">
        <f t="shared" si="7"/>
        <v>8.27</v>
      </c>
      <c r="D32" s="13">
        <f t="shared" si="8"/>
        <v>40.159999999999997</v>
      </c>
      <c r="E32" s="13">
        <f t="shared" si="9"/>
        <v>4.58</v>
      </c>
      <c r="F32" s="13">
        <f t="shared" si="10"/>
        <v>7.0000000000000007E-2</v>
      </c>
    </row>
    <row r="33" spans="5:6" ht="19.5" thickBot="1" x14ac:dyDescent="0.35">
      <c r="E33" s="25" t="s">
        <v>36</v>
      </c>
      <c r="F33" s="26">
        <f>ROUND(SUM(F26:F32)/(COUNT(F26:F32)),2)</f>
        <v>0.87</v>
      </c>
    </row>
    <row r="34" spans="5:6" x14ac:dyDescent="0.3">
      <c r="E34" s="2"/>
    </row>
    <row r="35" spans="5:6" x14ac:dyDescent="0.3">
      <c r="E35" s="2"/>
    </row>
    <row r="36" spans="5:6" x14ac:dyDescent="0.3">
      <c r="E36" s="2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UGC06628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2026-01-10T09:20:30Z</dcterms:modified>
</cp:coreProperties>
</file>