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NGC4068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F31" i="1" l="1"/>
  <c r="C12" i="1"/>
  <c r="E9" i="1"/>
  <c r="C9" i="1"/>
  <c r="A26" i="1" l="1"/>
  <c r="A27" i="1"/>
  <c r="A28" i="1"/>
  <c r="A29" i="1"/>
  <c r="A30" i="1"/>
  <c r="A25" i="1"/>
  <c r="B26" i="1"/>
  <c r="C26" i="1"/>
  <c r="B27" i="1"/>
  <c r="C27" i="1"/>
  <c r="B28" i="1"/>
  <c r="C28" i="1"/>
  <c r="B29" i="1"/>
  <c r="C29" i="1"/>
  <c r="B30" i="1"/>
  <c r="C30" i="1"/>
  <c r="C25" i="1"/>
  <c r="B25" i="1"/>
  <c r="I8" i="1"/>
  <c r="E10" i="1" l="1"/>
  <c r="E12" i="1" l="1"/>
  <c r="D19" i="1"/>
  <c r="J19" i="1" s="1"/>
  <c r="D18" i="1"/>
  <c r="L18" i="1" s="1"/>
  <c r="D16" i="1"/>
  <c r="J16" i="1" s="1"/>
  <c r="D15" i="1"/>
  <c r="K15" i="1" s="1"/>
  <c r="D20" i="1"/>
  <c r="J20" i="1" s="1"/>
  <c r="D17" i="1"/>
  <c r="J17" i="1" s="1"/>
  <c r="M16" i="1"/>
  <c r="J18" i="1"/>
  <c r="K18" i="1"/>
  <c r="M17" i="1"/>
  <c r="M20" i="1"/>
  <c r="M15" i="1"/>
  <c r="L15" i="1"/>
  <c r="M18" i="1" l="1"/>
  <c r="M19" i="1"/>
  <c r="L19" i="1"/>
  <c r="N19" i="1" s="1"/>
  <c r="K19" i="1"/>
  <c r="L20" i="1"/>
  <c r="N20" i="1" s="1"/>
  <c r="L17" i="1"/>
  <c r="N17" i="1" s="1"/>
  <c r="K20" i="1"/>
  <c r="K17" i="1"/>
  <c r="L16" i="1"/>
  <c r="K16" i="1"/>
  <c r="J15" i="1"/>
  <c r="O15" i="1" s="1"/>
  <c r="N18" i="1"/>
  <c r="O20" i="1"/>
  <c r="O18" i="1"/>
  <c r="O19" i="1" l="1"/>
  <c r="N15" i="1"/>
  <c r="O17" i="1"/>
  <c r="E17" i="1" s="1"/>
  <c r="F17" i="1" s="1"/>
  <c r="G17" i="1" s="1"/>
  <c r="D27" i="1" s="1"/>
  <c r="E27" i="1" s="1"/>
  <c r="F27" i="1" s="1"/>
  <c r="N16" i="1"/>
  <c r="O16" i="1"/>
  <c r="E15" i="1"/>
  <c r="F15" i="1" s="1"/>
  <c r="G15" i="1" s="1"/>
  <c r="H15" i="1" s="1"/>
  <c r="E19" i="1"/>
  <c r="F19" i="1" s="1"/>
  <c r="G19" i="1" s="1"/>
  <c r="D29" i="1" s="1"/>
  <c r="E29" i="1" s="1"/>
  <c r="F29" i="1" s="1"/>
  <c r="E18" i="1"/>
  <c r="F18" i="1" s="1"/>
  <c r="G18" i="1" s="1"/>
  <c r="D28" i="1" s="1"/>
  <c r="E28" i="1" s="1"/>
  <c r="F28" i="1" s="1"/>
  <c r="E20" i="1"/>
  <c r="F20" i="1" s="1"/>
  <c r="G20" i="1" s="1"/>
  <c r="D30" i="1" s="1"/>
  <c r="E30" i="1" s="1"/>
  <c r="F30" i="1" s="1"/>
  <c r="E16" i="1" l="1"/>
  <c r="F16" i="1" s="1"/>
  <c r="G16" i="1" s="1"/>
  <c r="D26" i="1" s="1"/>
  <c r="E26" i="1" s="1"/>
  <c r="F26" i="1" s="1"/>
  <c r="D25" i="1"/>
  <c r="E25" i="1" s="1"/>
  <c r="F25" i="1" s="1"/>
  <c r="H20" i="1"/>
  <c r="H18" i="1"/>
  <c r="H17" i="1"/>
  <c r="H19" i="1"/>
  <c r="H16" i="1" l="1"/>
  <c r="H21" i="1" l="1"/>
  <c r="C22" i="1" s="1"/>
</calcChain>
</file>

<file path=xl/sharedStrings.xml><?xml version="1.0" encoding="utf-8"?>
<sst xmlns="http://schemas.openxmlformats.org/spreadsheetml/2006/main" count="41" uniqueCount="38">
  <si>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</si>
  <si>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</si>
  <si>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</si>
  <si>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</si>
  <si>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</si>
  <si>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</si>
  <si>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u = R/r_c</t>
  </si>
  <si>
    <t>R</t>
  </si>
  <si>
    <t>R_max=</t>
  </si>
  <si>
    <t>V_obs(R_max)=</t>
  </si>
  <si>
    <t>M_totale=</t>
  </si>
  <si>
    <t>Mo</t>
  </si>
  <si>
    <t>V_obs^2(R_max).R_max/G=</t>
  </si>
  <si>
    <t>I(infini)=</t>
  </si>
  <si>
    <t>Mo/kpc^3</t>
  </si>
  <si>
    <t>V_obs</t>
  </si>
  <si>
    <t>incer V_obs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</si>
  <si>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</si>
  <si>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</si>
  <si>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</si>
  <si>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</si>
  <si>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</si>
  <si>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</si>
  <si>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</si>
  <si>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</si>
  <si>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</si>
  <si>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</si>
  <si>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</si>
  <si>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</si>
  <si>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</si>
  <si>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</si>
  <si>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A=(V_obs-V_TURI)^2</t>
  </si>
  <si>
    <t>A/Incer V_Obs^2</t>
  </si>
  <si>
    <r>
      <t>ᵡ</t>
    </r>
    <r>
      <rPr>
        <b/>
        <vertAlign val="superscript"/>
        <sz val="18"/>
        <color theme="1"/>
        <rFont val="Times New Roman"/>
        <family val="1"/>
      </rPr>
      <t>2</t>
    </r>
    <r>
      <rPr>
        <sz val="18"/>
        <color theme="1"/>
        <rFont val="Times New Roman"/>
        <family val="1"/>
      </rPr>
      <t>/</t>
    </r>
    <r>
      <rPr>
        <sz val="14"/>
        <color theme="1"/>
        <rFont val="Times New Roman"/>
        <family val="1"/>
      </rPr>
      <t>d</t>
    </r>
    <r>
      <rPr>
        <vertAlign val="subscript"/>
        <sz val="14"/>
        <color theme="1"/>
        <rFont val="Times New Roman"/>
        <family val="1"/>
      </rPr>
      <t>f</t>
    </r>
  </si>
  <si>
    <t>ρ0=</t>
  </si>
  <si>
    <t>=M_tot/4.π.r_c^3.I(infini)</t>
  </si>
  <si>
    <t>NGC4068</t>
  </si>
  <si>
    <t>r_c=R_max*1,3=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</si>
</sst>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  <font>
      <b/>
      <sz val="18"/>
      <color theme="1"/>
      <name val="Times New Roman"/>
      <family val="1"/>
    </font>
    <font>
      <b/>
      <vertAlign val="superscript"/>
      <sz val="18"/>
      <color theme="1"/>
      <name val="Times New Roman"/>
      <family val="1"/>
    </font>
    <font>
      <sz val="18"/>
      <color theme="1"/>
      <name val="Times New Roman"/>
      <family val="1"/>
    </font>
    <font>
      <vertAlign val="subscript"/>
      <sz val="14"/>
      <color theme="1"/>
      <name val="Times New Roman"/>
      <family val="1"/>
    </font>
    <font>
      <sz val="11"/>
      <color rgb="FF1F1F1F"/>
      <name val="Arial"/>
      <family val="2"/>
    </font>
    <font>
      <b/>
      <sz val="11"/>
      <color rgb="FF1F1F1F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1" fillId="0" borderId="1" xfId="0" applyFont="1" applyBorder="1"/>
    <xf numFmtId="0" fontId="5" fillId="0" borderId="13" xfId="0" applyFont="1" applyBorder="1" applyAlignment="1">
      <alignment horizontal="left"/>
    </xf>
    <xf numFmtId="0" fontId="5" fillId="0" borderId="1" xfId="0" applyFont="1" applyBorder="1"/>
    <xf numFmtId="0" fontId="2" fillId="0" borderId="0" xfId="0" applyFont="1" applyAlignment="1">
      <alignment horizontal="left"/>
    </xf>
    <xf numFmtId="0" fontId="10" fillId="0" borderId="0" xfId="0" applyFont="1" applyBorder="1" applyAlignment="1">
      <alignment horizontal="left" vertical="center" wrapText="1" indent="1" readingOrder="1"/>
    </xf>
    <xf numFmtId="0" fontId="6" fillId="0" borderId="15" xfId="0" applyFont="1" applyBorder="1" applyAlignment="1">
      <alignment horizontal="justify" vertical="center"/>
    </xf>
    <xf numFmtId="0" fontId="10" fillId="0" borderId="14" xfId="0" applyFont="1" applyBorder="1" applyAlignment="1">
      <alignment horizontal="left" vertical="center" wrapText="1" indent="1" readingOrder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1" fillId="0" borderId="0" xfId="0" applyFont="1" applyBorder="1" applyAlignment="1">
      <alignment horizontal="left" vertical="center" wrapText="1" inden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61144888534503"/>
          <c:y val="5.2238506683014989E-2"/>
          <c:w val="0.77775125419449154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'NGC4068'!$B$24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'NGC4068'!$C$25:$C$30</c:f>
                <c:numCache>
                  <c:formatCode>General</c:formatCode>
                  <c:ptCount val="6"/>
                  <c:pt idx="0">
                    <c:v>3.65</c:v>
                  </c:pt>
                  <c:pt idx="1">
                    <c:v>3.44</c:v>
                  </c:pt>
                  <c:pt idx="2">
                    <c:v>2.4500000000000002</c:v>
                  </c:pt>
                  <c:pt idx="3">
                    <c:v>1.71</c:v>
                  </c:pt>
                  <c:pt idx="4">
                    <c:v>1.7</c:v>
                  </c:pt>
                  <c:pt idx="5">
                    <c:v>4.97</c:v>
                  </c:pt>
                </c:numCache>
              </c:numRef>
            </c:plus>
            <c:minus>
              <c:numRef>
                <c:f>'NGC4068'!$C$25:$C$30</c:f>
                <c:numCache>
                  <c:formatCode>General</c:formatCode>
                  <c:ptCount val="6"/>
                  <c:pt idx="0">
                    <c:v>3.65</c:v>
                  </c:pt>
                  <c:pt idx="1">
                    <c:v>3.44</c:v>
                  </c:pt>
                  <c:pt idx="2">
                    <c:v>2.4500000000000002</c:v>
                  </c:pt>
                  <c:pt idx="3">
                    <c:v>1.71</c:v>
                  </c:pt>
                  <c:pt idx="4">
                    <c:v>1.7</c:v>
                  </c:pt>
                  <c:pt idx="5">
                    <c:v>4.97</c:v>
                  </c:pt>
                </c:numCache>
              </c:numRef>
            </c:minus>
          </c:errBars>
          <c:xVal>
            <c:numRef>
              <c:f>'NGC4068'!$A$25:$A$30</c:f>
              <c:numCache>
                <c:formatCode>General</c:formatCode>
                <c:ptCount val="6"/>
                <c:pt idx="0">
                  <c:v>0.21</c:v>
                </c:pt>
                <c:pt idx="1">
                  <c:v>0.64</c:v>
                </c:pt>
                <c:pt idx="2">
                  <c:v>1.06</c:v>
                </c:pt>
                <c:pt idx="3">
                  <c:v>1.48</c:v>
                </c:pt>
                <c:pt idx="4">
                  <c:v>1.91</c:v>
                </c:pt>
                <c:pt idx="5">
                  <c:v>2.33</c:v>
                </c:pt>
              </c:numCache>
            </c:numRef>
          </c:xVal>
          <c:yVal>
            <c:numRef>
              <c:f>'NGC4068'!$B$25:$B$30</c:f>
              <c:numCache>
                <c:formatCode>General</c:formatCode>
                <c:ptCount val="6"/>
                <c:pt idx="0">
                  <c:v>4.68</c:v>
                </c:pt>
                <c:pt idx="1">
                  <c:v>13.1</c:v>
                </c:pt>
                <c:pt idx="2">
                  <c:v>22.5</c:v>
                </c:pt>
                <c:pt idx="3">
                  <c:v>30.4</c:v>
                </c:pt>
                <c:pt idx="4">
                  <c:v>36</c:v>
                </c:pt>
                <c:pt idx="5">
                  <c:v>41.9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724992"/>
        <c:axId val="151062400"/>
      </c:scatterChart>
      <c:scatterChart>
        <c:scatterStyle val="smoothMarker"/>
        <c:varyColors val="0"/>
        <c:ser>
          <c:idx val="1"/>
          <c:order val="1"/>
          <c:tx>
            <c:strRef>
              <c:f>'NGC4068'!$D$24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'NGC4068'!$A$25:$A$30</c:f>
              <c:numCache>
                <c:formatCode>General</c:formatCode>
                <c:ptCount val="6"/>
                <c:pt idx="0">
                  <c:v>0.21</c:v>
                </c:pt>
                <c:pt idx="1">
                  <c:v>0.64</c:v>
                </c:pt>
                <c:pt idx="2">
                  <c:v>1.06</c:v>
                </c:pt>
                <c:pt idx="3">
                  <c:v>1.48</c:v>
                </c:pt>
                <c:pt idx="4">
                  <c:v>1.91</c:v>
                </c:pt>
                <c:pt idx="5">
                  <c:v>2.33</c:v>
                </c:pt>
              </c:numCache>
            </c:numRef>
          </c:xVal>
          <c:yVal>
            <c:numRef>
              <c:f>'NGC4068'!$D$25:$D$30</c:f>
              <c:numCache>
                <c:formatCode>General</c:formatCode>
                <c:ptCount val="6"/>
                <c:pt idx="0">
                  <c:v>5.78</c:v>
                </c:pt>
                <c:pt idx="1">
                  <c:v>16.71</c:v>
                </c:pt>
                <c:pt idx="2">
                  <c:v>25.32</c:v>
                </c:pt>
                <c:pt idx="3">
                  <c:v>31.26</c:v>
                </c:pt>
                <c:pt idx="4">
                  <c:v>34.61</c:v>
                </c:pt>
                <c:pt idx="5">
                  <c:v>35.770000000000003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724992"/>
        <c:axId val="151062400"/>
      </c:scatterChart>
      <c:valAx>
        <c:axId val="13472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062400"/>
        <c:crosses val="autoZero"/>
        <c:crossBetween val="midCat"/>
      </c:valAx>
      <c:valAx>
        <c:axId val="151062400"/>
        <c:scaling>
          <c:orientation val="minMax"/>
          <c:max val="6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7249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'NGC4068'!$B$24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xVal>
            <c:numRef>
              <c:f>'NGC4068'!$A$25:$A$30</c:f>
              <c:numCache>
                <c:formatCode>General</c:formatCode>
                <c:ptCount val="6"/>
                <c:pt idx="0">
                  <c:v>0.21</c:v>
                </c:pt>
                <c:pt idx="1">
                  <c:v>0.64</c:v>
                </c:pt>
                <c:pt idx="2">
                  <c:v>1.06</c:v>
                </c:pt>
                <c:pt idx="3">
                  <c:v>1.48</c:v>
                </c:pt>
                <c:pt idx="4">
                  <c:v>1.91</c:v>
                </c:pt>
                <c:pt idx="5">
                  <c:v>2.33</c:v>
                </c:pt>
              </c:numCache>
            </c:numRef>
          </c:xVal>
          <c:yVal>
            <c:numRef>
              <c:f>'NGC4068'!$B$25:$B$30</c:f>
              <c:numCache>
                <c:formatCode>General</c:formatCode>
                <c:ptCount val="6"/>
                <c:pt idx="0">
                  <c:v>4.68</c:v>
                </c:pt>
                <c:pt idx="1">
                  <c:v>13.1</c:v>
                </c:pt>
                <c:pt idx="2">
                  <c:v>22.5</c:v>
                </c:pt>
                <c:pt idx="3">
                  <c:v>30.4</c:v>
                </c:pt>
                <c:pt idx="4">
                  <c:v>36</c:v>
                </c:pt>
                <c:pt idx="5">
                  <c:v>41.9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63104"/>
        <c:axId val="151295488"/>
      </c:scatterChart>
      <c:scatterChart>
        <c:scatterStyle val="smoothMarker"/>
        <c:varyColors val="0"/>
        <c:ser>
          <c:idx val="1"/>
          <c:order val="1"/>
          <c:tx>
            <c:strRef>
              <c:f>'NGC4068'!$D$24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'NGC4068'!$A$25:$A$30</c:f>
              <c:numCache>
                <c:formatCode>General</c:formatCode>
                <c:ptCount val="6"/>
                <c:pt idx="0">
                  <c:v>0.21</c:v>
                </c:pt>
                <c:pt idx="1">
                  <c:v>0.64</c:v>
                </c:pt>
                <c:pt idx="2">
                  <c:v>1.06</c:v>
                </c:pt>
                <c:pt idx="3">
                  <c:v>1.48</c:v>
                </c:pt>
                <c:pt idx="4">
                  <c:v>1.91</c:v>
                </c:pt>
                <c:pt idx="5">
                  <c:v>2.33</c:v>
                </c:pt>
              </c:numCache>
            </c:numRef>
          </c:xVal>
          <c:yVal>
            <c:numRef>
              <c:f>'NGC4068'!$D$25:$D$30</c:f>
              <c:numCache>
                <c:formatCode>General</c:formatCode>
                <c:ptCount val="6"/>
                <c:pt idx="0">
                  <c:v>5.78</c:v>
                </c:pt>
                <c:pt idx="1">
                  <c:v>16.71</c:v>
                </c:pt>
                <c:pt idx="2">
                  <c:v>25.32</c:v>
                </c:pt>
                <c:pt idx="3">
                  <c:v>31.26</c:v>
                </c:pt>
                <c:pt idx="4">
                  <c:v>34.61</c:v>
                </c:pt>
                <c:pt idx="5">
                  <c:v>35.770000000000003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63104"/>
        <c:axId val="151295488"/>
      </c:scatterChart>
      <c:valAx>
        <c:axId val="1512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295488"/>
        <c:crosses val="autoZero"/>
        <c:crossBetween val="midCat"/>
      </c:valAx>
      <c:valAx>
        <c:axId val="151295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2631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23</xdr:row>
      <xdr:rowOff>19050</xdr:rowOff>
    </xdr:from>
    <xdr:to>
      <xdr:col>12</xdr:col>
      <xdr:colOff>1028700</xdr:colOff>
      <xdr:row>33</xdr:row>
      <xdr:rowOff>123825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43</xdr:row>
      <xdr:rowOff>95250</xdr:rowOff>
    </xdr:from>
    <xdr:to>
      <xdr:col>9</xdr:col>
      <xdr:colOff>971550</xdr:colOff>
      <xdr:row>59</xdr:row>
      <xdr:rowOff>200025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4"/>
  <sheetViews>
    <sheetView tabSelected="1" topLeftCell="A18" workbookViewId="0">
      <selection activeCell="D36" sqref="D36"/>
    </sheetView>
  </sheetViews>
  <sheetFormatPr baseColWidth="10" defaultRowHeight="18.75" x14ac:dyDescent="0.3"/>
  <cols>
    <col min="1" max="3" width="12.7109375" style="1" customWidth="1"/>
    <col min="4" max="4" width="21.42578125" style="1" customWidth="1"/>
    <col min="5" max="6" width="12.710937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1" t="s">
        <v>2</v>
      </c>
    </row>
    <row r="6" spans="1:15" x14ac:dyDescent="0.3">
      <c r="A6" s="8" t="s">
        <v>3</v>
      </c>
      <c r="B6" s="17"/>
      <c r="C6" s="6" t="s">
        <v>6</v>
      </c>
      <c r="D6" s="8" t="s">
        <v>0</v>
      </c>
      <c r="E6" s="6"/>
      <c r="H6" s="8" t="s">
        <v>1</v>
      </c>
      <c r="I6" s="17"/>
      <c r="J6" s="6"/>
    </row>
    <row r="8" spans="1:15" x14ac:dyDescent="0.3">
      <c r="H8" s="5" t="s">
        <v>4</v>
      </c>
      <c r="I8" s="9">
        <f>4.3009*POWER(10,-6)</f>
        <v>4.3009000000000006E-6</v>
      </c>
      <c r="J8" s="17" t="s">
        <v>5</v>
      </c>
      <c r="K8" s="6"/>
    </row>
    <row r="9" spans="1:15" x14ac:dyDescent="0.3">
      <c r="A9" s="4" t="s">
        <v>36</v>
      </c>
      <c r="B9" s="14" t="s">
        <v>8</v>
      </c>
      <c r="C9" s="15">
        <f>A20</f>
        <v>2.33</v>
      </c>
      <c r="D9" s="14" t="s">
        <v>9</v>
      </c>
      <c r="E9" s="15">
        <f>B20</f>
        <v>41.9</v>
      </c>
      <c r="F9" s="10"/>
      <c r="G9" s="10"/>
      <c r="H9" s="10"/>
      <c r="I9" s="11"/>
    </row>
    <row r="10" spans="1:15" x14ac:dyDescent="0.3">
      <c r="B10" s="5" t="s">
        <v>10</v>
      </c>
      <c r="C10" s="34" t="s">
        <v>12</v>
      </c>
      <c r="D10" s="34"/>
      <c r="E10" s="9">
        <f>E9*E9*C9/I8</f>
        <v>951096584.43581569</v>
      </c>
      <c r="F10" s="6" t="s">
        <v>11</v>
      </c>
      <c r="G10" s="8" t="s">
        <v>13</v>
      </c>
      <c r="H10" s="7">
        <v>6.4873818400000005E-2</v>
      </c>
    </row>
    <row r="11" spans="1:15" x14ac:dyDescent="0.3">
      <c r="D11" s="2"/>
      <c r="G11" s="16" t="s">
        <v>21</v>
      </c>
      <c r="H11" s="6"/>
      <c r="I11" s="2"/>
    </row>
    <row r="12" spans="1:15" x14ac:dyDescent="0.3">
      <c r="B12" s="5" t="s">
        <v>37</v>
      </c>
      <c r="C12" s="7">
        <f>C9*1.3</f>
        <v>3.0290000000000004</v>
      </c>
      <c r="D12" s="5" t="s">
        <v>34</v>
      </c>
      <c r="E12" s="9">
        <f>(E10/(POWER(C12,3)*4*3.14159*H10))</f>
        <v>41980522.93241401</v>
      </c>
      <c r="F12" s="6" t="s">
        <v>14</v>
      </c>
      <c r="G12" s="18" t="s">
        <v>20</v>
      </c>
      <c r="H12" s="19">
        <v>3.1415899999999999</v>
      </c>
    </row>
    <row r="13" spans="1:15" x14ac:dyDescent="0.3">
      <c r="B13" s="2"/>
      <c r="D13" s="36" t="s">
        <v>35</v>
      </c>
      <c r="E13" s="36"/>
      <c r="F13" s="36"/>
    </row>
    <row r="14" spans="1:15" ht="19.5" thickBot="1" x14ac:dyDescent="0.35">
      <c r="A14" s="12" t="s">
        <v>7</v>
      </c>
      <c r="B14" s="12" t="s">
        <v>15</v>
      </c>
      <c r="C14" s="12" t="s">
        <v>16</v>
      </c>
      <c r="D14" s="12" t="s">
        <v>17</v>
      </c>
      <c r="E14" s="12" t="s">
        <v>30</v>
      </c>
      <c r="F14" s="12" t="s">
        <v>18</v>
      </c>
      <c r="G14" s="13" t="s">
        <v>19</v>
      </c>
      <c r="H14" s="12" t="s">
        <v>23</v>
      </c>
      <c r="J14" s="35" t="s">
        <v>29</v>
      </c>
      <c r="K14" s="35"/>
      <c r="L14" s="35"/>
      <c r="M14" s="35"/>
      <c r="N14" s="35"/>
      <c r="O14" s="35"/>
    </row>
    <row r="15" spans="1:15" ht="19.5" thickBot="1" x14ac:dyDescent="0.35">
      <c r="A15" s="33">
        <v>0.21</v>
      </c>
      <c r="B15" s="33">
        <v>4.68</v>
      </c>
      <c r="C15" s="33">
        <v>3.65</v>
      </c>
      <c r="D15" s="13">
        <f t="shared" ref="D15:D20" si="0">A15/$C$12</f>
        <v>6.9329811819082196E-2</v>
      </c>
      <c r="E15" s="13">
        <f>N15*K15+O15*M15</f>
        <v>1.1132147811158793E-4</v>
      </c>
      <c r="F15" s="13">
        <f>4*$H$12*$E$12*POWER($C$12,3)*E15</f>
        <v>1632052.501572463</v>
      </c>
      <c r="G15" s="13">
        <f t="shared" ref="G15:G20" si="1">POWER($I$8*F15/A15,0.5)</f>
        <v>5.7814541769404295</v>
      </c>
      <c r="H15" s="13">
        <f t="shared" ref="H15:H20" si="2">ROUND(ABS((B15-G15)/B15)*100,2)</f>
        <v>23.54</v>
      </c>
      <c r="J15" s="13">
        <f>INDEX(Integrale!$H$3:$H$502,MATCH('NGC4068'!D15,Integrale!$H$3:$H$502,1))</f>
        <v>0.06</v>
      </c>
      <c r="K15" s="13">
        <f>INDEX(Integrale!$I$3:$I$502,MATCH('NGC4068'!D15,Integrale!$H$3:$H$502,1))</f>
        <v>7.2353000000000003E-5</v>
      </c>
      <c r="L15" s="13">
        <f>INDEX(Integrale!$H$3:$H$502,MATCH('NGC4068'!D15,Integrale!$H$3:$H$502,1)+1)</f>
        <v>7.0000000000000007E-2</v>
      </c>
      <c r="M15" s="13">
        <f>INDEX(Integrale!$I$3:$I$502,MATCH('NGC4068'!D15,Integrale!$H$3:$H$502,1)+1)</f>
        <v>1.1412070000000001E-4</v>
      </c>
      <c r="N15" s="13">
        <f>(L15-D15)/(L15-J15)</f>
        <v>6.7018818091781007E-2</v>
      </c>
      <c r="O15" s="13">
        <f t="shared" ref="O15:O20" si="3">(D15-J15)/(L15-J15)</f>
        <v>0.93298118190821899</v>
      </c>
    </row>
    <row r="16" spans="1:15" ht="19.5" thickBot="1" x14ac:dyDescent="0.35">
      <c r="A16" s="33">
        <v>0.64</v>
      </c>
      <c r="B16" s="33">
        <v>13.1</v>
      </c>
      <c r="C16" s="33">
        <v>3.44</v>
      </c>
      <c r="D16" s="13">
        <f t="shared" si="0"/>
        <v>0.21129085506767908</v>
      </c>
      <c r="E16" s="13">
        <f t="shared" ref="E16:E20" si="4">N16*K16+O16*M16</f>
        <v>2.8335288412347304E-3</v>
      </c>
      <c r="F16" s="13">
        <f t="shared" ref="F16:F20" si="5">4*$H$12*$E$12*POWER($C$12,3)*E16</f>
        <v>41541559.742670029</v>
      </c>
      <c r="G16" s="13">
        <f t="shared" si="1"/>
        <v>16.708254616789045</v>
      </c>
      <c r="H16" s="13">
        <f t="shared" si="2"/>
        <v>27.54</v>
      </c>
      <c r="J16" s="13">
        <f>INDEX(Integrale!$H$3:$H$502,MATCH('NGC4068'!D16,Integrale!$H$3:$H$502,1))</f>
        <v>0.21</v>
      </c>
      <c r="K16" s="13">
        <f>INDEX(Integrale!$I$3:$I$502,MATCH('NGC4068'!D16,Integrale!$H$3:$H$502,1))</f>
        <v>2.7838579000000001E-3</v>
      </c>
      <c r="L16" s="13">
        <f>INDEX(Integrale!$H$3:$H$502,MATCH('NGC4068'!D16,Integrale!$H$3:$H$502,1)+1)</f>
        <v>0.22</v>
      </c>
      <c r="M16" s="13">
        <f>INDEX(Integrale!$I$3:$I$502,MATCH('NGC4068'!D16,Integrale!$H$3:$H$502,1)+1)</f>
        <v>3.1686488999999999E-3</v>
      </c>
      <c r="N16" s="13">
        <f t="shared" ref="N16:N20" si="6">(L16-D16)/(L16-J16)</f>
        <v>0.87091449323209091</v>
      </c>
      <c r="O16" s="13">
        <f t="shared" si="3"/>
        <v>0.12908550676790909</v>
      </c>
    </row>
    <row r="17" spans="1:15" ht="19.5" thickBot="1" x14ac:dyDescent="0.35">
      <c r="A17" s="33">
        <v>1.06</v>
      </c>
      <c r="B17" s="33">
        <v>22.5</v>
      </c>
      <c r="C17" s="33">
        <v>2.4500000000000002</v>
      </c>
      <c r="D17" s="13">
        <f t="shared" si="0"/>
        <v>0.3499504787058435</v>
      </c>
      <c r="E17" s="13">
        <f t="shared" si="4"/>
        <v>1.0779791742555301E-2</v>
      </c>
      <c r="F17" s="13">
        <f t="shared" si="5"/>
        <v>158039458.13791892</v>
      </c>
      <c r="G17" s="13">
        <f t="shared" si="1"/>
        <v>25.322670607642955</v>
      </c>
      <c r="H17" s="13">
        <f t="shared" si="2"/>
        <v>12.55</v>
      </c>
      <c r="J17" s="13">
        <f>INDEX(Integrale!$H$3:$H$502,MATCH('NGC4068'!D17,Integrale!$H$3:$H$502,1))</f>
        <v>0.34</v>
      </c>
      <c r="K17" s="13">
        <f>INDEX(Integrale!$I$3:$I$502,MATCH('NGC4068'!D17,Integrale!$H$3:$H$502,1))</f>
        <v>1.0037432000000001E-2</v>
      </c>
      <c r="L17" s="13">
        <f>INDEX(Integrale!$H$3:$H$502,MATCH('NGC4068'!D17,Integrale!$H$3:$H$502,1)+1)</f>
        <v>0.35</v>
      </c>
      <c r="M17" s="13">
        <f>INDEX(Integrale!$I$3:$I$502,MATCH('NGC4068'!D17,Integrale!$H$3:$H$502,1)+1)</f>
        <v>1.0783486300000001E-2</v>
      </c>
      <c r="N17" s="13">
        <f t="shared" si="6"/>
        <v>4.9521294156474006E-3</v>
      </c>
      <c r="O17" s="13">
        <f t="shared" si="3"/>
        <v>0.99504787058435262</v>
      </c>
    </row>
    <row r="18" spans="1:15" ht="19.5" thickBot="1" x14ac:dyDescent="0.35">
      <c r="A18" s="33">
        <v>1.48</v>
      </c>
      <c r="B18" s="33">
        <v>30.4</v>
      </c>
      <c r="C18" s="33">
        <v>1.71</v>
      </c>
      <c r="D18" s="13">
        <f t="shared" si="0"/>
        <v>0.48861010234400787</v>
      </c>
      <c r="E18" s="13">
        <f t="shared" si="4"/>
        <v>2.2932820490194784E-2</v>
      </c>
      <c r="F18" s="13">
        <f t="shared" si="5"/>
        <v>336211553.09865254</v>
      </c>
      <c r="G18" s="13">
        <f t="shared" si="1"/>
        <v>31.25756415180253</v>
      </c>
      <c r="H18" s="13">
        <f t="shared" si="2"/>
        <v>2.82</v>
      </c>
      <c r="J18" s="13">
        <f>INDEX(Integrale!$H$3:$H$502,MATCH('NGC4068'!D18,Integrale!$H$3:$H$502,1))</f>
        <v>0.48</v>
      </c>
      <c r="K18" s="13">
        <f>INDEX(Integrale!$I$3:$I$502,MATCH('NGC4068'!D18,Integrale!$H$3:$H$502,1))</f>
        <v>2.2114607200000001E-2</v>
      </c>
      <c r="L18" s="13">
        <f>INDEX(Integrale!$H$3:$H$502,MATCH('NGC4068'!D18,Integrale!$H$3:$H$502,1)+1)</f>
        <v>0.49</v>
      </c>
      <c r="M18" s="13">
        <f>INDEX(Integrale!$I$3:$I$502,MATCH('NGC4068'!D18,Integrale!$H$3:$H$502,1)+1)</f>
        <v>2.3064901700000001E-2</v>
      </c>
      <c r="N18" s="13">
        <f t="shared" si="6"/>
        <v>0.13898976559921217</v>
      </c>
      <c r="O18" s="13">
        <f t="shared" si="3"/>
        <v>0.86101023440078783</v>
      </c>
    </row>
    <row r="19" spans="1:15" ht="19.5" thickBot="1" x14ac:dyDescent="0.35">
      <c r="A19" s="33">
        <v>1.91</v>
      </c>
      <c r="B19" s="33">
        <v>36</v>
      </c>
      <c r="C19" s="33">
        <v>1.7</v>
      </c>
      <c r="D19" s="13">
        <f t="shared" si="0"/>
        <v>0.63057114559260474</v>
      </c>
      <c r="E19" s="13">
        <f t="shared" si="4"/>
        <v>3.6289009207725306E-2</v>
      </c>
      <c r="F19" s="13">
        <f t="shared" si="5"/>
        <v>532022833.88374436</v>
      </c>
      <c r="G19" s="13">
        <f t="shared" si="1"/>
        <v>34.612113957282865</v>
      </c>
      <c r="H19" s="13">
        <f t="shared" si="2"/>
        <v>3.86</v>
      </c>
      <c r="J19" s="13">
        <f>INDEX(Integrale!$H$3:$H$502,MATCH('NGC4068'!D19,Integrale!$H$3:$H$502,1))</f>
        <v>0.63</v>
      </c>
      <c r="K19" s="13">
        <f>INDEX(Integrale!$I$3:$I$502,MATCH('NGC4068'!D19,Integrale!$H$3:$H$502,1))</f>
        <v>3.6238387699999999E-2</v>
      </c>
      <c r="L19" s="13">
        <f>INDEX(Integrale!$H$3:$H$502,MATCH('NGC4068'!D19,Integrale!$H$3:$H$502,1)+1)</f>
        <v>0.64</v>
      </c>
      <c r="M19" s="13">
        <f>INDEX(Integrale!$I$3:$I$502,MATCH('NGC4068'!D19,Integrale!$H$3:$H$502,1)+1)</f>
        <v>3.7124703000000002E-2</v>
      </c>
      <c r="N19" s="13">
        <f t="shared" si="6"/>
        <v>0.94288544073952618</v>
      </c>
      <c r="O19" s="13">
        <f t="shared" si="3"/>
        <v>5.711455926047377E-2</v>
      </c>
    </row>
    <row r="20" spans="1:15" ht="19.5" thickBot="1" x14ac:dyDescent="0.35">
      <c r="A20" s="33">
        <v>2.33</v>
      </c>
      <c r="B20" s="33">
        <v>41.9</v>
      </c>
      <c r="C20" s="33">
        <v>4.97</v>
      </c>
      <c r="D20" s="13">
        <f t="shared" si="0"/>
        <v>0.76923076923076916</v>
      </c>
      <c r="E20" s="13">
        <f t="shared" si="4"/>
        <v>4.7272465484615382E-2</v>
      </c>
      <c r="F20" s="13">
        <f t="shared" si="5"/>
        <v>693048159.78394246</v>
      </c>
      <c r="G20" s="13">
        <f t="shared" si="1"/>
        <v>35.767074498814672</v>
      </c>
      <c r="H20" s="13">
        <f t="shared" si="2"/>
        <v>14.64</v>
      </c>
      <c r="J20" s="13">
        <f>INDEX(Integrale!$H$3:$H$502,MATCH('NGC4068'!D20,Integrale!$H$3:$H$502,1))</f>
        <v>0.76</v>
      </c>
      <c r="K20" s="13">
        <f>INDEX(Integrale!$I$3:$I$502,MATCH('NGC4068'!D20,Integrale!$H$3:$H$502,1))</f>
        <v>4.66387261E-2</v>
      </c>
      <c r="L20" s="13">
        <f>INDEX(Integrale!$H$3:$H$502,MATCH('NGC4068'!D20,Integrale!$H$3:$H$502,1)+1)</f>
        <v>0.77</v>
      </c>
      <c r="M20" s="13">
        <f>INDEX(Integrale!$I$3:$I$502,MATCH('NGC4068'!D20,Integrale!$H$3:$H$502,1)+1)</f>
        <v>4.73252771E-2</v>
      </c>
      <c r="N20" s="13">
        <f t="shared" si="6"/>
        <v>7.6923076923085462E-2</v>
      </c>
      <c r="O20" s="13">
        <f t="shared" si="3"/>
        <v>0.92307692307691458</v>
      </c>
    </row>
    <row r="21" spans="1:15" x14ac:dyDescent="0.3">
      <c r="G21" s="29" t="s">
        <v>25</v>
      </c>
      <c r="H21" s="29">
        <f>ROUND(AVERAGE(H15:H20),2)</f>
        <v>14.16</v>
      </c>
    </row>
    <row r="22" spans="1:15" x14ac:dyDescent="0.3">
      <c r="B22" s="25" t="s">
        <v>24</v>
      </c>
      <c r="C22" s="26">
        <f>ROUND(MAX(0,100-H21),2)</f>
        <v>85.84</v>
      </c>
      <c r="D22" s="26" t="s">
        <v>26</v>
      </c>
      <c r="E22" s="2"/>
    </row>
    <row r="24" spans="1:15" x14ac:dyDescent="0.3">
      <c r="A24" s="12" t="s">
        <v>7</v>
      </c>
      <c r="B24" s="12" t="s">
        <v>27</v>
      </c>
      <c r="C24" s="12" t="s">
        <v>28</v>
      </c>
      <c r="D24" s="12" t="s">
        <v>19</v>
      </c>
      <c r="E24" s="27" t="s">
        <v>31</v>
      </c>
      <c r="F24" s="27" t="s">
        <v>32</v>
      </c>
    </row>
    <row r="25" spans="1:15" x14ac:dyDescent="0.3">
      <c r="A25" s="13">
        <f t="shared" ref="A25:C30" si="7">A15</f>
        <v>0.21</v>
      </c>
      <c r="B25" s="13">
        <f t="shared" si="7"/>
        <v>4.68</v>
      </c>
      <c r="C25" s="13">
        <f t="shared" si="7"/>
        <v>3.65</v>
      </c>
      <c r="D25" s="13">
        <f t="shared" ref="D25:D30" si="8">ROUND(G15,2)</f>
        <v>5.78</v>
      </c>
      <c r="E25" s="13">
        <f>ROUND(POWER((B25-D25),2),2)</f>
        <v>1.21</v>
      </c>
      <c r="F25" s="13">
        <f>ROUND(E25/POWER(C25,2),2)</f>
        <v>0.09</v>
      </c>
    </row>
    <row r="26" spans="1:15" x14ac:dyDescent="0.3">
      <c r="A26" s="13">
        <f t="shared" si="7"/>
        <v>0.64</v>
      </c>
      <c r="B26" s="13">
        <f t="shared" si="7"/>
        <v>13.1</v>
      </c>
      <c r="C26" s="13">
        <f t="shared" si="7"/>
        <v>3.44</v>
      </c>
      <c r="D26" s="13">
        <f t="shared" si="8"/>
        <v>16.71</v>
      </c>
      <c r="E26" s="13">
        <f t="shared" ref="E26:E30" si="9">ROUND(POWER((B26-D26),2),2)</f>
        <v>13.03</v>
      </c>
      <c r="F26" s="13">
        <f t="shared" ref="F26:F30" si="10">ROUND(E26/POWER(C26,2),2)</f>
        <v>1.1000000000000001</v>
      </c>
    </row>
    <row r="27" spans="1:15" x14ac:dyDescent="0.3">
      <c r="A27" s="13">
        <f t="shared" si="7"/>
        <v>1.06</v>
      </c>
      <c r="B27" s="13">
        <f t="shared" si="7"/>
        <v>22.5</v>
      </c>
      <c r="C27" s="13">
        <f t="shared" si="7"/>
        <v>2.4500000000000002</v>
      </c>
      <c r="D27" s="13">
        <f t="shared" si="8"/>
        <v>25.32</v>
      </c>
      <c r="E27" s="13">
        <f t="shared" si="9"/>
        <v>7.95</v>
      </c>
      <c r="F27" s="13">
        <f t="shared" si="10"/>
        <v>1.32</v>
      </c>
    </row>
    <row r="28" spans="1:15" x14ac:dyDescent="0.3">
      <c r="A28" s="13">
        <f t="shared" si="7"/>
        <v>1.48</v>
      </c>
      <c r="B28" s="13">
        <f t="shared" si="7"/>
        <v>30.4</v>
      </c>
      <c r="C28" s="13">
        <f t="shared" si="7"/>
        <v>1.71</v>
      </c>
      <c r="D28" s="13">
        <f t="shared" si="8"/>
        <v>31.26</v>
      </c>
      <c r="E28" s="13">
        <f t="shared" si="9"/>
        <v>0.74</v>
      </c>
      <c r="F28" s="13">
        <f t="shared" si="10"/>
        <v>0.25</v>
      </c>
    </row>
    <row r="29" spans="1:15" x14ac:dyDescent="0.3">
      <c r="A29" s="13">
        <f t="shared" si="7"/>
        <v>1.91</v>
      </c>
      <c r="B29" s="13">
        <f t="shared" si="7"/>
        <v>36</v>
      </c>
      <c r="C29" s="13">
        <f t="shared" si="7"/>
        <v>1.7</v>
      </c>
      <c r="D29" s="13">
        <f t="shared" si="8"/>
        <v>34.61</v>
      </c>
      <c r="E29" s="13">
        <f t="shared" si="9"/>
        <v>1.93</v>
      </c>
      <c r="F29" s="13">
        <f t="shared" si="10"/>
        <v>0.67</v>
      </c>
    </row>
    <row r="30" spans="1:15" ht="19.5" thickBot="1" x14ac:dyDescent="0.35">
      <c r="A30" s="13">
        <f t="shared" si="7"/>
        <v>2.33</v>
      </c>
      <c r="B30" s="13">
        <f t="shared" si="7"/>
        <v>41.9</v>
      </c>
      <c r="C30" s="13">
        <f t="shared" si="7"/>
        <v>4.97</v>
      </c>
      <c r="D30" s="13">
        <f t="shared" si="8"/>
        <v>35.770000000000003</v>
      </c>
      <c r="E30" s="13">
        <f t="shared" si="9"/>
        <v>37.58</v>
      </c>
      <c r="F30" s="13">
        <f t="shared" si="10"/>
        <v>1.52</v>
      </c>
    </row>
    <row r="31" spans="1:15" ht="28.5" thickBot="1" x14ac:dyDescent="0.35">
      <c r="E31" s="32" t="s">
        <v>33</v>
      </c>
      <c r="F31" s="28">
        <f>ROUND(SUM(F25:F30)/(COUNT(F25:F30)-1),2)</f>
        <v>0.99</v>
      </c>
    </row>
    <row r="32" spans="1:15" x14ac:dyDescent="0.3">
      <c r="E32" s="2"/>
    </row>
    <row r="33" spans="1:8" x14ac:dyDescent="0.3">
      <c r="E33" s="2"/>
      <c r="F33" s="30"/>
    </row>
    <row r="34" spans="1:8" x14ac:dyDescent="0.3">
      <c r="E34" s="2"/>
    </row>
    <row r="39" spans="1:8" x14ac:dyDescent="0.3">
      <c r="A39" s="40"/>
      <c r="B39" s="40"/>
      <c r="C39" s="40"/>
      <c r="D39" s="40"/>
      <c r="E39" s="40"/>
      <c r="F39" s="40"/>
      <c r="G39" s="40"/>
      <c r="H39" s="40"/>
    </row>
    <row r="40" spans="1:8" x14ac:dyDescent="0.3">
      <c r="A40" s="31"/>
      <c r="B40" s="31"/>
      <c r="C40" s="31"/>
      <c r="D40" s="31"/>
      <c r="E40" s="31"/>
      <c r="F40" s="31"/>
      <c r="G40" s="31"/>
      <c r="H40" s="31"/>
    </row>
    <row r="41" spans="1:8" x14ac:dyDescent="0.3">
      <c r="A41" s="31"/>
      <c r="B41" s="31"/>
      <c r="C41" s="31"/>
      <c r="D41" s="31"/>
      <c r="E41" s="31"/>
      <c r="F41" s="31"/>
      <c r="G41" s="31"/>
      <c r="H41" s="31"/>
    </row>
    <row r="42" spans="1:8" x14ac:dyDescent="0.3">
      <c r="A42" s="31"/>
      <c r="B42" s="31"/>
      <c r="C42" s="31"/>
      <c r="D42" s="31"/>
      <c r="E42" s="31"/>
      <c r="F42" s="31"/>
      <c r="G42" s="31"/>
      <c r="H42" s="31"/>
    </row>
    <row r="43" spans="1:8" x14ac:dyDescent="0.3">
      <c r="A43" s="31"/>
      <c r="B43" s="31"/>
      <c r="C43" s="31"/>
      <c r="D43" s="31"/>
      <c r="E43" s="31"/>
      <c r="F43" s="31"/>
      <c r="G43" s="31"/>
      <c r="H43" s="31"/>
    </row>
    <row r="44" spans="1:8" x14ac:dyDescent="0.3">
      <c r="A44" s="31"/>
      <c r="B44" s="31"/>
      <c r="C44" s="31"/>
      <c r="D44" s="31"/>
      <c r="E44" s="31"/>
      <c r="F44" s="31"/>
      <c r="G44" s="31"/>
      <c r="H44" s="31"/>
    </row>
    <row r="45" spans="1:8" x14ac:dyDescent="0.3">
      <c r="A45" s="31"/>
      <c r="B45" s="31"/>
      <c r="C45" s="31"/>
      <c r="D45" s="31"/>
      <c r="E45" s="31"/>
      <c r="F45" s="31"/>
      <c r="G45" s="31"/>
      <c r="H45" s="31"/>
    </row>
    <row r="46" spans="1:8" x14ac:dyDescent="0.3">
      <c r="A46" s="31"/>
      <c r="B46" s="31"/>
      <c r="C46" s="31"/>
    </row>
    <row r="47" spans="1:8" x14ac:dyDescent="0.3">
      <c r="A47" s="31"/>
      <c r="B47" s="31"/>
      <c r="C47" s="31"/>
    </row>
    <row r="48" spans="1:8" x14ac:dyDescent="0.3">
      <c r="A48" s="31"/>
      <c r="B48" s="31"/>
      <c r="C48" s="31"/>
    </row>
    <row r="49" spans="1:3" x14ac:dyDescent="0.3">
      <c r="A49" s="31"/>
      <c r="B49" s="31"/>
      <c r="C49" s="31"/>
    </row>
    <row r="50" spans="1:3" x14ac:dyDescent="0.3">
      <c r="A50" s="31"/>
      <c r="B50" s="31"/>
      <c r="C50" s="31"/>
    </row>
    <row r="51" spans="1:3" x14ac:dyDescent="0.3">
      <c r="A51" s="31"/>
      <c r="B51" s="31"/>
      <c r="C51" s="31"/>
    </row>
    <row r="52" spans="1:3" x14ac:dyDescent="0.3">
      <c r="A52" s="31"/>
      <c r="B52" s="31"/>
      <c r="C52" s="31"/>
    </row>
    <row r="53" spans="1:3" x14ac:dyDescent="0.3">
      <c r="A53" s="31"/>
      <c r="B53" s="31"/>
      <c r="C53" s="31"/>
    </row>
    <row r="54" spans="1:3" x14ac:dyDescent="0.3">
      <c r="A54" s="31"/>
      <c r="B54" s="31"/>
      <c r="C54" s="31"/>
    </row>
  </sheetData>
  <mergeCells count="3">
    <mergeCell ref="C10:D10"/>
    <mergeCell ref="J14:O14"/>
    <mergeCell ref="D13:F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6" sqref="D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22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58"/>
  <sheetViews>
    <sheetView workbookViewId="0">
      <selection sqref="A1:XFD1048576"/>
    </sheetView>
  </sheetViews>
  <sheetFormatPr baseColWidth="10" defaultRowHeight="18.75" x14ac:dyDescent="0.3"/>
  <cols>
    <col min="1" max="1" width="11.42578125" style="1"/>
    <col min="2" max="2" width="18.85546875" style="1" customWidth="1"/>
    <col min="3" max="3" width="15.140625" style="1" customWidth="1"/>
    <col min="4" max="4" width="32.28515625" style="1" customWidth="1"/>
    <col min="5" max="5" width="18" style="1" customWidth="1"/>
    <col min="6" max="6" width="15.2851562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6" spans="1:14" x14ac:dyDescent="0.3">
      <c r="A6" s="8"/>
      <c r="B6" s="17"/>
      <c r="C6" s="6"/>
      <c r="D6" s="8"/>
      <c r="E6" s="6"/>
      <c r="H6" s="8"/>
      <c r="I6" s="17"/>
      <c r="J6" s="6"/>
    </row>
    <row r="8" spans="1:14" x14ac:dyDescent="0.3">
      <c r="H8" s="5"/>
      <c r="I8" s="9"/>
      <c r="J8" s="17"/>
      <c r="K8" s="6"/>
    </row>
    <row r="9" spans="1:14" x14ac:dyDescent="0.3">
      <c r="A9" s="4"/>
      <c r="B9" s="14"/>
      <c r="C9" s="15"/>
      <c r="D9" s="14"/>
      <c r="E9" s="15"/>
      <c r="F9" s="10"/>
      <c r="G9" s="10"/>
      <c r="H9" s="10"/>
      <c r="I9" s="11"/>
    </row>
    <row r="10" spans="1:14" x14ac:dyDescent="0.3">
      <c r="B10" s="5"/>
      <c r="C10" s="34"/>
      <c r="D10" s="34"/>
      <c r="E10" s="9"/>
      <c r="F10" s="6"/>
      <c r="G10" s="8"/>
      <c r="H10" s="7"/>
    </row>
    <row r="11" spans="1:14" x14ac:dyDescent="0.3">
      <c r="D11" s="2"/>
      <c r="G11" s="16"/>
      <c r="H11" s="6"/>
      <c r="I11" s="2"/>
    </row>
    <row r="12" spans="1:14" x14ac:dyDescent="0.3">
      <c r="B12" s="5"/>
      <c r="C12" s="7"/>
      <c r="D12" s="5"/>
      <c r="E12" s="9"/>
      <c r="F12" s="6"/>
      <c r="G12" s="18"/>
      <c r="H12" s="19"/>
    </row>
    <row r="13" spans="1:14" x14ac:dyDescent="0.3">
      <c r="B13" s="2"/>
      <c r="D13" s="2"/>
    </row>
    <row r="14" spans="1:14" x14ac:dyDescent="0.3">
      <c r="A14" s="12"/>
      <c r="B14" s="12"/>
      <c r="C14" s="12"/>
      <c r="D14" s="12"/>
      <c r="E14" s="12"/>
      <c r="F14" s="12"/>
      <c r="G14" s="13"/>
      <c r="H14" s="12"/>
      <c r="J14" s="37"/>
      <c r="K14" s="38"/>
      <c r="L14" s="38"/>
      <c r="M14" s="38"/>
      <c r="N14" s="39"/>
    </row>
    <row r="15" spans="1:14" x14ac:dyDescent="0.3">
      <c r="A15" s="13"/>
      <c r="B15" s="13"/>
      <c r="C15" s="13"/>
      <c r="D15" s="13"/>
      <c r="E15" s="13"/>
      <c r="F15" s="13"/>
      <c r="G15" s="13"/>
      <c r="H15" s="13"/>
      <c r="J15" s="20"/>
      <c r="K15" s="10"/>
      <c r="L15" s="10"/>
      <c r="M15" s="10"/>
      <c r="N15" s="21"/>
    </row>
    <row r="16" spans="1:14" x14ac:dyDescent="0.3">
      <c r="A16" s="13"/>
      <c r="B16" s="13"/>
      <c r="C16" s="13"/>
      <c r="D16" s="13"/>
      <c r="E16" s="13"/>
      <c r="F16" s="13"/>
      <c r="G16" s="13"/>
      <c r="H16" s="13"/>
      <c r="J16" s="20"/>
      <c r="K16" s="10"/>
      <c r="L16" s="10"/>
      <c r="M16" s="10"/>
      <c r="N16" s="21"/>
    </row>
    <row r="17" spans="1:14" x14ac:dyDescent="0.3">
      <c r="A17" s="13"/>
      <c r="B17" s="13"/>
      <c r="C17" s="13"/>
      <c r="D17" s="13"/>
      <c r="E17" s="13"/>
      <c r="F17" s="13"/>
      <c r="G17" s="13"/>
      <c r="H17" s="13"/>
      <c r="J17" s="20"/>
      <c r="K17" s="10"/>
      <c r="L17" s="10"/>
      <c r="M17" s="10"/>
      <c r="N17" s="21"/>
    </row>
    <row r="18" spans="1:14" x14ac:dyDescent="0.3">
      <c r="A18" s="13"/>
      <c r="B18" s="13"/>
      <c r="C18" s="13"/>
      <c r="D18" s="13"/>
      <c r="E18" s="13"/>
      <c r="F18" s="13"/>
      <c r="G18" s="13"/>
      <c r="H18" s="13"/>
      <c r="J18" s="20"/>
      <c r="K18" s="10"/>
      <c r="L18" s="10"/>
      <c r="M18" s="10"/>
      <c r="N18" s="21"/>
    </row>
    <row r="19" spans="1:14" x14ac:dyDescent="0.3">
      <c r="A19" s="13"/>
      <c r="B19" s="13"/>
      <c r="C19" s="13"/>
      <c r="D19" s="13"/>
      <c r="E19" s="13"/>
      <c r="F19" s="13"/>
      <c r="G19" s="13"/>
      <c r="H19" s="13"/>
      <c r="J19" s="20"/>
      <c r="K19" s="10"/>
      <c r="L19" s="10"/>
      <c r="M19" s="10"/>
      <c r="N19" s="21"/>
    </row>
    <row r="20" spans="1:14" x14ac:dyDescent="0.3">
      <c r="A20" s="13"/>
      <c r="B20" s="13"/>
      <c r="C20" s="13"/>
      <c r="D20" s="13"/>
      <c r="E20" s="13"/>
      <c r="F20" s="13"/>
      <c r="G20" s="13"/>
      <c r="H20" s="13"/>
      <c r="J20" s="20"/>
      <c r="K20" s="10"/>
      <c r="L20" s="10"/>
      <c r="M20" s="10"/>
      <c r="N20" s="21"/>
    </row>
    <row r="21" spans="1:14" x14ac:dyDescent="0.3">
      <c r="A21" s="13"/>
      <c r="B21" s="13"/>
      <c r="C21" s="13"/>
      <c r="D21" s="13"/>
      <c r="E21" s="13"/>
      <c r="F21" s="13"/>
      <c r="G21" s="13"/>
      <c r="H21" s="13"/>
      <c r="J21" s="20"/>
      <c r="K21" s="10"/>
      <c r="L21" s="10"/>
      <c r="M21" s="10"/>
      <c r="N21" s="21"/>
    </row>
    <row r="22" spans="1:14" x14ac:dyDescent="0.3">
      <c r="A22" s="13"/>
      <c r="B22" s="13"/>
      <c r="C22" s="13"/>
      <c r="D22" s="13"/>
      <c r="E22" s="13"/>
      <c r="F22" s="13"/>
      <c r="G22" s="13"/>
      <c r="H22" s="13"/>
      <c r="J22" s="20"/>
      <c r="K22" s="10"/>
      <c r="L22" s="10"/>
      <c r="M22" s="10"/>
      <c r="N22" s="21"/>
    </row>
    <row r="23" spans="1:14" x14ac:dyDescent="0.3">
      <c r="A23" s="13"/>
      <c r="B23" s="13"/>
      <c r="C23" s="13"/>
      <c r="D23" s="13"/>
      <c r="E23" s="13"/>
      <c r="F23" s="13"/>
      <c r="G23" s="13"/>
      <c r="H23" s="13"/>
      <c r="J23" s="20"/>
      <c r="K23" s="10"/>
      <c r="L23" s="10"/>
      <c r="M23" s="10"/>
      <c r="N23" s="21"/>
    </row>
    <row r="24" spans="1:14" x14ac:dyDescent="0.3">
      <c r="A24" s="13"/>
      <c r="B24" s="13"/>
      <c r="C24" s="13"/>
      <c r="D24" s="13"/>
      <c r="E24" s="13"/>
      <c r="F24" s="13"/>
      <c r="G24" s="13"/>
      <c r="H24" s="13"/>
      <c r="J24" s="20"/>
      <c r="K24" s="10"/>
      <c r="L24" s="10"/>
      <c r="M24" s="10"/>
      <c r="N24" s="21"/>
    </row>
    <row r="25" spans="1:14" x14ac:dyDescent="0.3">
      <c r="A25" s="13"/>
      <c r="B25" s="13"/>
      <c r="C25" s="13"/>
      <c r="D25" s="13"/>
      <c r="E25" s="13"/>
      <c r="F25" s="13"/>
      <c r="G25" s="13"/>
      <c r="H25" s="13"/>
      <c r="J25" s="20"/>
      <c r="K25" s="10"/>
      <c r="L25" s="10"/>
      <c r="M25" s="10"/>
      <c r="N25" s="21"/>
    </row>
    <row r="26" spans="1:14" x14ac:dyDescent="0.3">
      <c r="A26" s="13"/>
      <c r="B26" s="13"/>
      <c r="C26" s="13"/>
      <c r="D26" s="13"/>
      <c r="E26" s="13"/>
      <c r="F26" s="13"/>
      <c r="G26" s="13"/>
      <c r="H26" s="13"/>
      <c r="J26" s="22"/>
      <c r="K26" s="23"/>
      <c r="L26" s="23"/>
      <c r="M26" s="23"/>
      <c r="N26" s="24"/>
    </row>
    <row r="27" spans="1:14" x14ac:dyDescent="0.3">
      <c r="D27" s="13"/>
      <c r="E27" s="13"/>
      <c r="F27" s="13"/>
      <c r="G27" s="13"/>
      <c r="H27" s="13"/>
      <c r="J27" s="22"/>
      <c r="K27" s="23"/>
      <c r="L27" s="23"/>
      <c r="M27" s="23"/>
      <c r="N27" s="24"/>
    </row>
    <row r="28" spans="1:14" x14ac:dyDescent="0.3">
      <c r="D28" s="13"/>
      <c r="E28" s="13"/>
      <c r="F28" s="13"/>
      <c r="G28" s="13"/>
      <c r="H28" s="13"/>
      <c r="J28" s="22"/>
      <c r="K28" s="23"/>
      <c r="L28" s="23"/>
      <c r="M28" s="23"/>
      <c r="N28" s="24"/>
    </row>
    <row r="29" spans="1:14" x14ac:dyDescent="0.3">
      <c r="D29" s="13"/>
      <c r="E29" s="13"/>
      <c r="F29" s="13"/>
      <c r="G29" s="13"/>
      <c r="H29" s="13"/>
      <c r="J29" s="22"/>
      <c r="K29" s="23"/>
      <c r="L29" s="23"/>
      <c r="M29" s="23"/>
      <c r="N29" s="24"/>
    </row>
    <row r="30" spans="1:14" x14ac:dyDescent="0.3">
      <c r="D30" s="13"/>
      <c r="E30" s="13"/>
      <c r="F30" s="13"/>
      <c r="G30" s="13"/>
      <c r="H30" s="13"/>
      <c r="J30" s="22"/>
      <c r="K30" s="23"/>
      <c r="L30" s="23"/>
      <c r="M30" s="23"/>
      <c r="N30" s="24"/>
    </row>
    <row r="31" spans="1:14" x14ac:dyDescent="0.3">
      <c r="D31" s="13"/>
      <c r="E31" s="13"/>
      <c r="F31" s="13"/>
      <c r="G31" s="13"/>
      <c r="H31" s="13"/>
      <c r="J31" s="22"/>
      <c r="K31" s="23"/>
      <c r="L31" s="23"/>
      <c r="M31" s="23"/>
      <c r="N31" s="24"/>
    </row>
    <row r="32" spans="1:14" x14ac:dyDescent="0.3">
      <c r="D32" s="13"/>
      <c r="E32" s="13"/>
      <c r="F32" s="13"/>
      <c r="G32" s="13"/>
      <c r="H32" s="13"/>
      <c r="J32" s="22"/>
      <c r="K32" s="23"/>
      <c r="L32" s="23"/>
      <c r="M32" s="23"/>
      <c r="N32" s="24"/>
    </row>
    <row r="33" spans="1:14" x14ac:dyDescent="0.3">
      <c r="D33" s="13"/>
      <c r="E33" s="13"/>
      <c r="F33" s="13"/>
      <c r="G33" s="13"/>
      <c r="H33" s="13"/>
      <c r="J33" s="22"/>
      <c r="K33" s="23"/>
      <c r="L33" s="23"/>
      <c r="M33" s="23"/>
      <c r="N33" s="24"/>
    </row>
    <row r="34" spans="1:14" x14ac:dyDescent="0.3">
      <c r="D34" s="13"/>
      <c r="E34" s="13"/>
      <c r="F34" s="13"/>
      <c r="G34" s="13"/>
      <c r="H34" s="13"/>
      <c r="J34" s="22"/>
      <c r="K34" s="23"/>
      <c r="L34" s="23"/>
      <c r="M34" s="23"/>
      <c r="N34" s="24"/>
    </row>
    <row r="35" spans="1:14" x14ac:dyDescent="0.3">
      <c r="D35" s="13"/>
      <c r="E35" s="13"/>
      <c r="F35" s="13"/>
      <c r="G35" s="13"/>
      <c r="H35" s="13"/>
      <c r="J35" s="22"/>
      <c r="K35" s="23"/>
      <c r="L35" s="23"/>
      <c r="M35" s="23"/>
      <c r="N35" s="24"/>
    </row>
    <row r="36" spans="1:14" x14ac:dyDescent="0.3">
      <c r="D36" s="13"/>
      <c r="E36" s="13"/>
      <c r="F36" s="13"/>
      <c r="G36" s="13"/>
      <c r="H36" s="13"/>
      <c r="J36" s="22"/>
      <c r="K36" s="23"/>
      <c r="L36" s="23"/>
      <c r="M36" s="23"/>
      <c r="N36" s="24"/>
    </row>
    <row r="37" spans="1:14" x14ac:dyDescent="0.3">
      <c r="D37" s="13"/>
      <c r="E37" s="13"/>
      <c r="F37" s="13"/>
      <c r="G37" s="13"/>
      <c r="H37" s="13"/>
      <c r="J37" s="22"/>
      <c r="K37" s="23"/>
      <c r="L37" s="23"/>
      <c r="M37" s="23"/>
      <c r="N37" s="24"/>
    </row>
    <row r="38" spans="1:14" x14ac:dyDescent="0.3">
      <c r="D38" s="13"/>
      <c r="E38" s="13"/>
      <c r="F38" s="13"/>
      <c r="G38" s="13"/>
      <c r="H38" s="13"/>
      <c r="J38" s="22"/>
      <c r="K38" s="23"/>
      <c r="L38" s="23"/>
      <c r="M38" s="23"/>
      <c r="N38" s="24"/>
    </row>
    <row r="39" spans="1:14" x14ac:dyDescent="0.3">
      <c r="D39" s="13"/>
      <c r="E39" s="13"/>
      <c r="F39" s="13"/>
      <c r="G39" s="13"/>
      <c r="H39" s="13"/>
      <c r="J39" s="22"/>
      <c r="K39" s="23"/>
      <c r="L39" s="23"/>
      <c r="M39" s="23"/>
      <c r="N39" s="24"/>
    </row>
    <row r="40" spans="1:14" x14ac:dyDescent="0.3">
      <c r="D40" s="13"/>
      <c r="E40" s="13"/>
      <c r="F40" s="13"/>
      <c r="G40" s="13"/>
      <c r="H40" s="13"/>
      <c r="J40" s="22"/>
      <c r="K40" s="23"/>
      <c r="L40" s="23"/>
      <c r="M40" s="23"/>
      <c r="N40" s="24"/>
    </row>
    <row r="44" spans="1:14" x14ac:dyDescent="0.3">
      <c r="B44" s="25"/>
      <c r="C44" s="26"/>
      <c r="D44" s="26"/>
    </row>
    <row r="46" spans="1:14" x14ac:dyDescent="0.3">
      <c r="A46" s="12"/>
      <c r="B46" s="12"/>
      <c r="C46" s="12"/>
      <c r="D46" s="12"/>
    </row>
    <row r="47" spans="1:14" x14ac:dyDescent="0.3">
      <c r="A47" s="13"/>
      <c r="B47" s="13"/>
      <c r="C47" s="13"/>
      <c r="D47" s="13"/>
    </row>
    <row r="48" spans="1:14" x14ac:dyDescent="0.3">
      <c r="A48" s="13"/>
      <c r="B48" s="13"/>
      <c r="C48" s="13"/>
      <c r="D48" s="13"/>
    </row>
    <row r="49" spans="1:4" x14ac:dyDescent="0.3">
      <c r="A49" s="13"/>
      <c r="B49" s="13"/>
      <c r="C49" s="13"/>
      <c r="D49" s="13"/>
    </row>
    <row r="50" spans="1:4" x14ac:dyDescent="0.3">
      <c r="A50" s="13"/>
      <c r="B50" s="13"/>
      <c r="C50" s="13"/>
      <c r="D50" s="13"/>
    </row>
    <row r="51" spans="1:4" x14ac:dyDescent="0.3">
      <c r="A51" s="13"/>
      <c r="B51" s="13"/>
      <c r="C51" s="13"/>
      <c r="D51" s="13"/>
    </row>
    <row r="52" spans="1:4" x14ac:dyDescent="0.3">
      <c r="A52" s="13"/>
      <c r="B52" s="13"/>
      <c r="C52" s="13"/>
      <c r="D52" s="13"/>
    </row>
    <row r="53" spans="1:4" x14ac:dyDescent="0.3">
      <c r="A53" s="13"/>
      <c r="B53" s="13"/>
      <c r="C53" s="13"/>
      <c r="D53" s="13"/>
    </row>
    <row r="54" spans="1:4" x14ac:dyDescent="0.3">
      <c r="A54" s="13"/>
      <c r="B54" s="13"/>
      <c r="C54" s="13"/>
      <c r="D54" s="13"/>
    </row>
    <row r="55" spans="1:4" x14ac:dyDescent="0.3">
      <c r="A55" s="13"/>
      <c r="B55" s="13"/>
      <c r="C55" s="13"/>
      <c r="D55" s="13"/>
    </row>
    <row r="56" spans="1:4" x14ac:dyDescent="0.3">
      <c r="A56" s="13"/>
      <c r="B56" s="13"/>
      <c r="C56" s="13"/>
      <c r="D56" s="13"/>
    </row>
    <row r="57" spans="1:4" x14ac:dyDescent="0.3">
      <c r="A57" s="13"/>
      <c r="B57" s="13"/>
      <c r="C57" s="13"/>
      <c r="D57" s="13"/>
    </row>
    <row r="58" spans="1:4" x14ac:dyDescent="0.3">
      <c r="A58" s="13"/>
      <c r="B58" s="13"/>
      <c r="C58" s="13"/>
      <c r="D58" s="13"/>
    </row>
  </sheetData>
  <mergeCells count="2">
    <mergeCell ref="C10:D10"/>
    <mergeCell ref="J14:N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NGC4068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2026-01-12T09:25:46Z</dcterms:modified>
</cp:coreProperties>
</file>