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1705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H29" i="1" l="1"/>
  <c r="F47" i="1"/>
  <c r="E12" i="1" l="1"/>
  <c r="C12" i="1"/>
  <c r="E9" i="1"/>
  <c r="C9" i="1"/>
  <c r="A45" i="1"/>
  <c r="B45" i="1"/>
  <c r="C45" i="1"/>
  <c r="A46" i="1"/>
  <c r="B46" i="1"/>
  <c r="C46" i="1"/>
  <c r="A34" i="1" l="1"/>
  <c r="A35" i="1"/>
  <c r="A36" i="1"/>
  <c r="A37" i="1"/>
  <c r="A38" i="1"/>
  <c r="A39" i="1"/>
  <c r="A40" i="1"/>
  <c r="A41" i="1"/>
  <c r="A42" i="1"/>
  <c r="A43" i="1"/>
  <c r="A44" i="1"/>
  <c r="A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C33" i="1"/>
  <c r="B33" i="1"/>
  <c r="I8" i="1"/>
  <c r="E10" i="1" l="1"/>
  <c r="D15" i="1"/>
  <c r="D25" i="1"/>
  <c r="D23" i="1"/>
  <c r="D21" i="1"/>
  <c r="D19" i="1"/>
  <c r="D17" i="1"/>
  <c r="D26" i="1"/>
  <c r="D24" i="1"/>
  <c r="D22" i="1"/>
  <c r="D20" i="1"/>
  <c r="D18" i="1"/>
  <c r="D16" i="1" l="1"/>
  <c r="L16" i="1" s="1"/>
  <c r="D27" i="1"/>
  <c r="D28" i="1"/>
  <c r="M16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L27" i="1" l="1"/>
  <c r="K27" i="1"/>
  <c r="M27" i="1"/>
  <c r="J27" i="1"/>
  <c r="J28" i="1"/>
  <c r="M28" i="1"/>
  <c r="K28" i="1"/>
  <c r="L28" i="1"/>
  <c r="J16" i="1"/>
  <c r="O16" i="1" s="1"/>
  <c r="K16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O19" i="1"/>
  <c r="O26" i="1"/>
  <c r="O24" i="1"/>
  <c r="O23" i="1"/>
  <c r="O20" i="1"/>
  <c r="O21" i="1"/>
  <c r="O18" i="1"/>
  <c r="O28" i="1" l="1"/>
  <c r="N27" i="1"/>
  <c r="N28" i="1"/>
  <c r="E28" i="1" s="1"/>
  <c r="F28" i="1" s="1"/>
  <c r="G28" i="1" s="1"/>
  <c r="O27" i="1"/>
  <c r="E27" i="1" s="1"/>
  <c r="F27" i="1" s="1"/>
  <c r="G27" i="1" s="1"/>
  <c r="N16" i="1"/>
  <c r="E16" i="1" s="1"/>
  <c r="F16" i="1" s="1"/>
  <c r="G16" i="1" s="1"/>
  <c r="D34" i="1" s="1"/>
  <c r="E34" i="1" s="1"/>
  <c r="F34" i="1" s="1"/>
  <c r="E15" i="1"/>
  <c r="F15" i="1" s="1"/>
  <c r="G15" i="1" s="1"/>
  <c r="H16" i="1"/>
  <c r="E17" i="1"/>
  <c r="F17" i="1" s="1"/>
  <c r="G17" i="1" s="1"/>
  <c r="D35" i="1" s="1"/>
  <c r="E35" i="1" s="1"/>
  <c r="F35" i="1" s="1"/>
  <c r="E22" i="1"/>
  <c r="F22" i="1" s="1"/>
  <c r="G22" i="1" s="1"/>
  <c r="D40" i="1" s="1"/>
  <c r="E40" i="1" s="1"/>
  <c r="F40" i="1" s="1"/>
  <c r="E26" i="1"/>
  <c r="F26" i="1" s="1"/>
  <c r="G26" i="1" s="1"/>
  <c r="D44" i="1" s="1"/>
  <c r="E44" i="1" s="1"/>
  <c r="F44" i="1" s="1"/>
  <c r="E25" i="1"/>
  <c r="F25" i="1" s="1"/>
  <c r="G25" i="1" s="1"/>
  <c r="D43" i="1" s="1"/>
  <c r="E43" i="1" s="1"/>
  <c r="F43" i="1" s="1"/>
  <c r="E24" i="1"/>
  <c r="F24" i="1" s="1"/>
  <c r="G24" i="1" s="1"/>
  <c r="D42" i="1" s="1"/>
  <c r="E42" i="1" s="1"/>
  <c r="F42" i="1" s="1"/>
  <c r="E19" i="1"/>
  <c r="F19" i="1" s="1"/>
  <c r="G19" i="1" s="1"/>
  <c r="D37" i="1" s="1"/>
  <c r="E37" i="1" s="1"/>
  <c r="F37" i="1" s="1"/>
  <c r="E18" i="1"/>
  <c r="F18" i="1" s="1"/>
  <c r="G18" i="1" s="1"/>
  <c r="D36" i="1" s="1"/>
  <c r="E36" i="1" s="1"/>
  <c r="F36" i="1" s="1"/>
  <c r="E21" i="1"/>
  <c r="F21" i="1" s="1"/>
  <c r="G21" i="1" s="1"/>
  <c r="D39" i="1" s="1"/>
  <c r="E39" i="1" s="1"/>
  <c r="F39" i="1" s="1"/>
  <c r="E20" i="1"/>
  <c r="F20" i="1" s="1"/>
  <c r="G20" i="1" s="1"/>
  <c r="D38" i="1" s="1"/>
  <c r="E38" i="1" s="1"/>
  <c r="F38" i="1" s="1"/>
  <c r="E23" i="1"/>
  <c r="F23" i="1" s="1"/>
  <c r="G23" i="1" s="1"/>
  <c r="D41" i="1" s="1"/>
  <c r="E41" i="1" s="1"/>
  <c r="F41" i="1" s="1"/>
  <c r="H27" i="1" l="1"/>
  <c r="D45" i="1"/>
  <c r="E45" i="1" s="1"/>
  <c r="F45" i="1" s="1"/>
  <c r="H28" i="1"/>
  <c r="D46" i="1"/>
  <c r="E46" i="1" s="1"/>
  <c r="F46" i="1" s="1"/>
  <c r="H15" i="1"/>
  <c r="D33" i="1"/>
  <c r="E33" i="1" s="1"/>
  <c r="F33" i="1" s="1"/>
  <c r="H20" i="1"/>
  <c r="H18" i="1"/>
  <c r="H24" i="1"/>
  <c r="H26" i="1"/>
  <c r="H17" i="1"/>
  <c r="H23" i="1"/>
  <c r="H21" i="1"/>
  <c r="H19" i="1"/>
  <c r="H25" i="1"/>
  <c r="H22" i="1"/>
  <c r="C30" i="1" l="1"/>
</calcChain>
</file>

<file path=xl/sharedStrings.xml><?xml version="1.0" encoding="utf-8"?>
<sst xmlns="http://schemas.openxmlformats.org/spreadsheetml/2006/main" count="41" uniqueCount="38">
  <si>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</si>
  <si>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</si>
  <si>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</si>
  <si>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</si>
  <si>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</si>
  <si>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</si>
  <si>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</si>
  <si>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</si>
  <si>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</si>
  <si>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</si>
  <si>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</si>
  <si>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</si>
  <si>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</si>
  <si>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</si>
  <si>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</si>
  <si>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</si>
  <si>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incer 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</si>
  <si>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</si>
  <si>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</si>
  <si>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</si>
  <si>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</si>
  <si>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</si>
  <si>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</si>
  <si>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</si>
  <si>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</si>
  <si>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</si>
  <si>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</si>
  <si>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</si>
  <si>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</si>
  <si>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</si>
  <si>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</si>
  <si>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A=(V_obs-V_TURI)^2</t>
  </si>
  <si>
    <t>A/Incer V_Obs^2</t>
  </si>
  <si>
    <r>
      <t>ᵡ</t>
    </r>
    <r>
      <rPr>
        <b/>
        <vertAlign val="superscript"/>
        <sz val="18"/>
        <color theme="1"/>
        <rFont val="Times New Roman"/>
        <family val="1"/>
      </rPr>
      <t>2</t>
    </r>
    <r>
      <rPr>
        <sz val="18"/>
        <color theme="1"/>
        <rFont val="Times New Roman"/>
        <family val="1"/>
      </rPr>
      <t>/</t>
    </r>
    <r>
      <rPr>
        <sz val="14"/>
        <color theme="1"/>
        <rFont val="Times New Roman"/>
        <family val="1"/>
      </rPr>
      <t>d</t>
    </r>
    <r>
      <rPr>
        <vertAlign val="subscript"/>
        <sz val="14"/>
        <color theme="1"/>
        <rFont val="Times New Roman"/>
        <family val="1"/>
      </rPr>
      <t>f</t>
    </r>
  </si>
  <si>
    <t>=M_tot/4.π.r_c^3.I(infini)</t>
  </si>
  <si>
    <t>ρ0=</t>
  </si>
  <si>
    <t>NGC1705</t>
  </si>
  <si>
    <t>r_c=R_max/1,44=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</si>
</sst>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sz val="18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5" fillId="0" borderId="13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0" xfId="0" applyFont="1" applyAlignment="1">
      <alignment horizontal="left"/>
    </xf>
    <xf numFmtId="0" fontId="5" fillId="0" borderId="19" xfId="0" applyFont="1" applyBorder="1"/>
    <xf numFmtId="0" fontId="2" fillId="0" borderId="23" xfId="0" applyFont="1" applyBorder="1"/>
    <xf numFmtId="0" fontId="6" fillId="0" borderId="24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 indent="1" readingOrder="1"/>
    </xf>
    <xf numFmtId="0" fontId="10" fillId="0" borderId="0" xfId="0" applyFont="1" applyBorder="1" applyAlignment="1">
      <alignment horizontal="left" vertical="center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1144888534503"/>
          <c:y val="5.2238506683014989E-2"/>
          <c:w val="0.77775125419449154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'NGC1705'!$B$32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'NGC1705'!$C$33:$C$46</c:f>
                <c:numCache>
                  <c:formatCode>General</c:formatCode>
                  <c:ptCount val="14"/>
                  <c:pt idx="0">
                    <c:v>7.5</c:v>
                  </c:pt>
                  <c:pt idx="1">
                    <c:v>7.51</c:v>
                  </c:pt>
                  <c:pt idx="2">
                    <c:v>5.35</c:v>
                  </c:pt>
                  <c:pt idx="3">
                    <c:v>3.31</c:v>
                  </c:pt>
                  <c:pt idx="4">
                    <c:v>3.21</c:v>
                  </c:pt>
                  <c:pt idx="5">
                    <c:v>2.73</c:v>
                  </c:pt>
                  <c:pt idx="6">
                    <c:v>3.41</c:v>
                  </c:pt>
                  <c:pt idx="7">
                    <c:v>4.38</c:v>
                  </c:pt>
                  <c:pt idx="8">
                    <c:v>4.5999999999999996</c:v>
                  </c:pt>
                  <c:pt idx="9">
                    <c:v>5.68</c:v>
                  </c:pt>
                  <c:pt idx="10">
                    <c:v>6.2</c:v>
                  </c:pt>
                  <c:pt idx="11">
                    <c:v>6.43</c:v>
                  </c:pt>
                  <c:pt idx="12">
                    <c:v>9.68</c:v>
                  </c:pt>
                  <c:pt idx="13">
                    <c:v>10.5</c:v>
                  </c:pt>
                </c:numCache>
              </c:numRef>
            </c:plus>
            <c:minus>
              <c:numRef>
                <c:f>'NGC1705'!$C$33:$C$46</c:f>
                <c:numCache>
                  <c:formatCode>General</c:formatCode>
                  <c:ptCount val="14"/>
                  <c:pt idx="0">
                    <c:v>7.5</c:v>
                  </c:pt>
                  <c:pt idx="1">
                    <c:v>7.51</c:v>
                  </c:pt>
                  <c:pt idx="2">
                    <c:v>5.35</c:v>
                  </c:pt>
                  <c:pt idx="3">
                    <c:v>3.31</c:v>
                  </c:pt>
                  <c:pt idx="4">
                    <c:v>3.21</c:v>
                  </c:pt>
                  <c:pt idx="5">
                    <c:v>2.73</c:v>
                  </c:pt>
                  <c:pt idx="6">
                    <c:v>3.41</c:v>
                  </c:pt>
                  <c:pt idx="7">
                    <c:v>4.38</c:v>
                  </c:pt>
                  <c:pt idx="8">
                    <c:v>4.5999999999999996</c:v>
                  </c:pt>
                  <c:pt idx="9">
                    <c:v>5.68</c:v>
                  </c:pt>
                  <c:pt idx="10">
                    <c:v>6.2</c:v>
                  </c:pt>
                  <c:pt idx="11">
                    <c:v>6.43</c:v>
                  </c:pt>
                  <c:pt idx="12">
                    <c:v>9.68</c:v>
                  </c:pt>
                  <c:pt idx="13">
                    <c:v>10.5</c:v>
                  </c:pt>
                </c:numCache>
              </c:numRef>
            </c:minus>
          </c:errBars>
          <c:xVal>
            <c:numRef>
              <c:f>'NGC1705'!$A$33:$A$46</c:f>
              <c:numCache>
                <c:formatCode>General</c:formatCode>
                <c:ptCount val="14"/>
                <c:pt idx="0">
                  <c:v>0.22</c:v>
                </c:pt>
                <c:pt idx="1">
                  <c:v>0.66</c:v>
                </c:pt>
                <c:pt idx="2">
                  <c:v>1.1100000000000001</c:v>
                </c:pt>
                <c:pt idx="3">
                  <c:v>1.55</c:v>
                </c:pt>
                <c:pt idx="4">
                  <c:v>2</c:v>
                </c:pt>
                <c:pt idx="5">
                  <c:v>2.4500000000000002</c:v>
                </c:pt>
                <c:pt idx="6">
                  <c:v>2.89</c:v>
                </c:pt>
                <c:pt idx="7">
                  <c:v>3.34</c:v>
                </c:pt>
                <c:pt idx="8">
                  <c:v>3.78</c:v>
                </c:pt>
                <c:pt idx="9">
                  <c:v>4.22</c:v>
                </c:pt>
                <c:pt idx="10">
                  <c:v>4.66</c:v>
                </c:pt>
                <c:pt idx="11">
                  <c:v>5.1100000000000003</c:v>
                </c:pt>
                <c:pt idx="12">
                  <c:v>5.56</c:v>
                </c:pt>
                <c:pt idx="13">
                  <c:v>6</c:v>
                </c:pt>
              </c:numCache>
            </c:numRef>
          </c:xVal>
          <c:yVal>
            <c:numRef>
              <c:f>'NGC1705'!$B$33:$B$46</c:f>
              <c:numCache>
                <c:formatCode>General</c:formatCode>
                <c:ptCount val="14"/>
                <c:pt idx="0">
                  <c:v>50.2</c:v>
                </c:pt>
                <c:pt idx="1">
                  <c:v>62.2</c:v>
                </c:pt>
                <c:pt idx="2">
                  <c:v>72.400000000000006</c:v>
                </c:pt>
                <c:pt idx="3">
                  <c:v>73.2</c:v>
                </c:pt>
                <c:pt idx="4">
                  <c:v>72.900000000000006</c:v>
                </c:pt>
                <c:pt idx="5">
                  <c:v>72.599999999999994</c:v>
                </c:pt>
                <c:pt idx="6">
                  <c:v>71.5</c:v>
                </c:pt>
                <c:pt idx="7">
                  <c:v>71.099999999999994</c:v>
                </c:pt>
                <c:pt idx="8">
                  <c:v>71.400000000000006</c:v>
                </c:pt>
                <c:pt idx="9">
                  <c:v>71.5</c:v>
                </c:pt>
                <c:pt idx="10">
                  <c:v>71.5</c:v>
                </c:pt>
                <c:pt idx="11">
                  <c:v>71.3</c:v>
                </c:pt>
                <c:pt idx="12">
                  <c:v>71.8</c:v>
                </c:pt>
                <c:pt idx="13">
                  <c:v>71.5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2208"/>
        <c:axId val="151103744"/>
      </c:scatterChart>
      <c:scatterChart>
        <c:scatterStyle val="smoothMarker"/>
        <c:varyColors val="0"/>
        <c:ser>
          <c:idx val="1"/>
          <c:order val="1"/>
          <c:tx>
            <c:strRef>
              <c:f>'NGC1705'!$D$32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'NGC1705'!$A$33:$A$46</c:f>
              <c:numCache>
                <c:formatCode>General</c:formatCode>
                <c:ptCount val="14"/>
                <c:pt idx="0">
                  <c:v>0.22</c:v>
                </c:pt>
                <c:pt idx="1">
                  <c:v>0.66</c:v>
                </c:pt>
                <c:pt idx="2">
                  <c:v>1.1100000000000001</c:v>
                </c:pt>
                <c:pt idx="3">
                  <c:v>1.55</c:v>
                </c:pt>
                <c:pt idx="4">
                  <c:v>2</c:v>
                </c:pt>
                <c:pt idx="5">
                  <c:v>2.4500000000000002</c:v>
                </c:pt>
                <c:pt idx="6">
                  <c:v>2.89</c:v>
                </c:pt>
                <c:pt idx="7">
                  <c:v>3.34</c:v>
                </c:pt>
                <c:pt idx="8">
                  <c:v>3.78</c:v>
                </c:pt>
                <c:pt idx="9">
                  <c:v>4.22</c:v>
                </c:pt>
                <c:pt idx="10">
                  <c:v>4.66</c:v>
                </c:pt>
                <c:pt idx="11">
                  <c:v>5.1100000000000003</c:v>
                </c:pt>
                <c:pt idx="12">
                  <c:v>5.56</c:v>
                </c:pt>
                <c:pt idx="13">
                  <c:v>6</c:v>
                </c:pt>
              </c:numCache>
            </c:numRef>
          </c:xVal>
          <c:yVal>
            <c:numRef>
              <c:f>'NGC1705'!$D$33:$D$46</c:f>
              <c:numCache>
                <c:formatCode>General</c:formatCode>
                <c:ptCount val="14"/>
                <c:pt idx="0">
                  <c:v>10.44</c:v>
                </c:pt>
                <c:pt idx="1">
                  <c:v>29.95</c:v>
                </c:pt>
                <c:pt idx="2">
                  <c:v>47.71</c:v>
                </c:pt>
                <c:pt idx="3">
                  <c:v>61.76</c:v>
                </c:pt>
                <c:pt idx="4">
                  <c:v>72.31</c:v>
                </c:pt>
                <c:pt idx="5">
                  <c:v>79.069999999999993</c:v>
                </c:pt>
                <c:pt idx="6">
                  <c:v>82.55</c:v>
                </c:pt>
                <c:pt idx="7">
                  <c:v>83.61</c:v>
                </c:pt>
                <c:pt idx="8">
                  <c:v>82.94</c:v>
                </c:pt>
                <c:pt idx="9">
                  <c:v>81.209999999999994</c:v>
                </c:pt>
                <c:pt idx="10">
                  <c:v>78.91</c:v>
                </c:pt>
                <c:pt idx="11">
                  <c:v>76.3</c:v>
                </c:pt>
                <c:pt idx="12">
                  <c:v>73.67</c:v>
                </c:pt>
                <c:pt idx="13">
                  <c:v>71.19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2208"/>
        <c:axId val="151103744"/>
      </c:scatterChart>
      <c:valAx>
        <c:axId val="151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03744"/>
        <c:crosses val="autoZero"/>
        <c:crossBetween val="midCat"/>
      </c:valAx>
      <c:valAx>
        <c:axId val="151103744"/>
        <c:scaling>
          <c:orientation val="minMax"/>
          <c:max val="85"/>
          <c:min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1022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'NGC1705'!$B$32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xVal>
            <c:numRef>
              <c:f>'NGC1705'!$A$33:$A$44</c:f>
              <c:numCache>
                <c:formatCode>General</c:formatCode>
                <c:ptCount val="12"/>
                <c:pt idx="0">
                  <c:v>0.22</c:v>
                </c:pt>
                <c:pt idx="1">
                  <c:v>0.66</c:v>
                </c:pt>
                <c:pt idx="2">
                  <c:v>1.1100000000000001</c:v>
                </c:pt>
                <c:pt idx="3">
                  <c:v>1.55</c:v>
                </c:pt>
                <c:pt idx="4">
                  <c:v>2</c:v>
                </c:pt>
                <c:pt idx="5">
                  <c:v>2.4500000000000002</c:v>
                </c:pt>
                <c:pt idx="6">
                  <c:v>2.89</c:v>
                </c:pt>
                <c:pt idx="7">
                  <c:v>3.34</c:v>
                </c:pt>
                <c:pt idx="8">
                  <c:v>3.78</c:v>
                </c:pt>
                <c:pt idx="9">
                  <c:v>4.22</c:v>
                </c:pt>
                <c:pt idx="10">
                  <c:v>4.66</c:v>
                </c:pt>
                <c:pt idx="11">
                  <c:v>5.1100000000000003</c:v>
                </c:pt>
              </c:numCache>
            </c:numRef>
          </c:xVal>
          <c:yVal>
            <c:numRef>
              <c:f>'NGC1705'!$B$33:$B$44</c:f>
              <c:numCache>
                <c:formatCode>General</c:formatCode>
                <c:ptCount val="12"/>
                <c:pt idx="0">
                  <c:v>50.2</c:v>
                </c:pt>
                <c:pt idx="1">
                  <c:v>62.2</c:v>
                </c:pt>
                <c:pt idx="2">
                  <c:v>72.400000000000006</c:v>
                </c:pt>
                <c:pt idx="3">
                  <c:v>73.2</c:v>
                </c:pt>
                <c:pt idx="4">
                  <c:v>72.900000000000006</c:v>
                </c:pt>
                <c:pt idx="5">
                  <c:v>72.599999999999994</c:v>
                </c:pt>
                <c:pt idx="6">
                  <c:v>71.5</c:v>
                </c:pt>
                <c:pt idx="7">
                  <c:v>71.099999999999994</c:v>
                </c:pt>
                <c:pt idx="8">
                  <c:v>71.400000000000006</c:v>
                </c:pt>
                <c:pt idx="9">
                  <c:v>71.5</c:v>
                </c:pt>
                <c:pt idx="10">
                  <c:v>71.5</c:v>
                </c:pt>
                <c:pt idx="11">
                  <c:v>71.3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97024"/>
        <c:axId val="151775104"/>
      </c:scatterChart>
      <c:scatterChart>
        <c:scatterStyle val="smoothMarker"/>
        <c:varyColors val="0"/>
        <c:ser>
          <c:idx val="1"/>
          <c:order val="1"/>
          <c:tx>
            <c:strRef>
              <c:f>'NGC1705'!$D$32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'NGC1705'!$A$33:$A$44</c:f>
              <c:numCache>
                <c:formatCode>General</c:formatCode>
                <c:ptCount val="12"/>
                <c:pt idx="0">
                  <c:v>0.22</c:v>
                </c:pt>
                <c:pt idx="1">
                  <c:v>0.66</c:v>
                </c:pt>
                <c:pt idx="2">
                  <c:v>1.1100000000000001</c:v>
                </c:pt>
                <c:pt idx="3">
                  <c:v>1.55</c:v>
                </c:pt>
                <c:pt idx="4">
                  <c:v>2</c:v>
                </c:pt>
                <c:pt idx="5">
                  <c:v>2.4500000000000002</c:v>
                </c:pt>
                <c:pt idx="6">
                  <c:v>2.89</c:v>
                </c:pt>
                <c:pt idx="7">
                  <c:v>3.34</c:v>
                </c:pt>
                <c:pt idx="8">
                  <c:v>3.78</c:v>
                </c:pt>
                <c:pt idx="9">
                  <c:v>4.22</c:v>
                </c:pt>
                <c:pt idx="10">
                  <c:v>4.66</c:v>
                </c:pt>
                <c:pt idx="11">
                  <c:v>5.1100000000000003</c:v>
                </c:pt>
              </c:numCache>
            </c:numRef>
          </c:xVal>
          <c:yVal>
            <c:numRef>
              <c:f>'NGC1705'!$D$33:$D$44</c:f>
              <c:numCache>
                <c:formatCode>General</c:formatCode>
                <c:ptCount val="12"/>
                <c:pt idx="0">
                  <c:v>10.44</c:v>
                </c:pt>
                <c:pt idx="1">
                  <c:v>29.95</c:v>
                </c:pt>
                <c:pt idx="2">
                  <c:v>47.71</c:v>
                </c:pt>
                <c:pt idx="3">
                  <c:v>61.76</c:v>
                </c:pt>
                <c:pt idx="4">
                  <c:v>72.31</c:v>
                </c:pt>
                <c:pt idx="5">
                  <c:v>79.069999999999993</c:v>
                </c:pt>
                <c:pt idx="6">
                  <c:v>82.55</c:v>
                </c:pt>
                <c:pt idx="7">
                  <c:v>83.61</c:v>
                </c:pt>
                <c:pt idx="8">
                  <c:v>82.94</c:v>
                </c:pt>
                <c:pt idx="9">
                  <c:v>81.209999999999994</c:v>
                </c:pt>
                <c:pt idx="10">
                  <c:v>78.91</c:v>
                </c:pt>
                <c:pt idx="11">
                  <c:v>76.3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97024"/>
        <c:axId val="151775104"/>
      </c:scatterChart>
      <c:valAx>
        <c:axId val="1512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75104"/>
        <c:crosses val="autoZero"/>
        <c:crossBetween val="midCat"/>
      </c:valAx>
      <c:valAx>
        <c:axId val="15177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97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19050</xdr:rowOff>
    </xdr:from>
    <xdr:to>
      <xdr:col>12</xdr:col>
      <xdr:colOff>1000125</xdr:colOff>
      <xdr:row>49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43</xdr:row>
      <xdr:rowOff>95250</xdr:rowOff>
    </xdr:from>
    <xdr:to>
      <xdr:col>9</xdr:col>
      <xdr:colOff>971550</xdr:colOff>
      <xdr:row>59</xdr:row>
      <xdr:rowOff>200025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8"/>
  <sheetViews>
    <sheetView tabSelected="1" topLeftCell="A6" workbookViewId="0">
      <selection activeCell="E12" sqref="E12"/>
    </sheetView>
  </sheetViews>
  <sheetFormatPr baseColWidth="10" defaultRowHeight="18.75" x14ac:dyDescent="0.3"/>
  <cols>
    <col min="1" max="1" width="14.5703125" style="1" customWidth="1"/>
    <col min="2" max="3" width="12.7109375" style="1" customWidth="1"/>
    <col min="4" max="4" width="25.5703125" style="1" customWidth="1"/>
    <col min="5" max="5" width="12.7109375" style="1" customWidth="1"/>
    <col min="6" max="6" width="14.425781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7"/>
      <c r="C6" s="6" t="s">
        <v>6</v>
      </c>
      <c r="D6" s="8" t="s">
        <v>0</v>
      </c>
      <c r="E6" s="6"/>
      <c r="H6" s="8" t="s">
        <v>1</v>
      </c>
      <c r="I6" s="17"/>
      <c r="J6" s="6"/>
    </row>
    <row r="8" spans="1:15" x14ac:dyDescent="0.3">
      <c r="H8" s="5" t="s">
        <v>4</v>
      </c>
      <c r="I8" s="9">
        <f>4.3009*POWER(10,-6)</f>
        <v>4.3009000000000006E-6</v>
      </c>
      <c r="J8" s="17" t="s">
        <v>5</v>
      </c>
      <c r="K8" s="6"/>
    </row>
    <row r="9" spans="1:15" x14ac:dyDescent="0.3">
      <c r="A9" s="4" t="s">
        <v>36</v>
      </c>
      <c r="B9" s="14" t="s">
        <v>8</v>
      </c>
      <c r="C9" s="15">
        <f>A28</f>
        <v>6</v>
      </c>
      <c r="D9" s="14" t="s">
        <v>9</v>
      </c>
      <c r="E9" s="15">
        <f>B28</f>
        <v>71.5</v>
      </c>
      <c r="F9" s="10"/>
      <c r="G9" s="10"/>
      <c r="H9" s="10"/>
      <c r="I9" s="11"/>
    </row>
    <row r="10" spans="1:15" x14ac:dyDescent="0.3">
      <c r="B10" s="5" t="s">
        <v>10</v>
      </c>
      <c r="C10" s="39" t="s">
        <v>12</v>
      </c>
      <c r="D10" s="39"/>
      <c r="E10" s="9">
        <f>E9*E9*C9/I8</f>
        <v>7131879374.0844927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6" t="s">
        <v>21</v>
      </c>
      <c r="H11" s="6"/>
      <c r="I11" s="2"/>
    </row>
    <row r="12" spans="1:15" x14ac:dyDescent="0.3">
      <c r="B12" s="5" t="s">
        <v>37</v>
      </c>
      <c r="C12" s="7">
        <f>C9/1.44</f>
        <v>4.166666666666667</v>
      </c>
      <c r="D12" s="5" t="s">
        <v>35</v>
      </c>
      <c r="E12" s="9">
        <f>(E10/(POWER(C12,3)*4*3.14159*H10))</f>
        <v>120936878.89119086</v>
      </c>
      <c r="F12" s="6" t="s">
        <v>14</v>
      </c>
      <c r="G12" s="18" t="s">
        <v>20</v>
      </c>
      <c r="H12" s="19">
        <v>3.1415899999999999</v>
      </c>
    </row>
    <row r="13" spans="1:15" ht="19.5" thickBot="1" x14ac:dyDescent="0.35">
      <c r="B13" s="2"/>
      <c r="D13" s="43" t="s">
        <v>34</v>
      </c>
      <c r="E13" s="43"/>
      <c r="F13" s="43"/>
    </row>
    <row r="14" spans="1:15" x14ac:dyDescent="0.3">
      <c r="A14" s="12" t="s">
        <v>7</v>
      </c>
      <c r="B14" s="12" t="s">
        <v>15</v>
      </c>
      <c r="C14" s="12" t="s">
        <v>16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40" t="s">
        <v>29</v>
      </c>
      <c r="K14" s="41"/>
      <c r="L14" s="41"/>
      <c r="M14" s="41"/>
      <c r="N14" s="41"/>
      <c r="O14" s="42"/>
    </row>
    <row r="15" spans="1:15" x14ac:dyDescent="0.3">
      <c r="A15" s="38">
        <v>0.22</v>
      </c>
      <c r="B15" s="38">
        <v>50.2</v>
      </c>
      <c r="C15" s="38">
        <v>7.5</v>
      </c>
      <c r="D15" s="13">
        <f>A15/$C$12</f>
        <v>5.28E-2</v>
      </c>
      <c r="E15" s="13">
        <f>N15*K15+O15*M15</f>
        <v>5.0667679999999995E-5</v>
      </c>
      <c r="F15" s="13">
        <f>4*$H$12*$E$12*POWER($C$12,3)*E15</f>
        <v>5570132.772155636</v>
      </c>
      <c r="G15" s="13">
        <f>POWER($I$8*F15/A15,0.5)</f>
        <v>10.435207895251052</v>
      </c>
      <c r="H15" s="13">
        <f t="shared" ref="H15:H26" si="0">ROUND(ABS((B15-G15)/B15)*100,2)</f>
        <v>79.209999999999994</v>
      </c>
      <c r="J15" s="29">
        <f>INDEX(Integrale!$H$3:$H$502,MATCH('NGC1705'!D15,Integrale!$H$3:$H$502,1))</f>
        <v>0.05</v>
      </c>
      <c r="K15" s="13">
        <f>INDEX(Integrale!$I$3:$I$502,MATCH('NGC1705'!D15,Integrale!$H$3:$H$502,1))</f>
        <v>4.2234499999999997E-5</v>
      </c>
      <c r="L15" s="13">
        <f>INDEX(Integrale!$H$3:$H$502,MATCH('NGC1705'!D15,Integrale!$H$3:$H$502,1)+1)</f>
        <v>0.06</v>
      </c>
      <c r="M15" s="13">
        <f>INDEX(Integrale!$I$3:$I$502,MATCH('NGC1705'!D15,Integrale!$H$3:$H$502,1)+1)</f>
        <v>7.2353000000000003E-5</v>
      </c>
      <c r="N15" s="13">
        <f>(L15-D15)/(L15-J15)</f>
        <v>0.7200000000000002</v>
      </c>
      <c r="O15" s="30">
        <f t="shared" ref="O15:O26" si="1">(D15-J15)/(L15-J15)</f>
        <v>0.27999999999999986</v>
      </c>
    </row>
    <row r="16" spans="1:15" x14ac:dyDescent="0.3">
      <c r="A16" s="38">
        <v>0.66</v>
      </c>
      <c r="B16" s="38">
        <v>62.2</v>
      </c>
      <c r="C16" s="38">
        <v>7.51</v>
      </c>
      <c r="D16" s="13">
        <f t="shared" ref="D16:D26" si="2">A16/$C$12</f>
        <v>0.15839999999999999</v>
      </c>
      <c r="E16" s="13">
        <f t="shared" ref="E16:E25" si="3">N16*K16+O16*M16</f>
        <v>1.2518830559999996E-3</v>
      </c>
      <c r="F16" s="13">
        <f t="shared" ref="F16:F26" si="4">4*$H$12*$E$12*POWER($C$12,3)*E16</f>
        <v>137625303.48995548</v>
      </c>
      <c r="G16" s="13">
        <f t="shared" ref="G16:G26" si="5">POWER($I$8*F16/A16,0.5)</f>
        <v>29.9472432024079</v>
      </c>
      <c r="H16" s="13">
        <f t="shared" si="0"/>
        <v>51.85</v>
      </c>
      <c r="J16" s="29">
        <f>INDEX(Integrale!$H$3:$H$502,MATCH('NGC1705'!D16,Integrale!$H$3:$H$502,1))</f>
        <v>0.15</v>
      </c>
      <c r="K16" s="13">
        <f>INDEX(Integrale!$I$3:$I$502,MATCH('NGC1705'!D16,Integrale!$H$3:$H$502,1))</f>
        <v>1.0683906E-3</v>
      </c>
      <c r="L16" s="13">
        <f>INDEX(Integrale!$H$3:$H$502,MATCH('NGC1705'!D16,Integrale!$H$3:$H$502,1)+1)</f>
        <v>0.16</v>
      </c>
      <c r="M16" s="13">
        <f>INDEX(Integrale!$I$3:$I$502,MATCH('NGC1705'!D16,Integrale!$H$3:$H$502,1)+1)</f>
        <v>1.2868339999999999E-3</v>
      </c>
      <c r="N16" s="13">
        <f t="shared" ref="N16:N26" si="6">(L16-D16)/(L16-J16)</f>
        <v>0.16000000000000167</v>
      </c>
      <c r="O16" s="30">
        <f t="shared" si="1"/>
        <v>0.8399999999999983</v>
      </c>
    </row>
    <row r="17" spans="1:15" x14ac:dyDescent="0.3">
      <c r="A17" s="38">
        <v>1.1100000000000001</v>
      </c>
      <c r="B17" s="38">
        <v>72.400000000000006</v>
      </c>
      <c r="C17" s="38">
        <v>5.35</v>
      </c>
      <c r="D17" s="13">
        <f t="shared" si="2"/>
        <v>0.26640000000000003</v>
      </c>
      <c r="E17" s="13">
        <f t="shared" si="3"/>
        <v>5.3428659680000001E-3</v>
      </c>
      <c r="F17" s="13">
        <f t="shared" si="4"/>
        <v>587366005.81656492</v>
      </c>
      <c r="G17" s="13">
        <f t="shared" si="5"/>
        <v>47.705954209530908</v>
      </c>
      <c r="H17" s="13">
        <f t="shared" si="0"/>
        <v>34.11</v>
      </c>
      <c r="J17" s="29">
        <f>INDEX(Integrale!$H$3:$H$502,MATCH('NGC1705'!D17,Integrale!$H$3:$H$502,1))</f>
        <v>0.26</v>
      </c>
      <c r="K17" s="13">
        <f>INDEX(Integrale!$I$3:$I$502,MATCH('NGC1705'!D17,Integrale!$H$3:$H$502,1))</f>
        <v>5.0024203999999997E-3</v>
      </c>
      <c r="L17" s="13">
        <f>INDEX(Integrale!$H$3:$H$502,MATCH('NGC1705'!D17,Integrale!$H$3:$H$502,1)+1)</f>
        <v>0.27</v>
      </c>
      <c r="M17" s="13">
        <f>INDEX(Integrale!$I$3:$I$502,MATCH('NGC1705'!D17,Integrale!$H$3:$H$502,1)+1)</f>
        <v>5.5343666E-3</v>
      </c>
      <c r="N17" s="13">
        <f t="shared" si="6"/>
        <v>0.35999999999999888</v>
      </c>
      <c r="O17" s="30">
        <f t="shared" si="1"/>
        <v>0.64000000000000112</v>
      </c>
    </row>
    <row r="18" spans="1:15" x14ac:dyDescent="0.3">
      <c r="A18" s="38">
        <v>1.55</v>
      </c>
      <c r="B18" s="38">
        <v>73.2</v>
      </c>
      <c r="C18" s="38">
        <v>3.31</v>
      </c>
      <c r="D18" s="13">
        <f t="shared" si="2"/>
        <v>0.372</v>
      </c>
      <c r="E18" s="13">
        <f t="shared" si="3"/>
        <v>1.2505448360000001E-2</v>
      </c>
      <c r="F18" s="13">
        <f t="shared" si="4"/>
        <v>1374781867.6626987</v>
      </c>
      <c r="G18" s="13">
        <f t="shared" si="5"/>
        <v>61.763332553779115</v>
      </c>
      <c r="H18" s="13">
        <f t="shared" si="0"/>
        <v>15.62</v>
      </c>
      <c r="J18" s="29">
        <f>INDEX(Integrale!$H$3:$H$502,MATCH('NGC1705'!D18,Integrale!$H$3:$H$502,1))</f>
        <v>0.37</v>
      </c>
      <c r="K18" s="13">
        <f>INDEX(Integrale!$I$3:$I$502,MATCH('NGC1705'!D18,Integrale!$H$3:$H$502,1))</f>
        <v>1.23431779E-2</v>
      </c>
      <c r="L18" s="13">
        <f>INDEX(Integrale!$H$3:$H$502,MATCH('NGC1705'!D18,Integrale!$H$3:$H$502,1)+1)</f>
        <v>0.38</v>
      </c>
      <c r="M18" s="13">
        <f>INDEX(Integrale!$I$3:$I$502,MATCH('NGC1705'!D18,Integrale!$H$3:$H$502,1)+1)</f>
        <v>1.31545302E-2</v>
      </c>
      <c r="N18" s="13">
        <f t="shared" si="6"/>
        <v>0.8</v>
      </c>
      <c r="O18" s="30">
        <f t="shared" si="1"/>
        <v>0.2</v>
      </c>
    </row>
    <row r="19" spans="1:15" x14ac:dyDescent="0.3">
      <c r="A19" s="38">
        <v>2</v>
      </c>
      <c r="B19" s="38">
        <v>72.900000000000006</v>
      </c>
      <c r="C19" s="38">
        <v>3.21</v>
      </c>
      <c r="D19" s="13">
        <f t="shared" si="2"/>
        <v>0.48</v>
      </c>
      <c r="E19" s="13">
        <f t="shared" si="3"/>
        <v>2.2114607200000001E-2</v>
      </c>
      <c r="F19" s="13">
        <f t="shared" si="4"/>
        <v>2431161211.8034415</v>
      </c>
      <c r="G19" s="13">
        <f t="shared" si="5"/>
        <v>72.305536633944655</v>
      </c>
      <c r="H19" s="13">
        <f t="shared" si="0"/>
        <v>0.82</v>
      </c>
      <c r="J19" s="29">
        <f>INDEX(Integrale!$H$3:$H$502,MATCH('NGC1705'!D19,Integrale!$H$3:$H$502,1))</f>
        <v>0.48</v>
      </c>
      <c r="K19" s="13">
        <f>INDEX(Integrale!$I$3:$I$502,MATCH('NGC1705'!D19,Integrale!$H$3:$H$502,1))</f>
        <v>2.2114607200000001E-2</v>
      </c>
      <c r="L19" s="13">
        <f>INDEX(Integrale!$H$3:$H$502,MATCH('NGC1705'!D19,Integrale!$H$3:$H$502,1)+1)</f>
        <v>0.49</v>
      </c>
      <c r="M19" s="13">
        <f>INDEX(Integrale!$I$3:$I$502,MATCH('NGC1705'!D19,Integrale!$H$3:$H$502,1)+1)</f>
        <v>2.3064901700000001E-2</v>
      </c>
      <c r="N19" s="13">
        <f t="shared" si="6"/>
        <v>1</v>
      </c>
      <c r="O19" s="30">
        <f t="shared" si="1"/>
        <v>0</v>
      </c>
    </row>
    <row r="20" spans="1:15" x14ac:dyDescent="0.3">
      <c r="A20" s="38">
        <v>2.4500000000000002</v>
      </c>
      <c r="B20" s="38">
        <v>72.599999999999994</v>
      </c>
      <c r="C20" s="38">
        <v>2.73</v>
      </c>
      <c r="D20" s="13">
        <f t="shared" si="2"/>
        <v>0.58799999999999997</v>
      </c>
      <c r="E20" s="13">
        <f t="shared" si="3"/>
        <v>3.2399579220000002E-2</v>
      </c>
      <c r="F20" s="13">
        <f t="shared" si="4"/>
        <v>3561835829.4158087</v>
      </c>
      <c r="G20" s="13">
        <f t="shared" si="5"/>
        <v>79.07397652039991</v>
      </c>
      <c r="H20" s="13">
        <f t="shared" si="0"/>
        <v>8.92</v>
      </c>
      <c r="J20" s="29">
        <f>INDEX(Integrale!$H$3:$H$502,MATCH('NGC1705'!D20,Integrale!$H$3:$H$502,1))</f>
        <v>0.57999999999999996</v>
      </c>
      <c r="K20" s="13">
        <f>INDEX(Integrale!$I$3:$I$502,MATCH('NGC1705'!D20,Integrale!$H$3:$H$502,1))</f>
        <v>3.1651512499999999E-2</v>
      </c>
      <c r="L20" s="13">
        <f>INDEX(Integrale!$H$3:$H$502,MATCH('NGC1705'!D20,Integrale!$H$3:$H$502,1)+1)</f>
        <v>0.59</v>
      </c>
      <c r="M20" s="13">
        <f>INDEX(Integrale!$I$3:$I$502,MATCH('NGC1705'!D20,Integrale!$H$3:$H$502,1)+1)</f>
        <v>3.2586595900000001E-2</v>
      </c>
      <c r="N20" s="13">
        <f t="shared" si="6"/>
        <v>0.2</v>
      </c>
      <c r="O20" s="30">
        <f t="shared" si="1"/>
        <v>0.8</v>
      </c>
    </row>
    <row r="21" spans="1:15" x14ac:dyDescent="0.3">
      <c r="A21" s="38">
        <v>2.89</v>
      </c>
      <c r="B21" s="38">
        <v>71.5</v>
      </c>
      <c r="C21" s="38">
        <v>3.41</v>
      </c>
      <c r="D21" s="13">
        <f t="shared" si="2"/>
        <v>0.69359999999999999</v>
      </c>
      <c r="E21" s="13">
        <f t="shared" si="3"/>
        <v>4.1648030868000001E-2</v>
      </c>
      <c r="F21" s="13">
        <f t="shared" si="4"/>
        <v>4578560961.0228128</v>
      </c>
      <c r="G21" s="13">
        <f t="shared" si="5"/>
        <v>82.545851444808832</v>
      </c>
      <c r="H21" s="13">
        <f t="shared" si="0"/>
        <v>15.45</v>
      </c>
      <c r="J21" s="29">
        <f>INDEX(Integrale!$H$3:$H$502,MATCH('NGC1705'!D21,Integrale!$H$3:$H$502,1))</f>
        <v>0.69</v>
      </c>
      <c r="K21" s="13">
        <f>INDEX(Integrale!$I$3:$I$502,MATCH('NGC1705'!D21,Integrale!$H$3:$H$502,1))</f>
        <v>4.1358899099999999E-2</v>
      </c>
      <c r="L21" s="13">
        <f>INDEX(Integrale!$H$3:$H$502,MATCH('NGC1705'!D21,Integrale!$H$3:$H$502,1)+1)</f>
        <v>0.7</v>
      </c>
      <c r="M21" s="13">
        <f>INDEX(Integrale!$I$3:$I$502,MATCH('NGC1705'!D21,Integrale!$H$3:$H$502,1)+1)</f>
        <v>4.2162042900000002E-2</v>
      </c>
      <c r="N21" s="13">
        <f t="shared" si="6"/>
        <v>0.63999999999999557</v>
      </c>
      <c r="O21" s="30">
        <f t="shared" si="1"/>
        <v>0.36000000000000443</v>
      </c>
    </row>
    <row r="22" spans="1:15" x14ac:dyDescent="0.3">
      <c r="A22" s="38">
        <v>3.34</v>
      </c>
      <c r="B22" s="38">
        <v>71.099999999999994</v>
      </c>
      <c r="C22" s="38">
        <v>4.38</v>
      </c>
      <c r="D22" s="13">
        <f t="shared" si="2"/>
        <v>0.80159999999999987</v>
      </c>
      <c r="E22" s="13">
        <f t="shared" si="3"/>
        <v>4.9378486215999988E-2</v>
      </c>
      <c r="F22" s="13">
        <f t="shared" si="4"/>
        <v>5428405727.5007839</v>
      </c>
      <c r="G22" s="13">
        <f t="shared" si="5"/>
        <v>83.606990140906248</v>
      </c>
      <c r="H22" s="13">
        <f t="shared" si="0"/>
        <v>17.59</v>
      </c>
      <c r="J22" s="29">
        <f>INDEX(Integrale!$H$3:$H$502,MATCH('NGC1705'!D22,Integrale!$H$3:$H$502,1))</f>
        <v>0.8</v>
      </c>
      <c r="K22" s="13">
        <f>INDEX(Integrale!$I$3:$I$502,MATCH('NGC1705'!D22,Integrale!$H$3:$H$502,1))</f>
        <v>4.9279864200000002E-2</v>
      </c>
      <c r="L22" s="13">
        <f>INDEX(Integrale!$H$3:$H$502,MATCH('NGC1705'!D22,Integrale!$H$3:$H$502,1)+1)</f>
        <v>0.81</v>
      </c>
      <c r="M22" s="13">
        <f>INDEX(Integrale!$I$3:$I$502,MATCH('NGC1705'!D22,Integrale!$H$3:$H$502,1)+1)</f>
        <v>4.9896251799999999E-2</v>
      </c>
      <c r="N22" s="13">
        <f t="shared" si="6"/>
        <v>0.84000000000001773</v>
      </c>
      <c r="O22" s="30">
        <f t="shared" si="1"/>
        <v>0.15999999999998224</v>
      </c>
    </row>
    <row r="23" spans="1:15" x14ac:dyDescent="0.3">
      <c r="A23" s="38">
        <v>3.78</v>
      </c>
      <c r="B23" s="38">
        <v>71.400000000000006</v>
      </c>
      <c r="C23" s="38">
        <v>4.5999999999999996</v>
      </c>
      <c r="D23" s="13">
        <f t="shared" si="2"/>
        <v>0.9071999999999999</v>
      </c>
      <c r="E23" s="13">
        <f t="shared" si="3"/>
        <v>5.4990847363999992E-2</v>
      </c>
      <c r="F23" s="13">
        <f t="shared" si="4"/>
        <v>6045398586.8471727</v>
      </c>
      <c r="G23" s="13">
        <f t="shared" si="5"/>
        <v>82.936602903081592</v>
      </c>
      <c r="H23" s="13">
        <f t="shared" si="0"/>
        <v>16.16</v>
      </c>
      <c r="J23" s="29">
        <f>INDEX(Integrale!$H$3:$H$502,MATCH('NGC1705'!D23,Integrale!$H$3:$H$502,1))</f>
        <v>0.9</v>
      </c>
      <c r="K23" s="13">
        <f>INDEX(Integrale!$I$3:$I$502,MATCH('NGC1705'!D23,Integrale!$H$3:$H$502,1))</f>
        <v>5.4668725699999997E-2</v>
      </c>
      <c r="L23" s="13">
        <f>INDEX(Integrale!$H$3:$H$502,MATCH('NGC1705'!D23,Integrale!$H$3:$H$502,1)+1)</f>
        <v>0.91</v>
      </c>
      <c r="M23" s="13">
        <f>INDEX(Integrale!$I$3:$I$502,MATCH('NGC1705'!D23,Integrale!$H$3:$H$502,1)+1)</f>
        <v>5.5116116899999998E-2</v>
      </c>
      <c r="N23" s="13">
        <f t="shared" si="6"/>
        <v>0.28000000000001335</v>
      </c>
      <c r="O23" s="30">
        <f t="shared" si="1"/>
        <v>0.71999999999998665</v>
      </c>
    </row>
    <row r="24" spans="1:15" x14ac:dyDescent="0.3">
      <c r="A24" s="38">
        <v>4.22</v>
      </c>
      <c r="B24" s="38">
        <v>71.5</v>
      </c>
      <c r="C24" s="38">
        <v>5.68</v>
      </c>
      <c r="D24" s="13">
        <f t="shared" si="2"/>
        <v>1.0127999999999999</v>
      </c>
      <c r="E24" s="13">
        <f t="shared" si="3"/>
        <v>5.8860507776E-2</v>
      </c>
      <c r="F24" s="13">
        <f t="shared" si="4"/>
        <v>6470808281.5084343</v>
      </c>
      <c r="G24" s="13">
        <f t="shared" si="5"/>
        <v>81.208728982904731</v>
      </c>
      <c r="H24" s="13">
        <f t="shared" si="0"/>
        <v>13.58</v>
      </c>
      <c r="J24" s="29">
        <f>INDEX(Integrale!$H$3:$H$502,MATCH('NGC1705'!D24,Integrale!$H$3:$H$502,1))</f>
        <v>1.01</v>
      </c>
      <c r="K24" s="13">
        <f>INDEX(Integrale!$I$3:$I$502,MATCH('NGC1705'!D24,Integrale!$H$3:$H$502,1))</f>
        <v>5.8778624799999998E-2</v>
      </c>
      <c r="L24" s="13">
        <f>INDEX(Integrale!$H$3:$H$502,MATCH('NGC1705'!D24,Integrale!$H$3:$H$502,1)+1)</f>
        <v>1.02</v>
      </c>
      <c r="M24" s="13">
        <f>INDEX(Integrale!$I$3:$I$502,MATCH('NGC1705'!D24,Integrale!$H$3:$H$502,1)+1)</f>
        <v>5.9071064E-2</v>
      </c>
      <c r="N24" s="13">
        <f t="shared" si="6"/>
        <v>0.72000000000000886</v>
      </c>
      <c r="O24" s="30">
        <f t="shared" si="1"/>
        <v>0.27999999999999114</v>
      </c>
    </row>
    <row r="25" spans="1:15" x14ac:dyDescent="0.3">
      <c r="A25" s="38">
        <v>4.66</v>
      </c>
      <c r="B25" s="38">
        <v>71.5</v>
      </c>
      <c r="C25" s="38">
        <v>6.2</v>
      </c>
      <c r="D25" s="13">
        <f t="shared" si="2"/>
        <v>1.1184000000000001</v>
      </c>
      <c r="E25" s="13">
        <f t="shared" si="3"/>
        <v>6.1362335323999991E-2</v>
      </c>
      <c r="F25" s="13">
        <f t="shared" si="4"/>
        <v>6745845773.1677437</v>
      </c>
      <c r="G25" s="13">
        <f t="shared" si="5"/>
        <v>78.905071566058936</v>
      </c>
      <c r="H25" s="13">
        <f t="shared" si="0"/>
        <v>10.36</v>
      </c>
      <c r="J25" s="29">
        <f>INDEX(Integrale!$H$3:$H$502,MATCH('NGC1705'!D25,Integrale!$H$3:$H$502,1))</f>
        <v>1.1100000000000001</v>
      </c>
      <c r="K25" s="13">
        <f>INDEX(Integrale!$I$3:$I$502,MATCH('NGC1705'!D25,Integrale!$H$3:$H$502,1))</f>
        <v>6.1204422799999998E-2</v>
      </c>
      <c r="L25" s="13">
        <f>INDEX(Integrale!$H$3:$H$502,MATCH('NGC1705'!D25,Integrale!$H$3:$H$502,1)+1)</f>
        <v>1.1200000000000001</v>
      </c>
      <c r="M25" s="13">
        <f>INDEX(Integrale!$I$3:$I$502,MATCH('NGC1705'!D25,Integrale!$H$3:$H$502,1)+1)</f>
        <v>6.1392413899999998E-2</v>
      </c>
      <c r="N25" s="13">
        <f t="shared" si="6"/>
        <v>0.16000000000000444</v>
      </c>
      <c r="O25" s="30">
        <f t="shared" si="1"/>
        <v>0.83999999999999553</v>
      </c>
    </row>
    <row r="26" spans="1:15" x14ac:dyDescent="0.3">
      <c r="A26" s="38">
        <v>5.1100000000000003</v>
      </c>
      <c r="B26" s="38">
        <v>71.3</v>
      </c>
      <c r="C26" s="38">
        <v>6.43</v>
      </c>
      <c r="D26" s="13">
        <f t="shared" si="2"/>
        <v>1.2263999999999999</v>
      </c>
      <c r="E26" s="13">
        <f>N26*K26+O26*M26</f>
        <v>6.2920672292000004E-2</v>
      </c>
      <c r="F26" s="13">
        <f t="shared" si="4"/>
        <v>6917160974.8015766</v>
      </c>
      <c r="G26" s="13">
        <f t="shared" si="5"/>
        <v>76.301515447556852</v>
      </c>
      <c r="H26" s="13">
        <f t="shared" si="0"/>
        <v>7.01</v>
      </c>
      <c r="J26" s="29">
        <f>INDEX(Integrale!$H$3:$H$502,MATCH('NGC1705'!D26,Integrale!$H$3:$H$502,1))</f>
        <v>1.22</v>
      </c>
      <c r="K26" s="13">
        <f>INDEX(Integrale!$I$3:$I$502,MATCH('NGC1705'!D26,Integrale!$H$3:$H$502,1))</f>
        <v>6.2850340899999996E-2</v>
      </c>
      <c r="L26" s="13">
        <f>INDEX(Integrale!$H$3:$H$502,MATCH('NGC1705'!D26,Integrale!$H$3:$H$502,1)+1)</f>
        <v>1.23</v>
      </c>
      <c r="M26" s="13">
        <f>INDEX(Integrale!$I$3:$I$502,MATCH('NGC1705'!D26,Integrale!$H$3:$H$502,1)+1)</f>
        <v>6.2960233700000007E-2</v>
      </c>
      <c r="N26" s="13">
        <f t="shared" si="6"/>
        <v>0.36000000000000443</v>
      </c>
      <c r="O26" s="30">
        <f t="shared" si="1"/>
        <v>0.63999999999999557</v>
      </c>
    </row>
    <row r="27" spans="1:15" x14ac:dyDescent="0.3">
      <c r="A27" s="38">
        <v>5.56</v>
      </c>
      <c r="B27" s="38">
        <v>71.8</v>
      </c>
      <c r="C27" s="38">
        <v>9.68</v>
      </c>
      <c r="D27" s="13">
        <f t="shared" ref="D27:D28" si="7">A27/$C$12</f>
        <v>1.3343999999999998</v>
      </c>
      <c r="E27" s="13">
        <f t="shared" ref="E27:E28" si="8">N27*K27+O27*M27</f>
        <v>6.3821524884000003E-2</v>
      </c>
      <c r="F27" s="13">
        <f t="shared" ref="F27:F28" si="9">4*$H$12*$E$12*POWER($C$12,3)*E27</f>
        <v>7016195873.292696</v>
      </c>
      <c r="G27" s="13">
        <f t="shared" ref="G27:G28" si="10">POWER($I$8*F27/A27,0.5)</f>
        <v>73.67041716569635</v>
      </c>
      <c r="H27" s="13">
        <f t="shared" ref="H27:H28" si="11">ROUND(ABS((B27-G27)/B27)*100,2)</f>
        <v>2.61</v>
      </c>
      <c r="J27" s="29">
        <f>INDEX(Integrale!$H$3:$H$502,MATCH('NGC1705'!D27,Integrale!$H$3:$H$502,1))</f>
        <v>1.33</v>
      </c>
      <c r="K27" s="13">
        <f>INDEX(Integrale!$I$3:$I$502,MATCH('NGC1705'!D27,Integrale!$H$3:$H$502,1))</f>
        <v>6.37944919E-2</v>
      </c>
      <c r="L27" s="13">
        <f>INDEX(Integrale!$H$3:$H$502,MATCH('NGC1705'!D27,Integrale!$H$3:$H$502,1)+1)</f>
        <v>1.34</v>
      </c>
      <c r="M27" s="13">
        <f>INDEX(Integrale!$I$3:$I$502,MATCH('NGC1705'!D27,Integrale!$H$3:$H$502,1)+1)</f>
        <v>6.3855930500000005E-2</v>
      </c>
      <c r="N27" s="13">
        <f t="shared" ref="N27:N28" si="12">(L27-D27)/(L27-J27)</f>
        <v>0.5600000000000267</v>
      </c>
      <c r="O27" s="30">
        <f t="shared" ref="O27:O28" si="13">(D27-J27)/(L27-J27)</f>
        <v>0.43999999999997336</v>
      </c>
    </row>
    <row r="28" spans="1:15" ht="19.5" thickBot="1" x14ac:dyDescent="0.35">
      <c r="A28" s="38">
        <v>6</v>
      </c>
      <c r="B28" s="38">
        <v>71.5</v>
      </c>
      <c r="C28" s="38">
        <v>10.5</v>
      </c>
      <c r="D28" s="13">
        <f t="shared" si="7"/>
        <v>1.44</v>
      </c>
      <c r="E28" s="13">
        <f t="shared" si="8"/>
        <v>6.4314174599999996E-2</v>
      </c>
      <c r="F28" s="13">
        <f t="shared" si="9"/>
        <v>7070355138.6919556</v>
      </c>
      <c r="G28" s="13">
        <f t="shared" si="10"/>
        <v>71.190929216204964</v>
      </c>
      <c r="H28" s="13">
        <f t="shared" si="11"/>
        <v>0.43</v>
      </c>
      <c r="J28" s="31">
        <f>INDEX(Integrale!$H$3:$H$502,MATCH('NGC1705'!D28,Integrale!$H$3:$H$502,1))</f>
        <v>1.44</v>
      </c>
      <c r="K28" s="32">
        <f>INDEX(Integrale!$I$3:$I$502,MATCH('NGC1705'!D28,Integrale!$H$3:$H$502,1))</f>
        <v>6.4314174599999996E-2</v>
      </c>
      <c r="L28" s="32">
        <f>INDEX(Integrale!$H$3:$H$502,MATCH('NGC1705'!D28,Integrale!$H$3:$H$502,1)+1)</f>
        <v>1.45</v>
      </c>
      <c r="M28" s="32">
        <f>INDEX(Integrale!$I$3:$I$502,MATCH('NGC1705'!D28,Integrale!$H$3:$H$502,1)+1)</f>
        <v>6.4347270999999998E-2</v>
      </c>
      <c r="N28" s="32">
        <f t="shared" si="12"/>
        <v>1</v>
      </c>
      <c r="O28" s="33">
        <f t="shared" si="13"/>
        <v>0</v>
      </c>
    </row>
    <row r="29" spans="1:15" x14ac:dyDescent="0.3">
      <c r="G29" s="35" t="s">
        <v>25</v>
      </c>
      <c r="H29" s="35">
        <f>ROUND(AVERAGE(H15:H28),2)</f>
        <v>19.55</v>
      </c>
    </row>
    <row r="30" spans="1:15" x14ac:dyDescent="0.3">
      <c r="B30" s="25" t="s">
        <v>24</v>
      </c>
      <c r="C30" s="26">
        <f>ROUND(MAX(0,100-H29),2)</f>
        <v>80.45</v>
      </c>
      <c r="D30" s="26" t="s">
        <v>26</v>
      </c>
      <c r="E30" s="2"/>
    </row>
    <row r="32" spans="1:15" x14ac:dyDescent="0.3">
      <c r="A32" s="12" t="s">
        <v>7</v>
      </c>
      <c r="B32" s="12" t="s">
        <v>27</v>
      </c>
      <c r="C32" s="12" t="s">
        <v>28</v>
      </c>
      <c r="D32" s="12" t="s">
        <v>19</v>
      </c>
      <c r="E32" s="27" t="s">
        <v>31</v>
      </c>
      <c r="F32" s="27" t="s">
        <v>32</v>
      </c>
    </row>
    <row r="33" spans="1:6" x14ac:dyDescent="0.3">
      <c r="A33" s="13">
        <f>A15</f>
        <v>0.22</v>
      </c>
      <c r="B33" s="13">
        <f>B15</f>
        <v>50.2</v>
      </c>
      <c r="C33" s="13">
        <f>C15</f>
        <v>7.5</v>
      </c>
      <c r="D33" s="13">
        <f t="shared" ref="D33:D44" si="14">ROUND(G15,2)</f>
        <v>10.44</v>
      </c>
      <c r="E33" s="13">
        <f>ROUND(POWER((B33-D33),2),2)</f>
        <v>1580.86</v>
      </c>
      <c r="F33" s="13">
        <f>ROUND(E33/POWER(C33,2),2)</f>
        <v>28.1</v>
      </c>
    </row>
    <row r="34" spans="1:6" x14ac:dyDescent="0.3">
      <c r="A34" s="13">
        <f t="shared" ref="A34:A44" si="15">A16</f>
        <v>0.66</v>
      </c>
      <c r="B34" s="13">
        <f t="shared" ref="B34:C34" si="16">B16</f>
        <v>62.2</v>
      </c>
      <c r="C34" s="13">
        <f t="shared" si="16"/>
        <v>7.51</v>
      </c>
      <c r="D34" s="13">
        <f t="shared" si="14"/>
        <v>29.95</v>
      </c>
      <c r="E34" s="13">
        <f t="shared" ref="E34:E44" si="17">ROUND(POWER((B34-D34),2),2)</f>
        <v>1040.06</v>
      </c>
      <c r="F34" s="13">
        <f t="shared" ref="F34:F44" si="18">ROUND(E34/POWER(C34,2),2)</f>
        <v>18.440000000000001</v>
      </c>
    </row>
    <row r="35" spans="1:6" x14ac:dyDescent="0.3">
      <c r="A35" s="13">
        <f t="shared" si="15"/>
        <v>1.1100000000000001</v>
      </c>
      <c r="B35" s="13">
        <f t="shared" ref="B35:C35" si="19">B17</f>
        <v>72.400000000000006</v>
      </c>
      <c r="C35" s="13">
        <f t="shared" si="19"/>
        <v>5.35</v>
      </c>
      <c r="D35" s="13">
        <f t="shared" si="14"/>
        <v>47.71</v>
      </c>
      <c r="E35" s="13">
        <f t="shared" si="17"/>
        <v>609.6</v>
      </c>
      <c r="F35" s="13">
        <f t="shared" si="18"/>
        <v>21.3</v>
      </c>
    </row>
    <row r="36" spans="1:6" x14ac:dyDescent="0.3">
      <c r="A36" s="13">
        <f t="shared" si="15"/>
        <v>1.55</v>
      </c>
      <c r="B36" s="13">
        <f t="shared" ref="B36:C36" si="20">B18</f>
        <v>73.2</v>
      </c>
      <c r="C36" s="13">
        <f t="shared" si="20"/>
        <v>3.31</v>
      </c>
      <c r="D36" s="13">
        <f t="shared" si="14"/>
        <v>61.76</v>
      </c>
      <c r="E36" s="13">
        <f t="shared" si="17"/>
        <v>130.87</v>
      </c>
      <c r="F36" s="13">
        <f t="shared" si="18"/>
        <v>11.94</v>
      </c>
    </row>
    <row r="37" spans="1:6" x14ac:dyDescent="0.3">
      <c r="A37" s="13">
        <f t="shared" si="15"/>
        <v>2</v>
      </c>
      <c r="B37" s="13">
        <f t="shared" ref="B37:C37" si="21">B19</f>
        <v>72.900000000000006</v>
      </c>
      <c r="C37" s="13">
        <f t="shared" si="21"/>
        <v>3.21</v>
      </c>
      <c r="D37" s="13">
        <f t="shared" si="14"/>
        <v>72.31</v>
      </c>
      <c r="E37" s="13">
        <f t="shared" si="17"/>
        <v>0.35</v>
      </c>
      <c r="F37" s="13">
        <f t="shared" si="18"/>
        <v>0.03</v>
      </c>
    </row>
    <row r="38" spans="1:6" x14ac:dyDescent="0.3">
      <c r="A38" s="13">
        <f t="shared" si="15"/>
        <v>2.4500000000000002</v>
      </c>
      <c r="B38" s="13">
        <f t="shared" ref="B38:C38" si="22">B20</f>
        <v>72.599999999999994</v>
      </c>
      <c r="C38" s="13">
        <f t="shared" si="22"/>
        <v>2.73</v>
      </c>
      <c r="D38" s="13">
        <f t="shared" si="14"/>
        <v>79.069999999999993</v>
      </c>
      <c r="E38" s="13">
        <f t="shared" si="17"/>
        <v>41.86</v>
      </c>
      <c r="F38" s="13">
        <f t="shared" si="18"/>
        <v>5.62</v>
      </c>
    </row>
    <row r="39" spans="1:6" x14ac:dyDescent="0.3">
      <c r="A39" s="13">
        <f t="shared" si="15"/>
        <v>2.89</v>
      </c>
      <c r="B39" s="13">
        <f t="shared" ref="B39:C39" si="23">B21</f>
        <v>71.5</v>
      </c>
      <c r="C39" s="13">
        <f t="shared" si="23"/>
        <v>3.41</v>
      </c>
      <c r="D39" s="13">
        <f t="shared" si="14"/>
        <v>82.55</v>
      </c>
      <c r="E39" s="13">
        <f t="shared" si="17"/>
        <v>122.1</v>
      </c>
      <c r="F39" s="13">
        <f t="shared" si="18"/>
        <v>10.5</v>
      </c>
    </row>
    <row r="40" spans="1:6" x14ac:dyDescent="0.3">
      <c r="A40" s="13">
        <f t="shared" si="15"/>
        <v>3.34</v>
      </c>
      <c r="B40" s="13">
        <f t="shared" ref="B40:C40" si="24">B22</f>
        <v>71.099999999999994</v>
      </c>
      <c r="C40" s="13">
        <f t="shared" si="24"/>
        <v>4.38</v>
      </c>
      <c r="D40" s="13">
        <f t="shared" si="14"/>
        <v>83.61</v>
      </c>
      <c r="E40" s="13">
        <f t="shared" si="17"/>
        <v>156.5</v>
      </c>
      <c r="F40" s="13">
        <f t="shared" si="18"/>
        <v>8.16</v>
      </c>
    </row>
    <row r="41" spans="1:6" x14ac:dyDescent="0.3">
      <c r="A41" s="13">
        <f t="shared" si="15"/>
        <v>3.78</v>
      </c>
      <c r="B41" s="13">
        <f t="shared" ref="B41:C41" si="25">B23</f>
        <v>71.400000000000006</v>
      </c>
      <c r="C41" s="13">
        <f t="shared" si="25"/>
        <v>4.5999999999999996</v>
      </c>
      <c r="D41" s="13">
        <f t="shared" si="14"/>
        <v>82.94</v>
      </c>
      <c r="E41" s="13">
        <f t="shared" si="17"/>
        <v>133.16999999999999</v>
      </c>
      <c r="F41" s="13">
        <f t="shared" si="18"/>
        <v>6.29</v>
      </c>
    </row>
    <row r="42" spans="1:6" x14ac:dyDescent="0.3">
      <c r="A42" s="13">
        <f t="shared" si="15"/>
        <v>4.22</v>
      </c>
      <c r="B42" s="13">
        <f t="shared" ref="B42:C42" si="26">B24</f>
        <v>71.5</v>
      </c>
      <c r="C42" s="13">
        <f t="shared" si="26"/>
        <v>5.68</v>
      </c>
      <c r="D42" s="13">
        <f t="shared" si="14"/>
        <v>81.209999999999994</v>
      </c>
      <c r="E42" s="13">
        <f t="shared" si="17"/>
        <v>94.28</v>
      </c>
      <c r="F42" s="13">
        <f t="shared" si="18"/>
        <v>2.92</v>
      </c>
    </row>
    <row r="43" spans="1:6" x14ac:dyDescent="0.3">
      <c r="A43" s="13">
        <f t="shared" si="15"/>
        <v>4.66</v>
      </c>
      <c r="B43" s="13">
        <f t="shared" ref="B43:C43" si="27">B25</f>
        <v>71.5</v>
      </c>
      <c r="C43" s="13">
        <f t="shared" si="27"/>
        <v>6.2</v>
      </c>
      <c r="D43" s="13">
        <f t="shared" si="14"/>
        <v>78.91</v>
      </c>
      <c r="E43" s="13">
        <f t="shared" si="17"/>
        <v>54.91</v>
      </c>
      <c r="F43" s="13">
        <f t="shared" si="18"/>
        <v>1.43</v>
      </c>
    </row>
    <row r="44" spans="1:6" x14ac:dyDescent="0.3">
      <c r="A44" s="13">
        <f t="shared" si="15"/>
        <v>5.1100000000000003</v>
      </c>
      <c r="B44" s="13">
        <f t="shared" ref="B44:C44" si="28">B26</f>
        <v>71.3</v>
      </c>
      <c r="C44" s="13">
        <f t="shared" si="28"/>
        <v>6.43</v>
      </c>
      <c r="D44" s="13">
        <f t="shared" si="14"/>
        <v>76.3</v>
      </c>
      <c r="E44" s="36">
        <f t="shared" si="17"/>
        <v>25</v>
      </c>
      <c r="F44" s="36">
        <f t="shared" si="18"/>
        <v>0.6</v>
      </c>
    </row>
    <row r="45" spans="1:6" x14ac:dyDescent="0.3">
      <c r="A45" s="13">
        <f t="shared" ref="A45:C45" si="29">A27</f>
        <v>5.56</v>
      </c>
      <c r="B45" s="13">
        <f t="shared" si="29"/>
        <v>71.8</v>
      </c>
      <c r="C45" s="13">
        <f t="shared" si="29"/>
        <v>9.68</v>
      </c>
      <c r="D45" s="13">
        <f t="shared" ref="D45:D46" si="30">ROUND(G27,2)</f>
        <v>73.67</v>
      </c>
      <c r="E45" s="36">
        <f t="shared" ref="E45:E46" si="31">ROUND(POWER((B45-D45),2),2)</f>
        <v>3.5</v>
      </c>
      <c r="F45" s="36">
        <f t="shared" ref="F45:F46" si="32">ROUND(E45/POWER(C45,2),2)</f>
        <v>0.04</v>
      </c>
    </row>
    <row r="46" spans="1:6" ht="19.5" thickBot="1" x14ac:dyDescent="0.35">
      <c r="A46" s="13">
        <f t="shared" ref="A46:C46" si="33">A28</f>
        <v>6</v>
      </c>
      <c r="B46" s="13">
        <f t="shared" si="33"/>
        <v>71.5</v>
      </c>
      <c r="C46" s="13">
        <f t="shared" si="33"/>
        <v>10.5</v>
      </c>
      <c r="D46" s="13">
        <f t="shared" si="30"/>
        <v>71.19</v>
      </c>
      <c r="E46" s="36">
        <f t="shared" si="31"/>
        <v>0.1</v>
      </c>
      <c r="F46" s="36">
        <f t="shared" si="32"/>
        <v>0</v>
      </c>
    </row>
    <row r="47" spans="1:6" ht="28.5" thickBot="1" x14ac:dyDescent="0.35">
      <c r="E47" s="37" t="s">
        <v>33</v>
      </c>
      <c r="F47" s="28">
        <f>ROUND(SUM(F33:F46)/(COUNT(F33:F46)-1),2)</f>
        <v>8.8699999999999992</v>
      </c>
    </row>
    <row r="48" spans="1:6" x14ac:dyDescent="0.3">
      <c r="E48" s="2"/>
    </row>
    <row r="49" spans="1:6" x14ac:dyDescent="0.3">
      <c r="E49" s="2"/>
      <c r="F49" s="34"/>
    </row>
    <row r="50" spans="1:6" x14ac:dyDescent="0.3">
      <c r="E50" s="2"/>
    </row>
    <row r="53" spans="1:6" x14ac:dyDescent="0.3">
      <c r="A53" s="47"/>
      <c r="B53" s="47"/>
      <c r="C53" s="47"/>
    </row>
    <row r="54" spans="1:6" x14ac:dyDescent="0.3">
      <c r="A54" s="48"/>
      <c r="B54" s="48"/>
      <c r="C54" s="48"/>
    </row>
    <row r="55" spans="1:6" x14ac:dyDescent="0.3">
      <c r="A55" s="48"/>
      <c r="B55" s="48"/>
      <c r="C55" s="48"/>
    </row>
    <row r="56" spans="1:6" x14ac:dyDescent="0.3">
      <c r="A56" s="48"/>
      <c r="B56" s="48"/>
      <c r="C56" s="48"/>
    </row>
    <row r="57" spans="1:6" x14ac:dyDescent="0.3">
      <c r="A57" s="48"/>
      <c r="B57" s="48"/>
      <c r="C57" s="48"/>
    </row>
    <row r="58" spans="1:6" x14ac:dyDescent="0.3">
      <c r="A58" s="48"/>
      <c r="B58" s="48"/>
      <c r="C58" s="48"/>
    </row>
    <row r="59" spans="1:6" x14ac:dyDescent="0.3">
      <c r="A59" s="48"/>
      <c r="B59" s="48"/>
      <c r="C59" s="48"/>
    </row>
    <row r="60" spans="1:6" x14ac:dyDescent="0.3">
      <c r="A60" s="48"/>
      <c r="B60" s="48"/>
      <c r="C60" s="48"/>
    </row>
    <row r="61" spans="1:6" x14ac:dyDescent="0.3">
      <c r="A61" s="48"/>
      <c r="B61" s="48"/>
      <c r="C61" s="48"/>
    </row>
    <row r="62" spans="1:6" x14ac:dyDescent="0.3">
      <c r="A62" s="48"/>
      <c r="B62" s="48"/>
      <c r="C62" s="48"/>
    </row>
    <row r="63" spans="1:6" x14ac:dyDescent="0.3">
      <c r="A63" s="48"/>
      <c r="B63" s="48"/>
      <c r="C63" s="48"/>
    </row>
    <row r="64" spans="1:6" x14ac:dyDescent="0.3">
      <c r="A64" s="48"/>
      <c r="B64" s="48"/>
      <c r="C64" s="48"/>
    </row>
    <row r="65" spans="1:3" x14ac:dyDescent="0.3">
      <c r="A65" s="48"/>
      <c r="B65" s="48"/>
      <c r="C65" s="48"/>
    </row>
    <row r="66" spans="1:3" x14ac:dyDescent="0.3">
      <c r="A66" s="48"/>
      <c r="B66" s="48"/>
      <c r="C66" s="48"/>
    </row>
    <row r="67" spans="1:3" x14ac:dyDescent="0.3">
      <c r="A67" s="48"/>
      <c r="B67" s="48"/>
      <c r="C67" s="48"/>
    </row>
    <row r="68" spans="1:3" x14ac:dyDescent="0.3">
      <c r="A68" s="10"/>
      <c r="B68" s="10"/>
      <c r="C68" s="10"/>
    </row>
  </sheetData>
  <mergeCells count="3">
    <mergeCell ref="C10:D10"/>
    <mergeCell ref="J14:O14"/>
    <mergeCell ref="D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6" sqref="D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8"/>
  <sheetViews>
    <sheetView workbookViewId="0">
      <selection sqref="A1:XFD1048576"/>
    </sheetView>
  </sheetViews>
  <sheetFormatPr baseColWidth="10" defaultRowHeight="18.75" x14ac:dyDescent="0.3"/>
  <cols>
    <col min="1" max="1" width="11.42578125" style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6" spans="1:14" x14ac:dyDescent="0.3">
      <c r="A6" s="8"/>
      <c r="B6" s="17"/>
      <c r="C6" s="6"/>
      <c r="D6" s="8"/>
      <c r="E6" s="6"/>
      <c r="H6" s="8"/>
      <c r="I6" s="17"/>
      <c r="J6" s="6"/>
    </row>
    <row r="8" spans="1:14" x14ac:dyDescent="0.3">
      <c r="H8" s="5"/>
      <c r="I8" s="9"/>
      <c r="J8" s="17"/>
      <c r="K8" s="6"/>
    </row>
    <row r="9" spans="1:14" x14ac:dyDescent="0.3">
      <c r="A9" s="4"/>
      <c r="B9" s="14"/>
      <c r="C9" s="15"/>
      <c r="D9" s="14"/>
      <c r="E9" s="15"/>
      <c r="F9" s="10"/>
      <c r="G9" s="10"/>
      <c r="H9" s="10"/>
      <c r="I9" s="11"/>
    </row>
    <row r="10" spans="1:14" x14ac:dyDescent="0.3">
      <c r="B10" s="5"/>
      <c r="C10" s="39"/>
      <c r="D10" s="39"/>
      <c r="E10" s="9"/>
      <c r="F10" s="6"/>
      <c r="G10" s="8"/>
      <c r="H10" s="7"/>
    </row>
    <row r="11" spans="1:14" x14ac:dyDescent="0.3">
      <c r="D11" s="2"/>
      <c r="G11" s="16"/>
      <c r="H11" s="6"/>
      <c r="I11" s="2"/>
    </row>
    <row r="12" spans="1:14" x14ac:dyDescent="0.3">
      <c r="B12" s="5"/>
      <c r="C12" s="7"/>
      <c r="D12" s="5"/>
      <c r="E12" s="9"/>
      <c r="F12" s="6"/>
      <c r="G12" s="18"/>
      <c r="H12" s="19"/>
    </row>
    <row r="13" spans="1:14" x14ac:dyDescent="0.3">
      <c r="B13" s="2"/>
      <c r="D13" s="2"/>
    </row>
    <row r="14" spans="1:14" x14ac:dyDescent="0.3">
      <c r="A14" s="12"/>
      <c r="B14" s="12"/>
      <c r="C14" s="12"/>
      <c r="D14" s="12"/>
      <c r="E14" s="12"/>
      <c r="F14" s="12"/>
      <c r="G14" s="13"/>
      <c r="H14" s="12"/>
      <c r="J14" s="44"/>
      <c r="K14" s="45"/>
      <c r="L14" s="45"/>
      <c r="M14" s="45"/>
      <c r="N14" s="46"/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J15" s="20"/>
      <c r="K15" s="10"/>
      <c r="L15" s="10"/>
      <c r="M15" s="10"/>
      <c r="N15" s="21"/>
    </row>
    <row r="16" spans="1:14" x14ac:dyDescent="0.3">
      <c r="A16" s="13"/>
      <c r="B16" s="13"/>
      <c r="C16" s="13"/>
      <c r="D16" s="13"/>
      <c r="E16" s="13"/>
      <c r="F16" s="13"/>
      <c r="G16" s="13"/>
      <c r="H16" s="13"/>
      <c r="J16" s="20"/>
      <c r="K16" s="10"/>
      <c r="L16" s="10"/>
      <c r="M16" s="10"/>
      <c r="N16" s="21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J17" s="20"/>
      <c r="K17" s="10"/>
      <c r="L17" s="10"/>
      <c r="M17" s="10"/>
      <c r="N17" s="21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J18" s="20"/>
      <c r="K18" s="10"/>
      <c r="L18" s="10"/>
      <c r="M18" s="10"/>
      <c r="N18" s="21"/>
    </row>
    <row r="19" spans="1:14" x14ac:dyDescent="0.3">
      <c r="A19" s="13"/>
      <c r="B19" s="13"/>
      <c r="C19" s="13"/>
      <c r="D19" s="13"/>
      <c r="E19" s="13"/>
      <c r="F19" s="13"/>
      <c r="G19" s="13"/>
      <c r="H19" s="13"/>
      <c r="J19" s="20"/>
      <c r="K19" s="10"/>
      <c r="L19" s="10"/>
      <c r="M19" s="10"/>
      <c r="N19" s="21"/>
    </row>
    <row r="20" spans="1:14" x14ac:dyDescent="0.3">
      <c r="A20" s="13"/>
      <c r="B20" s="13"/>
      <c r="C20" s="13"/>
      <c r="D20" s="13"/>
      <c r="E20" s="13"/>
      <c r="F20" s="13"/>
      <c r="G20" s="13"/>
      <c r="H20" s="13"/>
      <c r="J20" s="20"/>
      <c r="K20" s="10"/>
      <c r="L20" s="10"/>
      <c r="M20" s="10"/>
      <c r="N20" s="21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J21" s="20"/>
      <c r="K21" s="10"/>
      <c r="L21" s="10"/>
      <c r="M21" s="10"/>
      <c r="N21" s="21"/>
    </row>
    <row r="22" spans="1:14" x14ac:dyDescent="0.3">
      <c r="A22" s="13"/>
      <c r="B22" s="13"/>
      <c r="C22" s="13"/>
      <c r="D22" s="13"/>
      <c r="E22" s="13"/>
      <c r="F22" s="13"/>
      <c r="G22" s="13"/>
      <c r="H22" s="13"/>
      <c r="J22" s="20"/>
      <c r="K22" s="10"/>
      <c r="L22" s="10"/>
      <c r="M22" s="10"/>
      <c r="N22" s="21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J23" s="20"/>
      <c r="K23" s="10"/>
      <c r="L23" s="10"/>
      <c r="M23" s="10"/>
      <c r="N23" s="21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J24" s="20"/>
      <c r="K24" s="10"/>
      <c r="L24" s="10"/>
      <c r="M24" s="10"/>
      <c r="N24" s="21"/>
    </row>
    <row r="25" spans="1:14" x14ac:dyDescent="0.3">
      <c r="A25" s="13"/>
      <c r="B25" s="13"/>
      <c r="C25" s="13"/>
      <c r="D25" s="13"/>
      <c r="E25" s="13"/>
      <c r="F25" s="13"/>
      <c r="G25" s="13"/>
      <c r="H25" s="13"/>
      <c r="J25" s="20"/>
      <c r="K25" s="10"/>
      <c r="L25" s="10"/>
      <c r="M25" s="10"/>
      <c r="N25" s="21"/>
    </row>
    <row r="26" spans="1:14" x14ac:dyDescent="0.3">
      <c r="A26" s="13"/>
      <c r="B26" s="13"/>
      <c r="C26" s="13"/>
      <c r="D26" s="13"/>
      <c r="E26" s="13"/>
      <c r="F26" s="13"/>
      <c r="G26" s="13"/>
      <c r="H26" s="13"/>
      <c r="J26" s="22"/>
      <c r="K26" s="23"/>
      <c r="L26" s="23"/>
      <c r="M26" s="23"/>
      <c r="N26" s="24"/>
    </row>
    <row r="27" spans="1:14" x14ac:dyDescent="0.3">
      <c r="D27" s="13"/>
      <c r="E27" s="13"/>
      <c r="F27" s="13"/>
      <c r="G27" s="13"/>
      <c r="H27" s="13"/>
      <c r="J27" s="22"/>
      <c r="K27" s="23"/>
      <c r="L27" s="23"/>
      <c r="M27" s="23"/>
      <c r="N27" s="24"/>
    </row>
    <row r="28" spans="1:14" x14ac:dyDescent="0.3">
      <c r="D28" s="13"/>
      <c r="E28" s="13"/>
      <c r="F28" s="13"/>
      <c r="G28" s="13"/>
      <c r="H28" s="13"/>
      <c r="J28" s="22"/>
      <c r="K28" s="23"/>
      <c r="L28" s="23"/>
      <c r="M28" s="23"/>
      <c r="N28" s="24"/>
    </row>
    <row r="29" spans="1:14" x14ac:dyDescent="0.3">
      <c r="D29" s="13"/>
      <c r="E29" s="13"/>
      <c r="F29" s="13"/>
      <c r="G29" s="13"/>
      <c r="H29" s="13"/>
      <c r="J29" s="22"/>
      <c r="K29" s="23"/>
      <c r="L29" s="23"/>
      <c r="M29" s="23"/>
      <c r="N29" s="24"/>
    </row>
    <row r="30" spans="1:14" x14ac:dyDescent="0.3">
      <c r="D30" s="13"/>
      <c r="E30" s="13"/>
      <c r="F30" s="13"/>
      <c r="G30" s="13"/>
      <c r="H30" s="13"/>
      <c r="J30" s="22"/>
      <c r="K30" s="23"/>
      <c r="L30" s="23"/>
      <c r="M30" s="23"/>
      <c r="N30" s="24"/>
    </row>
    <row r="31" spans="1:14" x14ac:dyDescent="0.3">
      <c r="D31" s="13"/>
      <c r="E31" s="13"/>
      <c r="F31" s="13"/>
      <c r="G31" s="13"/>
      <c r="H31" s="13"/>
      <c r="J31" s="22"/>
      <c r="K31" s="23"/>
      <c r="L31" s="23"/>
      <c r="M31" s="23"/>
      <c r="N31" s="24"/>
    </row>
    <row r="32" spans="1:14" x14ac:dyDescent="0.3">
      <c r="D32" s="13"/>
      <c r="E32" s="13"/>
      <c r="F32" s="13"/>
      <c r="G32" s="13"/>
      <c r="H32" s="13"/>
      <c r="J32" s="22"/>
      <c r="K32" s="23"/>
      <c r="L32" s="23"/>
      <c r="M32" s="23"/>
      <c r="N32" s="24"/>
    </row>
    <row r="33" spans="1:14" x14ac:dyDescent="0.3">
      <c r="D33" s="13"/>
      <c r="E33" s="13"/>
      <c r="F33" s="13"/>
      <c r="G33" s="13"/>
      <c r="H33" s="13"/>
      <c r="J33" s="22"/>
      <c r="K33" s="23"/>
      <c r="L33" s="23"/>
      <c r="M33" s="23"/>
      <c r="N33" s="24"/>
    </row>
    <row r="34" spans="1:14" x14ac:dyDescent="0.3">
      <c r="D34" s="13"/>
      <c r="E34" s="13"/>
      <c r="F34" s="13"/>
      <c r="G34" s="13"/>
      <c r="H34" s="13"/>
      <c r="J34" s="22"/>
      <c r="K34" s="23"/>
      <c r="L34" s="23"/>
      <c r="M34" s="23"/>
      <c r="N34" s="24"/>
    </row>
    <row r="35" spans="1:14" x14ac:dyDescent="0.3">
      <c r="D35" s="13"/>
      <c r="E35" s="13"/>
      <c r="F35" s="13"/>
      <c r="G35" s="13"/>
      <c r="H35" s="13"/>
      <c r="J35" s="22"/>
      <c r="K35" s="23"/>
      <c r="L35" s="23"/>
      <c r="M35" s="23"/>
      <c r="N35" s="24"/>
    </row>
    <row r="36" spans="1:14" x14ac:dyDescent="0.3">
      <c r="D36" s="13"/>
      <c r="E36" s="13"/>
      <c r="F36" s="13"/>
      <c r="G36" s="13"/>
      <c r="H36" s="13"/>
      <c r="J36" s="22"/>
      <c r="K36" s="23"/>
      <c r="L36" s="23"/>
      <c r="M36" s="23"/>
      <c r="N36" s="24"/>
    </row>
    <row r="37" spans="1:14" x14ac:dyDescent="0.3">
      <c r="D37" s="13"/>
      <c r="E37" s="13"/>
      <c r="F37" s="13"/>
      <c r="G37" s="13"/>
      <c r="H37" s="13"/>
      <c r="J37" s="22"/>
      <c r="K37" s="23"/>
      <c r="L37" s="23"/>
      <c r="M37" s="23"/>
      <c r="N37" s="24"/>
    </row>
    <row r="38" spans="1:14" x14ac:dyDescent="0.3">
      <c r="D38" s="13"/>
      <c r="E38" s="13"/>
      <c r="F38" s="13"/>
      <c r="G38" s="13"/>
      <c r="H38" s="13"/>
      <c r="J38" s="22"/>
      <c r="K38" s="23"/>
      <c r="L38" s="23"/>
      <c r="M38" s="23"/>
      <c r="N38" s="24"/>
    </row>
    <row r="39" spans="1:14" x14ac:dyDescent="0.3">
      <c r="D39" s="13"/>
      <c r="E39" s="13"/>
      <c r="F39" s="13"/>
      <c r="G39" s="13"/>
      <c r="H39" s="13"/>
      <c r="J39" s="22"/>
      <c r="K39" s="23"/>
      <c r="L39" s="23"/>
      <c r="M39" s="23"/>
      <c r="N39" s="24"/>
    </row>
    <row r="40" spans="1:14" x14ac:dyDescent="0.3">
      <c r="D40" s="13"/>
      <c r="E40" s="13"/>
      <c r="F40" s="13"/>
      <c r="G40" s="13"/>
      <c r="H40" s="13"/>
      <c r="J40" s="22"/>
      <c r="K40" s="23"/>
      <c r="L40" s="23"/>
      <c r="M40" s="23"/>
      <c r="N40" s="24"/>
    </row>
    <row r="44" spans="1:14" x14ac:dyDescent="0.3">
      <c r="B44" s="25"/>
      <c r="C44" s="26"/>
      <c r="D44" s="26"/>
    </row>
    <row r="46" spans="1:14" x14ac:dyDescent="0.3">
      <c r="A46" s="12"/>
      <c r="B46" s="12"/>
      <c r="C46" s="12"/>
      <c r="D46" s="12"/>
    </row>
    <row r="47" spans="1:14" x14ac:dyDescent="0.3">
      <c r="A47" s="13"/>
      <c r="B47" s="13"/>
      <c r="C47" s="13"/>
      <c r="D47" s="13"/>
    </row>
    <row r="48" spans="1:1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</sheetData>
  <mergeCells count="2">
    <mergeCell ref="C10:D10"/>
    <mergeCell ref="J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NGC1705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2026-01-12T09:20:44Z</dcterms:modified>
</cp:coreProperties>
</file>