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2915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79" i="1" l="1"/>
  <c r="H45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E9" i="1"/>
  <c r="C9" i="1"/>
  <c r="A61" i="1" l="1"/>
  <c r="B61" i="1"/>
  <c r="C61" i="1"/>
  <c r="A62" i="1"/>
  <c r="B62" i="1"/>
  <c r="C62" i="1"/>
  <c r="A63" i="1"/>
  <c r="B63" i="1"/>
  <c r="C63" i="1"/>
  <c r="A50" i="1" l="1"/>
  <c r="A51" i="1"/>
  <c r="A52" i="1"/>
  <c r="A53" i="1"/>
  <c r="A54" i="1"/>
  <c r="A55" i="1"/>
  <c r="A56" i="1"/>
  <c r="A57" i="1"/>
  <c r="A58" i="1"/>
  <c r="A59" i="1"/>
  <c r="A60" i="1"/>
  <c r="A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C49" i="1"/>
  <c r="B49" i="1"/>
  <c r="I8" i="1"/>
  <c r="E10" i="1" l="1"/>
  <c r="C12" i="1"/>
  <c r="D22" i="1" l="1"/>
  <c r="D32" i="1"/>
  <c r="D35" i="1"/>
  <c r="D36" i="1"/>
  <c r="D39" i="1"/>
  <c r="D40" i="1"/>
  <c r="D43" i="1"/>
  <c r="D44" i="1"/>
  <c r="D30" i="1"/>
  <c r="D31" i="1"/>
  <c r="D33" i="1"/>
  <c r="D34" i="1"/>
  <c r="D37" i="1"/>
  <c r="D38" i="1"/>
  <c r="D41" i="1"/>
  <c r="D42" i="1"/>
  <c r="E12" i="1"/>
  <c r="D19" i="1"/>
  <c r="J19" i="1" s="1"/>
  <c r="D27" i="1"/>
  <c r="D28" i="1"/>
  <c r="D29" i="1"/>
  <c r="D18" i="1"/>
  <c r="L18" i="1" s="1"/>
  <c r="D16" i="1"/>
  <c r="J16" i="1" s="1"/>
  <c r="D15" i="1"/>
  <c r="K15" i="1" s="1"/>
  <c r="D26" i="1"/>
  <c r="J26" i="1" s="1"/>
  <c r="D23" i="1"/>
  <c r="L23" i="1" s="1"/>
  <c r="D20" i="1"/>
  <c r="J20" i="1" s="1"/>
  <c r="D24" i="1"/>
  <c r="L24" i="1" s="1"/>
  <c r="D17" i="1"/>
  <c r="J17" i="1" s="1"/>
  <c r="D21" i="1"/>
  <c r="L21" i="1" s="1"/>
  <c r="D25" i="1"/>
  <c r="J25" i="1" s="1"/>
  <c r="J18" i="1"/>
  <c r="J22" i="1"/>
  <c r="L22" i="1"/>
  <c r="K22" i="1"/>
  <c r="M22" i="1"/>
  <c r="K26" i="1"/>
  <c r="K24" i="1"/>
  <c r="M19" i="1"/>
  <c r="L15" i="1"/>
  <c r="K25" i="1" l="1"/>
  <c r="K23" i="1"/>
  <c r="L19" i="1"/>
  <c r="N19" i="1" s="1"/>
  <c r="K18" i="1"/>
  <c r="L42" i="1"/>
  <c r="O42" i="1" s="1"/>
  <c r="J42" i="1"/>
  <c r="K42" i="1"/>
  <c r="M42" i="1"/>
  <c r="L38" i="1"/>
  <c r="J38" i="1"/>
  <c r="K38" i="1"/>
  <c r="M38" i="1"/>
  <c r="L34" i="1"/>
  <c r="O34" i="1" s="1"/>
  <c r="J34" i="1"/>
  <c r="K34" i="1"/>
  <c r="M34" i="1"/>
  <c r="K31" i="1"/>
  <c r="L31" i="1"/>
  <c r="O31" i="1" s="1"/>
  <c r="J31" i="1"/>
  <c r="M31" i="1"/>
  <c r="J44" i="1"/>
  <c r="K44" i="1"/>
  <c r="L44" i="1"/>
  <c r="N44" i="1" s="1"/>
  <c r="M44" i="1"/>
  <c r="O44" i="1"/>
  <c r="L40" i="1"/>
  <c r="J40" i="1"/>
  <c r="O40" i="1" s="1"/>
  <c r="M40" i="1"/>
  <c r="K40" i="1"/>
  <c r="L36" i="1"/>
  <c r="J36" i="1"/>
  <c r="M36" i="1"/>
  <c r="K36" i="1"/>
  <c r="K32" i="1"/>
  <c r="J32" i="1"/>
  <c r="L32" i="1"/>
  <c r="M32" i="1"/>
  <c r="M15" i="1"/>
  <c r="J23" i="1"/>
  <c r="N23" i="1" s="1"/>
  <c r="K19" i="1"/>
  <c r="J24" i="1"/>
  <c r="N24" i="1" s="1"/>
  <c r="K21" i="1"/>
  <c r="M18" i="1"/>
  <c r="L41" i="1"/>
  <c r="O41" i="1" s="1"/>
  <c r="J41" i="1"/>
  <c r="K41" i="1"/>
  <c r="M41" i="1"/>
  <c r="L37" i="1"/>
  <c r="J37" i="1"/>
  <c r="K37" i="1"/>
  <c r="M37" i="1"/>
  <c r="K33" i="1"/>
  <c r="L33" i="1"/>
  <c r="J33" i="1"/>
  <c r="M33" i="1"/>
  <c r="K30" i="1"/>
  <c r="J30" i="1"/>
  <c r="L30" i="1"/>
  <c r="M30" i="1"/>
  <c r="J43" i="1"/>
  <c r="L43" i="1"/>
  <c r="M43" i="1"/>
  <c r="K43" i="1"/>
  <c r="J39" i="1"/>
  <c r="L39" i="1"/>
  <c r="M39" i="1"/>
  <c r="K39" i="1"/>
  <c r="J35" i="1"/>
  <c r="L35" i="1"/>
  <c r="M35" i="1"/>
  <c r="K35" i="1"/>
  <c r="O35" i="1"/>
  <c r="J21" i="1"/>
  <c r="O21" i="1" s="1"/>
  <c r="M20" i="1"/>
  <c r="M17" i="1"/>
  <c r="M16" i="1"/>
  <c r="L20" i="1"/>
  <c r="N20" i="1" s="1"/>
  <c r="L25" i="1"/>
  <c r="O25" i="1" s="1"/>
  <c r="L17" i="1"/>
  <c r="N17" i="1" s="1"/>
  <c r="L26" i="1"/>
  <c r="N26" i="1" s="1"/>
  <c r="K29" i="1"/>
  <c r="M29" i="1"/>
  <c r="J29" i="1"/>
  <c r="L29" i="1"/>
  <c r="J27" i="1"/>
  <c r="L27" i="1"/>
  <c r="K27" i="1"/>
  <c r="M27" i="1"/>
  <c r="J28" i="1"/>
  <c r="L28" i="1"/>
  <c r="K28" i="1"/>
  <c r="M28" i="1"/>
  <c r="K20" i="1"/>
  <c r="M25" i="1"/>
  <c r="K17" i="1"/>
  <c r="M26" i="1"/>
  <c r="L16" i="1"/>
  <c r="K16" i="1"/>
  <c r="J15" i="1"/>
  <c r="O15" i="1" s="1"/>
  <c r="M23" i="1"/>
  <c r="M24" i="1"/>
  <c r="M21" i="1"/>
  <c r="N21" i="1"/>
  <c r="N22" i="1"/>
  <c r="N18" i="1"/>
  <c r="N15" i="1"/>
  <c r="O22" i="1"/>
  <c r="O24" i="1"/>
  <c r="O20" i="1"/>
  <c r="O18" i="1"/>
  <c r="O43" i="1" l="1"/>
  <c r="N33" i="1"/>
  <c r="O32" i="1"/>
  <c r="O36" i="1"/>
  <c r="N40" i="1"/>
  <c r="O19" i="1"/>
  <c r="N39" i="1"/>
  <c r="N30" i="1"/>
  <c r="N37" i="1"/>
  <c r="N32" i="1"/>
  <c r="N38" i="1"/>
  <c r="O23" i="1"/>
  <c r="N35" i="1"/>
  <c r="E35" i="1" s="1"/>
  <c r="F35" i="1" s="1"/>
  <c r="G35" i="1" s="1"/>
  <c r="O39" i="1"/>
  <c r="E43" i="1"/>
  <c r="F43" i="1" s="1"/>
  <c r="G43" i="1" s="1"/>
  <c r="N43" i="1"/>
  <c r="O30" i="1"/>
  <c r="E30" i="1" s="1"/>
  <c r="F30" i="1" s="1"/>
  <c r="G30" i="1" s="1"/>
  <c r="O33" i="1"/>
  <c r="E33" i="1" s="1"/>
  <c r="F33" i="1" s="1"/>
  <c r="G33" i="1" s="1"/>
  <c r="O37" i="1"/>
  <c r="E37" i="1" s="1"/>
  <c r="F37" i="1" s="1"/>
  <c r="G37" i="1" s="1"/>
  <c r="N41" i="1"/>
  <c r="E41" i="1" s="1"/>
  <c r="F41" i="1" s="1"/>
  <c r="G41" i="1" s="1"/>
  <c r="E32" i="1"/>
  <c r="F32" i="1" s="1"/>
  <c r="G32" i="1" s="1"/>
  <c r="N36" i="1"/>
  <c r="E36" i="1" s="1"/>
  <c r="F36" i="1" s="1"/>
  <c r="G36" i="1" s="1"/>
  <c r="E40" i="1"/>
  <c r="F40" i="1" s="1"/>
  <c r="G40" i="1" s="1"/>
  <c r="E44" i="1"/>
  <c r="F44" i="1" s="1"/>
  <c r="G44" i="1" s="1"/>
  <c r="N31" i="1"/>
  <c r="E31" i="1" s="1"/>
  <c r="F31" i="1" s="1"/>
  <c r="G31" i="1" s="1"/>
  <c r="N34" i="1"/>
  <c r="E34" i="1" s="1"/>
  <c r="F34" i="1" s="1"/>
  <c r="G34" i="1" s="1"/>
  <c r="O38" i="1"/>
  <c r="E38" i="1" s="1"/>
  <c r="F38" i="1" s="1"/>
  <c r="G38" i="1" s="1"/>
  <c r="N42" i="1"/>
  <c r="E42" i="1" s="1"/>
  <c r="F42" i="1" s="1"/>
  <c r="G42" i="1" s="1"/>
  <c r="O17" i="1"/>
  <c r="N27" i="1"/>
  <c r="N25" i="1"/>
  <c r="O26" i="1"/>
  <c r="E26" i="1" s="1"/>
  <c r="F26" i="1" s="1"/>
  <c r="G26" i="1" s="1"/>
  <c r="D60" i="1" s="1"/>
  <c r="E60" i="1" s="1"/>
  <c r="F60" i="1" s="1"/>
  <c r="O27" i="1"/>
  <c r="O29" i="1"/>
  <c r="N29" i="1"/>
  <c r="O28" i="1"/>
  <c r="N28" i="1"/>
  <c r="N16" i="1"/>
  <c r="O16" i="1"/>
  <c r="E15" i="1"/>
  <c r="F15" i="1" s="1"/>
  <c r="G15" i="1" s="1"/>
  <c r="H15" i="1" s="1"/>
  <c r="E17" i="1"/>
  <c r="F17" i="1" s="1"/>
  <c r="G17" i="1" s="1"/>
  <c r="D51" i="1" s="1"/>
  <c r="E51" i="1" s="1"/>
  <c r="F51" i="1" s="1"/>
  <c r="E22" i="1"/>
  <c r="F22" i="1" s="1"/>
  <c r="G22" i="1" s="1"/>
  <c r="D56" i="1" s="1"/>
  <c r="E56" i="1" s="1"/>
  <c r="F56" i="1" s="1"/>
  <c r="E25" i="1"/>
  <c r="F25" i="1" s="1"/>
  <c r="G25" i="1" s="1"/>
  <c r="D59" i="1" s="1"/>
  <c r="E59" i="1" s="1"/>
  <c r="F59" i="1" s="1"/>
  <c r="E24" i="1"/>
  <c r="F24" i="1" s="1"/>
  <c r="G24" i="1" s="1"/>
  <c r="D58" i="1" s="1"/>
  <c r="E58" i="1" s="1"/>
  <c r="F58" i="1" s="1"/>
  <c r="E19" i="1"/>
  <c r="F19" i="1" s="1"/>
  <c r="G19" i="1" s="1"/>
  <c r="D53" i="1" s="1"/>
  <c r="E53" i="1" s="1"/>
  <c r="F53" i="1" s="1"/>
  <c r="E18" i="1"/>
  <c r="F18" i="1" s="1"/>
  <c r="G18" i="1" s="1"/>
  <c r="D52" i="1" s="1"/>
  <c r="E52" i="1" s="1"/>
  <c r="F52" i="1" s="1"/>
  <c r="E21" i="1"/>
  <c r="F21" i="1" s="1"/>
  <c r="G21" i="1" s="1"/>
  <c r="D55" i="1" s="1"/>
  <c r="E55" i="1" s="1"/>
  <c r="F55" i="1" s="1"/>
  <c r="E20" i="1"/>
  <c r="F20" i="1" s="1"/>
  <c r="G20" i="1" s="1"/>
  <c r="D54" i="1" s="1"/>
  <c r="E54" i="1" s="1"/>
  <c r="F54" i="1" s="1"/>
  <c r="E23" i="1"/>
  <c r="F23" i="1" s="1"/>
  <c r="G23" i="1" s="1"/>
  <c r="D57" i="1" s="1"/>
  <c r="E57" i="1" s="1"/>
  <c r="F57" i="1" s="1"/>
  <c r="H42" i="1" l="1"/>
  <c r="D76" i="1"/>
  <c r="E76" i="1" s="1"/>
  <c r="F76" i="1" s="1"/>
  <c r="H34" i="1"/>
  <c r="D68" i="1"/>
  <c r="E68" i="1" s="1"/>
  <c r="F68" i="1" s="1"/>
  <c r="H44" i="1"/>
  <c r="D78" i="1"/>
  <c r="E78" i="1" s="1"/>
  <c r="F78" i="1" s="1"/>
  <c r="H36" i="1"/>
  <c r="D70" i="1"/>
  <c r="E70" i="1" s="1"/>
  <c r="F70" i="1" s="1"/>
  <c r="H41" i="1"/>
  <c r="D75" i="1"/>
  <c r="E75" i="1" s="1"/>
  <c r="F75" i="1" s="1"/>
  <c r="H33" i="1"/>
  <c r="D67" i="1"/>
  <c r="E67" i="1" s="1"/>
  <c r="F67" i="1" s="1"/>
  <c r="H38" i="1"/>
  <c r="D72" i="1"/>
  <c r="E72" i="1" s="1"/>
  <c r="F72" i="1" s="1"/>
  <c r="H31" i="1"/>
  <c r="D65" i="1"/>
  <c r="E65" i="1" s="1"/>
  <c r="F65" i="1" s="1"/>
  <c r="H40" i="1"/>
  <c r="D74" i="1"/>
  <c r="E74" i="1" s="1"/>
  <c r="F74" i="1" s="1"/>
  <c r="H32" i="1"/>
  <c r="D66" i="1"/>
  <c r="E66" i="1" s="1"/>
  <c r="F66" i="1" s="1"/>
  <c r="H37" i="1"/>
  <c r="D71" i="1"/>
  <c r="E71" i="1" s="1"/>
  <c r="F71" i="1" s="1"/>
  <c r="H30" i="1"/>
  <c r="D64" i="1"/>
  <c r="E64" i="1" s="1"/>
  <c r="F64" i="1" s="1"/>
  <c r="H43" i="1"/>
  <c r="D77" i="1"/>
  <c r="E77" i="1" s="1"/>
  <c r="F77" i="1" s="1"/>
  <c r="H35" i="1"/>
  <c r="D69" i="1"/>
  <c r="E69" i="1" s="1"/>
  <c r="F69" i="1" s="1"/>
  <c r="E39" i="1"/>
  <c r="F39" i="1" s="1"/>
  <c r="G39" i="1" s="1"/>
  <c r="E27" i="1"/>
  <c r="F27" i="1" s="1"/>
  <c r="G27" i="1" s="1"/>
  <c r="H27" i="1" s="1"/>
  <c r="E28" i="1"/>
  <c r="F28" i="1" s="1"/>
  <c r="G28" i="1" s="1"/>
  <c r="E29" i="1"/>
  <c r="F29" i="1" s="1"/>
  <c r="G29" i="1" s="1"/>
  <c r="E16" i="1"/>
  <c r="F16" i="1" s="1"/>
  <c r="G16" i="1" s="1"/>
  <c r="D50" i="1" s="1"/>
  <c r="E50" i="1" s="1"/>
  <c r="F50" i="1" s="1"/>
  <c r="D49" i="1"/>
  <c r="E49" i="1" s="1"/>
  <c r="F49" i="1" s="1"/>
  <c r="H20" i="1"/>
  <c r="H18" i="1"/>
  <c r="H24" i="1"/>
  <c r="H26" i="1"/>
  <c r="H17" i="1"/>
  <c r="H23" i="1"/>
  <c r="H21" i="1"/>
  <c r="H19" i="1"/>
  <c r="H25" i="1"/>
  <c r="H22" i="1"/>
  <c r="H39" i="1" l="1"/>
  <c r="D73" i="1"/>
  <c r="E73" i="1" s="1"/>
  <c r="F73" i="1" s="1"/>
  <c r="D61" i="1"/>
  <c r="E61" i="1" s="1"/>
  <c r="F61" i="1" s="1"/>
  <c r="H28" i="1"/>
  <c r="D62" i="1"/>
  <c r="E62" i="1" s="1"/>
  <c r="F62" i="1" s="1"/>
  <c r="H29" i="1"/>
  <c r="D63" i="1"/>
  <c r="E63" i="1" s="1"/>
  <c r="F63" i="1" s="1"/>
  <c r="H16" i="1"/>
  <c r="C46" i="1" l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<sst xmlns="http://schemas.openxmlformats.org/spreadsheetml/2006/main" count="41" uniqueCount="38">
  <si>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</si>
  <si>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</si>
  <si>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</si>
  <si>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</si>
  <si>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</si>
  <si>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</si>
  <si>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</si>
  <si>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</si>
  <si>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</si>
  <si>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</si>
  <si>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</si>
  <si>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</si>
  <si>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</si>
  <si>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</si>
  <si>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</si>
  <si>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</si>
  <si>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</si>
  <si>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r_c=R_max=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</si>
  <si>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</si>
  <si>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</si>
  <si>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</si>
  <si>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</si>
  <si>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</si>
  <si>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</si>
  <si>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</si>
  <si>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</si>
  <si>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</si>
  <si>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</si>
  <si>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</si>
  <si>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</si>
  <si>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</si>
  <si>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</si>
  <si>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</si>
  <si>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</si>
  <si>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</si>
  <si>
    <t>ρ0=</t>
  </si>
  <si>
    <t>=M_tot/4.π.r_c^3.I(infini)</t>
  </si>
  <si>
    <t>NGC2915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</si>
</sst>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/>
    <xf numFmtId="0" fontId="6" fillId="0" borderId="16" xfId="0" applyFont="1" applyBorder="1" applyAlignment="1">
      <alignment horizontal="justify" vertical="center"/>
    </xf>
    <xf numFmtId="0" fontId="10" fillId="0" borderId="14" xfId="0" applyFont="1" applyBorder="1" applyAlignment="1">
      <alignment horizontal="right" vertical="center" wrapText="1" indent="1" readingOrder="1"/>
    </xf>
    <xf numFmtId="0" fontId="11" fillId="0" borderId="0" xfId="0" applyFont="1" applyBorder="1" applyAlignment="1">
      <alignment horizontal="right" vertical="center" wrapText="1" indent="1" readingOrder="1"/>
    </xf>
    <xf numFmtId="0" fontId="10" fillId="0" borderId="0" xfId="0" applyFont="1" applyBorder="1" applyAlignment="1">
      <alignment horizontal="righ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'NGC2915'!$B$48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'NGC2915'!$C$49:$C$78</c:f>
                <c:numCache>
                  <c:formatCode>General</c:formatCode>
                  <c:ptCount val="30"/>
                  <c:pt idx="0">
                    <c:v>10.1</c:v>
                  </c:pt>
                  <c:pt idx="1">
                    <c:v>12.5</c:v>
                  </c:pt>
                  <c:pt idx="2">
                    <c:v>13.4</c:v>
                  </c:pt>
                  <c:pt idx="3">
                    <c:v>9.3800000000000008</c:v>
                  </c:pt>
                  <c:pt idx="4">
                    <c:v>10.1</c:v>
                  </c:pt>
                  <c:pt idx="5">
                    <c:v>11.9</c:v>
                  </c:pt>
                  <c:pt idx="6">
                    <c:v>11.6</c:v>
                  </c:pt>
                  <c:pt idx="7">
                    <c:v>9.17</c:v>
                  </c:pt>
                  <c:pt idx="8">
                    <c:v>7.66</c:v>
                  </c:pt>
                  <c:pt idx="9">
                    <c:v>8.18</c:v>
                  </c:pt>
                  <c:pt idx="10">
                    <c:v>7.93</c:v>
                  </c:pt>
                  <c:pt idx="11">
                    <c:v>6.95</c:v>
                  </c:pt>
                  <c:pt idx="12">
                    <c:v>7.19</c:v>
                  </c:pt>
                  <c:pt idx="13">
                    <c:v>7.85</c:v>
                  </c:pt>
                  <c:pt idx="14">
                    <c:v>7.57</c:v>
                  </c:pt>
                  <c:pt idx="15">
                    <c:v>7.92</c:v>
                  </c:pt>
                  <c:pt idx="16">
                    <c:v>8.33</c:v>
                  </c:pt>
                  <c:pt idx="17">
                    <c:v>7.88</c:v>
                  </c:pt>
                  <c:pt idx="18">
                    <c:v>6.15</c:v>
                  </c:pt>
                  <c:pt idx="19">
                    <c:v>6.11</c:v>
                  </c:pt>
                  <c:pt idx="20">
                    <c:v>5.59</c:v>
                  </c:pt>
                  <c:pt idx="21">
                    <c:v>6.33</c:v>
                  </c:pt>
                  <c:pt idx="22">
                    <c:v>6.41</c:v>
                  </c:pt>
                  <c:pt idx="23">
                    <c:v>7.86</c:v>
                  </c:pt>
                  <c:pt idx="24">
                    <c:v>7.82</c:v>
                  </c:pt>
                  <c:pt idx="25">
                    <c:v>7.09</c:v>
                  </c:pt>
                  <c:pt idx="26">
                    <c:v>5.74</c:v>
                  </c:pt>
                  <c:pt idx="27">
                    <c:v>5.54</c:v>
                  </c:pt>
                  <c:pt idx="28">
                    <c:v>5.23</c:v>
                  </c:pt>
                  <c:pt idx="29">
                    <c:v>6.45</c:v>
                  </c:pt>
                </c:numCache>
              </c:numRef>
            </c:plus>
            <c:minus>
              <c:numRef>
                <c:f>'NGC2915'!$C$49:$C$78</c:f>
                <c:numCache>
                  <c:formatCode>General</c:formatCode>
                  <c:ptCount val="30"/>
                  <c:pt idx="0">
                    <c:v>10.1</c:v>
                  </c:pt>
                  <c:pt idx="1">
                    <c:v>12.5</c:v>
                  </c:pt>
                  <c:pt idx="2">
                    <c:v>13.4</c:v>
                  </c:pt>
                  <c:pt idx="3">
                    <c:v>9.3800000000000008</c:v>
                  </c:pt>
                  <c:pt idx="4">
                    <c:v>10.1</c:v>
                  </c:pt>
                  <c:pt idx="5">
                    <c:v>11.9</c:v>
                  </c:pt>
                  <c:pt idx="6">
                    <c:v>11.6</c:v>
                  </c:pt>
                  <c:pt idx="7">
                    <c:v>9.17</c:v>
                  </c:pt>
                  <c:pt idx="8">
                    <c:v>7.66</c:v>
                  </c:pt>
                  <c:pt idx="9">
                    <c:v>8.18</c:v>
                  </c:pt>
                  <c:pt idx="10">
                    <c:v>7.93</c:v>
                  </c:pt>
                  <c:pt idx="11">
                    <c:v>6.95</c:v>
                  </c:pt>
                  <c:pt idx="12">
                    <c:v>7.19</c:v>
                  </c:pt>
                  <c:pt idx="13">
                    <c:v>7.85</c:v>
                  </c:pt>
                  <c:pt idx="14">
                    <c:v>7.57</c:v>
                  </c:pt>
                  <c:pt idx="15">
                    <c:v>7.92</c:v>
                  </c:pt>
                  <c:pt idx="16">
                    <c:v>8.33</c:v>
                  </c:pt>
                  <c:pt idx="17">
                    <c:v>7.88</c:v>
                  </c:pt>
                  <c:pt idx="18">
                    <c:v>6.15</c:v>
                  </c:pt>
                  <c:pt idx="19">
                    <c:v>6.11</c:v>
                  </c:pt>
                  <c:pt idx="20">
                    <c:v>5.59</c:v>
                  </c:pt>
                  <c:pt idx="21">
                    <c:v>6.33</c:v>
                  </c:pt>
                  <c:pt idx="22">
                    <c:v>6.41</c:v>
                  </c:pt>
                  <c:pt idx="23">
                    <c:v>7.86</c:v>
                  </c:pt>
                  <c:pt idx="24">
                    <c:v>7.82</c:v>
                  </c:pt>
                  <c:pt idx="25">
                    <c:v>7.09</c:v>
                  </c:pt>
                  <c:pt idx="26">
                    <c:v>5.74</c:v>
                  </c:pt>
                  <c:pt idx="27">
                    <c:v>5.54</c:v>
                  </c:pt>
                  <c:pt idx="28">
                    <c:v>5.23</c:v>
                  </c:pt>
                  <c:pt idx="29">
                    <c:v>6.45</c:v>
                  </c:pt>
                </c:numCache>
              </c:numRef>
            </c:minus>
          </c:errBars>
          <c:xVal>
            <c:numRef>
              <c:f>'NGC2915'!$A$49:$A$78</c:f>
              <c:numCache>
                <c:formatCode>General</c:formatCode>
                <c:ptCount val="30"/>
                <c:pt idx="0">
                  <c:v>0.34</c:v>
                </c:pt>
                <c:pt idx="1">
                  <c:v>0.67</c:v>
                </c:pt>
                <c:pt idx="2">
                  <c:v>1</c:v>
                </c:pt>
                <c:pt idx="3">
                  <c:v>1.34</c:v>
                </c:pt>
                <c:pt idx="4">
                  <c:v>1.68</c:v>
                </c:pt>
                <c:pt idx="5">
                  <c:v>2.0099999999999998</c:v>
                </c:pt>
                <c:pt idx="6">
                  <c:v>2.34</c:v>
                </c:pt>
                <c:pt idx="7">
                  <c:v>2.67</c:v>
                </c:pt>
                <c:pt idx="8">
                  <c:v>3.01</c:v>
                </c:pt>
                <c:pt idx="9">
                  <c:v>3.35</c:v>
                </c:pt>
                <c:pt idx="10">
                  <c:v>3.68</c:v>
                </c:pt>
                <c:pt idx="11">
                  <c:v>4.0199999999999996</c:v>
                </c:pt>
                <c:pt idx="12">
                  <c:v>4.3499999999999996</c:v>
                </c:pt>
                <c:pt idx="13">
                  <c:v>4.68</c:v>
                </c:pt>
                <c:pt idx="14">
                  <c:v>5.0199999999999996</c:v>
                </c:pt>
                <c:pt idx="15">
                  <c:v>5.35</c:v>
                </c:pt>
                <c:pt idx="16">
                  <c:v>5.69</c:v>
                </c:pt>
                <c:pt idx="17">
                  <c:v>6.03</c:v>
                </c:pt>
                <c:pt idx="18">
                  <c:v>6.36</c:v>
                </c:pt>
                <c:pt idx="19">
                  <c:v>6.69</c:v>
                </c:pt>
                <c:pt idx="20">
                  <c:v>7.02</c:v>
                </c:pt>
                <c:pt idx="21">
                  <c:v>7.36</c:v>
                </c:pt>
                <c:pt idx="22">
                  <c:v>7.7</c:v>
                </c:pt>
                <c:pt idx="23">
                  <c:v>8.0299999999999994</c:v>
                </c:pt>
                <c:pt idx="24">
                  <c:v>8.3699999999999992</c:v>
                </c:pt>
                <c:pt idx="25">
                  <c:v>8.6999999999999993</c:v>
                </c:pt>
                <c:pt idx="26">
                  <c:v>9.0299999999999994</c:v>
                </c:pt>
                <c:pt idx="27">
                  <c:v>9.3699999999999992</c:v>
                </c:pt>
                <c:pt idx="28">
                  <c:v>9.6999999999999993</c:v>
                </c:pt>
                <c:pt idx="29">
                  <c:v>10.039999999999999</c:v>
                </c:pt>
              </c:numCache>
            </c:numRef>
          </c:xVal>
          <c:yVal>
            <c:numRef>
              <c:f>'NGC2915'!$B$49:$B$78</c:f>
              <c:numCache>
                <c:formatCode>General</c:formatCode>
                <c:ptCount val="30"/>
                <c:pt idx="0">
                  <c:v>13.5</c:v>
                </c:pt>
                <c:pt idx="1">
                  <c:v>31.3</c:v>
                </c:pt>
                <c:pt idx="2">
                  <c:v>35.299999999999997</c:v>
                </c:pt>
                <c:pt idx="3">
                  <c:v>50.5</c:v>
                </c:pt>
                <c:pt idx="4">
                  <c:v>61</c:v>
                </c:pt>
                <c:pt idx="5">
                  <c:v>66.5</c:v>
                </c:pt>
                <c:pt idx="6">
                  <c:v>74.400000000000006</c:v>
                </c:pt>
                <c:pt idx="7">
                  <c:v>83</c:v>
                </c:pt>
                <c:pt idx="8">
                  <c:v>86.4</c:v>
                </c:pt>
                <c:pt idx="9">
                  <c:v>83.6</c:v>
                </c:pt>
                <c:pt idx="10">
                  <c:v>79.8</c:v>
                </c:pt>
                <c:pt idx="11">
                  <c:v>82.8</c:v>
                </c:pt>
                <c:pt idx="12">
                  <c:v>83.5</c:v>
                </c:pt>
                <c:pt idx="13">
                  <c:v>80.400000000000006</c:v>
                </c:pt>
                <c:pt idx="14">
                  <c:v>80.3</c:v>
                </c:pt>
                <c:pt idx="15">
                  <c:v>82.1</c:v>
                </c:pt>
                <c:pt idx="16">
                  <c:v>82.4</c:v>
                </c:pt>
                <c:pt idx="17">
                  <c:v>80.900000000000006</c:v>
                </c:pt>
                <c:pt idx="18">
                  <c:v>79</c:v>
                </c:pt>
                <c:pt idx="19">
                  <c:v>81.400000000000006</c:v>
                </c:pt>
                <c:pt idx="20">
                  <c:v>79.7</c:v>
                </c:pt>
                <c:pt idx="21">
                  <c:v>77.5</c:v>
                </c:pt>
                <c:pt idx="22">
                  <c:v>79.900000000000006</c:v>
                </c:pt>
                <c:pt idx="23">
                  <c:v>81.5</c:v>
                </c:pt>
                <c:pt idx="24">
                  <c:v>82.2</c:v>
                </c:pt>
                <c:pt idx="25">
                  <c:v>82</c:v>
                </c:pt>
                <c:pt idx="26">
                  <c:v>84.7</c:v>
                </c:pt>
                <c:pt idx="27">
                  <c:v>86.1</c:v>
                </c:pt>
                <c:pt idx="28">
                  <c:v>85.3</c:v>
                </c:pt>
                <c:pt idx="29">
                  <c:v>86.5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4896"/>
        <c:axId val="151063552"/>
      </c:scatterChart>
      <c:scatterChart>
        <c:scatterStyle val="smoothMarker"/>
        <c:varyColors val="0"/>
        <c:ser>
          <c:idx val="1"/>
          <c:order val="1"/>
          <c:tx>
            <c:strRef>
              <c:f>'NGC2915'!$D$48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'NGC2915'!$A$49:$A$78</c:f>
              <c:numCache>
                <c:formatCode>General</c:formatCode>
                <c:ptCount val="30"/>
                <c:pt idx="0">
                  <c:v>0.34</c:v>
                </c:pt>
                <c:pt idx="1">
                  <c:v>0.67</c:v>
                </c:pt>
                <c:pt idx="2">
                  <c:v>1</c:v>
                </c:pt>
                <c:pt idx="3">
                  <c:v>1.34</c:v>
                </c:pt>
                <c:pt idx="4">
                  <c:v>1.68</c:v>
                </c:pt>
                <c:pt idx="5">
                  <c:v>2.0099999999999998</c:v>
                </c:pt>
                <c:pt idx="6">
                  <c:v>2.34</c:v>
                </c:pt>
                <c:pt idx="7">
                  <c:v>2.67</c:v>
                </c:pt>
                <c:pt idx="8">
                  <c:v>3.01</c:v>
                </c:pt>
                <c:pt idx="9">
                  <c:v>3.35</c:v>
                </c:pt>
                <c:pt idx="10">
                  <c:v>3.68</c:v>
                </c:pt>
                <c:pt idx="11">
                  <c:v>4.0199999999999996</c:v>
                </c:pt>
                <c:pt idx="12">
                  <c:v>4.3499999999999996</c:v>
                </c:pt>
                <c:pt idx="13">
                  <c:v>4.68</c:v>
                </c:pt>
                <c:pt idx="14">
                  <c:v>5.0199999999999996</c:v>
                </c:pt>
                <c:pt idx="15">
                  <c:v>5.35</c:v>
                </c:pt>
                <c:pt idx="16">
                  <c:v>5.69</c:v>
                </c:pt>
                <c:pt idx="17">
                  <c:v>6.03</c:v>
                </c:pt>
                <c:pt idx="18">
                  <c:v>6.36</c:v>
                </c:pt>
                <c:pt idx="19">
                  <c:v>6.69</c:v>
                </c:pt>
                <c:pt idx="20">
                  <c:v>7.02</c:v>
                </c:pt>
                <c:pt idx="21">
                  <c:v>7.36</c:v>
                </c:pt>
                <c:pt idx="22">
                  <c:v>7.7</c:v>
                </c:pt>
                <c:pt idx="23">
                  <c:v>8.0299999999999994</c:v>
                </c:pt>
                <c:pt idx="24">
                  <c:v>8.3699999999999992</c:v>
                </c:pt>
                <c:pt idx="25">
                  <c:v>8.6999999999999993</c:v>
                </c:pt>
                <c:pt idx="26">
                  <c:v>9.0299999999999994</c:v>
                </c:pt>
                <c:pt idx="27">
                  <c:v>9.3699999999999992</c:v>
                </c:pt>
                <c:pt idx="28">
                  <c:v>9.6999999999999993</c:v>
                </c:pt>
                <c:pt idx="29">
                  <c:v>10.039999999999999</c:v>
                </c:pt>
              </c:numCache>
            </c:numRef>
          </c:xVal>
          <c:yVal>
            <c:numRef>
              <c:f>'NGC2915'!$D$49:$D$78</c:f>
              <c:numCache>
                <c:formatCode>General</c:formatCode>
                <c:ptCount val="30"/>
                <c:pt idx="0">
                  <c:v>6.97</c:v>
                </c:pt>
                <c:pt idx="1">
                  <c:v>13.18</c:v>
                </c:pt>
                <c:pt idx="2">
                  <c:v>19.36</c:v>
                </c:pt>
                <c:pt idx="3">
                  <c:v>25.7</c:v>
                </c:pt>
                <c:pt idx="4">
                  <c:v>31.79</c:v>
                </c:pt>
                <c:pt idx="5">
                  <c:v>37.46</c:v>
                </c:pt>
                <c:pt idx="6">
                  <c:v>42.9</c:v>
                </c:pt>
                <c:pt idx="7">
                  <c:v>48.03</c:v>
                </c:pt>
                <c:pt idx="8">
                  <c:v>52.96</c:v>
                </c:pt>
                <c:pt idx="9">
                  <c:v>57.55</c:v>
                </c:pt>
                <c:pt idx="10">
                  <c:v>61.63</c:v>
                </c:pt>
                <c:pt idx="11">
                  <c:v>65.44</c:v>
                </c:pt>
                <c:pt idx="12">
                  <c:v>68.78</c:v>
                </c:pt>
                <c:pt idx="13">
                  <c:v>71.75</c:v>
                </c:pt>
                <c:pt idx="14">
                  <c:v>74.44</c:v>
                </c:pt>
                <c:pt idx="15">
                  <c:v>76.69</c:v>
                </c:pt>
                <c:pt idx="16">
                  <c:v>78.66</c:v>
                </c:pt>
                <c:pt idx="17">
                  <c:v>80.290000000000006</c:v>
                </c:pt>
                <c:pt idx="18">
                  <c:v>81.569999999999993</c:v>
                </c:pt>
                <c:pt idx="19">
                  <c:v>82.58</c:v>
                </c:pt>
                <c:pt idx="20">
                  <c:v>83.33</c:v>
                </c:pt>
                <c:pt idx="21">
                  <c:v>83.86</c:v>
                </c:pt>
                <c:pt idx="22">
                  <c:v>84.17</c:v>
                </c:pt>
                <c:pt idx="23">
                  <c:v>84.29</c:v>
                </c:pt>
                <c:pt idx="24">
                  <c:v>84.23</c:v>
                </c:pt>
                <c:pt idx="25">
                  <c:v>84.03</c:v>
                </c:pt>
                <c:pt idx="26">
                  <c:v>83.71</c:v>
                </c:pt>
                <c:pt idx="27">
                  <c:v>83.26</c:v>
                </c:pt>
                <c:pt idx="28">
                  <c:v>82.74</c:v>
                </c:pt>
                <c:pt idx="29">
                  <c:v>82.12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4896"/>
        <c:axId val="151063552"/>
      </c:scatterChart>
      <c:valAx>
        <c:axId val="1389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063552"/>
        <c:crosses val="autoZero"/>
        <c:crossBetween val="midCat"/>
      </c:valAx>
      <c:valAx>
        <c:axId val="151063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44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'NGC2915'!$B$48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'NGC2915'!$A$49:$A$60</c:f>
              <c:numCache>
                <c:formatCode>General</c:formatCode>
                <c:ptCount val="12"/>
                <c:pt idx="0">
                  <c:v>0.34</c:v>
                </c:pt>
                <c:pt idx="1">
                  <c:v>0.67</c:v>
                </c:pt>
                <c:pt idx="2">
                  <c:v>1</c:v>
                </c:pt>
                <c:pt idx="3">
                  <c:v>1.34</c:v>
                </c:pt>
                <c:pt idx="4">
                  <c:v>1.68</c:v>
                </c:pt>
                <c:pt idx="5">
                  <c:v>2.0099999999999998</c:v>
                </c:pt>
                <c:pt idx="6">
                  <c:v>2.34</c:v>
                </c:pt>
                <c:pt idx="7">
                  <c:v>2.67</c:v>
                </c:pt>
                <c:pt idx="8">
                  <c:v>3.01</c:v>
                </c:pt>
                <c:pt idx="9">
                  <c:v>3.35</c:v>
                </c:pt>
                <c:pt idx="10">
                  <c:v>3.68</c:v>
                </c:pt>
                <c:pt idx="11">
                  <c:v>4.0199999999999996</c:v>
                </c:pt>
              </c:numCache>
            </c:numRef>
          </c:xVal>
          <c:yVal>
            <c:numRef>
              <c:f>'NGC2915'!$B$49:$B$60</c:f>
              <c:numCache>
                <c:formatCode>General</c:formatCode>
                <c:ptCount val="12"/>
                <c:pt idx="0">
                  <c:v>13.5</c:v>
                </c:pt>
                <c:pt idx="1">
                  <c:v>31.3</c:v>
                </c:pt>
                <c:pt idx="2">
                  <c:v>35.299999999999997</c:v>
                </c:pt>
                <c:pt idx="3">
                  <c:v>50.5</c:v>
                </c:pt>
                <c:pt idx="4">
                  <c:v>61</c:v>
                </c:pt>
                <c:pt idx="5">
                  <c:v>66.5</c:v>
                </c:pt>
                <c:pt idx="6">
                  <c:v>74.400000000000006</c:v>
                </c:pt>
                <c:pt idx="7">
                  <c:v>83</c:v>
                </c:pt>
                <c:pt idx="8">
                  <c:v>86.4</c:v>
                </c:pt>
                <c:pt idx="9">
                  <c:v>83.6</c:v>
                </c:pt>
                <c:pt idx="10">
                  <c:v>79.8</c:v>
                </c:pt>
                <c:pt idx="11">
                  <c:v>82.8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3952"/>
        <c:axId val="151295872"/>
      </c:scatterChart>
      <c:scatterChart>
        <c:scatterStyle val="smoothMarker"/>
        <c:varyColors val="0"/>
        <c:ser>
          <c:idx val="1"/>
          <c:order val="1"/>
          <c:tx>
            <c:strRef>
              <c:f>'NGC2915'!$D$48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'NGC2915'!$A$49:$A$60</c:f>
              <c:numCache>
                <c:formatCode>General</c:formatCode>
                <c:ptCount val="12"/>
                <c:pt idx="0">
                  <c:v>0.34</c:v>
                </c:pt>
                <c:pt idx="1">
                  <c:v>0.67</c:v>
                </c:pt>
                <c:pt idx="2">
                  <c:v>1</c:v>
                </c:pt>
                <c:pt idx="3">
                  <c:v>1.34</c:v>
                </c:pt>
                <c:pt idx="4">
                  <c:v>1.68</c:v>
                </c:pt>
                <c:pt idx="5">
                  <c:v>2.0099999999999998</c:v>
                </c:pt>
                <c:pt idx="6">
                  <c:v>2.34</c:v>
                </c:pt>
                <c:pt idx="7">
                  <c:v>2.67</c:v>
                </c:pt>
                <c:pt idx="8">
                  <c:v>3.01</c:v>
                </c:pt>
                <c:pt idx="9">
                  <c:v>3.35</c:v>
                </c:pt>
                <c:pt idx="10">
                  <c:v>3.68</c:v>
                </c:pt>
                <c:pt idx="11">
                  <c:v>4.0199999999999996</c:v>
                </c:pt>
              </c:numCache>
            </c:numRef>
          </c:xVal>
          <c:yVal>
            <c:numRef>
              <c:f>'NGC2915'!$D$49:$D$60</c:f>
              <c:numCache>
                <c:formatCode>General</c:formatCode>
                <c:ptCount val="12"/>
                <c:pt idx="0">
                  <c:v>6.97</c:v>
                </c:pt>
                <c:pt idx="1">
                  <c:v>13.18</c:v>
                </c:pt>
                <c:pt idx="2">
                  <c:v>19.36</c:v>
                </c:pt>
                <c:pt idx="3">
                  <c:v>25.7</c:v>
                </c:pt>
                <c:pt idx="4">
                  <c:v>31.79</c:v>
                </c:pt>
                <c:pt idx="5">
                  <c:v>37.46</c:v>
                </c:pt>
                <c:pt idx="6">
                  <c:v>42.9</c:v>
                </c:pt>
                <c:pt idx="7">
                  <c:v>48.03</c:v>
                </c:pt>
                <c:pt idx="8">
                  <c:v>52.96</c:v>
                </c:pt>
                <c:pt idx="9">
                  <c:v>57.55</c:v>
                </c:pt>
                <c:pt idx="10">
                  <c:v>61.63</c:v>
                </c:pt>
                <c:pt idx="11">
                  <c:v>65.44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3952"/>
        <c:axId val="151295872"/>
      </c:scatterChart>
      <c:valAx>
        <c:axId val="1512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295872"/>
        <c:crosses val="autoZero"/>
        <c:crossBetween val="midCat"/>
      </c:valAx>
      <c:valAx>
        <c:axId val="15129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93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49</xdr:row>
      <xdr:rowOff>28575</xdr:rowOff>
    </xdr:from>
    <xdr:to>
      <xdr:col>12</xdr:col>
      <xdr:colOff>1114425</xdr:colOff>
      <xdr:row>83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1"/>
  <sheetViews>
    <sheetView tabSelected="1" topLeftCell="A6" workbookViewId="0">
      <selection activeCell="I12" sqref="I12"/>
    </sheetView>
  </sheetViews>
  <sheetFormatPr baseColWidth="10" defaultRowHeight="18.75" x14ac:dyDescent="0.3"/>
  <cols>
    <col min="1" max="3" width="12.7109375" style="1" customWidth="1"/>
    <col min="4" max="4" width="21.42578125" style="1" customWidth="1"/>
    <col min="5" max="5" width="12.7109375" style="1" customWidth="1"/>
    <col min="6" max="6" width="1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6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37</v>
      </c>
      <c r="B9" s="14" t="s">
        <v>8</v>
      </c>
      <c r="C9" s="15">
        <f>A44</f>
        <v>10.039999999999999</v>
      </c>
      <c r="D9" s="14" t="s">
        <v>9</v>
      </c>
      <c r="E9" s="15">
        <f>B44</f>
        <v>86.5</v>
      </c>
      <c r="F9" s="10"/>
      <c r="G9" s="10"/>
      <c r="H9" s="10"/>
      <c r="I9" s="11"/>
    </row>
    <row r="10" spans="1:15" x14ac:dyDescent="0.3">
      <c r="B10" s="5" t="s">
        <v>10</v>
      </c>
      <c r="C10" s="36" t="s">
        <v>12</v>
      </c>
      <c r="D10" s="36"/>
      <c r="E10" s="9">
        <f>E9*E9*C9/I8</f>
        <v>17466527936.01339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6" t="s">
        <v>22</v>
      </c>
      <c r="H11" s="6"/>
      <c r="I11" s="2"/>
    </row>
    <row r="12" spans="1:15" x14ac:dyDescent="0.3">
      <c r="B12" s="5" t="s">
        <v>17</v>
      </c>
      <c r="C12" s="7">
        <f>C9</f>
        <v>10.039999999999999</v>
      </c>
      <c r="D12" s="5" t="s">
        <v>35</v>
      </c>
      <c r="E12" s="9">
        <f>(E10/(POWER(C12,3)*4*3.14159*H10))</f>
        <v>21170274.363319483</v>
      </c>
      <c r="F12" s="6" t="s">
        <v>14</v>
      </c>
      <c r="G12" s="18" t="s">
        <v>21</v>
      </c>
      <c r="H12" s="19">
        <v>3.1415899999999999</v>
      </c>
    </row>
    <row r="13" spans="1:15" x14ac:dyDescent="0.3">
      <c r="B13" s="2"/>
      <c r="D13" s="38" t="s">
        <v>36</v>
      </c>
      <c r="E13" s="38"/>
      <c r="F13" s="38"/>
    </row>
    <row r="14" spans="1:15" ht="19.5" thickBot="1" x14ac:dyDescent="0.35">
      <c r="A14" s="12" t="s">
        <v>7</v>
      </c>
      <c r="B14" s="12" t="s">
        <v>15</v>
      </c>
      <c r="C14" s="12" t="s">
        <v>16</v>
      </c>
      <c r="D14" s="12" t="s">
        <v>18</v>
      </c>
      <c r="E14" s="12" t="s">
        <v>31</v>
      </c>
      <c r="F14" s="12" t="s">
        <v>19</v>
      </c>
      <c r="G14" s="13" t="s">
        <v>20</v>
      </c>
      <c r="H14" s="12" t="s">
        <v>24</v>
      </c>
      <c r="J14" s="37" t="s">
        <v>30</v>
      </c>
      <c r="K14" s="37"/>
      <c r="L14" s="37"/>
      <c r="M14" s="37"/>
      <c r="N14" s="37"/>
      <c r="O14" s="37"/>
    </row>
    <row r="15" spans="1:15" ht="19.5" thickBot="1" x14ac:dyDescent="0.35">
      <c r="A15" s="33">
        <v>0.34</v>
      </c>
      <c r="B15" s="33">
        <v>13.5</v>
      </c>
      <c r="C15" s="33">
        <v>10.1</v>
      </c>
      <c r="D15" s="13">
        <f t="shared" ref="D15:D26" si="0">A15/$C$12</f>
        <v>3.3864541832669327E-2</v>
      </c>
      <c r="E15" s="13">
        <f>N15*K15+O15*M15</f>
        <v>1.4281707569721121E-5</v>
      </c>
      <c r="F15" s="13">
        <f>4*$H$12*$E$12*POWER($C$12,3)*E15</f>
        <v>3845185.1670335443</v>
      </c>
      <c r="G15" s="13">
        <f t="shared" ref="G15:G26" si="1">POWER($I$8*F15/A15,0.5)</f>
        <v>6.9742713903432598</v>
      </c>
      <c r="H15" s="13">
        <f t="shared" ref="H15:H26" si="2">ROUND(ABS((B15-G15)/B15)*100,2)</f>
        <v>48.34</v>
      </c>
      <c r="J15" s="13">
        <f>INDEX(Integrale!$H$3:$H$502,MATCH('NGC2915'!D15,Integrale!$H$3:$H$502,1))</f>
        <v>0.03</v>
      </c>
      <c r="K15" s="13">
        <f>INDEX(Integrale!$I$3:$I$502,MATCH('NGC2915'!D15,Integrale!$H$3:$H$502,1))</f>
        <v>9.4769999999999992E-6</v>
      </c>
      <c r="L15" s="13">
        <f>INDEX(Integrale!$H$3:$H$502,MATCH('NGC2915'!D15,Integrale!$H$3:$H$502,1)+1)</f>
        <v>0.04</v>
      </c>
      <c r="M15" s="13">
        <f>INDEX(Integrale!$I$3:$I$502,MATCH('NGC2915'!D15,Integrale!$H$3:$H$502,1)+1)</f>
        <v>2.1909800000000002E-5</v>
      </c>
      <c r="N15" s="13">
        <f>(L15-D15)/(L15-J15)</f>
        <v>0.61354581673306718</v>
      </c>
      <c r="O15" s="13">
        <f t="shared" ref="O15:O26" si="3">(D15-J15)/(L15-J15)</f>
        <v>0.38645418326693276</v>
      </c>
    </row>
    <row r="16" spans="1:15" ht="19.5" thickBot="1" x14ac:dyDescent="0.35">
      <c r="A16" s="33">
        <v>0.67</v>
      </c>
      <c r="B16" s="33">
        <v>31.3</v>
      </c>
      <c r="C16" s="33">
        <v>12.5</v>
      </c>
      <c r="D16" s="13">
        <f t="shared" si="0"/>
        <v>6.6733067729083675E-2</v>
      </c>
      <c r="E16" s="13">
        <f t="shared" ref="E16:E25" si="4">N16*K16+O16*M16</f>
        <v>1.0047547529880481E-4</v>
      </c>
      <c r="F16" s="13">
        <f t="shared" ref="F16:F26" si="5">4*$H$12*$E$12*POWER($C$12,3)*E16</f>
        <v>27051863.748331439</v>
      </c>
      <c r="G16" s="13">
        <f t="shared" si="1"/>
        <v>13.177737943450943</v>
      </c>
      <c r="H16" s="13">
        <f t="shared" si="2"/>
        <v>57.9</v>
      </c>
      <c r="J16" s="13">
        <f>INDEX(Integrale!$H$3:$H$502,MATCH('NGC2915'!D16,Integrale!$H$3:$H$502,1))</f>
        <v>0.06</v>
      </c>
      <c r="K16" s="13">
        <f>INDEX(Integrale!$I$3:$I$502,MATCH('NGC2915'!D16,Integrale!$H$3:$H$502,1))</f>
        <v>7.2353000000000003E-5</v>
      </c>
      <c r="L16" s="13">
        <f>INDEX(Integrale!$H$3:$H$502,MATCH('NGC2915'!D16,Integrale!$H$3:$H$502,1)+1)</f>
        <v>7.0000000000000007E-2</v>
      </c>
      <c r="M16" s="13">
        <f>INDEX(Integrale!$I$3:$I$502,MATCH('NGC2915'!D16,Integrale!$H$3:$H$502,1)+1)</f>
        <v>1.1412070000000001E-4</v>
      </c>
      <c r="N16" s="13">
        <f t="shared" ref="N16:N26" si="6">(L16-D16)/(L16-J16)</f>
        <v>0.32669322709163284</v>
      </c>
      <c r="O16" s="13">
        <f t="shared" si="3"/>
        <v>0.67330677290836716</v>
      </c>
    </row>
    <row r="17" spans="1:15" ht="19.5" thickBot="1" x14ac:dyDescent="0.35">
      <c r="A17" s="33">
        <v>1</v>
      </c>
      <c r="B17" s="33">
        <v>35.299999999999997</v>
      </c>
      <c r="C17" s="33">
        <v>13.4</v>
      </c>
      <c r="D17" s="13">
        <f t="shared" si="0"/>
        <v>9.9601593625498017E-2</v>
      </c>
      <c r="E17" s="13">
        <f t="shared" si="4"/>
        <v>3.2351717290836655E-4</v>
      </c>
      <c r="F17" s="13">
        <f t="shared" si="5"/>
        <v>87103270.282978401</v>
      </c>
      <c r="G17" s="13">
        <f t="shared" si="1"/>
        <v>19.355166110371201</v>
      </c>
      <c r="H17" s="13">
        <f t="shared" si="2"/>
        <v>45.17</v>
      </c>
      <c r="J17" s="13">
        <f>INDEX(Integrale!$H$3:$H$502,MATCH('NGC2915'!D17,Integrale!$H$3:$H$502,1))</f>
        <v>0.09</v>
      </c>
      <c r="K17" s="13">
        <f>INDEX(Integrale!$I$3:$I$502,MATCH('NGC2915'!D17,Integrale!$H$3:$H$502,1))</f>
        <v>2.3974010000000001E-4</v>
      </c>
      <c r="L17" s="13">
        <f>INDEX(Integrale!$H$3:$H$502,MATCH('NGC2915'!D17,Integrale!$H$3:$H$502,1)+1)</f>
        <v>0.1</v>
      </c>
      <c r="M17" s="13">
        <f>INDEX(Integrale!$I$3:$I$502,MATCH('NGC2915'!D17,Integrale!$H$3:$H$502,1)+1)</f>
        <v>3.2699340000000001E-4</v>
      </c>
      <c r="N17" s="13">
        <f t="shared" si="6"/>
        <v>3.9840637450198856E-2</v>
      </c>
      <c r="O17" s="13">
        <f t="shared" si="3"/>
        <v>0.96015936254980117</v>
      </c>
    </row>
    <row r="18" spans="1:15" ht="19.5" thickBot="1" x14ac:dyDescent="0.35">
      <c r="A18" s="33">
        <v>1.34</v>
      </c>
      <c r="B18" s="33">
        <v>50.5</v>
      </c>
      <c r="C18" s="33">
        <v>9.3800000000000008</v>
      </c>
      <c r="D18" s="13">
        <f t="shared" si="0"/>
        <v>0.13346613545816735</v>
      </c>
      <c r="E18" s="13">
        <f t="shared" si="4"/>
        <v>7.640748227091636E-4</v>
      </c>
      <c r="F18" s="13">
        <f t="shared" si="5"/>
        <v>205718340.08238494</v>
      </c>
      <c r="G18" s="13">
        <f t="shared" si="1"/>
        <v>25.695896775356918</v>
      </c>
      <c r="H18" s="13">
        <f t="shared" si="2"/>
        <v>49.12</v>
      </c>
      <c r="J18" s="13">
        <f>INDEX(Integrale!$H$3:$H$502,MATCH('NGC2915'!D18,Integrale!$H$3:$H$502,1))</f>
        <v>0.13</v>
      </c>
      <c r="K18" s="13">
        <f>INDEX(Integrale!$I$3:$I$502,MATCH('NGC2915'!D18,Integrale!$H$3:$H$502,1))</f>
        <v>7.0528050000000003E-4</v>
      </c>
      <c r="L18" s="13">
        <f>INDEX(Integrale!$H$3:$H$502,MATCH('NGC2915'!D18,Integrale!$H$3:$H$502,1)+1)</f>
        <v>0.14000000000000001</v>
      </c>
      <c r="M18" s="13">
        <f>INDEX(Integrale!$I$3:$I$502,MATCH('NGC2915'!D18,Integrale!$H$3:$H$502,1)+1)</f>
        <v>8.7490549999999999E-4</v>
      </c>
      <c r="N18" s="13">
        <f t="shared" si="6"/>
        <v>0.65338645418326569</v>
      </c>
      <c r="O18" s="13">
        <f t="shared" si="3"/>
        <v>0.34661354581673431</v>
      </c>
    </row>
    <row r="19" spans="1:15" ht="19.5" thickBot="1" x14ac:dyDescent="0.35">
      <c r="A19" s="33">
        <v>1.68</v>
      </c>
      <c r="B19" s="33">
        <v>61</v>
      </c>
      <c r="C19" s="33">
        <v>10.1</v>
      </c>
      <c r="D19" s="13">
        <f t="shared" si="0"/>
        <v>0.16733067729083667</v>
      </c>
      <c r="E19" s="13">
        <f t="shared" si="4"/>
        <v>1.4659869561752992E-3</v>
      </c>
      <c r="F19" s="13">
        <f t="shared" si="5"/>
        <v>394700092.50861508</v>
      </c>
      <c r="G19" s="13">
        <f t="shared" si="1"/>
        <v>31.787666332638835</v>
      </c>
      <c r="H19" s="13">
        <f t="shared" si="2"/>
        <v>47.89</v>
      </c>
      <c r="J19" s="13">
        <f>INDEX(Integrale!$H$3:$H$502,MATCH('NGC2915'!D19,Integrale!$H$3:$H$502,1))</f>
        <v>0.16</v>
      </c>
      <c r="K19" s="13">
        <f>INDEX(Integrale!$I$3:$I$502,MATCH('NGC2915'!D19,Integrale!$H$3:$H$502,1))</f>
        <v>1.2868339999999999E-3</v>
      </c>
      <c r="L19" s="13">
        <f>INDEX(Integrale!$H$3:$H$502,MATCH('NGC2915'!D19,Integrale!$H$3:$H$502,1)+1)</f>
        <v>0.17</v>
      </c>
      <c r="M19" s="13">
        <f>INDEX(Integrale!$I$3:$I$502,MATCH('NGC2915'!D19,Integrale!$H$3:$H$502,1)+1)</f>
        <v>1.5312220000000001E-3</v>
      </c>
      <c r="N19" s="13">
        <f t="shared" si="6"/>
        <v>0.26693227091633387</v>
      </c>
      <c r="O19" s="13">
        <f t="shared" si="3"/>
        <v>0.73306772908366613</v>
      </c>
    </row>
    <row r="20" spans="1:15" ht="19.5" thickBot="1" x14ac:dyDescent="0.35">
      <c r="A20" s="33">
        <v>2.0099999999999998</v>
      </c>
      <c r="B20" s="33">
        <v>66.5</v>
      </c>
      <c r="C20" s="33">
        <v>11.9</v>
      </c>
      <c r="D20" s="13">
        <f t="shared" si="0"/>
        <v>0.20019920318725098</v>
      </c>
      <c r="E20" s="13">
        <f t="shared" si="4"/>
        <v>2.435256200398406E-3</v>
      </c>
      <c r="F20" s="13">
        <f t="shared" si="5"/>
        <v>655664665.72605157</v>
      </c>
      <c r="G20" s="13">
        <f t="shared" si="1"/>
        <v>37.4560980881703</v>
      </c>
      <c r="H20" s="13">
        <f t="shared" si="2"/>
        <v>43.68</v>
      </c>
      <c r="J20" s="13">
        <f>INDEX(Integrale!$H$3:$H$502,MATCH('NGC2915'!D20,Integrale!$H$3:$H$502,1))</f>
        <v>0.2</v>
      </c>
      <c r="K20" s="13">
        <f>INDEX(Integrale!$I$3:$I$502,MATCH('NGC2915'!D20,Integrale!$H$3:$H$502,1))</f>
        <v>2.4281708000000002E-3</v>
      </c>
      <c r="L20" s="13">
        <f>INDEX(Integrale!$H$3:$H$502,MATCH('NGC2915'!D20,Integrale!$H$3:$H$502,1)+1)</f>
        <v>0.21</v>
      </c>
      <c r="M20" s="13">
        <f>INDEX(Integrale!$I$3:$I$502,MATCH('NGC2915'!D20,Integrale!$H$3:$H$502,1)+1)</f>
        <v>2.7838579000000001E-3</v>
      </c>
      <c r="N20" s="13">
        <f t="shared" si="6"/>
        <v>0.98007968127490264</v>
      </c>
      <c r="O20" s="13">
        <f t="shared" si="3"/>
        <v>1.9920318725097402E-2</v>
      </c>
    </row>
    <row r="21" spans="1:15" ht="19.5" thickBot="1" x14ac:dyDescent="0.35">
      <c r="A21" s="33">
        <v>2.34</v>
      </c>
      <c r="B21" s="33">
        <v>74.400000000000006</v>
      </c>
      <c r="C21" s="33">
        <v>11.6</v>
      </c>
      <c r="D21" s="13">
        <f t="shared" si="0"/>
        <v>0.23306772908366535</v>
      </c>
      <c r="E21" s="13">
        <f t="shared" si="4"/>
        <v>3.7189227003984072E-3</v>
      </c>
      <c r="F21" s="13">
        <f t="shared" si="5"/>
        <v>1001277076.6455011</v>
      </c>
      <c r="G21" s="13">
        <f t="shared" si="1"/>
        <v>42.899169093942831</v>
      </c>
      <c r="H21" s="13">
        <f t="shared" si="2"/>
        <v>42.34</v>
      </c>
      <c r="J21" s="13">
        <f>INDEX(Integrale!$H$3:$H$502,MATCH('NGC2915'!D21,Integrale!$H$3:$H$502,1))</f>
        <v>0.23</v>
      </c>
      <c r="K21" s="13">
        <f>INDEX(Integrale!$I$3:$I$502,MATCH('NGC2915'!D21,Integrale!$H$3:$H$502,1))</f>
        <v>3.5828125000000001E-3</v>
      </c>
      <c r="L21" s="13">
        <f>INDEX(Integrale!$H$3:$H$502,MATCH('NGC2915'!D21,Integrale!$H$3:$H$502,1)+1)</f>
        <v>0.24</v>
      </c>
      <c r="M21" s="13">
        <f>INDEX(Integrale!$I$3:$I$502,MATCH('NGC2915'!D21,Integrale!$H$3:$H$502,1)+1)</f>
        <v>4.0264964000000002E-3</v>
      </c>
      <c r="N21" s="13">
        <f t="shared" si="6"/>
        <v>0.69322709163346508</v>
      </c>
      <c r="O21" s="13">
        <f t="shared" si="3"/>
        <v>0.30677290836653492</v>
      </c>
    </row>
    <row r="22" spans="1:15" ht="19.5" thickBot="1" x14ac:dyDescent="0.35">
      <c r="A22" s="33">
        <v>2.67</v>
      </c>
      <c r="B22" s="33">
        <v>83</v>
      </c>
      <c r="C22" s="33">
        <v>9.17</v>
      </c>
      <c r="D22" s="13">
        <f t="shared" si="0"/>
        <v>0.26593625498007972</v>
      </c>
      <c r="E22" s="13">
        <f t="shared" si="4"/>
        <v>5.318197227888447E-3</v>
      </c>
      <c r="F22" s="13">
        <f t="shared" si="5"/>
        <v>1431863311.596632</v>
      </c>
      <c r="G22" s="13">
        <f t="shared" si="1"/>
        <v>48.025823721588182</v>
      </c>
      <c r="H22" s="13">
        <f t="shared" si="2"/>
        <v>42.14</v>
      </c>
      <c r="J22" s="13">
        <f>INDEX(Integrale!$H$3:$H$502,MATCH('NGC2915'!D22,Integrale!$H$3:$H$502,1))</f>
        <v>0.26</v>
      </c>
      <c r="K22" s="13">
        <f>INDEX(Integrale!$I$3:$I$502,MATCH('NGC2915'!D22,Integrale!$H$3:$H$502,1))</f>
        <v>5.0024203999999997E-3</v>
      </c>
      <c r="L22" s="13">
        <f>INDEX(Integrale!$H$3:$H$502,MATCH('NGC2915'!D22,Integrale!$H$3:$H$502,1)+1)</f>
        <v>0.27</v>
      </c>
      <c r="M22" s="13">
        <f>INDEX(Integrale!$I$3:$I$502,MATCH('NGC2915'!D22,Integrale!$H$3:$H$502,1)+1)</f>
        <v>5.5343666E-3</v>
      </c>
      <c r="N22" s="13">
        <f t="shared" si="6"/>
        <v>0.40637450199202912</v>
      </c>
      <c r="O22" s="13">
        <f t="shared" si="3"/>
        <v>0.59362549800797082</v>
      </c>
    </row>
    <row r="23" spans="1:15" ht="19.5" thickBot="1" x14ac:dyDescent="0.35">
      <c r="A23" s="33">
        <v>3.01</v>
      </c>
      <c r="B23" s="33">
        <v>86.4</v>
      </c>
      <c r="C23" s="33">
        <v>7.66</v>
      </c>
      <c r="D23" s="13">
        <f t="shared" si="0"/>
        <v>0.29980079681274902</v>
      </c>
      <c r="E23" s="13">
        <f t="shared" si="4"/>
        <v>7.2897320577689252E-3</v>
      </c>
      <c r="F23" s="13">
        <f t="shared" si="5"/>
        <v>1962676342.6811528</v>
      </c>
      <c r="G23" s="13">
        <f t="shared" si="1"/>
        <v>52.95668223590242</v>
      </c>
      <c r="H23" s="13">
        <f t="shared" si="2"/>
        <v>38.71</v>
      </c>
      <c r="J23" s="13">
        <f>INDEX(Integrale!$H$3:$H$502,MATCH('NGC2915'!D23,Integrale!$H$3:$H$502,1))</f>
        <v>0.28999999999999998</v>
      </c>
      <c r="K23" s="13">
        <f>INDEX(Integrale!$I$3:$I$502,MATCH('NGC2915'!D23,Integrale!$H$3:$H$502,1))</f>
        <v>6.6846487000000003E-3</v>
      </c>
      <c r="L23" s="13">
        <f>INDEX(Integrale!$H$3:$H$502,MATCH('NGC2915'!D23,Integrale!$H$3:$H$502,1)+1)</f>
        <v>0.3</v>
      </c>
      <c r="M23" s="13">
        <f>INDEX(Integrale!$I$3:$I$502,MATCH('NGC2915'!D23,Integrale!$H$3:$H$502,1)+1)</f>
        <v>7.3020304999999999E-3</v>
      </c>
      <c r="N23" s="13">
        <f t="shared" si="6"/>
        <v>1.9920318725097346E-2</v>
      </c>
      <c r="O23" s="13">
        <f t="shared" si="3"/>
        <v>0.98007968127490264</v>
      </c>
    </row>
    <row r="24" spans="1:15" ht="19.5" thickBot="1" x14ac:dyDescent="0.35">
      <c r="A24" s="33">
        <v>3.35</v>
      </c>
      <c r="B24" s="33">
        <v>83.6</v>
      </c>
      <c r="C24" s="33">
        <v>8.18</v>
      </c>
      <c r="D24" s="13">
        <f t="shared" si="0"/>
        <v>0.33366533864541836</v>
      </c>
      <c r="E24" s="13">
        <f t="shared" si="4"/>
        <v>9.5800008458167343E-3</v>
      </c>
      <c r="F24" s="13">
        <f t="shared" si="5"/>
        <v>2579304818.605989</v>
      </c>
      <c r="G24" s="13">
        <f t="shared" si="1"/>
        <v>57.545133731894666</v>
      </c>
      <c r="H24" s="13">
        <f t="shared" si="2"/>
        <v>31.17</v>
      </c>
      <c r="J24" s="13">
        <f>INDEX(Integrale!$H$3:$H$502,MATCH('NGC2915'!D24,Integrale!$H$3:$H$502,1))</f>
        <v>0.33</v>
      </c>
      <c r="K24" s="13">
        <f>INDEX(Integrale!$I$3:$I$502,MATCH('NGC2915'!D24,Integrale!$H$3:$H$502,1))</f>
        <v>9.3153236999999993E-3</v>
      </c>
      <c r="L24" s="13">
        <f>INDEX(Integrale!$H$3:$H$502,MATCH('NGC2915'!D24,Integrale!$H$3:$H$502,1)+1)</f>
        <v>0.34</v>
      </c>
      <c r="M24" s="13">
        <f>INDEX(Integrale!$I$3:$I$502,MATCH('NGC2915'!D24,Integrale!$H$3:$H$502,1)+1)</f>
        <v>1.0037432000000001E-2</v>
      </c>
      <c r="N24" s="13">
        <f t="shared" si="6"/>
        <v>0.63346613545816555</v>
      </c>
      <c r="O24" s="13">
        <f t="shared" si="3"/>
        <v>0.36653386454183445</v>
      </c>
    </row>
    <row r="25" spans="1:15" ht="19.5" thickBot="1" x14ac:dyDescent="0.35">
      <c r="A25" s="33">
        <v>3.68</v>
      </c>
      <c r="B25" s="33">
        <v>79.8</v>
      </c>
      <c r="C25" s="33">
        <v>7.93</v>
      </c>
      <c r="D25" s="13">
        <f t="shared" si="0"/>
        <v>0.36653386454183273</v>
      </c>
      <c r="E25" s="13">
        <f t="shared" si="4"/>
        <v>1.2069097155378492E-2</v>
      </c>
      <c r="F25" s="13">
        <f t="shared" si="5"/>
        <v>3249465313.2191482</v>
      </c>
      <c r="G25" s="13">
        <f t="shared" si="1"/>
        <v>61.625678772221413</v>
      </c>
      <c r="H25" s="13">
        <f t="shared" si="2"/>
        <v>22.77</v>
      </c>
      <c r="J25" s="13">
        <f>INDEX(Integrale!$H$3:$H$502,MATCH('NGC2915'!D25,Integrale!$H$3:$H$502,1))</f>
        <v>0.36</v>
      </c>
      <c r="K25" s="13">
        <f>INDEX(Integrale!$I$3:$I$502,MATCH('NGC2915'!D25,Integrale!$H$3:$H$502,1))</f>
        <v>1.15524392E-2</v>
      </c>
      <c r="L25" s="13">
        <f>INDEX(Integrale!$H$3:$H$502,MATCH('NGC2915'!D25,Integrale!$H$3:$H$502,1)+1)</f>
        <v>0.37</v>
      </c>
      <c r="M25" s="13">
        <f>INDEX(Integrale!$I$3:$I$502,MATCH('NGC2915'!D25,Integrale!$H$3:$H$502,1)+1)</f>
        <v>1.23431779E-2</v>
      </c>
      <c r="N25" s="13">
        <f t="shared" si="6"/>
        <v>0.34661354581672599</v>
      </c>
      <c r="O25" s="13">
        <f t="shared" si="3"/>
        <v>0.65338645418327401</v>
      </c>
    </row>
    <row r="26" spans="1:15" ht="19.5" thickBot="1" x14ac:dyDescent="0.35">
      <c r="A26" s="33">
        <v>4.0199999999999996</v>
      </c>
      <c r="B26" s="33">
        <v>82.8</v>
      </c>
      <c r="C26" s="33">
        <v>6.95</v>
      </c>
      <c r="D26" s="13">
        <f t="shared" si="0"/>
        <v>0.40039840637450197</v>
      </c>
      <c r="E26" s="13">
        <f>N26*K26+O26*M26</f>
        <v>1.4868618361354578E-2</v>
      </c>
      <c r="F26" s="13">
        <f t="shared" si="5"/>
        <v>4003204133.5572338</v>
      </c>
      <c r="G26" s="13">
        <f t="shared" si="1"/>
        <v>65.444102193737493</v>
      </c>
      <c r="H26" s="13">
        <f t="shared" si="2"/>
        <v>20.96</v>
      </c>
      <c r="J26" s="13">
        <f>INDEX(Integrale!$H$3:$H$502,MATCH('NGC2915'!D26,Integrale!$H$3:$H$502,1))</f>
        <v>0.4</v>
      </c>
      <c r="K26" s="13">
        <f>INDEX(Integrale!$I$3:$I$502,MATCH('NGC2915'!D26,Integrale!$H$3:$H$502,1))</f>
        <v>1.48341297E-2</v>
      </c>
      <c r="L26" s="13">
        <f>INDEX(Integrale!$H$3:$H$502,MATCH('NGC2915'!D26,Integrale!$H$3:$H$502,1)+1)</f>
        <v>0.41</v>
      </c>
      <c r="M26" s="13">
        <f>INDEX(Integrale!$I$3:$I$502,MATCH('NGC2915'!D26,Integrale!$H$3:$H$502,1)+1)</f>
        <v>1.56997951E-2</v>
      </c>
      <c r="N26" s="13">
        <f t="shared" si="6"/>
        <v>0.96015936254980505</v>
      </c>
      <c r="O26" s="13">
        <f t="shared" si="3"/>
        <v>3.9840637450194914E-2</v>
      </c>
    </row>
    <row r="27" spans="1:15" ht="19.5" thickBot="1" x14ac:dyDescent="0.35">
      <c r="A27" s="33">
        <v>4.3499999999999996</v>
      </c>
      <c r="B27" s="33">
        <v>83.5</v>
      </c>
      <c r="C27" s="33">
        <v>7.19</v>
      </c>
      <c r="D27" s="13">
        <f t="shared" ref="D27:D29" si="7">A27/$C$12</f>
        <v>0.43326693227091634</v>
      </c>
      <c r="E27" s="13">
        <f t="shared" ref="E27:E29" si="8">N27*K27+O27*M27</f>
        <v>1.7772757060159364E-2</v>
      </c>
      <c r="F27" s="13">
        <f t="shared" ref="F27:F29" si="9">4*$H$12*$E$12*POWER($C$12,3)*E27</f>
        <v>4785110008.1269875</v>
      </c>
      <c r="G27" s="13">
        <f t="shared" ref="G27:G29" si="10">POWER($I$8*F27/A27,0.5)</f>
        <v>68.782983116655103</v>
      </c>
      <c r="H27" s="13">
        <f t="shared" ref="H27:H29" si="11">ROUND(ABS((B27-G27)/B27)*100,2)</f>
        <v>17.63</v>
      </c>
      <c r="J27" s="13">
        <f>INDEX(Integrale!$H$3:$H$502,MATCH('NGC2915'!D27,Integrale!$H$3:$H$502,1))</f>
        <v>0.43</v>
      </c>
      <c r="K27" s="13">
        <f>INDEX(Integrale!$I$3:$I$502,MATCH('NGC2915'!D27,Integrale!$H$3:$H$502,1))</f>
        <v>1.7476144700000001E-2</v>
      </c>
      <c r="L27" s="13">
        <f>INDEX(Integrale!$H$3:$H$502,MATCH('NGC2915'!D27,Integrale!$H$3:$H$502,1)+1)</f>
        <v>0.44</v>
      </c>
      <c r="M27" s="13">
        <f>INDEX(Integrale!$I$3:$I$502,MATCH('NGC2915'!D27,Integrale!$H$3:$H$502,1)+1)</f>
        <v>1.8384067899999999E-2</v>
      </c>
      <c r="N27" s="13">
        <f t="shared" ref="N27:N29" si="12">(L27-D27)/(L27-J27)</f>
        <v>0.67330677290836582</v>
      </c>
      <c r="O27" s="13">
        <f t="shared" ref="O27:O29" si="13">(D27-J27)/(L27-J27)</f>
        <v>0.32669322709163423</v>
      </c>
    </row>
    <row r="28" spans="1:15" ht="19.5" thickBot="1" x14ac:dyDescent="0.35">
      <c r="A28" s="33">
        <v>4.68</v>
      </c>
      <c r="B28" s="33">
        <v>80.400000000000006</v>
      </c>
      <c r="C28" s="33">
        <v>7.85</v>
      </c>
      <c r="D28" s="13">
        <f t="shared" si="7"/>
        <v>0.46613545816733071</v>
      </c>
      <c r="E28" s="13">
        <f t="shared" si="8"/>
        <v>2.0807640539442236E-2</v>
      </c>
      <c r="F28" s="13">
        <f t="shared" si="9"/>
        <v>5602217408.0120506</v>
      </c>
      <c r="G28" s="13">
        <f t="shared" si="10"/>
        <v>71.752448438105873</v>
      </c>
      <c r="H28" s="13">
        <f t="shared" si="11"/>
        <v>10.76</v>
      </c>
      <c r="J28" s="13">
        <f>INDEX(Integrale!$H$3:$H$502,MATCH('NGC2915'!D28,Integrale!$H$3:$H$502,1))</f>
        <v>0.46</v>
      </c>
      <c r="K28" s="13">
        <f>INDEX(Integrale!$I$3:$I$502,MATCH('NGC2915'!D28,Integrale!$H$3:$H$502,1))</f>
        <v>2.0232394399999999E-2</v>
      </c>
      <c r="L28" s="13">
        <f>INDEX(Integrale!$H$3:$H$502,MATCH('NGC2915'!D28,Integrale!$H$3:$H$502,1)+1)</f>
        <v>0.47</v>
      </c>
      <c r="M28" s="13">
        <f>INDEX(Integrale!$I$3:$I$502,MATCH('NGC2915'!D28,Integrale!$H$3:$H$502,1)+1)</f>
        <v>2.1169970900000001E-2</v>
      </c>
      <c r="N28" s="13">
        <f t="shared" si="12"/>
        <v>0.38645418326692837</v>
      </c>
      <c r="O28" s="13">
        <f t="shared" si="13"/>
        <v>0.61354581673307163</v>
      </c>
    </row>
    <row r="29" spans="1:15" ht="19.5" thickBot="1" x14ac:dyDescent="0.35">
      <c r="A29" s="33">
        <v>5.0199999999999996</v>
      </c>
      <c r="B29" s="33">
        <v>80.3</v>
      </c>
      <c r="C29" s="33">
        <v>7.57</v>
      </c>
      <c r="D29" s="13">
        <f t="shared" si="7"/>
        <v>0.5</v>
      </c>
      <c r="E29" s="13">
        <f t="shared" si="8"/>
        <v>2.4019466900000001E-2</v>
      </c>
      <c r="F29" s="13">
        <f t="shared" si="9"/>
        <v>6466964639.4206829</v>
      </c>
      <c r="G29" s="13">
        <f t="shared" si="10"/>
        <v>74.435148138652821</v>
      </c>
      <c r="H29" s="13">
        <f t="shared" si="11"/>
        <v>7.3</v>
      </c>
      <c r="J29" s="13">
        <f>INDEX(Integrale!$H$3:$H$502,MATCH('NGC2915'!D29,Integrale!$H$3:$H$502,1))</f>
        <v>0.5</v>
      </c>
      <c r="K29" s="13">
        <f>INDEX(Integrale!$I$3:$I$502,MATCH('NGC2915'!D29,Integrale!$H$3:$H$502,1))</f>
        <v>2.4019466900000001E-2</v>
      </c>
      <c r="L29" s="13">
        <f>INDEX(Integrale!$H$3:$H$502,MATCH('NGC2915'!D29,Integrale!$H$3:$H$502,1)+1)</f>
        <v>0.51</v>
      </c>
      <c r="M29" s="13">
        <f>INDEX(Integrale!$I$3:$I$502,MATCH('NGC2915'!D29,Integrale!$H$3:$H$502,1)+1)</f>
        <v>2.4976934400000001E-2</v>
      </c>
      <c r="N29" s="13">
        <f t="shared" si="12"/>
        <v>1</v>
      </c>
      <c r="O29" s="13">
        <f t="shared" si="13"/>
        <v>0</v>
      </c>
    </row>
    <row r="30" spans="1:15" ht="19.5" thickBot="1" x14ac:dyDescent="0.35">
      <c r="A30" s="33">
        <v>5.35</v>
      </c>
      <c r="B30" s="33">
        <v>82.1</v>
      </c>
      <c r="C30" s="33">
        <v>7.92</v>
      </c>
      <c r="D30" s="13">
        <f t="shared" ref="D30:D44" si="14">A30/$C$12</f>
        <v>0.53286852589641431</v>
      </c>
      <c r="E30" s="13">
        <f t="shared" ref="E30:E44" si="15">N30*K30+O30*M30</f>
        <v>2.7170094019521904E-2</v>
      </c>
      <c r="F30" s="13">
        <f t="shared" ref="F30:F44" si="16">4*$H$12*$E$12*POWER($C$12,3)*E30</f>
        <v>7315234680.499238</v>
      </c>
      <c r="G30" s="13">
        <f t="shared" ref="G30:G44" si="17">POWER($I$8*F30/A30,0.5)</f>
        <v>76.686146182532994</v>
      </c>
      <c r="H30" s="13">
        <f t="shared" ref="H30:H44" si="18">ROUND(ABS((B30-G30)/B30)*100,2)</f>
        <v>6.59</v>
      </c>
      <c r="J30" s="13">
        <f>INDEX(Integrale!$H$3:$H$502,MATCH('NGC2915'!D30,Integrale!$H$3:$H$502,1))</f>
        <v>0.53</v>
      </c>
      <c r="K30" s="13">
        <f>INDEX(Integrale!$I$3:$I$502,MATCH('NGC2915'!D30,Integrale!$H$3:$H$502,1))</f>
        <v>2.6895225500000002E-2</v>
      </c>
      <c r="L30" s="13">
        <f>INDEX(Integrale!$H$3:$H$502,MATCH('NGC2915'!D30,Integrale!$H$3:$H$502,1)+1)</f>
        <v>0.54</v>
      </c>
      <c r="M30" s="13">
        <f>INDEX(Integrale!$I$3:$I$502,MATCH('NGC2915'!D30,Integrale!$H$3:$H$502,1)+1)</f>
        <v>2.7853447699999999E-2</v>
      </c>
      <c r="N30" s="13">
        <f t="shared" ref="N30:N44" si="19">(L30-D30)/(L30-J30)</f>
        <v>0.71314741035857154</v>
      </c>
      <c r="O30" s="13">
        <f t="shared" ref="O30:O44" si="20">(D30-J30)/(L30-J30)</f>
        <v>0.2868525896414284</v>
      </c>
    </row>
    <row r="31" spans="1:15" ht="19.5" thickBot="1" x14ac:dyDescent="0.35">
      <c r="A31" s="33">
        <v>5.69</v>
      </c>
      <c r="B31" s="33">
        <v>82.4</v>
      </c>
      <c r="C31" s="33">
        <v>8.33</v>
      </c>
      <c r="D31" s="13">
        <f t="shared" si="14"/>
        <v>0.56673306772908372</v>
      </c>
      <c r="E31" s="13">
        <f t="shared" si="15"/>
        <v>3.0399930815936262E-2</v>
      </c>
      <c r="F31" s="13">
        <f t="shared" si="16"/>
        <v>8184831014.1926985</v>
      </c>
      <c r="G31" s="13">
        <f t="shared" si="17"/>
        <v>78.6553735428176</v>
      </c>
      <c r="H31" s="13">
        <f t="shared" si="18"/>
        <v>4.54</v>
      </c>
      <c r="J31" s="13">
        <f>INDEX(Integrale!$H$3:$H$502,MATCH('NGC2915'!D31,Integrale!$H$3:$H$502,1))</f>
        <v>0.56000000000000005</v>
      </c>
      <c r="K31" s="13">
        <f>INDEX(Integrale!$I$3:$I$502,MATCH('NGC2915'!D31,Integrale!$H$3:$H$502,1))</f>
        <v>2.9761802100000002E-2</v>
      </c>
      <c r="L31" s="13">
        <f>INDEX(Integrale!$H$3:$H$502,MATCH('NGC2915'!D31,Integrale!$H$3:$H$502,1)+1)</f>
        <v>0.56999999999999995</v>
      </c>
      <c r="M31" s="13">
        <f>INDEX(Integrale!$I$3:$I$502,MATCH('NGC2915'!D31,Integrale!$H$3:$H$502,1)+1)</f>
        <v>3.0709555400000001E-2</v>
      </c>
      <c r="N31" s="13">
        <f t="shared" si="19"/>
        <v>0.32669322709162674</v>
      </c>
      <c r="O31" s="13">
        <f t="shared" si="20"/>
        <v>0.67330677290837326</v>
      </c>
    </row>
    <row r="32" spans="1:15" ht="19.5" thickBot="1" x14ac:dyDescent="0.35">
      <c r="A32" s="33">
        <v>6.03</v>
      </c>
      <c r="B32" s="33">
        <v>80.900000000000006</v>
      </c>
      <c r="C32" s="33">
        <v>7.88</v>
      </c>
      <c r="D32" s="13">
        <f t="shared" si="14"/>
        <v>0.60059760956175301</v>
      </c>
      <c r="E32" s="13">
        <f t="shared" si="15"/>
        <v>3.3568655751792832E-2</v>
      </c>
      <c r="F32" s="13">
        <f t="shared" si="16"/>
        <v>9037973683.7427464</v>
      </c>
      <c r="G32" s="13">
        <f t="shared" si="17"/>
        <v>80.289093138585443</v>
      </c>
      <c r="H32" s="13">
        <f t="shared" si="18"/>
        <v>0.76</v>
      </c>
      <c r="J32" s="13">
        <f>INDEX(Integrale!$H$3:$H$502,MATCH('NGC2915'!D32,Integrale!$H$3:$H$502,1))</f>
        <v>0.6</v>
      </c>
      <c r="K32" s="13">
        <f>INDEX(Integrale!$I$3:$I$502,MATCH('NGC2915'!D32,Integrale!$H$3:$H$502,1))</f>
        <v>3.3513777199999997E-2</v>
      </c>
      <c r="L32" s="13">
        <f>INDEX(Integrale!$H$3:$H$502,MATCH('NGC2915'!D32,Integrale!$H$3:$H$502,1)+1)</f>
        <v>0.61</v>
      </c>
      <c r="M32" s="13">
        <f>INDEX(Integrale!$I$3:$I$502,MATCH('NGC2915'!D32,Integrale!$H$3:$H$502,1)+1)</f>
        <v>3.4432078300000002E-2</v>
      </c>
      <c r="N32" s="13">
        <f t="shared" si="19"/>
        <v>0.94023904382469681</v>
      </c>
      <c r="O32" s="13">
        <f t="shared" si="20"/>
        <v>5.9760956175303137E-2</v>
      </c>
    </row>
    <row r="33" spans="1:15" ht="19.5" thickBot="1" x14ac:dyDescent="0.35">
      <c r="A33" s="33">
        <v>6.36</v>
      </c>
      <c r="B33" s="33">
        <v>79</v>
      </c>
      <c r="C33" s="33">
        <v>6.15</v>
      </c>
      <c r="D33" s="13">
        <f t="shared" si="14"/>
        <v>0.63346613545816743</v>
      </c>
      <c r="E33" s="13">
        <f t="shared" si="15"/>
        <v>3.6545596588844632E-2</v>
      </c>
      <c r="F33" s="13">
        <f t="shared" si="16"/>
        <v>9839480694.9937496</v>
      </c>
      <c r="G33" s="13">
        <f t="shared" si="17"/>
        <v>81.57126617615755</v>
      </c>
      <c r="H33" s="13">
        <f t="shared" si="18"/>
        <v>3.25</v>
      </c>
      <c r="J33" s="13">
        <f>INDEX(Integrale!$H$3:$H$502,MATCH('NGC2915'!D33,Integrale!$H$3:$H$502,1))</f>
        <v>0.63</v>
      </c>
      <c r="K33" s="13">
        <f>INDEX(Integrale!$I$3:$I$502,MATCH('NGC2915'!D33,Integrale!$H$3:$H$502,1))</f>
        <v>3.6238387699999999E-2</v>
      </c>
      <c r="L33" s="13">
        <f>INDEX(Integrale!$H$3:$H$502,MATCH('NGC2915'!D33,Integrale!$H$3:$H$502,1)+1)</f>
        <v>0.64</v>
      </c>
      <c r="M33" s="13">
        <f>INDEX(Integrale!$I$3:$I$502,MATCH('NGC2915'!D33,Integrale!$H$3:$H$502,1)+1)</f>
        <v>3.7124703000000002E-2</v>
      </c>
      <c r="N33" s="13">
        <f t="shared" si="19"/>
        <v>0.65338645418325736</v>
      </c>
      <c r="O33" s="13">
        <f t="shared" si="20"/>
        <v>0.34661354581674264</v>
      </c>
    </row>
    <row r="34" spans="1:15" ht="19.5" thickBot="1" x14ac:dyDescent="0.35">
      <c r="A34" s="33">
        <v>6.69</v>
      </c>
      <c r="B34" s="33">
        <v>81.400000000000006</v>
      </c>
      <c r="C34" s="33">
        <v>6.11</v>
      </c>
      <c r="D34" s="13">
        <f t="shared" si="14"/>
        <v>0.66633466135458175</v>
      </c>
      <c r="E34" s="13">
        <f t="shared" si="15"/>
        <v>3.9396653218725104E-2</v>
      </c>
      <c r="F34" s="13">
        <f t="shared" si="16"/>
        <v>10607094834.274372</v>
      </c>
      <c r="G34" s="13">
        <f t="shared" si="17"/>
        <v>82.578091113489549</v>
      </c>
      <c r="H34" s="13">
        <f t="shared" si="18"/>
        <v>1.45</v>
      </c>
      <c r="J34" s="13">
        <f>INDEX(Integrale!$H$3:$H$502,MATCH('NGC2915'!D34,Integrale!$H$3:$H$502,1))</f>
        <v>0.66</v>
      </c>
      <c r="K34" s="13">
        <f>INDEX(Integrale!$I$3:$I$502,MATCH('NGC2915'!D34,Integrale!$H$3:$H$502,1))</f>
        <v>3.8859827600000001E-2</v>
      </c>
      <c r="L34" s="13">
        <f>INDEX(Integrale!$H$3:$H$502,MATCH('NGC2915'!D34,Integrale!$H$3:$H$502,1)+1)</f>
        <v>0.67</v>
      </c>
      <c r="M34" s="13">
        <f>INDEX(Integrale!$I$3:$I$502,MATCH('NGC2915'!D34,Integrale!$H$3:$H$502,1)+1)</f>
        <v>3.97072693E-2</v>
      </c>
      <c r="N34" s="13">
        <f t="shared" si="19"/>
        <v>0.3665338645418289</v>
      </c>
      <c r="O34" s="13">
        <f t="shared" si="20"/>
        <v>0.6334661354581711</v>
      </c>
    </row>
    <row r="35" spans="1:15" ht="19.5" thickBot="1" x14ac:dyDescent="0.35">
      <c r="A35" s="33">
        <v>7.02</v>
      </c>
      <c r="B35" s="33">
        <v>79.7</v>
      </c>
      <c r="C35" s="33">
        <v>5.59</v>
      </c>
      <c r="D35" s="13">
        <f t="shared" si="14"/>
        <v>0.69920318725099606</v>
      </c>
      <c r="E35" s="13">
        <f t="shared" si="15"/>
        <v>4.2098047378087658E-2</v>
      </c>
      <c r="F35" s="13">
        <f t="shared" si="16"/>
        <v>11334414078.22209</v>
      </c>
      <c r="G35" s="13">
        <f t="shared" si="17"/>
        <v>83.331779053048351</v>
      </c>
      <c r="H35" s="13">
        <f t="shared" si="18"/>
        <v>4.5599999999999996</v>
      </c>
      <c r="J35" s="13">
        <f>INDEX(Integrale!$H$3:$H$502,MATCH('NGC2915'!D35,Integrale!$H$3:$H$502,1))</f>
        <v>0.69</v>
      </c>
      <c r="K35" s="13">
        <f>INDEX(Integrale!$I$3:$I$502,MATCH('NGC2915'!D35,Integrale!$H$3:$H$502,1))</f>
        <v>4.1358899099999999E-2</v>
      </c>
      <c r="L35" s="13">
        <f>INDEX(Integrale!$H$3:$H$502,MATCH('NGC2915'!D35,Integrale!$H$3:$H$502,1)+1)</f>
        <v>0.7</v>
      </c>
      <c r="M35" s="13">
        <f>INDEX(Integrale!$I$3:$I$502,MATCH('NGC2915'!D35,Integrale!$H$3:$H$502,1)+1)</f>
        <v>4.2162042900000002E-2</v>
      </c>
      <c r="N35" s="13">
        <f t="shared" si="19"/>
        <v>7.9681274900389384E-2</v>
      </c>
      <c r="O35" s="13">
        <f t="shared" si="20"/>
        <v>0.92031872509961066</v>
      </c>
    </row>
    <row r="36" spans="1:15" ht="19.5" thickBot="1" x14ac:dyDescent="0.35">
      <c r="A36" s="33">
        <v>7.36</v>
      </c>
      <c r="B36" s="33">
        <v>77.5</v>
      </c>
      <c r="C36" s="33">
        <v>6.33</v>
      </c>
      <c r="D36" s="13">
        <f t="shared" si="14"/>
        <v>0.73306772908366546</v>
      </c>
      <c r="E36" s="13">
        <f t="shared" si="15"/>
        <v>4.4702048746215146E-2</v>
      </c>
      <c r="F36" s="13">
        <f t="shared" si="16"/>
        <v>12035511435.577824</v>
      </c>
      <c r="G36" s="13">
        <f t="shared" si="17"/>
        <v>83.863510951993888</v>
      </c>
      <c r="H36" s="13">
        <f t="shared" si="18"/>
        <v>8.2100000000000009</v>
      </c>
      <c r="J36" s="13">
        <f>INDEX(Integrale!$H$3:$H$502,MATCH('NGC2915'!D36,Integrale!$H$3:$H$502,1))</f>
        <v>0.73</v>
      </c>
      <c r="K36" s="13">
        <f>INDEX(Integrale!$I$3:$I$502,MATCH('NGC2915'!D36,Integrale!$H$3:$H$502,1))</f>
        <v>4.447562E-2</v>
      </c>
      <c r="L36" s="13">
        <f>INDEX(Integrale!$H$3:$H$502,MATCH('NGC2915'!D36,Integrale!$H$3:$H$502,1)+1)</f>
        <v>0.74</v>
      </c>
      <c r="M36" s="13">
        <f>INDEX(Integrale!$I$3:$I$502,MATCH('NGC2915'!D36,Integrale!$H$3:$H$502,1)+1)</f>
        <v>4.5213718899999998E-2</v>
      </c>
      <c r="N36" s="13">
        <f t="shared" si="19"/>
        <v>0.69322709163345198</v>
      </c>
      <c r="O36" s="13">
        <f t="shared" si="20"/>
        <v>0.30677290836654797</v>
      </c>
    </row>
    <row r="37" spans="1:15" ht="19.5" thickBot="1" x14ac:dyDescent="0.35">
      <c r="A37" s="33">
        <v>7.7</v>
      </c>
      <c r="B37" s="33">
        <v>79.900000000000006</v>
      </c>
      <c r="C37" s="33">
        <v>6.41</v>
      </c>
      <c r="D37" s="13">
        <f t="shared" si="14"/>
        <v>0.76693227091633476</v>
      </c>
      <c r="E37" s="13">
        <f t="shared" si="15"/>
        <v>4.7114661852988043E-2</v>
      </c>
      <c r="F37" s="13">
        <f t="shared" si="16"/>
        <v>12685079709.305964</v>
      </c>
      <c r="G37" s="13">
        <f t="shared" si="17"/>
        <v>84.174570705614826</v>
      </c>
      <c r="H37" s="13">
        <f t="shared" si="18"/>
        <v>5.35</v>
      </c>
      <c r="J37" s="13">
        <f>INDEX(Integrale!$H$3:$H$502,MATCH('NGC2915'!D37,Integrale!$H$3:$H$502,1))</f>
        <v>0.76</v>
      </c>
      <c r="K37" s="13">
        <f>INDEX(Integrale!$I$3:$I$502,MATCH('NGC2915'!D37,Integrale!$H$3:$H$502,1))</f>
        <v>4.66387261E-2</v>
      </c>
      <c r="L37" s="13">
        <f>INDEX(Integrale!$H$3:$H$502,MATCH('NGC2915'!D37,Integrale!$H$3:$H$502,1)+1)</f>
        <v>0.77</v>
      </c>
      <c r="M37" s="13">
        <f>INDEX(Integrale!$I$3:$I$502,MATCH('NGC2915'!D37,Integrale!$H$3:$H$502,1)+1)</f>
        <v>4.73252771E-2</v>
      </c>
      <c r="N37" s="13">
        <f t="shared" si="19"/>
        <v>0.30677290836652577</v>
      </c>
      <c r="O37" s="13">
        <f t="shared" si="20"/>
        <v>0.69322709163347418</v>
      </c>
    </row>
    <row r="38" spans="1:15" ht="19.5" thickBot="1" x14ac:dyDescent="0.35">
      <c r="A38" s="33">
        <v>8.0299999999999994</v>
      </c>
      <c r="B38" s="33">
        <v>81.5</v>
      </c>
      <c r="C38" s="33">
        <v>7.86</v>
      </c>
      <c r="D38" s="13">
        <f t="shared" si="14"/>
        <v>0.79980079681274896</v>
      </c>
      <c r="E38" s="13">
        <f t="shared" si="15"/>
        <v>4.9267235445019916E-2</v>
      </c>
      <c r="F38" s="13">
        <f t="shared" si="16"/>
        <v>13264635340.635187</v>
      </c>
      <c r="G38" s="13">
        <f t="shared" si="17"/>
        <v>84.288739157489999</v>
      </c>
      <c r="H38" s="13">
        <f t="shared" si="18"/>
        <v>3.42</v>
      </c>
      <c r="J38" s="13">
        <f>INDEX(Integrale!$H$3:$H$502,MATCH('NGC2915'!D38,Integrale!$H$3:$H$502,1))</f>
        <v>0.79</v>
      </c>
      <c r="K38" s="13">
        <f>INDEX(Integrale!$I$3:$I$502,MATCH('NGC2915'!D38,Integrale!$H$3:$H$502,1))</f>
        <v>4.8645900700000001E-2</v>
      </c>
      <c r="L38" s="13">
        <f>INDEX(Integrale!$H$3:$H$502,MATCH('NGC2915'!D38,Integrale!$H$3:$H$502,1)+1)</f>
        <v>0.8</v>
      </c>
      <c r="M38" s="13">
        <f>INDEX(Integrale!$I$3:$I$502,MATCH('NGC2915'!D38,Integrale!$H$3:$H$502,1)+1)</f>
        <v>4.9279864200000002E-2</v>
      </c>
      <c r="N38" s="13">
        <f t="shared" si="19"/>
        <v>1.9920318725108448E-2</v>
      </c>
      <c r="O38" s="13">
        <f t="shared" si="20"/>
        <v>0.98007968127489153</v>
      </c>
    </row>
    <row r="39" spans="1:15" ht="19.5" thickBot="1" x14ac:dyDescent="0.35">
      <c r="A39" s="33">
        <v>8.3699999999999992</v>
      </c>
      <c r="B39" s="33">
        <v>82.2</v>
      </c>
      <c r="C39" s="33">
        <v>7.82</v>
      </c>
      <c r="D39" s="13">
        <f t="shared" si="14"/>
        <v>0.83366533864541836</v>
      </c>
      <c r="E39" s="13">
        <f t="shared" si="15"/>
        <v>5.1283204718725099E-2</v>
      </c>
      <c r="F39" s="13">
        <f t="shared" si="16"/>
        <v>13807411833.614305</v>
      </c>
      <c r="G39" s="13">
        <f t="shared" si="17"/>
        <v>84.23121840945997</v>
      </c>
      <c r="H39" s="13">
        <f t="shared" si="18"/>
        <v>2.4700000000000002</v>
      </c>
      <c r="J39" s="13">
        <f>INDEX(Integrale!$H$3:$H$502,MATCH('NGC2915'!D39,Integrale!$H$3:$H$502,1))</f>
        <v>0.83</v>
      </c>
      <c r="K39" s="13">
        <f>INDEX(Integrale!$I$3:$I$502,MATCH('NGC2915'!D39,Integrale!$H$3:$H$502,1))</f>
        <v>5.1076477199999998E-2</v>
      </c>
      <c r="L39" s="13">
        <f>INDEX(Integrale!$H$3:$H$502,MATCH('NGC2915'!D39,Integrale!$H$3:$H$502,1)+1)</f>
        <v>0.84</v>
      </c>
      <c r="M39" s="13">
        <f>INDEX(Integrale!$I$3:$I$502,MATCH('NGC2915'!D39,Integrale!$H$3:$H$502,1)+1)</f>
        <v>5.1640483799999998E-2</v>
      </c>
      <c r="N39" s="13">
        <f t="shared" si="19"/>
        <v>0.63346613545816</v>
      </c>
      <c r="O39" s="13">
        <f t="shared" si="20"/>
        <v>0.36653386454184</v>
      </c>
    </row>
    <row r="40" spans="1:15" ht="19.5" thickBot="1" x14ac:dyDescent="0.35">
      <c r="A40" s="33">
        <v>8.6999999999999993</v>
      </c>
      <c r="B40" s="33">
        <v>82</v>
      </c>
      <c r="C40" s="33">
        <v>7.09</v>
      </c>
      <c r="D40" s="13">
        <f t="shared" si="14"/>
        <v>0.86653386454183268</v>
      </c>
      <c r="E40" s="13">
        <f t="shared" si="15"/>
        <v>5.3051965370916339E-2</v>
      </c>
      <c r="F40" s="13">
        <f t="shared" si="16"/>
        <v>14283630254.320362</v>
      </c>
      <c r="G40" s="13">
        <f t="shared" si="17"/>
        <v>84.030964025383085</v>
      </c>
      <c r="H40" s="13">
        <f t="shared" si="18"/>
        <v>2.48</v>
      </c>
      <c r="J40" s="13">
        <f>INDEX(Integrale!$H$3:$H$502,MATCH('NGC2915'!D40,Integrale!$H$3:$H$502,1))</f>
        <v>0.86</v>
      </c>
      <c r="K40" s="13">
        <f>INDEX(Integrale!$I$3:$I$502,MATCH('NGC2915'!D40,Integrale!$H$3:$H$502,1))</f>
        <v>5.27169267E-2</v>
      </c>
      <c r="L40" s="13">
        <f>INDEX(Integrale!$H$3:$H$502,MATCH('NGC2915'!D40,Integrale!$H$3:$H$502,1)+1)</f>
        <v>0.87</v>
      </c>
      <c r="M40" s="13">
        <f>INDEX(Integrale!$I$3:$I$502,MATCH('NGC2915'!D40,Integrale!$H$3:$H$502,1)+1)</f>
        <v>5.3229699300000002E-2</v>
      </c>
      <c r="N40" s="13">
        <f t="shared" si="19"/>
        <v>0.34661354581673154</v>
      </c>
      <c r="O40" s="13">
        <f t="shared" si="20"/>
        <v>0.65338645418326846</v>
      </c>
    </row>
    <row r="41" spans="1:15" ht="19.5" thickBot="1" x14ac:dyDescent="0.35">
      <c r="A41" s="33">
        <v>9.0299999999999994</v>
      </c>
      <c r="B41" s="33">
        <v>84.7</v>
      </c>
      <c r="C41" s="33">
        <v>5.74</v>
      </c>
      <c r="D41" s="13">
        <f t="shared" si="14"/>
        <v>0.89940239043824699</v>
      </c>
      <c r="E41" s="13">
        <f t="shared" si="15"/>
        <v>5.4641034767729073E-2</v>
      </c>
      <c r="F41" s="13">
        <f t="shared" si="16"/>
        <v>14711468875.450356</v>
      </c>
      <c r="G41" s="13">
        <f t="shared" si="17"/>
        <v>83.707392914953658</v>
      </c>
      <c r="H41" s="13">
        <f t="shared" si="18"/>
        <v>1.17</v>
      </c>
      <c r="J41" s="13">
        <f>INDEX(Integrale!$H$3:$H$502,MATCH('NGC2915'!D41,Integrale!$H$3:$H$502,1))</f>
        <v>0.89</v>
      </c>
      <c r="K41" s="13">
        <f>INDEX(Integrale!$I$3:$I$502,MATCH('NGC2915'!D41,Integrale!$H$3:$H$502,1))</f>
        <v>5.42053641E-2</v>
      </c>
      <c r="L41" s="13">
        <f>INDEX(Integrale!$H$3:$H$502,MATCH('NGC2915'!D41,Integrale!$H$3:$H$502,1)+1)</f>
        <v>0.9</v>
      </c>
      <c r="M41" s="13">
        <f>INDEX(Integrale!$I$3:$I$502,MATCH('NGC2915'!D41,Integrale!$H$3:$H$502,1)+1)</f>
        <v>5.4668725699999997E-2</v>
      </c>
      <c r="N41" s="13">
        <f t="shared" si="19"/>
        <v>5.9760956175303137E-2</v>
      </c>
      <c r="O41" s="13">
        <f t="shared" si="20"/>
        <v>0.94023904382469681</v>
      </c>
    </row>
    <row r="42" spans="1:15" ht="19.5" thickBot="1" x14ac:dyDescent="0.35">
      <c r="A42" s="33">
        <v>9.3699999999999992</v>
      </c>
      <c r="B42" s="33">
        <v>86.1</v>
      </c>
      <c r="C42" s="33">
        <v>5.54</v>
      </c>
      <c r="D42" s="13">
        <f t="shared" si="14"/>
        <v>0.93326693227091628</v>
      </c>
      <c r="E42" s="13">
        <f t="shared" si="15"/>
        <v>5.6095184900796811E-2</v>
      </c>
      <c r="F42" s="13">
        <f t="shared" si="16"/>
        <v>15102982039.756178</v>
      </c>
      <c r="G42" s="13">
        <f t="shared" si="17"/>
        <v>83.26092472076067</v>
      </c>
      <c r="H42" s="13">
        <f t="shared" si="18"/>
        <v>3.3</v>
      </c>
      <c r="J42" s="13">
        <f>INDEX(Integrale!$H$3:$H$502,MATCH('NGC2915'!D42,Integrale!$H$3:$H$502,1))</f>
        <v>0.93</v>
      </c>
      <c r="K42" s="13">
        <f>INDEX(Integrale!$I$3:$I$502,MATCH('NGC2915'!D42,Integrale!$H$3:$H$502,1))</f>
        <v>5.5964114500000002E-2</v>
      </c>
      <c r="L42" s="13">
        <f>INDEX(Integrale!$H$3:$H$502,MATCH('NGC2915'!D42,Integrale!$H$3:$H$502,1)+1)</f>
        <v>0.94</v>
      </c>
      <c r="M42" s="13">
        <f>INDEX(Integrale!$I$3:$I$502,MATCH('NGC2915'!D42,Integrale!$H$3:$H$502,1)+1)</f>
        <v>5.6365317800000002E-2</v>
      </c>
      <c r="N42" s="13">
        <f t="shared" si="19"/>
        <v>0.67330677290837326</v>
      </c>
      <c r="O42" s="13">
        <f t="shared" si="20"/>
        <v>0.32669322709162674</v>
      </c>
    </row>
    <row r="43" spans="1:15" ht="19.5" thickBot="1" x14ac:dyDescent="0.35">
      <c r="A43" s="33">
        <v>9.6999999999999993</v>
      </c>
      <c r="B43" s="33">
        <v>85.3</v>
      </c>
      <c r="C43" s="33">
        <v>5.23</v>
      </c>
      <c r="D43" s="13">
        <f t="shared" si="14"/>
        <v>0.96613545816733071</v>
      </c>
      <c r="E43" s="13">
        <f t="shared" si="15"/>
        <v>5.7343267350199206E-2</v>
      </c>
      <c r="F43" s="13">
        <f t="shared" si="16"/>
        <v>15439013855.156994</v>
      </c>
      <c r="G43" s="13">
        <f t="shared" si="17"/>
        <v>82.737726650564795</v>
      </c>
      <c r="H43" s="13">
        <f t="shared" si="18"/>
        <v>3</v>
      </c>
      <c r="J43" s="13">
        <f>INDEX(Integrale!$H$3:$H$502,MATCH('NGC2915'!D43,Integrale!$H$3:$H$502,1))</f>
        <v>0.96</v>
      </c>
      <c r="K43" s="13">
        <f>INDEX(Integrale!$I$3:$I$502,MATCH('NGC2915'!D43,Integrale!$H$3:$H$502,1))</f>
        <v>5.7123710899999999E-2</v>
      </c>
      <c r="L43" s="13">
        <f>INDEX(Integrale!$H$3:$H$502,MATCH('NGC2915'!D43,Integrale!$H$3:$H$502,1)+1)</f>
        <v>0.97</v>
      </c>
      <c r="M43" s="13">
        <f>INDEX(Integrale!$I$3:$I$502,MATCH('NGC2915'!D43,Integrale!$H$3:$H$502,1)+1)</f>
        <v>5.74815594E-2</v>
      </c>
      <c r="N43" s="13">
        <f t="shared" si="19"/>
        <v>0.38645418326692627</v>
      </c>
      <c r="O43" s="13">
        <f t="shared" si="20"/>
        <v>0.61354581673307373</v>
      </c>
    </row>
    <row r="44" spans="1:15" ht="19.5" thickBot="1" x14ac:dyDescent="0.35">
      <c r="A44" s="33">
        <v>10.039999999999999</v>
      </c>
      <c r="B44" s="33">
        <v>86.5</v>
      </c>
      <c r="C44" s="33">
        <v>6.45</v>
      </c>
      <c r="D44" s="13">
        <f t="shared" si="14"/>
        <v>1</v>
      </c>
      <c r="E44" s="13">
        <f t="shared" si="15"/>
        <v>5.8473808600000003E-2</v>
      </c>
      <c r="F44" s="13">
        <f t="shared" si="16"/>
        <v>15743399057.22275</v>
      </c>
      <c r="G44" s="13">
        <f t="shared" si="17"/>
        <v>82.122482257615204</v>
      </c>
      <c r="H44" s="13">
        <f t="shared" si="18"/>
        <v>5.0599999999999996</v>
      </c>
      <c r="J44" s="13">
        <f>INDEX(Integrale!$H$3:$H$502,MATCH('NGC2915'!D44,Integrale!$H$3:$H$502,1))</f>
        <v>1</v>
      </c>
      <c r="K44" s="13">
        <f>INDEX(Integrale!$I$3:$I$502,MATCH('NGC2915'!D44,Integrale!$H$3:$H$502,1))</f>
        <v>5.8473808600000003E-2</v>
      </c>
      <c r="L44" s="13">
        <f>INDEX(Integrale!$H$3:$H$502,MATCH('NGC2915'!D44,Integrale!$H$3:$H$502,1)+1)</f>
        <v>1.01</v>
      </c>
      <c r="M44" s="13">
        <f>INDEX(Integrale!$I$3:$I$502,MATCH('NGC2915'!D44,Integrale!$H$3:$H$502,1)+1)</f>
        <v>5.8778624799999998E-2</v>
      </c>
      <c r="N44" s="13">
        <f t="shared" si="19"/>
        <v>1</v>
      </c>
      <c r="O44" s="13">
        <f t="shared" si="20"/>
        <v>0</v>
      </c>
    </row>
    <row r="45" spans="1:15" x14ac:dyDescent="0.3">
      <c r="G45" s="29" t="s">
        <v>26</v>
      </c>
      <c r="H45" s="29">
        <f>ROUND(AVERAGE(H15:H44),2)</f>
        <v>19.38</v>
      </c>
    </row>
    <row r="46" spans="1:15" x14ac:dyDescent="0.3">
      <c r="B46" s="25" t="s">
        <v>25</v>
      </c>
      <c r="C46" s="26">
        <f>ROUND(MAX(0,100-H45),2)</f>
        <v>80.62</v>
      </c>
      <c r="D46" s="26" t="s">
        <v>27</v>
      </c>
      <c r="E46" s="2"/>
    </row>
    <row r="48" spans="1:15" x14ac:dyDescent="0.3">
      <c r="A48" s="12" t="s">
        <v>7</v>
      </c>
      <c r="B48" s="12" t="s">
        <v>28</v>
      </c>
      <c r="C48" s="12" t="s">
        <v>29</v>
      </c>
      <c r="D48" s="12" t="s">
        <v>20</v>
      </c>
      <c r="E48" s="27" t="s">
        <v>32</v>
      </c>
      <c r="F48" s="27" t="s">
        <v>33</v>
      </c>
    </row>
    <row r="49" spans="1:6" x14ac:dyDescent="0.3">
      <c r="A49" s="13">
        <f t="shared" ref="A49:C60" si="21">A15</f>
        <v>0.34</v>
      </c>
      <c r="B49" s="13">
        <f t="shared" si="21"/>
        <v>13.5</v>
      </c>
      <c r="C49" s="13">
        <f t="shared" si="21"/>
        <v>10.1</v>
      </c>
      <c r="D49" s="13">
        <f t="shared" ref="D49:D63" si="22">ROUND(G15,2)</f>
        <v>6.97</v>
      </c>
      <c r="E49" s="13">
        <f>ROUND(POWER((B49-D49),2),2)</f>
        <v>42.64</v>
      </c>
      <c r="F49" s="13">
        <f>ROUND(E49/POWER(C49,2),2)</f>
        <v>0.42</v>
      </c>
    </row>
    <row r="50" spans="1:6" x14ac:dyDescent="0.3">
      <c r="A50" s="13">
        <f t="shared" si="21"/>
        <v>0.67</v>
      </c>
      <c r="B50" s="13">
        <f t="shared" si="21"/>
        <v>31.3</v>
      </c>
      <c r="C50" s="13">
        <f t="shared" si="21"/>
        <v>12.5</v>
      </c>
      <c r="D50" s="13">
        <f t="shared" si="22"/>
        <v>13.18</v>
      </c>
      <c r="E50" s="13">
        <f t="shared" ref="E50:E60" si="23">ROUND(POWER((B50-D50),2),2)</f>
        <v>328.33</v>
      </c>
      <c r="F50" s="13">
        <f t="shared" ref="F50:F60" si="24">ROUND(E50/POWER(C50,2),2)</f>
        <v>2.1</v>
      </c>
    </row>
    <row r="51" spans="1:6" x14ac:dyDescent="0.3">
      <c r="A51" s="13">
        <f t="shared" si="21"/>
        <v>1</v>
      </c>
      <c r="B51" s="13">
        <f t="shared" si="21"/>
        <v>35.299999999999997</v>
      </c>
      <c r="C51" s="13">
        <f t="shared" si="21"/>
        <v>13.4</v>
      </c>
      <c r="D51" s="13">
        <f t="shared" si="22"/>
        <v>19.36</v>
      </c>
      <c r="E51" s="13">
        <f t="shared" si="23"/>
        <v>254.08</v>
      </c>
      <c r="F51" s="13">
        <f t="shared" si="24"/>
        <v>1.42</v>
      </c>
    </row>
    <row r="52" spans="1:6" x14ac:dyDescent="0.3">
      <c r="A52" s="13">
        <f t="shared" si="21"/>
        <v>1.34</v>
      </c>
      <c r="B52" s="13">
        <f t="shared" si="21"/>
        <v>50.5</v>
      </c>
      <c r="C52" s="13">
        <f t="shared" si="21"/>
        <v>9.3800000000000008</v>
      </c>
      <c r="D52" s="13">
        <f t="shared" si="22"/>
        <v>25.7</v>
      </c>
      <c r="E52" s="13">
        <f t="shared" si="23"/>
        <v>615.04</v>
      </c>
      <c r="F52" s="13">
        <f t="shared" si="24"/>
        <v>6.99</v>
      </c>
    </row>
    <row r="53" spans="1:6" x14ac:dyDescent="0.3">
      <c r="A53" s="13">
        <f t="shared" si="21"/>
        <v>1.68</v>
      </c>
      <c r="B53" s="13">
        <f t="shared" si="21"/>
        <v>61</v>
      </c>
      <c r="C53" s="13">
        <f t="shared" si="21"/>
        <v>10.1</v>
      </c>
      <c r="D53" s="13">
        <f t="shared" si="22"/>
        <v>31.79</v>
      </c>
      <c r="E53" s="13">
        <f t="shared" si="23"/>
        <v>853.22</v>
      </c>
      <c r="F53" s="13">
        <f t="shared" si="24"/>
        <v>8.36</v>
      </c>
    </row>
    <row r="54" spans="1:6" x14ac:dyDescent="0.3">
      <c r="A54" s="13">
        <f t="shared" si="21"/>
        <v>2.0099999999999998</v>
      </c>
      <c r="B54" s="13">
        <f t="shared" si="21"/>
        <v>66.5</v>
      </c>
      <c r="C54" s="13">
        <f t="shared" si="21"/>
        <v>11.9</v>
      </c>
      <c r="D54" s="13">
        <f t="shared" si="22"/>
        <v>37.46</v>
      </c>
      <c r="E54" s="13">
        <f t="shared" si="23"/>
        <v>843.32</v>
      </c>
      <c r="F54" s="13">
        <f t="shared" si="24"/>
        <v>5.96</v>
      </c>
    </row>
    <row r="55" spans="1:6" x14ac:dyDescent="0.3">
      <c r="A55" s="13">
        <f t="shared" si="21"/>
        <v>2.34</v>
      </c>
      <c r="B55" s="13">
        <f t="shared" si="21"/>
        <v>74.400000000000006</v>
      </c>
      <c r="C55" s="13">
        <f t="shared" si="21"/>
        <v>11.6</v>
      </c>
      <c r="D55" s="13">
        <f t="shared" si="22"/>
        <v>42.9</v>
      </c>
      <c r="E55" s="13">
        <f t="shared" si="23"/>
        <v>992.25</v>
      </c>
      <c r="F55" s="13">
        <f t="shared" si="24"/>
        <v>7.37</v>
      </c>
    </row>
    <row r="56" spans="1:6" x14ac:dyDescent="0.3">
      <c r="A56" s="13">
        <f t="shared" si="21"/>
        <v>2.67</v>
      </c>
      <c r="B56" s="13">
        <f t="shared" si="21"/>
        <v>83</v>
      </c>
      <c r="C56" s="13">
        <f t="shared" si="21"/>
        <v>9.17</v>
      </c>
      <c r="D56" s="13">
        <f t="shared" si="22"/>
        <v>48.03</v>
      </c>
      <c r="E56" s="13">
        <f t="shared" si="23"/>
        <v>1222.9000000000001</v>
      </c>
      <c r="F56" s="13">
        <f t="shared" si="24"/>
        <v>14.54</v>
      </c>
    </row>
    <row r="57" spans="1:6" x14ac:dyDescent="0.3">
      <c r="A57" s="13">
        <f t="shared" si="21"/>
        <v>3.01</v>
      </c>
      <c r="B57" s="13">
        <f t="shared" si="21"/>
        <v>86.4</v>
      </c>
      <c r="C57" s="13">
        <f t="shared" si="21"/>
        <v>7.66</v>
      </c>
      <c r="D57" s="13">
        <f t="shared" si="22"/>
        <v>52.96</v>
      </c>
      <c r="E57" s="13">
        <f t="shared" si="23"/>
        <v>1118.23</v>
      </c>
      <c r="F57" s="13">
        <f t="shared" si="24"/>
        <v>19.059999999999999</v>
      </c>
    </row>
    <row r="58" spans="1:6" x14ac:dyDescent="0.3">
      <c r="A58" s="13">
        <f t="shared" si="21"/>
        <v>3.35</v>
      </c>
      <c r="B58" s="13">
        <f t="shared" si="21"/>
        <v>83.6</v>
      </c>
      <c r="C58" s="13">
        <f t="shared" si="21"/>
        <v>8.18</v>
      </c>
      <c r="D58" s="13">
        <f t="shared" si="22"/>
        <v>57.55</v>
      </c>
      <c r="E58" s="13">
        <f t="shared" si="23"/>
        <v>678.6</v>
      </c>
      <c r="F58" s="13">
        <f t="shared" si="24"/>
        <v>10.14</v>
      </c>
    </row>
    <row r="59" spans="1:6" x14ac:dyDescent="0.3">
      <c r="A59" s="13">
        <f t="shared" si="21"/>
        <v>3.68</v>
      </c>
      <c r="B59" s="13">
        <f t="shared" si="21"/>
        <v>79.8</v>
      </c>
      <c r="C59" s="13">
        <f t="shared" si="21"/>
        <v>7.93</v>
      </c>
      <c r="D59" s="13">
        <f t="shared" si="22"/>
        <v>61.63</v>
      </c>
      <c r="E59" s="13">
        <f t="shared" si="23"/>
        <v>330.15</v>
      </c>
      <c r="F59" s="13">
        <f t="shared" si="24"/>
        <v>5.25</v>
      </c>
    </row>
    <row r="60" spans="1:6" x14ac:dyDescent="0.3">
      <c r="A60" s="13">
        <f t="shared" si="21"/>
        <v>4.0199999999999996</v>
      </c>
      <c r="B60" s="13">
        <f t="shared" si="21"/>
        <v>82.8</v>
      </c>
      <c r="C60" s="13">
        <f t="shared" si="21"/>
        <v>6.95</v>
      </c>
      <c r="D60" s="13">
        <f t="shared" si="22"/>
        <v>65.44</v>
      </c>
      <c r="E60" s="13">
        <f t="shared" si="23"/>
        <v>301.37</v>
      </c>
      <c r="F60" s="13">
        <f t="shared" si="24"/>
        <v>6.24</v>
      </c>
    </row>
    <row r="61" spans="1:6" x14ac:dyDescent="0.3">
      <c r="A61" s="13">
        <f>A27</f>
        <v>4.3499999999999996</v>
      </c>
      <c r="B61" s="13">
        <f>B27</f>
        <v>83.5</v>
      </c>
      <c r="C61" s="13">
        <f>C27</f>
        <v>7.19</v>
      </c>
      <c r="D61" s="13">
        <f t="shared" si="22"/>
        <v>68.78</v>
      </c>
      <c r="E61" s="13">
        <f t="shared" ref="E61:E63" si="25">ROUND(POWER((B61-D61),2),2)</f>
        <v>216.68</v>
      </c>
      <c r="F61" s="13">
        <f t="shared" ref="F61:F63" si="26">ROUND(E61/POWER(C61,2),2)</f>
        <v>4.1900000000000004</v>
      </c>
    </row>
    <row r="62" spans="1:6" x14ac:dyDescent="0.3">
      <c r="A62" s="13">
        <f t="shared" ref="A62:C62" si="27">A28</f>
        <v>4.68</v>
      </c>
      <c r="B62" s="13">
        <f t="shared" si="27"/>
        <v>80.400000000000006</v>
      </c>
      <c r="C62" s="13">
        <f t="shared" si="27"/>
        <v>7.85</v>
      </c>
      <c r="D62" s="13">
        <f t="shared" si="22"/>
        <v>71.75</v>
      </c>
      <c r="E62" s="13">
        <f t="shared" si="25"/>
        <v>74.819999999999993</v>
      </c>
      <c r="F62" s="13">
        <f t="shared" si="26"/>
        <v>1.21</v>
      </c>
    </row>
    <row r="63" spans="1:6" x14ac:dyDescent="0.3">
      <c r="A63" s="13">
        <f t="shared" ref="A63:C63" si="28">A29</f>
        <v>5.0199999999999996</v>
      </c>
      <c r="B63" s="13">
        <f t="shared" si="28"/>
        <v>80.3</v>
      </c>
      <c r="C63" s="13">
        <f t="shared" si="28"/>
        <v>7.57</v>
      </c>
      <c r="D63" s="13">
        <f t="shared" si="22"/>
        <v>74.44</v>
      </c>
      <c r="E63" s="31">
        <f t="shared" si="25"/>
        <v>34.340000000000003</v>
      </c>
      <c r="F63" s="31">
        <f t="shared" si="26"/>
        <v>0.6</v>
      </c>
    </row>
    <row r="64" spans="1:6" x14ac:dyDescent="0.3">
      <c r="A64" s="13">
        <f t="shared" ref="A64:C64" si="29">A30</f>
        <v>5.35</v>
      </c>
      <c r="B64" s="13">
        <f t="shared" si="29"/>
        <v>82.1</v>
      </c>
      <c r="C64" s="13">
        <f t="shared" si="29"/>
        <v>7.92</v>
      </c>
      <c r="D64" s="13">
        <f t="shared" ref="D64:D78" si="30">ROUND(G30,2)</f>
        <v>76.69</v>
      </c>
      <c r="E64" s="31">
        <f t="shared" ref="E64:E78" si="31">ROUND(POWER((B64-D64),2),2)</f>
        <v>29.27</v>
      </c>
      <c r="F64" s="31">
        <f t="shared" ref="F64:F78" si="32">ROUND(E64/POWER(C64,2),2)</f>
        <v>0.47</v>
      </c>
    </row>
    <row r="65" spans="1:6" x14ac:dyDescent="0.3">
      <c r="A65" s="13">
        <f t="shared" ref="A65:C65" si="33">A31</f>
        <v>5.69</v>
      </c>
      <c r="B65" s="13">
        <f t="shared" si="33"/>
        <v>82.4</v>
      </c>
      <c r="C65" s="13">
        <f t="shared" si="33"/>
        <v>8.33</v>
      </c>
      <c r="D65" s="13">
        <f t="shared" si="30"/>
        <v>78.66</v>
      </c>
      <c r="E65" s="31">
        <f t="shared" si="31"/>
        <v>13.99</v>
      </c>
      <c r="F65" s="31">
        <f t="shared" si="32"/>
        <v>0.2</v>
      </c>
    </row>
    <row r="66" spans="1:6" x14ac:dyDescent="0.3">
      <c r="A66" s="13">
        <f t="shared" ref="A66:C66" si="34">A32</f>
        <v>6.03</v>
      </c>
      <c r="B66" s="13">
        <f t="shared" si="34"/>
        <v>80.900000000000006</v>
      </c>
      <c r="C66" s="13">
        <f t="shared" si="34"/>
        <v>7.88</v>
      </c>
      <c r="D66" s="13">
        <f t="shared" si="30"/>
        <v>80.290000000000006</v>
      </c>
      <c r="E66" s="31">
        <f t="shared" si="31"/>
        <v>0.37</v>
      </c>
      <c r="F66" s="31">
        <f t="shared" si="32"/>
        <v>0.01</v>
      </c>
    </row>
    <row r="67" spans="1:6" x14ac:dyDescent="0.3">
      <c r="A67" s="13">
        <f t="shared" ref="A67:C67" si="35">A33</f>
        <v>6.36</v>
      </c>
      <c r="B67" s="13">
        <f t="shared" si="35"/>
        <v>79</v>
      </c>
      <c r="C67" s="13">
        <f t="shared" si="35"/>
        <v>6.15</v>
      </c>
      <c r="D67" s="13">
        <f t="shared" si="30"/>
        <v>81.569999999999993</v>
      </c>
      <c r="E67" s="31">
        <f t="shared" si="31"/>
        <v>6.6</v>
      </c>
      <c r="F67" s="31">
        <f t="shared" si="32"/>
        <v>0.17</v>
      </c>
    </row>
    <row r="68" spans="1:6" x14ac:dyDescent="0.3">
      <c r="A68" s="13">
        <f t="shared" ref="A68:C68" si="36">A34</f>
        <v>6.69</v>
      </c>
      <c r="B68" s="13">
        <f t="shared" si="36"/>
        <v>81.400000000000006</v>
      </c>
      <c r="C68" s="13">
        <f t="shared" si="36"/>
        <v>6.11</v>
      </c>
      <c r="D68" s="13">
        <f t="shared" si="30"/>
        <v>82.58</v>
      </c>
      <c r="E68" s="31">
        <f t="shared" si="31"/>
        <v>1.39</v>
      </c>
      <c r="F68" s="31">
        <f t="shared" si="32"/>
        <v>0.04</v>
      </c>
    </row>
    <row r="69" spans="1:6" x14ac:dyDescent="0.3">
      <c r="A69" s="13">
        <f t="shared" ref="A69:C69" si="37">A35</f>
        <v>7.02</v>
      </c>
      <c r="B69" s="13">
        <f t="shared" si="37"/>
        <v>79.7</v>
      </c>
      <c r="C69" s="13">
        <f t="shared" si="37"/>
        <v>5.59</v>
      </c>
      <c r="D69" s="13">
        <f t="shared" si="30"/>
        <v>83.33</v>
      </c>
      <c r="E69" s="31">
        <f t="shared" si="31"/>
        <v>13.18</v>
      </c>
      <c r="F69" s="31">
        <f t="shared" si="32"/>
        <v>0.42</v>
      </c>
    </row>
    <row r="70" spans="1:6" x14ac:dyDescent="0.3">
      <c r="A70" s="13">
        <f t="shared" ref="A70:C70" si="38">A36</f>
        <v>7.36</v>
      </c>
      <c r="B70" s="13">
        <f t="shared" si="38"/>
        <v>77.5</v>
      </c>
      <c r="C70" s="13">
        <f t="shared" si="38"/>
        <v>6.33</v>
      </c>
      <c r="D70" s="13">
        <f t="shared" si="30"/>
        <v>83.86</v>
      </c>
      <c r="E70" s="31">
        <f t="shared" si="31"/>
        <v>40.450000000000003</v>
      </c>
      <c r="F70" s="31">
        <f t="shared" si="32"/>
        <v>1.01</v>
      </c>
    </row>
    <row r="71" spans="1:6" x14ac:dyDescent="0.3">
      <c r="A71" s="13">
        <f t="shared" ref="A71:C71" si="39">A37</f>
        <v>7.7</v>
      </c>
      <c r="B71" s="13">
        <f t="shared" si="39"/>
        <v>79.900000000000006</v>
      </c>
      <c r="C71" s="13">
        <f t="shared" si="39"/>
        <v>6.41</v>
      </c>
      <c r="D71" s="13">
        <f t="shared" si="30"/>
        <v>84.17</v>
      </c>
      <c r="E71" s="31">
        <f t="shared" si="31"/>
        <v>18.23</v>
      </c>
      <c r="F71" s="31">
        <f t="shared" si="32"/>
        <v>0.44</v>
      </c>
    </row>
    <row r="72" spans="1:6" x14ac:dyDescent="0.3">
      <c r="A72" s="13">
        <f t="shared" ref="A72:C72" si="40">A38</f>
        <v>8.0299999999999994</v>
      </c>
      <c r="B72" s="13">
        <f t="shared" si="40"/>
        <v>81.5</v>
      </c>
      <c r="C72" s="13">
        <f t="shared" si="40"/>
        <v>7.86</v>
      </c>
      <c r="D72" s="13">
        <f t="shared" si="30"/>
        <v>84.29</v>
      </c>
      <c r="E72" s="31">
        <f t="shared" si="31"/>
        <v>7.78</v>
      </c>
      <c r="F72" s="31">
        <f t="shared" si="32"/>
        <v>0.13</v>
      </c>
    </row>
    <row r="73" spans="1:6" x14ac:dyDescent="0.3">
      <c r="A73" s="13">
        <f t="shared" ref="A73:C73" si="41">A39</f>
        <v>8.3699999999999992</v>
      </c>
      <c r="B73" s="13">
        <f t="shared" si="41"/>
        <v>82.2</v>
      </c>
      <c r="C73" s="13">
        <f t="shared" si="41"/>
        <v>7.82</v>
      </c>
      <c r="D73" s="13">
        <f t="shared" si="30"/>
        <v>84.23</v>
      </c>
      <c r="E73" s="31">
        <f t="shared" si="31"/>
        <v>4.12</v>
      </c>
      <c r="F73" s="31">
        <f t="shared" si="32"/>
        <v>7.0000000000000007E-2</v>
      </c>
    </row>
    <row r="74" spans="1:6" x14ac:dyDescent="0.3">
      <c r="A74" s="13">
        <f t="shared" ref="A74:C74" si="42">A40</f>
        <v>8.6999999999999993</v>
      </c>
      <c r="B74" s="13">
        <f t="shared" si="42"/>
        <v>82</v>
      </c>
      <c r="C74" s="13">
        <f t="shared" si="42"/>
        <v>7.09</v>
      </c>
      <c r="D74" s="13">
        <f t="shared" si="30"/>
        <v>84.03</v>
      </c>
      <c r="E74" s="31">
        <f t="shared" si="31"/>
        <v>4.12</v>
      </c>
      <c r="F74" s="31">
        <f t="shared" si="32"/>
        <v>0.08</v>
      </c>
    </row>
    <row r="75" spans="1:6" x14ac:dyDescent="0.3">
      <c r="A75" s="13">
        <f t="shared" ref="A75:C75" si="43">A41</f>
        <v>9.0299999999999994</v>
      </c>
      <c r="B75" s="13">
        <f t="shared" si="43"/>
        <v>84.7</v>
      </c>
      <c r="C75" s="13">
        <f t="shared" si="43"/>
        <v>5.74</v>
      </c>
      <c r="D75" s="13">
        <f t="shared" si="30"/>
        <v>83.71</v>
      </c>
      <c r="E75" s="31">
        <f t="shared" si="31"/>
        <v>0.98</v>
      </c>
      <c r="F75" s="31">
        <f t="shared" si="32"/>
        <v>0.03</v>
      </c>
    </row>
    <row r="76" spans="1:6" x14ac:dyDescent="0.3">
      <c r="A76" s="13">
        <f t="shared" ref="A76:C76" si="44">A42</f>
        <v>9.3699999999999992</v>
      </c>
      <c r="B76" s="13">
        <f t="shared" si="44"/>
        <v>86.1</v>
      </c>
      <c r="C76" s="13">
        <f t="shared" si="44"/>
        <v>5.54</v>
      </c>
      <c r="D76" s="13">
        <f t="shared" si="30"/>
        <v>83.26</v>
      </c>
      <c r="E76" s="31">
        <f t="shared" si="31"/>
        <v>8.07</v>
      </c>
      <c r="F76" s="31">
        <f t="shared" si="32"/>
        <v>0.26</v>
      </c>
    </row>
    <row r="77" spans="1:6" x14ac:dyDescent="0.3">
      <c r="A77" s="13">
        <f t="shared" ref="A77:C77" si="45">A43</f>
        <v>9.6999999999999993</v>
      </c>
      <c r="B77" s="13">
        <f t="shared" si="45"/>
        <v>85.3</v>
      </c>
      <c r="C77" s="13">
        <f t="shared" si="45"/>
        <v>5.23</v>
      </c>
      <c r="D77" s="13">
        <f t="shared" si="30"/>
        <v>82.74</v>
      </c>
      <c r="E77" s="31">
        <f t="shared" si="31"/>
        <v>6.55</v>
      </c>
      <c r="F77" s="31">
        <f t="shared" si="32"/>
        <v>0.24</v>
      </c>
    </row>
    <row r="78" spans="1:6" ht="19.5" thickBot="1" x14ac:dyDescent="0.35">
      <c r="A78" s="13">
        <f t="shared" ref="A78:C78" si="46">A44</f>
        <v>10.039999999999999</v>
      </c>
      <c r="B78" s="13">
        <f t="shared" si="46"/>
        <v>86.5</v>
      </c>
      <c r="C78" s="13">
        <f t="shared" si="46"/>
        <v>6.45</v>
      </c>
      <c r="D78" s="13">
        <f t="shared" si="30"/>
        <v>82.12</v>
      </c>
      <c r="E78" s="31">
        <f t="shared" si="31"/>
        <v>19.18</v>
      </c>
      <c r="F78" s="31">
        <f t="shared" si="32"/>
        <v>0.46</v>
      </c>
    </row>
    <row r="79" spans="1:6" ht="28.5" thickBot="1" x14ac:dyDescent="0.35">
      <c r="E79" s="32" t="s">
        <v>34</v>
      </c>
      <c r="F79" s="28">
        <f>ROUND(SUM(F49:F78)/(COUNT(F49:F78)),2)</f>
        <v>3.26</v>
      </c>
    </row>
    <row r="80" spans="1:6" x14ac:dyDescent="0.3">
      <c r="E80" s="2"/>
    </row>
    <row r="81" spans="1:6" x14ac:dyDescent="0.3">
      <c r="A81" s="34"/>
      <c r="B81" s="34"/>
      <c r="C81" s="34"/>
      <c r="D81" s="10"/>
      <c r="E81" s="2"/>
      <c r="F81" s="30"/>
    </row>
    <row r="82" spans="1:6" x14ac:dyDescent="0.3">
      <c r="A82" s="35"/>
      <c r="B82" s="35"/>
      <c r="C82" s="35"/>
      <c r="D82" s="10"/>
      <c r="E82" s="2"/>
    </row>
    <row r="83" spans="1:6" x14ac:dyDescent="0.3">
      <c r="A83" s="35"/>
      <c r="B83" s="35"/>
      <c r="C83" s="35"/>
      <c r="D83" s="10"/>
    </row>
    <row r="84" spans="1:6" x14ac:dyDescent="0.3">
      <c r="A84" s="35"/>
      <c r="B84" s="35"/>
      <c r="C84" s="35"/>
      <c r="D84" s="10"/>
    </row>
    <row r="85" spans="1:6" x14ac:dyDescent="0.3">
      <c r="A85" s="35"/>
      <c r="B85" s="35"/>
      <c r="C85" s="35"/>
      <c r="D85" s="10"/>
    </row>
    <row r="86" spans="1:6" x14ac:dyDescent="0.3">
      <c r="A86" s="35"/>
      <c r="B86" s="35"/>
      <c r="C86" s="35"/>
      <c r="D86" s="10"/>
    </row>
    <row r="87" spans="1:6" x14ac:dyDescent="0.3">
      <c r="A87" s="35"/>
      <c r="B87" s="35"/>
      <c r="C87" s="35"/>
      <c r="D87" s="10"/>
    </row>
    <row r="88" spans="1:6" x14ac:dyDescent="0.3">
      <c r="A88" s="35"/>
      <c r="B88" s="35"/>
      <c r="C88" s="35"/>
      <c r="D88" s="10"/>
    </row>
    <row r="89" spans="1:6" x14ac:dyDescent="0.3">
      <c r="A89" s="35"/>
      <c r="B89" s="35"/>
      <c r="C89" s="35"/>
      <c r="D89" s="10"/>
    </row>
    <row r="90" spans="1:6" x14ac:dyDescent="0.3">
      <c r="A90" s="35"/>
      <c r="B90" s="35"/>
      <c r="C90" s="35"/>
      <c r="D90" s="10"/>
    </row>
    <row r="91" spans="1:6" x14ac:dyDescent="0.3">
      <c r="A91" s="35"/>
      <c r="B91" s="35"/>
      <c r="C91" s="35"/>
      <c r="D91" s="10"/>
    </row>
    <row r="92" spans="1:6" x14ac:dyDescent="0.3">
      <c r="A92" s="35"/>
      <c r="B92" s="35"/>
      <c r="C92" s="35"/>
      <c r="D92" s="10"/>
    </row>
    <row r="93" spans="1:6" x14ac:dyDescent="0.3">
      <c r="A93" s="35"/>
      <c r="B93" s="35"/>
      <c r="C93" s="35"/>
      <c r="D93" s="10"/>
    </row>
    <row r="94" spans="1:6" x14ac:dyDescent="0.3">
      <c r="A94" s="35"/>
      <c r="B94" s="35"/>
      <c r="C94" s="35"/>
      <c r="D94" s="10"/>
    </row>
    <row r="95" spans="1:6" x14ac:dyDescent="0.3">
      <c r="A95" s="35"/>
      <c r="B95" s="35"/>
      <c r="C95" s="35"/>
      <c r="D95" s="10"/>
    </row>
    <row r="96" spans="1:6" x14ac:dyDescent="0.3">
      <c r="A96" s="35"/>
      <c r="B96" s="35"/>
      <c r="C96" s="35"/>
      <c r="D96" s="10"/>
    </row>
    <row r="97" spans="1:4" x14ac:dyDescent="0.3">
      <c r="A97" s="35"/>
      <c r="B97" s="35"/>
      <c r="C97" s="35"/>
      <c r="D97" s="10"/>
    </row>
    <row r="98" spans="1:4" x14ac:dyDescent="0.3">
      <c r="A98" s="35"/>
      <c r="B98" s="35"/>
      <c r="C98" s="35"/>
      <c r="D98" s="10"/>
    </row>
    <row r="99" spans="1:4" x14ac:dyDescent="0.3">
      <c r="A99" s="35"/>
      <c r="B99" s="35"/>
      <c r="C99" s="35"/>
      <c r="D99" s="10"/>
    </row>
    <row r="100" spans="1:4" x14ac:dyDescent="0.3">
      <c r="A100" s="35"/>
      <c r="B100" s="35"/>
      <c r="C100" s="35"/>
      <c r="D100" s="10"/>
    </row>
    <row r="101" spans="1:4" x14ac:dyDescent="0.3">
      <c r="A101" s="35"/>
      <c r="B101" s="35"/>
      <c r="C101" s="35"/>
      <c r="D101" s="10"/>
    </row>
    <row r="102" spans="1:4" x14ac:dyDescent="0.3">
      <c r="A102" s="35"/>
      <c r="B102" s="35"/>
      <c r="C102" s="35"/>
      <c r="D102" s="10"/>
    </row>
    <row r="103" spans="1:4" x14ac:dyDescent="0.3">
      <c r="A103" s="35"/>
      <c r="B103" s="35"/>
      <c r="C103" s="35"/>
      <c r="D103" s="10"/>
    </row>
    <row r="104" spans="1:4" x14ac:dyDescent="0.3">
      <c r="A104" s="35"/>
      <c r="B104" s="35"/>
      <c r="C104" s="35"/>
      <c r="D104" s="10"/>
    </row>
    <row r="105" spans="1:4" x14ac:dyDescent="0.3">
      <c r="A105" s="35"/>
      <c r="B105" s="35"/>
      <c r="C105" s="35"/>
      <c r="D105" s="10"/>
    </row>
    <row r="106" spans="1:4" x14ac:dyDescent="0.3">
      <c r="A106" s="35"/>
      <c r="B106" s="35"/>
      <c r="C106" s="35"/>
      <c r="D106" s="10"/>
    </row>
    <row r="107" spans="1:4" x14ac:dyDescent="0.3">
      <c r="A107" s="35"/>
      <c r="B107" s="35"/>
      <c r="C107" s="35"/>
      <c r="D107" s="10"/>
    </row>
    <row r="108" spans="1:4" x14ac:dyDescent="0.3">
      <c r="A108" s="35"/>
      <c r="B108" s="35"/>
      <c r="C108" s="35"/>
      <c r="D108" s="10"/>
    </row>
    <row r="109" spans="1:4" x14ac:dyDescent="0.3">
      <c r="A109" s="35"/>
      <c r="B109" s="35"/>
      <c r="C109" s="35"/>
      <c r="D109" s="10"/>
    </row>
    <row r="110" spans="1:4" x14ac:dyDescent="0.3">
      <c r="A110" s="35"/>
      <c r="B110" s="35"/>
      <c r="C110" s="35"/>
      <c r="D110" s="10"/>
    </row>
    <row r="111" spans="1:4" x14ac:dyDescent="0.3">
      <c r="A111" s="35"/>
      <c r="B111" s="35"/>
      <c r="C111" s="35"/>
      <c r="D111" s="10"/>
    </row>
  </sheetData>
  <mergeCells count="3">
    <mergeCell ref="C10:D10"/>
    <mergeCell ref="J14:O14"/>
    <mergeCell ref="D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23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36"/>
      <c r="D10" s="36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39"/>
      <c r="K14" s="40"/>
      <c r="L14" s="40"/>
      <c r="M14" s="40"/>
      <c r="N14" s="41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NGC2915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2026-01-12T09:33:57Z</dcterms:modified>
</cp:coreProperties>
</file>