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9992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9" i="1" l="1"/>
  <c r="C9" i="1"/>
  <c r="A25" i="1" l="1"/>
  <c r="A26" i="1"/>
  <c r="A27" i="1"/>
  <c r="A28" i="1"/>
  <c r="A24" i="1"/>
  <c r="B25" i="1"/>
  <c r="C25" i="1"/>
  <c r="B26" i="1"/>
  <c r="C26" i="1"/>
  <c r="B27" i="1"/>
  <c r="C27" i="1"/>
  <c r="B28" i="1"/>
  <c r="C28" i="1"/>
  <c r="C24" i="1"/>
  <c r="B24" i="1"/>
  <c r="I8" i="1"/>
  <c r="E10" i="1" l="1"/>
  <c r="C12" i="1"/>
  <c r="E12" i="1" l="1"/>
  <c r="D19" i="1"/>
  <c r="D18" i="1"/>
  <c r="D16" i="1"/>
  <c r="J16" i="1" s="1"/>
  <c r="D15" i="1"/>
  <c r="K15" i="1" s="1"/>
  <c r="D17" i="1"/>
  <c r="J17" i="1" s="1"/>
  <c r="J18" i="1"/>
  <c r="L18" i="1"/>
  <c r="K18" i="1"/>
  <c r="M18" i="1"/>
  <c r="J19" i="1"/>
  <c r="L19" i="1"/>
  <c r="K19" i="1"/>
  <c r="M19" i="1"/>
  <c r="M15" i="1"/>
  <c r="L15" i="1"/>
  <c r="M17" i="1" l="1"/>
  <c r="M16" i="1"/>
  <c r="L17" i="1"/>
  <c r="K17" i="1"/>
  <c r="L16" i="1"/>
  <c r="K16" i="1"/>
  <c r="J15" i="1"/>
  <c r="O15" i="1" s="1"/>
  <c r="N19" i="1"/>
  <c r="N17" i="1"/>
  <c r="N18" i="1"/>
  <c r="N15" i="1"/>
  <c r="O17" i="1"/>
  <c r="O19" i="1"/>
  <c r="O18" i="1"/>
  <c r="N16" i="1" l="1"/>
  <c r="O16" i="1"/>
  <c r="E15" i="1"/>
  <c r="F15" i="1" s="1"/>
  <c r="G15" i="1" s="1"/>
  <c r="H15" i="1" s="1"/>
  <c r="E17" i="1"/>
  <c r="F17" i="1" s="1"/>
  <c r="G17" i="1" s="1"/>
  <c r="D26" i="1" s="1"/>
  <c r="E26" i="1" s="1"/>
  <c r="F26" i="1" s="1"/>
  <c r="E19" i="1"/>
  <c r="F19" i="1" s="1"/>
  <c r="G19" i="1" s="1"/>
  <c r="D28" i="1" s="1"/>
  <c r="E28" i="1" s="1"/>
  <c r="F28" i="1" s="1"/>
  <c r="E18" i="1"/>
  <c r="F18" i="1" s="1"/>
  <c r="G18" i="1" s="1"/>
  <c r="D27" i="1" s="1"/>
  <c r="E27" i="1" s="1"/>
  <c r="F27" i="1" s="1"/>
  <c r="E16" i="1" l="1"/>
  <c r="F16" i="1" s="1"/>
  <c r="G16" i="1" s="1"/>
  <c r="D25" i="1" s="1"/>
  <c r="E25" i="1" s="1"/>
  <c r="F25" i="1" s="1"/>
  <c r="D24" i="1"/>
  <c r="E24" i="1" s="1"/>
  <c r="F24" i="1" s="1"/>
  <c r="H18" i="1"/>
  <c r="H17" i="1"/>
  <c r="H19" i="1"/>
  <c r="F29" i="1" l="1"/>
  <c r="H16" i="1"/>
  <c r="H20" i="1" l="1"/>
  <c r="C21" i="1" s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<sst xmlns="http://schemas.openxmlformats.org/spreadsheetml/2006/main" count="41" uniqueCount="38">
  <si>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</si>
  <si>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</si>
  <si>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</si>
  <si>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</si>
  <si>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</si>
  <si>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</si>
  <si>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</si>
  <si>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</si>
  <si>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</si>
  <si>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</si>
  <si>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</si>
  <si>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</si>
  <si>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</si>
  <si>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</si>
  <si>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</si>
  <si>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</si>
  <si>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</si>
  <si>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r_c=R_max=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</si>
  <si>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</si>
  <si>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</si>
  <si>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</si>
  <si>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</si>
  <si>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</si>
  <si>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</si>
  <si>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</si>
  <si>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</si>
  <si>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</si>
  <si>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</si>
  <si>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</si>
  <si>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</si>
  <si>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</si>
  <si>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</si>
  <si>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</si>
  <si>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</si>
  <si>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</si>
  <si>
    <t>ρ0=</t>
  </si>
  <si>
    <t>=M_tot/4.π.r_c^3.I(infini)</t>
  </si>
  <si>
    <t>UGC09992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</si>
</sst>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 indent="1" readingOrder="1"/>
    </xf>
    <xf numFmtId="0" fontId="6" fillId="0" borderId="15" xfId="0" applyFont="1" applyBorder="1" applyAlignment="1">
      <alignment horizontal="justify" vertical="center"/>
    </xf>
    <xf numFmtId="0" fontId="10" fillId="0" borderId="14" xfId="0" applyFont="1" applyBorder="1" applyAlignment="1">
      <alignment horizontal="right" vertical="center" wrapText="1" indent="1" readingOrder="1"/>
    </xf>
    <xf numFmtId="0" fontId="11" fillId="0" borderId="0" xfId="0" applyFont="1" applyBorder="1" applyAlignment="1">
      <alignment horizontal="right" vertical="center" wrapText="1" indent="1" readingOrder="1"/>
    </xf>
    <xf numFmtId="0" fontId="10" fillId="0" borderId="0" xfId="0" applyFont="1" applyBorder="1" applyAlignment="1">
      <alignment horizontal="righ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'UGC09992'!$B$23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'UGC09992'!$C$24:$C$28</c:f>
                <c:numCache>
                  <c:formatCode>General</c:formatCode>
                  <c:ptCount val="5"/>
                  <c:pt idx="0">
                    <c:v>5.66</c:v>
                  </c:pt>
                  <c:pt idx="1">
                    <c:v>5.66</c:v>
                  </c:pt>
                  <c:pt idx="2">
                    <c:v>5.66</c:v>
                  </c:pt>
                  <c:pt idx="3">
                    <c:v>5.66</c:v>
                  </c:pt>
                  <c:pt idx="4">
                    <c:v>5.66</c:v>
                  </c:pt>
                </c:numCache>
              </c:numRef>
            </c:plus>
            <c:minus>
              <c:numRef>
                <c:f>'UGC09992'!$C$24:$C$28</c:f>
                <c:numCache>
                  <c:formatCode>General</c:formatCode>
                  <c:ptCount val="5"/>
                  <c:pt idx="0">
                    <c:v>5.66</c:v>
                  </c:pt>
                  <c:pt idx="1">
                    <c:v>5.66</c:v>
                  </c:pt>
                  <c:pt idx="2">
                    <c:v>5.66</c:v>
                  </c:pt>
                  <c:pt idx="3">
                    <c:v>5.66</c:v>
                  </c:pt>
                  <c:pt idx="4">
                    <c:v>5.66</c:v>
                  </c:pt>
                </c:numCache>
              </c:numRef>
            </c:minus>
          </c:errBars>
          <c:xVal>
            <c:numRef>
              <c:f>'UGC09992'!$A$24:$A$28</c:f>
              <c:numCache>
                <c:formatCode>General</c:formatCode>
                <c:ptCount val="5"/>
                <c:pt idx="0">
                  <c:v>0.78</c:v>
                </c:pt>
                <c:pt idx="1">
                  <c:v>1.55</c:v>
                </c:pt>
                <c:pt idx="2">
                  <c:v>2.34</c:v>
                </c:pt>
                <c:pt idx="3">
                  <c:v>3.12</c:v>
                </c:pt>
                <c:pt idx="4">
                  <c:v>3.89</c:v>
                </c:pt>
              </c:numCache>
            </c:numRef>
          </c:xVal>
          <c:yVal>
            <c:numRef>
              <c:f>'UGC09992'!$B$24:$B$28</c:f>
              <c:numCache>
                <c:formatCode>General</c:formatCode>
                <c:ptCount val="5"/>
                <c:pt idx="0">
                  <c:v>28.1</c:v>
                </c:pt>
                <c:pt idx="1">
                  <c:v>31.3</c:v>
                </c:pt>
                <c:pt idx="2">
                  <c:v>33</c:v>
                </c:pt>
                <c:pt idx="3">
                  <c:v>33.4</c:v>
                </c:pt>
                <c:pt idx="4">
                  <c:v>34.299999999999997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1072"/>
        <c:axId val="151102976"/>
      </c:scatterChart>
      <c:scatterChart>
        <c:scatterStyle val="smoothMarker"/>
        <c:varyColors val="0"/>
        <c:ser>
          <c:idx val="1"/>
          <c:order val="1"/>
          <c:tx>
            <c:strRef>
              <c:f>'UGC09992'!$D$23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'UGC09992'!$A$24:$A$28</c:f>
              <c:numCache>
                <c:formatCode>General</c:formatCode>
                <c:ptCount val="5"/>
                <c:pt idx="0">
                  <c:v>0.78</c:v>
                </c:pt>
                <c:pt idx="1">
                  <c:v>1.55</c:v>
                </c:pt>
                <c:pt idx="2">
                  <c:v>2.34</c:v>
                </c:pt>
                <c:pt idx="3">
                  <c:v>3.12</c:v>
                </c:pt>
                <c:pt idx="4">
                  <c:v>3.89</c:v>
                </c:pt>
              </c:numCache>
            </c:numRef>
          </c:xVal>
          <c:yVal>
            <c:numRef>
              <c:f>'UGC09992'!$D$24:$D$28</c:f>
              <c:numCache>
                <c:formatCode>General</c:formatCode>
                <c:ptCount val="5"/>
                <c:pt idx="0">
                  <c:v>14.87</c:v>
                </c:pt>
                <c:pt idx="1">
                  <c:v>25.87</c:v>
                </c:pt>
                <c:pt idx="2">
                  <c:v>31.85</c:v>
                </c:pt>
                <c:pt idx="3">
                  <c:v>33.42</c:v>
                </c:pt>
                <c:pt idx="4">
                  <c:v>32.56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91072"/>
        <c:axId val="151102976"/>
      </c:scatterChart>
      <c:valAx>
        <c:axId val="1510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02976"/>
        <c:crosses val="autoZero"/>
        <c:crossBetween val="midCat"/>
      </c:valAx>
      <c:valAx>
        <c:axId val="151102976"/>
        <c:scaling>
          <c:orientation val="minMax"/>
          <c:max val="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0910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'UGC09992'!$B$23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'UGC09992'!$A$24:$A$28</c:f>
              <c:numCache>
                <c:formatCode>General</c:formatCode>
                <c:ptCount val="5"/>
                <c:pt idx="0">
                  <c:v>0.78</c:v>
                </c:pt>
                <c:pt idx="1">
                  <c:v>1.55</c:v>
                </c:pt>
                <c:pt idx="2">
                  <c:v>2.34</c:v>
                </c:pt>
                <c:pt idx="3">
                  <c:v>3.12</c:v>
                </c:pt>
                <c:pt idx="4">
                  <c:v>3.89</c:v>
                </c:pt>
              </c:numCache>
            </c:numRef>
          </c:xVal>
          <c:yVal>
            <c:numRef>
              <c:f>'UGC09992'!$B$24:$B$28</c:f>
              <c:numCache>
                <c:formatCode>General</c:formatCode>
                <c:ptCount val="5"/>
                <c:pt idx="0">
                  <c:v>28.1</c:v>
                </c:pt>
                <c:pt idx="1">
                  <c:v>31.3</c:v>
                </c:pt>
                <c:pt idx="2">
                  <c:v>33</c:v>
                </c:pt>
                <c:pt idx="3">
                  <c:v>33.4</c:v>
                </c:pt>
                <c:pt idx="4">
                  <c:v>34.299999999999997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6256"/>
        <c:axId val="151773568"/>
      </c:scatterChart>
      <c:scatterChart>
        <c:scatterStyle val="smoothMarker"/>
        <c:varyColors val="0"/>
        <c:ser>
          <c:idx val="1"/>
          <c:order val="1"/>
          <c:tx>
            <c:strRef>
              <c:f>'UGC09992'!$D$23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'UGC09992'!$A$24:$A$28</c:f>
              <c:numCache>
                <c:formatCode>General</c:formatCode>
                <c:ptCount val="5"/>
                <c:pt idx="0">
                  <c:v>0.78</c:v>
                </c:pt>
                <c:pt idx="1">
                  <c:v>1.55</c:v>
                </c:pt>
                <c:pt idx="2">
                  <c:v>2.34</c:v>
                </c:pt>
                <c:pt idx="3">
                  <c:v>3.12</c:v>
                </c:pt>
                <c:pt idx="4">
                  <c:v>3.89</c:v>
                </c:pt>
              </c:numCache>
            </c:numRef>
          </c:xVal>
          <c:yVal>
            <c:numRef>
              <c:f>'UGC09992'!$D$24:$D$28</c:f>
              <c:numCache>
                <c:formatCode>General</c:formatCode>
                <c:ptCount val="5"/>
                <c:pt idx="0">
                  <c:v>14.87</c:v>
                </c:pt>
                <c:pt idx="1">
                  <c:v>25.87</c:v>
                </c:pt>
                <c:pt idx="2">
                  <c:v>31.85</c:v>
                </c:pt>
                <c:pt idx="3">
                  <c:v>33.42</c:v>
                </c:pt>
                <c:pt idx="4">
                  <c:v>32.56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6256"/>
        <c:axId val="151773568"/>
      </c:scatterChart>
      <c:valAx>
        <c:axId val="1512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73568"/>
        <c:crosses val="autoZero"/>
        <c:crossBetween val="midCat"/>
      </c:valAx>
      <c:valAx>
        <c:axId val="15177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96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24</xdr:row>
      <xdr:rowOff>28575</xdr:rowOff>
    </xdr:from>
    <xdr:to>
      <xdr:col>12</xdr:col>
      <xdr:colOff>1114425</xdr:colOff>
      <xdr:row>33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2"/>
  <sheetViews>
    <sheetView tabSelected="1" topLeftCell="A19" workbookViewId="0">
      <selection activeCell="E12" sqref="E12"/>
    </sheetView>
  </sheetViews>
  <sheetFormatPr baseColWidth="10" defaultRowHeight="18.75" x14ac:dyDescent="0.3"/>
  <cols>
    <col min="1" max="1" width="14.5703125" style="1" customWidth="1"/>
    <col min="2" max="3" width="12.7109375" style="1" customWidth="1"/>
    <col min="4" max="4" width="21.42578125" style="1" customWidth="1"/>
    <col min="5" max="5" width="12.7109375" style="1" customWidth="1"/>
    <col min="6" max="6" width="14.140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6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37</v>
      </c>
      <c r="B9" s="14" t="s">
        <v>8</v>
      </c>
      <c r="C9" s="15">
        <f>A19</f>
        <v>3.89</v>
      </c>
      <c r="D9" s="14" t="s">
        <v>9</v>
      </c>
      <c r="E9" s="15">
        <f>B19</f>
        <v>34.299999999999997</v>
      </c>
      <c r="F9" s="10"/>
      <c r="G9" s="10"/>
      <c r="H9" s="10"/>
      <c r="I9" s="11"/>
    </row>
    <row r="10" spans="1:15" x14ac:dyDescent="0.3">
      <c r="B10" s="5" t="s">
        <v>10</v>
      </c>
      <c r="C10" s="36" t="s">
        <v>12</v>
      </c>
      <c r="D10" s="36"/>
      <c r="E10" s="9">
        <f>E9*E9*C9/I8</f>
        <v>1064090329.9309444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6" t="s">
        <v>22</v>
      </c>
      <c r="H11" s="6"/>
      <c r="I11" s="2"/>
    </row>
    <row r="12" spans="1:15" x14ac:dyDescent="0.3">
      <c r="B12" s="5" t="s">
        <v>17</v>
      </c>
      <c r="C12" s="7">
        <f>C9</f>
        <v>3.89</v>
      </c>
      <c r="D12" s="5" t="s">
        <v>35</v>
      </c>
      <c r="E12" s="9">
        <f>(E10/(POWER(C12,3)*4*3.14159*H10))</f>
        <v>22174341.647491556</v>
      </c>
      <c r="F12" s="6" t="s">
        <v>14</v>
      </c>
      <c r="G12" s="18" t="s">
        <v>21</v>
      </c>
      <c r="H12" s="19">
        <v>3.1415899999999999</v>
      </c>
    </row>
    <row r="13" spans="1:15" x14ac:dyDescent="0.3">
      <c r="B13" s="2"/>
      <c r="D13" s="38" t="s">
        <v>36</v>
      </c>
      <c r="E13" s="38"/>
      <c r="F13" s="38"/>
    </row>
    <row r="14" spans="1:15" ht="19.5" thickBot="1" x14ac:dyDescent="0.35">
      <c r="A14" s="12" t="s">
        <v>7</v>
      </c>
      <c r="B14" s="12" t="s">
        <v>15</v>
      </c>
      <c r="C14" s="12" t="s">
        <v>16</v>
      </c>
      <c r="D14" s="12" t="s">
        <v>18</v>
      </c>
      <c r="E14" s="12" t="s">
        <v>31</v>
      </c>
      <c r="F14" s="12" t="s">
        <v>19</v>
      </c>
      <c r="G14" s="13" t="s">
        <v>20</v>
      </c>
      <c r="H14" s="12" t="s">
        <v>24</v>
      </c>
      <c r="J14" s="37" t="s">
        <v>30</v>
      </c>
      <c r="K14" s="37"/>
      <c r="L14" s="37"/>
      <c r="M14" s="37"/>
      <c r="N14" s="37"/>
      <c r="O14" s="37"/>
    </row>
    <row r="15" spans="1:15" ht="19.5" thickBot="1" x14ac:dyDescent="0.35">
      <c r="A15" s="33">
        <v>0.78</v>
      </c>
      <c r="B15" s="33">
        <v>28.1</v>
      </c>
      <c r="C15" s="33">
        <v>5.66</v>
      </c>
      <c r="D15" s="13">
        <f t="shared" ref="D15:D19" si="0">A15/$C$12</f>
        <v>0.20051413881748073</v>
      </c>
      <c r="E15" s="13">
        <f>N15*K15+O15*M15</f>
        <v>2.4464580544987144E-3</v>
      </c>
      <c r="F15" s="13">
        <f>4*$H$12*$E$12*POWER($C$12,3)*E15</f>
        <v>40127934.852278605</v>
      </c>
      <c r="G15" s="13">
        <f t="shared" ref="G15:G19" si="1">POWER($I$8*F15/A15,0.5)</f>
        <v>14.87495895302094</v>
      </c>
      <c r="H15" s="13">
        <f t="shared" ref="H15:H19" si="2">ROUND(ABS((B15-G15)/B15)*100,2)</f>
        <v>47.06</v>
      </c>
      <c r="J15" s="13">
        <f>INDEX(Integrale!$H$3:$H$502,MATCH('UGC09992'!D15,Integrale!$H$3:$H$502,1))</f>
        <v>0.2</v>
      </c>
      <c r="K15" s="13">
        <f>INDEX(Integrale!$I$3:$I$502,MATCH('UGC09992'!D15,Integrale!$H$3:$H$502,1))</f>
        <v>2.4281708000000002E-3</v>
      </c>
      <c r="L15" s="13">
        <f>INDEX(Integrale!$H$3:$H$502,MATCH('UGC09992'!D15,Integrale!$H$3:$H$502,1)+1)</f>
        <v>0.21</v>
      </c>
      <c r="M15" s="13">
        <f>INDEX(Integrale!$I$3:$I$502,MATCH('UGC09992'!D15,Integrale!$H$3:$H$502,1)+1)</f>
        <v>2.7838579000000001E-3</v>
      </c>
      <c r="N15" s="13">
        <f>(L15-D15)/(L15-J15)</f>
        <v>0.94858611825192796</v>
      </c>
      <c r="O15" s="13">
        <f t="shared" ref="O15:O19" si="3">(D15-J15)/(L15-J15)</f>
        <v>5.1413881748072029E-2</v>
      </c>
    </row>
    <row r="16" spans="1:15" ht="19.5" thickBot="1" x14ac:dyDescent="0.35">
      <c r="A16" s="33">
        <v>1.55</v>
      </c>
      <c r="B16" s="33">
        <v>31.3</v>
      </c>
      <c r="C16" s="33">
        <v>5.66</v>
      </c>
      <c r="D16" s="13">
        <f t="shared" si="0"/>
        <v>0.39845758354755784</v>
      </c>
      <c r="E16" s="13">
        <f t="shared" ref="E16:E19" si="4">N16*K16+O16*M16</f>
        <v>1.4703200368380459E-2</v>
      </c>
      <c r="F16" s="13">
        <f t="shared" ref="F16:F19" si="5">4*$H$12*$E$12*POWER($C$12,3)*E16</f>
        <v>241168682.78915343</v>
      </c>
      <c r="G16" s="13">
        <f t="shared" si="1"/>
        <v>25.868680625331475</v>
      </c>
      <c r="H16" s="13">
        <f t="shared" si="2"/>
        <v>17.350000000000001</v>
      </c>
      <c r="J16" s="13">
        <f>INDEX(Integrale!$H$3:$H$502,MATCH('UGC09992'!D16,Integrale!$H$3:$H$502,1))</f>
        <v>0.39</v>
      </c>
      <c r="K16" s="13">
        <f>INDEX(Integrale!$I$3:$I$502,MATCH('UGC09992'!D16,Integrale!$H$3:$H$502,1))</f>
        <v>1.39852712E-2</v>
      </c>
      <c r="L16" s="13">
        <f>INDEX(Integrale!$H$3:$H$502,MATCH('UGC09992'!D16,Integrale!$H$3:$H$502,1)+1)</f>
        <v>0.4</v>
      </c>
      <c r="M16" s="13">
        <f>INDEX(Integrale!$I$3:$I$502,MATCH('UGC09992'!D16,Integrale!$H$3:$H$502,1)+1)</f>
        <v>1.48341297E-2</v>
      </c>
      <c r="N16" s="13">
        <f t="shared" ref="N16:N19" si="6">(L16-D16)/(L16-J16)</f>
        <v>0.15424164524421843</v>
      </c>
      <c r="O16" s="13">
        <f t="shared" si="3"/>
        <v>0.84575835475578154</v>
      </c>
    </row>
    <row r="17" spans="1:15" ht="19.5" thickBot="1" x14ac:dyDescent="0.35">
      <c r="A17" s="33">
        <v>2.34</v>
      </c>
      <c r="B17" s="33">
        <v>33</v>
      </c>
      <c r="C17" s="33">
        <v>5.66</v>
      </c>
      <c r="D17" s="13">
        <f t="shared" si="0"/>
        <v>0.60154241645244211</v>
      </c>
      <c r="E17" s="13">
        <f t="shared" si="4"/>
        <v>3.3655417472493572E-2</v>
      </c>
      <c r="F17" s="13">
        <f t="shared" si="5"/>
        <v>552031700.39193118</v>
      </c>
      <c r="G17" s="13">
        <f t="shared" si="1"/>
        <v>31.853250181115083</v>
      </c>
      <c r="H17" s="13">
        <f t="shared" si="2"/>
        <v>3.47</v>
      </c>
      <c r="J17" s="13">
        <f>INDEX(Integrale!$H$3:$H$502,MATCH('UGC09992'!D17,Integrale!$H$3:$H$502,1))</f>
        <v>0.6</v>
      </c>
      <c r="K17" s="13">
        <f>INDEX(Integrale!$I$3:$I$502,MATCH('UGC09992'!D17,Integrale!$H$3:$H$502,1))</f>
        <v>3.3513777199999997E-2</v>
      </c>
      <c r="L17" s="13">
        <f>INDEX(Integrale!$H$3:$H$502,MATCH('UGC09992'!D17,Integrale!$H$3:$H$502,1)+1)</f>
        <v>0.61</v>
      </c>
      <c r="M17" s="13">
        <f>INDEX(Integrale!$I$3:$I$502,MATCH('UGC09992'!D17,Integrale!$H$3:$H$502,1)+1)</f>
        <v>3.4432078300000002E-2</v>
      </c>
      <c r="N17" s="13">
        <f t="shared" si="6"/>
        <v>0.84575835475578709</v>
      </c>
      <c r="O17" s="13">
        <f t="shared" si="3"/>
        <v>0.15424164524421288</v>
      </c>
    </row>
    <row r="18" spans="1:15" ht="19.5" thickBot="1" x14ac:dyDescent="0.35">
      <c r="A18" s="33">
        <v>3.12</v>
      </c>
      <c r="B18" s="33">
        <v>33.4</v>
      </c>
      <c r="C18" s="33">
        <v>5.66</v>
      </c>
      <c r="D18" s="13">
        <f t="shared" si="0"/>
        <v>0.80205655526992292</v>
      </c>
      <c r="E18" s="13">
        <f t="shared" si="4"/>
        <v>4.940662771670952E-2</v>
      </c>
      <c r="F18" s="13">
        <f t="shared" si="5"/>
        <v>810390325.16465485</v>
      </c>
      <c r="G18" s="13">
        <f t="shared" si="1"/>
        <v>33.423313247338307</v>
      </c>
      <c r="H18" s="13">
        <f t="shared" si="2"/>
        <v>7.0000000000000007E-2</v>
      </c>
      <c r="J18" s="13">
        <f>INDEX(Integrale!$H$3:$H$502,MATCH('UGC09992'!D18,Integrale!$H$3:$H$502,1))</f>
        <v>0.8</v>
      </c>
      <c r="K18" s="13">
        <f>INDEX(Integrale!$I$3:$I$502,MATCH('UGC09992'!D18,Integrale!$H$3:$H$502,1))</f>
        <v>4.9279864200000002E-2</v>
      </c>
      <c r="L18" s="13">
        <f>INDEX(Integrale!$H$3:$H$502,MATCH('UGC09992'!D18,Integrale!$H$3:$H$502,1)+1)</f>
        <v>0.81</v>
      </c>
      <c r="M18" s="13">
        <f>INDEX(Integrale!$I$3:$I$502,MATCH('UGC09992'!D18,Integrale!$H$3:$H$502,1)+1)</f>
        <v>4.9896251799999999E-2</v>
      </c>
      <c r="N18" s="13">
        <f t="shared" si="6"/>
        <v>0.79434447300771249</v>
      </c>
      <c r="O18" s="13">
        <f t="shared" si="3"/>
        <v>0.20565552699228754</v>
      </c>
    </row>
    <row r="19" spans="1:15" ht="19.5" thickBot="1" x14ac:dyDescent="0.35">
      <c r="A19" s="33">
        <v>3.89</v>
      </c>
      <c r="B19" s="33">
        <v>34.299999999999997</v>
      </c>
      <c r="C19" s="33">
        <v>5.66</v>
      </c>
      <c r="D19" s="13">
        <f t="shared" si="0"/>
        <v>1</v>
      </c>
      <c r="E19" s="13">
        <f t="shared" si="4"/>
        <v>5.8473808600000003E-2</v>
      </c>
      <c r="F19" s="13">
        <f t="shared" si="5"/>
        <v>959114413.4887687</v>
      </c>
      <c r="G19" s="13">
        <f t="shared" si="1"/>
        <v>32.564175045505223</v>
      </c>
      <c r="H19" s="13">
        <f t="shared" si="2"/>
        <v>5.0599999999999996</v>
      </c>
      <c r="J19" s="13">
        <f>INDEX(Integrale!$H$3:$H$502,MATCH('UGC09992'!D19,Integrale!$H$3:$H$502,1))</f>
        <v>1</v>
      </c>
      <c r="K19" s="13">
        <f>INDEX(Integrale!$I$3:$I$502,MATCH('UGC09992'!D19,Integrale!$H$3:$H$502,1))</f>
        <v>5.8473808600000003E-2</v>
      </c>
      <c r="L19" s="13">
        <f>INDEX(Integrale!$H$3:$H$502,MATCH('UGC09992'!D19,Integrale!$H$3:$H$502,1)+1)</f>
        <v>1.01</v>
      </c>
      <c r="M19" s="13">
        <f>INDEX(Integrale!$I$3:$I$502,MATCH('UGC09992'!D19,Integrale!$H$3:$H$502,1)+1)</f>
        <v>5.8778624799999998E-2</v>
      </c>
      <c r="N19" s="13">
        <f t="shared" si="6"/>
        <v>1</v>
      </c>
      <c r="O19" s="13">
        <f t="shared" si="3"/>
        <v>0</v>
      </c>
    </row>
    <row r="20" spans="1:15" x14ac:dyDescent="0.3">
      <c r="G20" s="29" t="s">
        <v>26</v>
      </c>
      <c r="H20" s="29">
        <f>ROUND(AVERAGE(H15:H19),2)</f>
        <v>14.6</v>
      </c>
    </row>
    <row r="21" spans="1:15" x14ac:dyDescent="0.3">
      <c r="B21" s="25" t="s">
        <v>25</v>
      </c>
      <c r="C21" s="26">
        <f>ROUND(MAX(0,100-H20),2)</f>
        <v>85.4</v>
      </c>
      <c r="D21" s="26" t="s">
        <v>27</v>
      </c>
      <c r="E21" s="2"/>
    </row>
    <row r="23" spans="1:15" x14ac:dyDescent="0.3">
      <c r="A23" s="12" t="s">
        <v>7</v>
      </c>
      <c r="B23" s="12" t="s">
        <v>28</v>
      </c>
      <c r="C23" s="12" t="s">
        <v>29</v>
      </c>
      <c r="D23" s="12" t="s">
        <v>20</v>
      </c>
      <c r="E23" s="27" t="s">
        <v>32</v>
      </c>
      <c r="F23" s="27" t="s">
        <v>33</v>
      </c>
    </row>
    <row r="24" spans="1:15" x14ac:dyDescent="0.3">
      <c r="A24" s="13">
        <f t="shared" ref="A24:C28" si="7">A15</f>
        <v>0.78</v>
      </c>
      <c r="B24" s="13">
        <f t="shared" si="7"/>
        <v>28.1</v>
      </c>
      <c r="C24" s="13">
        <f t="shared" si="7"/>
        <v>5.66</v>
      </c>
      <c r="D24" s="13">
        <f>ROUND(G15,2)</f>
        <v>14.87</v>
      </c>
      <c r="E24" s="13">
        <f>ROUND(POWER((B24-D24),2),2)</f>
        <v>175.03</v>
      </c>
      <c r="F24" s="13">
        <f>ROUND(E24/POWER(C24,2),2)</f>
        <v>5.46</v>
      </c>
    </row>
    <row r="25" spans="1:15" x14ac:dyDescent="0.3">
      <c r="A25" s="13">
        <f t="shared" si="7"/>
        <v>1.55</v>
      </c>
      <c r="B25" s="13">
        <f t="shared" si="7"/>
        <v>31.3</v>
      </c>
      <c r="C25" s="13">
        <f t="shared" si="7"/>
        <v>5.66</v>
      </c>
      <c r="D25" s="13">
        <f>ROUND(G16,2)</f>
        <v>25.87</v>
      </c>
      <c r="E25" s="13">
        <f t="shared" ref="E25:E28" si="8">ROUND(POWER((B25-D25),2),2)</f>
        <v>29.48</v>
      </c>
      <c r="F25" s="13">
        <f t="shared" ref="F25:F28" si="9">ROUND(E25/POWER(C25,2),2)</f>
        <v>0.92</v>
      </c>
    </row>
    <row r="26" spans="1:15" x14ac:dyDescent="0.3">
      <c r="A26" s="13">
        <f t="shared" si="7"/>
        <v>2.34</v>
      </c>
      <c r="B26" s="13">
        <f t="shared" si="7"/>
        <v>33</v>
      </c>
      <c r="C26" s="13">
        <f t="shared" si="7"/>
        <v>5.66</v>
      </c>
      <c r="D26" s="13">
        <f>ROUND(G17,2)</f>
        <v>31.85</v>
      </c>
      <c r="E26" s="13">
        <f t="shared" si="8"/>
        <v>1.32</v>
      </c>
      <c r="F26" s="13">
        <f t="shared" si="9"/>
        <v>0.04</v>
      </c>
    </row>
    <row r="27" spans="1:15" x14ac:dyDescent="0.3">
      <c r="A27" s="13">
        <f t="shared" si="7"/>
        <v>3.12</v>
      </c>
      <c r="B27" s="13">
        <f t="shared" si="7"/>
        <v>33.4</v>
      </c>
      <c r="C27" s="13">
        <f t="shared" si="7"/>
        <v>5.66</v>
      </c>
      <c r="D27" s="13">
        <f>ROUND(G18,2)</f>
        <v>33.42</v>
      </c>
      <c r="E27" s="13">
        <f t="shared" si="8"/>
        <v>0</v>
      </c>
      <c r="F27" s="13">
        <f t="shared" si="9"/>
        <v>0</v>
      </c>
    </row>
    <row r="28" spans="1:15" ht="19.5" thickBot="1" x14ac:dyDescent="0.35">
      <c r="A28" s="13">
        <f t="shared" si="7"/>
        <v>3.89</v>
      </c>
      <c r="B28" s="13">
        <f t="shared" si="7"/>
        <v>34.299999999999997</v>
      </c>
      <c r="C28" s="13">
        <f t="shared" si="7"/>
        <v>5.66</v>
      </c>
      <c r="D28" s="13">
        <f>ROUND(G19,2)</f>
        <v>32.56</v>
      </c>
      <c r="E28" s="13">
        <f t="shared" si="8"/>
        <v>3.03</v>
      </c>
      <c r="F28" s="13">
        <f t="shared" si="9"/>
        <v>0.09</v>
      </c>
    </row>
    <row r="29" spans="1:15" ht="28.5" thickBot="1" x14ac:dyDescent="0.35">
      <c r="E29" s="32" t="s">
        <v>34</v>
      </c>
      <c r="F29" s="28">
        <f>ROUND(SUM(F24:F28)/(COUNT(F24:F28)),2)</f>
        <v>1.3</v>
      </c>
    </row>
    <row r="30" spans="1:15" x14ac:dyDescent="0.3">
      <c r="E30" s="2"/>
    </row>
    <row r="31" spans="1:15" x14ac:dyDescent="0.3">
      <c r="E31" s="2"/>
      <c r="F31" s="30"/>
    </row>
    <row r="32" spans="1:15" x14ac:dyDescent="0.3">
      <c r="E32" s="2"/>
    </row>
    <row r="33" spans="1:3" x14ac:dyDescent="0.3">
      <c r="A33" s="34"/>
      <c r="B33" s="34"/>
      <c r="C33" s="34"/>
    </row>
    <row r="34" spans="1:3" x14ac:dyDescent="0.3">
      <c r="A34" s="35"/>
      <c r="B34" s="35"/>
      <c r="C34" s="35"/>
    </row>
    <row r="35" spans="1:3" x14ac:dyDescent="0.3">
      <c r="A35" s="35"/>
      <c r="B35" s="35"/>
      <c r="C35" s="35"/>
    </row>
    <row r="36" spans="1:3" x14ac:dyDescent="0.3">
      <c r="A36" s="35"/>
      <c r="B36" s="35"/>
      <c r="C36" s="35"/>
    </row>
    <row r="37" spans="1:3" x14ac:dyDescent="0.3">
      <c r="A37" s="35"/>
      <c r="B37" s="35"/>
      <c r="C37" s="35"/>
    </row>
    <row r="38" spans="1:3" x14ac:dyDescent="0.3">
      <c r="A38" s="35"/>
      <c r="B38" s="35"/>
      <c r="C38" s="35"/>
    </row>
    <row r="39" spans="1:3" x14ac:dyDescent="0.3">
      <c r="A39" s="31"/>
      <c r="B39" s="31"/>
      <c r="C39" s="31"/>
    </row>
    <row r="40" spans="1:3" x14ac:dyDescent="0.3">
      <c r="A40" s="31"/>
      <c r="B40" s="31"/>
      <c r="C40" s="31"/>
    </row>
    <row r="41" spans="1:3" x14ac:dyDescent="0.3">
      <c r="A41" s="31"/>
      <c r="B41" s="31"/>
      <c r="C41" s="31"/>
    </row>
    <row r="42" spans="1:3" x14ac:dyDescent="0.3">
      <c r="A42" s="31"/>
      <c r="B42" s="31"/>
      <c r="C42" s="31"/>
    </row>
    <row r="43" spans="1:3" x14ac:dyDescent="0.3">
      <c r="A43" s="31"/>
      <c r="B43" s="31"/>
      <c r="C43" s="31"/>
    </row>
    <row r="44" spans="1:3" x14ac:dyDescent="0.3">
      <c r="A44" s="31"/>
      <c r="B44" s="31"/>
      <c r="C44" s="31"/>
    </row>
    <row r="45" spans="1:3" x14ac:dyDescent="0.3">
      <c r="A45" s="31"/>
      <c r="B45" s="31"/>
      <c r="C45" s="31"/>
    </row>
    <row r="46" spans="1:3" x14ac:dyDescent="0.3">
      <c r="A46" s="31"/>
      <c r="B46" s="31"/>
      <c r="C46" s="31"/>
    </row>
    <row r="47" spans="1:3" x14ac:dyDescent="0.3">
      <c r="A47" s="31"/>
      <c r="B47" s="31"/>
      <c r="C47" s="31"/>
    </row>
    <row r="48" spans="1:3" x14ac:dyDescent="0.3">
      <c r="A48" s="31"/>
      <c r="B48" s="31"/>
      <c r="C48" s="31"/>
    </row>
    <row r="49" spans="1:3" x14ac:dyDescent="0.3">
      <c r="A49" s="31"/>
      <c r="B49" s="31"/>
      <c r="C49" s="31"/>
    </row>
    <row r="50" spans="1:3" x14ac:dyDescent="0.3">
      <c r="A50" s="31"/>
      <c r="B50" s="31"/>
      <c r="C50" s="31"/>
    </row>
    <row r="51" spans="1:3" x14ac:dyDescent="0.3">
      <c r="A51" s="31"/>
      <c r="B51" s="31"/>
      <c r="C51" s="31"/>
    </row>
    <row r="52" spans="1:3" x14ac:dyDescent="0.3">
      <c r="A52" s="31"/>
      <c r="B52" s="31"/>
      <c r="C52" s="31"/>
    </row>
  </sheetData>
  <mergeCells count="3">
    <mergeCell ref="C10:D10"/>
    <mergeCell ref="J14:O14"/>
    <mergeCell ref="D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23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36"/>
      <c r="D10" s="36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39"/>
      <c r="K14" s="40"/>
      <c r="L14" s="40"/>
      <c r="M14" s="40"/>
      <c r="N14" s="41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UGC09992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2026-01-12T09:30:44Z</dcterms:modified>
</cp:coreProperties>
</file>