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2366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46" i="1" l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F45" i="1"/>
  <c r="E45" i="1"/>
  <c r="C12" i="1"/>
  <c r="F71" i="1" l="1"/>
  <c r="E9" i="1"/>
  <c r="C9" i="1"/>
  <c r="A70" i="1" l="1"/>
  <c r="B70" i="1"/>
  <c r="C70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46" i="1" l="1"/>
  <c r="A47" i="1"/>
  <c r="A48" i="1"/>
  <c r="A49" i="1"/>
  <c r="A50" i="1"/>
  <c r="A51" i="1"/>
  <c r="A52" i="1"/>
  <c r="A53" i="1"/>
  <c r="A54" i="1"/>
  <c r="A55" i="1"/>
  <c r="A56" i="1"/>
  <c r="A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C45" i="1"/>
  <c r="B45" i="1"/>
  <c r="I8" i="1"/>
  <c r="D16" i="1" l="1"/>
  <c r="J16" i="1" s="1"/>
  <c r="D27" i="1"/>
  <c r="D30" i="1"/>
  <c r="D31" i="1"/>
  <c r="D34" i="1"/>
  <c r="D37" i="1"/>
  <c r="D28" i="1"/>
  <c r="D29" i="1"/>
  <c r="D32" i="1"/>
  <c r="D33" i="1"/>
  <c r="D36" i="1"/>
  <c r="D38" i="1"/>
  <c r="D40" i="1"/>
  <c r="D35" i="1"/>
  <c r="D39" i="1"/>
  <c r="E10" i="1"/>
  <c r="E12" i="1" s="1"/>
  <c r="D15" i="1"/>
  <c r="D25" i="1"/>
  <c r="D23" i="1"/>
  <c r="D21" i="1"/>
  <c r="D19" i="1"/>
  <c r="D17" i="1"/>
  <c r="D26" i="1"/>
  <c r="D24" i="1"/>
  <c r="D22" i="1"/>
  <c r="D20" i="1"/>
  <c r="D18" i="1"/>
  <c r="L16" i="1" l="1"/>
  <c r="N16" i="1" s="1"/>
  <c r="M16" i="1"/>
  <c r="K16" i="1"/>
  <c r="J35" i="1"/>
  <c r="M35" i="1"/>
  <c r="K35" i="1"/>
  <c r="L35" i="1"/>
  <c r="L38" i="1"/>
  <c r="K38" i="1"/>
  <c r="M38" i="1"/>
  <c r="J38" i="1"/>
  <c r="J33" i="1"/>
  <c r="K33" i="1"/>
  <c r="M33" i="1"/>
  <c r="L33" i="1"/>
  <c r="J29" i="1"/>
  <c r="K29" i="1"/>
  <c r="M29" i="1"/>
  <c r="L29" i="1"/>
  <c r="J37" i="1"/>
  <c r="M37" i="1"/>
  <c r="K37" i="1"/>
  <c r="L37" i="1"/>
  <c r="J31" i="1"/>
  <c r="M31" i="1"/>
  <c r="K31" i="1"/>
  <c r="L31" i="1"/>
  <c r="J27" i="1"/>
  <c r="M27" i="1"/>
  <c r="K27" i="1"/>
  <c r="L27" i="1"/>
  <c r="J39" i="1"/>
  <c r="M39" i="1"/>
  <c r="K39" i="1"/>
  <c r="L39" i="1"/>
  <c r="L40" i="1"/>
  <c r="K40" i="1"/>
  <c r="M40" i="1"/>
  <c r="J40" i="1"/>
  <c r="J36" i="1"/>
  <c r="K36" i="1"/>
  <c r="M36" i="1"/>
  <c r="L36" i="1"/>
  <c r="J32" i="1"/>
  <c r="L32" i="1"/>
  <c r="K32" i="1"/>
  <c r="M32" i="1"/>
  <c r="J28" i="1"/>
  <c r="L28" i="1"/>
  <c r="K28" i="1"/>
  <c r="M28" i="1"/>
  <c r="K34" i="1"/>
  <c r="M34" i="1"/>
  <c r="J34" i="1"/>
  <c r="L34" i="1"/>
  <c r="K30" i="1"/>
  <c r="M30" i="1"/>
  <c r="J30" i="1"/>
  <c r="L30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O16" i="1"/>
  <c r="O39" i="1" l="1"/>
  <c r="O36" i="1"/>
  <c r="N39" i="1"/>
  <c r="E39" i="1" s="1"/>
  <c r="F39" i="1" s="1"/>
  <c r="G39" i="1" s="1"/>
  <c r="D69" i="1" s="1"/>
  <c r="N30" i="1"/>
  <c r="N34" i="1"/>
  <c r="N28" i="1"/>
  <c r="N32" i="1"/>
  <c r="N36" i="1"/>
  <c r="E36" i="1" s="1"/>
  <c r="F36" i="1" s="1"/>
  <c r="G36" i="1" s="1"/>
  <c r="D66" i="1" s="1"/>
  <c r="N40" i="1"/>
  <c r="N27" i="1"/>
  <c r="N31" i="1"/>
  <c r="N37" i="1"/>
  <c r="N29" i="1"/>
  <c r="N33" i="1"/>
  <c r="O38" i="1"/>
  <c r="N35" i="1"/>
  <c r="O30" i="1"/>
  <c r="O34" i="1"/>
  <c r="O28" i="1"/>
  <c r="O32" i="1"/>
  <c r="O40" i="1"/>
  <c r="O27" i="1"/>
  <c r="O31" i="1"/>
  <c r="O37" i="1"/>
  <c r="O29" i="1"/>
  <c r="O33" i="1"/>
  <c r="N38" i="1"/>
  <c r="O35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E16" i="1"/>
  <c r="F16" i="1" s="1"/>
  <c r="G16" i="1" s="1"/>
  <c r="D46" i="1" s="1"/>
  <c r="O19" i="1"/>
  <c r="O26" i="1"/>
  <c r="O24" i="1"/>
  <c r="O23" i="1"/>
  <c r="O20" i="1"/>
  <c r="O21" i="1"/>
  <c r="O18" i="1"/>
  <c r="E28" i="1" l="1"/>
  <c r="F28" i="1" s="1"/>
  <c r="G28" i="1" s="1"/>
  <c r="D58" i="1" s="1"/>
  <c r="E33" i="1"/>
  <c r="F33" i="1" s="1"/>
  <c r="G33" i="1" s="1"/>
  <c r="H28" i="1"/>
  <c r="H36" i="1"/>
  <c r="E30" i="1"/>
  <c r="F30" i="1" s="1"/>
  <c r="G30" i="1" s="1"/>
  <c r="D60" i="1" s="1"/>
  <c r="H39" i="1"/>
  <c r="E40" i="1"/>
  <c r="F40" i="1" s="1"/>
  <c r="G40" i="1" s="1"/>
  <c r="D70" i="1" s="1"/>
  <c r="E15" i="1"/>
  <c r="F15" i="1" s="1"/>
  <c r="G15" i="1" s="1"/>
  <c r="E38" i="1"/>
  <c r="F38" i="1" s="1"/>
  <c r="G38" i="1" s="1"/>
  <c r="D68" i="1" s="1"/>
  <c r="E29" i="1"/>
  <c r="F29" i="1" s="1"/>
  <c r="G29" i="1" s="1"/>
  <c r="D59" i="1" s="1"/>
  <c r="E31" i="1"/>
  <c r="F31" i="1" s="1"/>
  <c r="G31" i="1" s="1"/>
  <c r="D61" i="1" s="1"/>
  <c r="E32" i="1"/>
  <c r="F32" i="1" s="1"/>
  <c r="G32" i="1" s="1"/>
  <c r="D62" i="1" s="1"/>
  <c r="E34" i="1"/>
  <c r="F34" i="1" s="1"/>
  <c r="G34" i="1" s="1"/>
  <c r="D64" i="1" s="1"/>
  <c r="E37" i="1"/>
  <c r="F37" i="1" s="1"/>
  <c r="G37" i="1" s="1"/>
  <c r="D67" i="1" s="1"/>
  <c r="E35" i="1"/>
  <c r="F35" i="1" s="1"/>
  <c r="G35" i="1" s="1"/>
  <c r="D65" i="1" s="1"/>
  <c r="E27" i="1"/>
  <c r="F27" i="1" s="1"/>
  <c r="G27" i="1" s="1"/>
  <c r="D57" i="1" s="1"/>
  <c r="H16" i="1"/>
  <c r="E17" i="1"/>
  <c r="F17" i="1" s="1"/>
  <c r="G17" i="1" s="1"/>
  <c r="D47" i="1" s="1"/>
  <c r="E22" i="1"/>
  <c r="F22" i="1" s="1"/>
  <c r="G22" i="1" s="1"/>
  <c r="D52" i="1" s="1"/>
  <c r="E26" i="1"/>
  <c r="F26" i="1" s="1"/>
  <c r="G26" i="1" s="1"/>
  <c r="D56" i="1" s="1"/>
  <c r="E25" i="1"/>
  <c r="F25" i="1" s="1"/>
  <c r="G25" i="1" s="1"/>
  <c r="D55" i="1" s="1"/>
  <c r="E24" i="1"/>
  <c r="F24" i="1" s="1"/>
  <c r="G24" i="1" s="1"/>
  <c r="D54" i="1" s="1"/>
  <c r="E19" i="1"/>
  <c r="F19" i="1" s="1"/>
  <c r="G19" i="1" s="1"/>
  <c r="D49" i="1" s="1"/>
  <c r="E18" i="1"/>
  <c r="F18" i="1" s="1"/>
  <c r="G18" i="1" s="1"/>
  <c r="D48" i="1" s="1"/>
  <c r="E21" i="1"/>
  <c r="F21" i="1" s="1"/>
  <c r="G21" i="1" s="1"/>
  <c r="D51" i="1" s="1"/>
  <c r="E20" i="1"/>
  <c r="F20" i="1" s="1"/>
  <c r="G20" i="1" s="1"/>
  <c r="D50" i="1" s="1"/>
  <c r="E23" i="1"/>
  <c r="F23" i="1" s="1"/>
  <c r="G23" i="1" s="1"/>
  <c r="D53" i="1" s="1"/>
  <c r="H15" i="1" l="1"/>
  <c r="D45" i="1"/>
  <c r="H33" i="1"/>
  <c r="D63" i="1"/>
  <c r="H35" i="1"/>
  <c r="H34" i="1"/>
  <c r="H31" i="1"/>
  <c r="H38" i="1"/>
  <c r="H40" i="1"/>
  <c r="H27" i="1"/>
  <c r="H37" i="1"/>
  <c r="H32" i="1"/>
  <c r="H29" i="1"/>
  <c r="H30" i="1"/>
  <c r="H23" i="1"/>
  <c r="H21" i="1"/>
  <c r="H19" i="1"/>
  <c r="H25" i="1"/>
  <c r="H22" i="1"/>
  <c r="H20" i="1"/>
  <c r="H18" i="1"/>
  <c r="H24" i="1"/>
  <c r="H26" i="1"/>
  <c r="H17" i="1"/>
  <c r="H41" i="1" l="1"/>
  <c r="C42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<sst xmlns="http://schemas.openxmlformats.org/spreadsheetml/2006/main" count="40" uniqueCount="37">
  <si>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</si>
  <si>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</si>
  <si>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</si>
  <si>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</si>
  <si>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</si>
  <si>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</si>
  <si>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</si>
  <si>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</si>
  <si>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</si>
  <si>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</si>
  <si>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</si>
  <si>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</si>
  <si>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</si>
  <si>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</si>
  <si>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</si>
  <si>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</si>
  <si>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</si>
  <si>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</si>
  <si>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</si>
  <si>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</si>
  <si>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</si>
  <si>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</si>
  <si>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</si>
  <si>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</si>
  <si>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</si>
  <si>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</si>
  <si>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</si>
  <si>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</si>
  <si>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</si>
  <si>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</si>
  <si>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</si>
  <si>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</si>
  <si>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r_c=R_max=</t>
  </si>
  <si>
    <t>NGC2366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</si>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</sst>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73896142728995E-2"/>
          <c:y val="1.9797306358602985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'NGC2366'!$B$44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'NGC2366'!$C$45:$C$70</c:f>
                <c:numCache>
                  <c:formatCode>General</c:formatCode>
                  <c:ptCount val="26"/>
                  <c:pt idx="0">
                    <c:v>3.15</c:v>
                  </c:pt>
                  <c:pt idx="1">
                    <c:v>1.83</c:v>
                  </c:pt>
                  <c:pt idx="2">
                    <c:v>1.37</c:v>
                  </c:pt>
                  <c:pt idx="3">
                    <c:v>1.64</c:v>
                  </c:pt>
                  <c:pt idx="4">
                    <c:v>2.08</c:v>
                  </c:pt>
                  <c:pt idx="5">
                    <c:v>2.46</c:v>
                  </c:pt>
                  <c:pt idx="6">
                    <c:v>2.0099999999999998</c:v>
                  </c:pt>
                  <c:pt idx="7">
                    <c:v>1.62</c:v>
                  </c:pt>
                  <c:pt idx="8">
                    <c:v>1.68</c:v>
                  </c:pt>
                  <c:pt idx="9">
                    <c:v>1.69</c:v>
                  </c:pt>
                  <c:pt idx="10">
                    <c:v>1.91</c:v>
                  </c:pt>
                  <c:pt idx="11">
                    <c:v>1.95</c:v>
                  </c:pt>
                  <c:pt idx="12">
                    <c:v>1.74</c:v>
                  </c:pt>
                  <c:pt idx="13">
                    <c:v>1.08</c:v>
                  </c:pt>
                  <c:pt idx="14">
                    <c:v>1.55</c:v>
                  </c:pt>
                  <c:pt idx="15">
                    <c:v>2.78</c:v>
                  </c:pt>
                  <c:pt idx="16">
                    <c:v>2.98</c:v>
                  </c:pt>
                  <c:pt idx="17">
                    <c:v>2.39</c:v>
                  </c:pt>
                  <c:pt idx="18">
                    <c:v>2.21</c:v>
                  </c:pt>
                  <c:pt idx="19">
                    <c:v>1.45</c:v>
                  </c:pt>
                  <c:pt idx="20">
                    <c:v>1.84</c:v>
                  </c:pt>
                  <c:pt idx="21">
                    <c:v>2.5299999999999998</c:v>
                  </c:pt>
                  <c:pt idx="22">
                    <c:v>4.5999999999999996</c:v>
                  </c:pt>
                  <c:pt idx="23">
                    <c:v>5.91</c:v>
                  </c:pt>
                  <c:pt idx="24">
                    <c:v>7.42</c:v>
                  </c:pt>
                  <c:pt idx="25">
                    <c:v>5.92</c:v>
                  </c:pt>
                </c:numCache>
              </c:numRef>
            </c:plus>
            <c:minus>
              <c:numRef>
                <c:f>'NGC2366'!$C$45:$C$70</c:f>
                <c:numCache>
                  <c:formatCode>General</c:formatCode>
                  <c:ptCount val="26"/>
                  <c:pt idx="0">
                    <c:v>3.15</c:v>
                  </c:pt>
                  <c:pt idx="1">
                    <c:v>1.83</c:v>
                  </c:pt>
                  <c:pt idx="2">
                    <c:v>1.37</c:v>
                  </c:pt>
                  <c:pt idx="3">
                    <c:v>1.64</c:v>
                  </c:pt>
                  <c:pt idx="4">
                    <c:v>2.08</c:v>
                  </c:pt>
                  <c:pt idx="5">
                    <c:v>2.46</c:v>
                  </c:pt>
                  <c:pt idx="6">
                    <c:v>2.0099999999999998</c:v>
                  </c:pt>
                  <c:pt idx="7">
                    <c:v>1.62</c:v>
                  </c:pt>
                  <c:pt idx="8">
                    <c:v>1.68</c:v>
                  </c:pt>
                  <c:pt idx="9">
                    <c:v>1.69</c:v>
                  </c:pt>
                  <c:pt idx="10">
                    <c:v>1.91</c:v>
                  </c:pt>
                  <c:pt idx="11">
                    <c:v>1.95</c:v>
                  </c:pt>
                  <c:pt idx="12">
                    <c:v>1.74</c:v>
                  </c:pt>
                  <c:pt idx="13">
                    <c:v>1.08</c:v>
                  </c:pt>
                  <c:pt idx="14">
                    <c:v>1.55</c:v>
                  </c:pt>
                  <c:pt idx="15">
                    <c:v>2.78</c:v>
                  </c:pt>
                  <c:pt idx="16">
                    <c:v>2.98</c:v>
                  </c:pt>
                  <c:pt idx="17">
                    <c:v>2.39</c:v>
                  </c:pt>
                  <c:pt idx="18">
                    <c:v>2.21</c:v>
                  </c:pt>
                  <c:pt idx="19">
                    <c:v>1.45</c:v>
                  </c:pt>
                  <c:pt idx="20">
                    <c:v>1.84</c:v>
                  </c:pt>
                  <c:pt idx="21">
                    <c:v>2.5299999999999998</c:v>
                  </c:pt>
                  <c:pt idx="22">
                    <c:v>4.5999999999999996</c:v>
                  </c:pt>
                  <c:pt idx="23">
                    <c:v>5.91</c:v>
                  </c:pt>
                  <c:pt idx="24">
                    <c:v>7.42</c:v>
                  </c:pt>
                  <c:pt idx="25">
                    <c:v>5.92</c:v>
                  </c:pt>
                </c:numCache>
              </c:numRef>
            </c:minus>
          </c:errBars>
          <c:xVal>
            <c:numRef>
              <c:f>'NGC2366'!$A$45:$A$70</c:f>
              <c:numCache>
                <c:formatCode>General</c:formatCode>
                <c:ptCount val="26"/>
                <c:pt idx="0">
                  <c:v>0.12</c:v>
                </c:pt>
                <c:pt idx="1">
                  <c:v>0.36</c:v>
                </c:pt>
                <c:pt idx="2">
                  <c:v>0.59</c:v>
                </c:pt>
                <c:pt idx="3">
                  <c:v>0.83</c:v>
                </c:pt>
                <c:pt idx="4">
                  <c:v>1.07</c:v>
                </c:pt>
                <c:pt idx="5">
                  <c:v>1.31</c:v>
                </c:pt>
                <c:pt idx="6">
                  <c:v>1.54</c:v>
                </c:pt>
                <c:pt idx="7">
                  <c:v>1.79</c:v>
                </c:pt>
                <c:pt idx="8">
                  <c:v>2.02</c:v>
                </c:pt>
                <c:pt idx="9">
                  <c:v>2.2599999999999998</c:v>
                </c:pt>
                <c:pt idx="10">
                  <c:v>2.4900000000000002</c:v>
                </c:pt>
                <c:pt idx="11">
                  <c:v>2.74</c:v>
                </c:pt>
                <c:pt idx="12">
                  <c:v>2.97</c:v>
                </c:pt>
                <c:pt idx="13">
                  <c:v>3.21</c:v>
                </c:pt>
                <c:pt idx="14">
                  <c:v>3.44</c:v>
                </c:pt>
                <c:pt idx="15">
                  <c:v>3.69</c:v>
                </c:pt>
                <c:pt idx="16">
                  <c:v>3.92</c:v>
                </c:pt>
                <c:pt idx="17">
                  <c:v>4.16</c:v>
                </c:pt>
                <c:pt idx="18">
                  <c:v>4.4000000000000004</c:v>
                </c:pt>
                <c:pt idx="19">
                  <c:v>4.6399999999999997</c:v>
                </c:pt>
                <c:pt idx="20">
                  <c:v>4.87</c:v>
                </c:pt>
                <c:pt idx="21">
                  <c:v>5.1100000000000003</c:v>
                </c:pt>
                <c:pt idx="22">
                  <c:v>5.35</c:v>
                </c:pt>
                <c:pt idx="23">
                  <c:v>5.59</c:v>
                </c:pt>
                <c:pt idx="24">
                  <c:v>5.82</c:v>
                </c:pt>
                <c:pt idx="25">
                  <c:v>6.06</c:v>
                </c:pt>
              </c:numCache>
            </c:numRef>
          </c:xVal>
          <c:yVal>
            <c:numRef>
              <c:f>'NGC2366'!$B$45:$B$70</c:f>
              <c:numCache>
                <c:formatCode>General</c:formatCode>
                <c:ptCount val="26"/>
                <c:pt idx="0">
                  <c:v>4.2</c:v>
                </c:pt>
                <c:pt idx="1">
                  <c:v>9.41</c:v>
                </c:pt>
                <c:pt idx="2">
                  <c:v>15.3</c:v>
                </c:pt>
                <c:pt idx="3">
                  <c:v>18.399999999999999</c:v>
                </c:pt>
                <c:pt idx="4">
                  <c:v>23.4</c:v>
                </c:pt>
                <c:pt idx="5">
                  <c:v>28.1</c:v>
                </c:pt>
                <c:pt idx="6">
                  <c:v>33.1</c:v>
                </c:pt>
                <c:pt idx="7">
                  <c:v>37.5</c:v>
                </c:pt>
                <c:pt idx="8">
                  <c:v>40.5</c:v>
                </c:pt>
                <c:pt idx="9">
                  <c:v>42.3</c:v>
                </c:pt>
                <c:pt idx="10">
                  <c:v>45.2</c:v>
                </c:pt>
                <c:pt idx="11">
                  <c:v>47.4</c:v>
                </c:pt>
                <c:pt idx="12">
                  <c:v>48.1</c:v>
                </c:pt>
                <c:pt idx="13">
                  <c:v>48.8</c:v>
                </c:pt>
                <c:pt idx="14">
                  <c:v>50.7</c:v>
                </c:pt>
                <c:pt idx="15">
                  <c:v>52.1</c:v>
                </c:pt>
                <c:pt idx="16">
                  <c:v>53</c:v>
                </c:pt>
                <c:pt idx="17">
                  <c:v>53.7</c:v>
                </c:pt>
                <c:pt idx="18">
                  <c:v>51.2</c:v>
                </c:pt>
                <c:pt idx="19">
                  <c:v>51.6</c:v>
                </c:pt>
                <c:pt idx="20">
                  <c:v>51.5</c:v>
                </c:pt>
                <c:pt idx="21">
                  <c:v>50.4</c:v>
                </c:pt>
                <c:pt idx="22">
                  <c:v>48.5</c:v>
                </c:pt>
                <c:pt idx="23">
                  <c:v>50</c:v>
                </c:pt>
                <c:pt idx="24">
                  <c:v>49</c:v>
                </c:pt>
                <c:pt idx="25">
                  <c:v>49.4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17440"/>
        <c:axId val="134724992"/>
      </c:scatterChart>
      <c:scatterChart>
        <c:scatterStyle val="smoothMarker"/>
        <c:varyColors val="0"/>
        <c:ser>
          <c:idx val="1"/>
          <c:order val="1"/>
          <c:tx>
            <c:strRef>
              <c:f>'NGC2366'!$D$44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'NGC2366'!$A$45:$A$70</c:f>
              <c:numCache>
                <c:formatCode>General</c:formatCode>
                <c:ptCount val="26"/>
                <c:pt idx="0">
                  <c:v>0.12</c:v>
                </c:pt>
                <c:pt idx="1">
                  <c:v>0.36</c:v>
                </c:pt>
                <c:pt idx="2">
                  <c:v>0.59</c:v>
                </c:pt>
                <c:pt idx="3">
                  <c:v>0.83</c:v>
                </c:pt>
                <c:pt idx="4">
                  <c:v>1.07</c:v>
                </c:pt>
                <c:pt idx="5">
                  <c:v>1.31</c:v>
                </c:pt>
                <c:pt idx="6">
                  <c:v>1.54</c:v>
                </c:pt>
                <c:pt idx="7">
                  <c:v>1.79</c:v>
                </c:pt>
                <c:pt idx="8">
                  <c:v>2.02</c:v>
                </c:pt>
                <c:pt idx="9">
                  <c:v>2.2599999999999998</c:v>
                </c:pt>
                <c:pt idx="10">
                  <c:v>2.4900000000000002</c:v>
                </c:pt>
                <c:pt idx="11">
                  <c:v>2.74</c:v>
                </c:pt>
                <c:pt idx="12">
                  <c:v>2.97</c:v>
                </c:pt>
                <c:pt idx="13">
                  <c:v>3.21</c:v>
                </c:pt>
                <c:pt idx="14">
                  <c:v>3.44</c:v>
                </c:pt>
                <c:pt idx="15">
                  <c:v>3.69</c:v>
                </c:pt>
                <c:pt idx="16">
                  <c:v>3.92</c:v>
                </c:pt>
                <c:pt idx="17">
                  <c:v>4.16</c:v>
                </c:pt>
                <c:pt idx="18">
                  <c:v>4.4000000000000004</c:v>
                </c:pt>
                <c:pt idx="19">
                  <c:v>4.6399999999999997</c:v>
                </c:pt>
                <c:pt idx="20">
                  <c:v>4.87</c:v>
                </c:pt>
                <c:pt idx="21">
                  <c:v>5.1100000000000003</c:v>
                </c:pt>
                <c:pt idx="22">
                  <c:v>5.35</c:v>
                </c:pt>
                <c:pt idx="23">
                  <c:v>5.59</c:v>
                </c:pt>
                <c:pt idx="24">
                  <c:v>5.82</c:v>
                </c:pt>
                <c:pt idx="25">
                  <c:v>6.06</c:v>
                </c:pt>
              </c:numCache>
            </c:numRef>
          </c:xVal>
          <c:yVal>
            <c:numRef>
              <c:f>'NGC2366'!$D$45:$D$70</c:f>
              <c:numCache>
                <c:formatCode>General</c:formatCode>
                <c:ptCount val="26"/>
                <c:pt idx="0">
                  <c:v>2.37</c:v>
                </c:pt>
                <c:pt idx="1">
                  <c:v>6.68</c:v>
                </c:pt>
                <c:pt idx="2">
                  <c:v>10.84</c:v>
                </c:pt>
                <c:pt idx="3">
                  <c:v>15.04</c:v>
                </c:pt>
                <c:pt idx="4">
                  <c:v>19.079999999999998</c:v>
                </c:pt>
                <c:pt idx="5">
                  <c:v>22.93</c:v>
                </c:pt>
                <c:pt idx="6">
                  <c:v>26.4</c:v>
                </c:pt>
                <c:pt idx="7">
                  <c:v>29.89</c:v>
                </c:pt>
                <c:pt idx="8">
                  <c:v>32.840000000000003</c:v>
                </c:pt>
                <c:pt idx="9">
                  <c:v>35.619999999999997</c:v>
                </c:pt>
                <c:pt idx="10">
                  <c:v>38.01</c:v>
                </c:pt>
                <c:pt idx="11">
                  <c:v>40.28</c:v>
                </c:pt>
                <c:pt idx="12">
                  <c:v>42.08</c:v>
                </c:pt>
                <c:pt idx="13">
                  <c:v>43.68</c:v>
                </c:pt>
                <c:pt idx="14">
                  <c:v>44.95</c:v>
                </c:pt>
                <c:pt idx="15">
                  <c:v>46.05</c:v>
                </c:pt>
                <c:pt idx="16">
                  <c:v>46.84</c:v>
                </c:pt>
                <c:pt idx="17">
                  <c:v>47.44</c:v>
                </c:pt>
                <c:pt idx="18">
                  <c:v>47.84</c:v>
                </c:pt>
                <c:pt idx="19">
                  <c:v>48.07</c:v>
                </c:pt>
                <c:pt idx="20">
                  <c:v>48.14</c:v>
                </c:pt>
                <c:pt idx="21">
                  <c:v>48.08</c:v>
                </c:pt>
                <c:pt idx="22">
                  <c:v>47.91</c:v>
                </c:pt>
                <c:pt idx="23">
                  <c:v>47.64</c:v>
                </c:pt>
                <c:pt idx="24">
                  <c:v>47.31</c:v>
                </c:pt>
                <c:pt idx="25">
                  <c:v>46.9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17440"/>
        <c:axId val="134724992"/>
      </c:scatterChart>
      <c:valAx>
        <c:axId val="1347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724992"/>
        <c:crosses val="autoZero"/>
        <c:crossBetween val="midCat"/>
      </c:valAx>
      <c:valAx>
        <c:axId val="134724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17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41</xdr:row>
      <xdr:rowOff>200025</xdr:rowOff>
    </xdr:from>
    <xdr:to>
      <xdr:col>12</xdr:col>
      <xdr:colOff>342900</xdr:colOff>
      <xdr:row>58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4"/>
  <sheetViews>
    <sheetView tabSelected="1" topLeftCell="A38" workbookViewId="0">
      <selection activeCell="F71" sqref="F71"/>
    </sheetView>
  </sheetViews>
  <sheetFormatPr baseColWidth="10" defaultRowHeight="18.75" x14ac:dyDescent="0.3"/>
  <cols>
    <col min="1" max="1" width="12.570312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33</v>
      </c>
      <c r="B9" s="14" t="s">
        <v>8</v>
      </c>
      <c r="C9" s="21">
        <f>A40</f>
        <v>6.06</v>
      </c>
      <c r="D9" s="14" t="s">
        <v>9</v>
      </c>
      <c r="E9" s="21">
        <f>B40</f>
        <v>49.4</v>
      </c>
      <c r="F9" s="10"/>
      <c r="G9" s="10"/>
      <c r="H9" s="10"/>
      <c r="I9" s="11"/>
    </row>
    <row r="10" spans="1:15" x14ac:dyDescent="0.3">
      <c r="B10" s="5" t="s">
        <v>10</v>
      </c>
      <c r="C10" s="29" t="s">
        <v>12</v>
      </c>
      <c r="D10" s="29"/>
      <c r="E10" s="9">
        <f>E9*E9*C9/I8</f>
        <v>3438485340.2776151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32</v>
      </c>
      <c r="C12" s="7">
        <f>C9</f>
        <v>6.06</v>
      </c>
      <c r="D12" s="5" t="s">
        <v>14</v>
      </c>
      <c r="E12" s="9">
        <f>E10/(POWER(C12,3)*4*3.14159*H10)</f>
        <v>18952667.635545526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0" t="s">
        <v>29</v>
      </c>
      <c r="K14" s="30"/>
      <c r="L14" s="30"/>
      <c r="M14" s="30"/>
      <c r="N14" s="30"/>
      <c r="O14" s="30"/>
    </row>
    <row r="15" spans="1:15" x14ac:dyDescent="0.3">
      <c r="A15" s="13">
        <v>0.12</v>
      </c>
      <c r="B15" s="13">
        <v>4.2</v>
      </c>
      <c r="C15" s="13">
        <v>3.15</v>
      </c>
      <c r="D15" s="13">
        <f>A15/$C$12</f>
        <v>1.9801980198019802E-2</v>
      </c>
      <c r="E15" s="13">
        <f>N15*K15+O15*M15</f>
        <v>2.9469623762376235E-6</v>
      </c>
      <c r="F15" s="13">
        <f>4*$H$12*$E$12*POWER($C$12,3)*E15</f>
        <v>156196.86306367858</v>
      </c>
      <c r="G15" s="13">
        <f t="shared" ref="G15:G26" si="0">POWER($I$8*F15/A15,0.5)</f>
        <v>2.3660570019031226</v>
      </c>
      <c r="H15" s="13">
        <f t="shared" ref="H15:H26" si="1">ROUND(ABS((B15-G15)/B15)*100,2)</f>
        <v>43.67</v>
      </c>
      <c r="J15" s="28">
        <f>INDEX(Integrale!$H$3:$H$502,MATCH('NGC2366'!D15,Integrale!$H$3:$H$502,1))</f>
        <v>0.01</v>
      </c>
      <c r="K15" s="28">
        <f>INDEX(Integrale!$I$3:$I$502,MATCH('NGC2366'!D15,Integrale!$H$3:$H$502,1))</f>
        <v>4.9979999999999996E-7</v>
      </c>
      <c r="L15" s="28">
        <f>INDEX(Integrale!$H$3:$H$502,MATCH('NGC2366'!D15,Integrale!$H$3:$H$502,1)+1)</f>
        <v>0.02</v>
      </c>
      <c r="M15" s="28">
        <f>INDEX(Integrale!$I$3:$I$502,MATCH('NGC2366'!D15,Integrale!$H$3:$H$502,1)+1)</f>
        <v>2.9963999999999998E-6</v>
      </c>
      <c r="N15" s="28">
        <f>(L15-D15)/(L15-J15)</f>
        <v>1.980198019801982E-2</v>
      </c>
      <c r="O15" s="28">
        <f t="shared" ref="O15:O26" si="2">(D15-J15)/(L15-J15)</f>
        <v>0.98019801980198018</v>
      </c>
    </row>
    <row r="16" spans="1:15" x14ac:dyDescent="0.3">
      <c r="A16" s="13">
        <v>0.36</v>
      </c>
      <c r="B16" s="13">
        <v>9.41</v>
      </c>
      <c r="C16" s="13">
        <v>1.83</v>
      </c>
      <c r="D16" s="13">
        <f t="shared" ref="D16:D26" si="3">A16/$C$12</f>
        <v>5.940594059405941E-2</v>
      </c>
      <c r="E16" s="13">
        <f t="shared" ref="E16:E25" si="4">N16*K16+O16*M16</f>
        <v>7.0563782178217847E-5</v>
      </c>
      <c r="F16" s="13">
        <f t="shared" ref="F16:F26" si="5">4*$H$12*$E$12*POWER($C$12,3)*E16</f>
        <v>3740068.5909732864</v>
      </c>
      <c r="G16" s="13">
        <f t="shared" si="0"/>
        <v>6.6844888865768546</v>
      </c>
      <c r="H16" s="13">
        <f t="shared" si="1"/>
        <v>28.96</v>
      </c>
      <c r="J16" s="28">
        <f>INDEX(Integrale!$H$3:$H$502,MATCH('NGC2366'!D16,Integrale!$H$3:$H$502,1))</f>
        <v>0.05</v>
      </c>
      <c r="K16" s="28">
        <f>INDEX(Integrale!$I$3:$I$502,MATCH('NGC2366'!D16,Integrale!$H$3:$H$502,1))</f>
        <v>4.2234499999999997E-5</v>
      </c>
      <c r="L16" s="28">
        <f>INDEX(Integrale!$H$3:$H$502,MATCH('NGC2366'!D16,Integrale!$H$3:$H$502,1)+1)</f>
        <v>0.06</v>
      </c>
      <c r="M16" s="28">
        <f>INDEX(Integrale!$I$3:$I$502,MATCH('NGC2366'!D16,Integrale!$H$3:$H$502,1)+1)</f>
        <v>7.2353000000000003E-5</v>
      </c>
      <c r="N16" s="28">
        <f t="shared" ref="N16:N26" si="6">(L16-D16)/(L16-J16)</f>
        <v>5.9405940594058793E-2</v>
      </c>
      <c r="O16" s="28">
        <f t="shared" si="2"/>
        <v>0.94059405940594121</v>
      </c>
    </row>
    <row r="17" spans="1:15" x14ac:dyDescent="0.3">
      <c r="A17" s="13">
        <v>0.59</v>
      </c>
      <c r="B17" s="13">
        <v>15.3</v>
      </c>
      <c r="C17" s="13">
        <v>1.37</v>
      </c>
      <c r="D17" s="13">
        <f t="shared" si="3"/>
        <v>9.7359735973597358E-2</v>
      </c>
      <c r="E17" s="13">
        <f t="shared" si="4"/>
        <v>3.0395622508250822E-4</v>
      </c>
      <c r="F17" s="13">
        <f t="shared" si="5"/>
        <v>16110490.330446271</v>
      </c>
      <c r="G17" s="13">
        <f t="shared" si="0"/>
        <v>10.836974362145112</v>
      </c>
      <c r="H17" s="13">
        <f t="shared" si="1"/>
        <v>29.17</v>
      </c>
      <c r="J17" s="28">
        <f>INDEX(Integrale!$H$3:$H$502,MATCH('NGC2366'!D17,Integrale!$H$3:$H$502,1))</f>
        <v>0.09</v>
      </c>
      <c r="K17" s="28">
        <f>INDEX(Integrale!$I$3:$I$502,MATCH('NGC2366'!D17,Integrale!$H$3:$H$502,1))</f>
        <v>2.3974010000000001E-4</v>
      </c>
      <c r="L17" s="28">
        <f>INDEX(Integrale!$H$3:$H$502,MATCH('NGC2366'!D17,Integrale!$H$3:$H$502,1)+1)</f>
        <v>0.1</v>
      </c>
      <c r="M17" s="28">
        <f>INDEX(Integrale!$I$3:$I$502,MATCH('NGC2366'!D17,Integrale!$H$3:$H$502,1)+1)</f>
        <v>3.2699340000000001E-4</v>
      </c>
      <c r="N17" s="28">
        <f t="shared" si="6"/>
        <v>0.2640264026402645</v>
      </c>
      <c r="O17" s="28">
        <f t="shared" si="2"/>
        <v>0.73597359735973555</v>
      </c>
    </row>
    <row r="18" spans="1:15" x14ac:dyDescent="0.3">
      <c r="A18" s="13">
        <v>0.83</v>
      </c>
      <c r="B18" s="13">
        <v>18.399999999999999</v>
      </c>
      <c r="C18" s="13">
        <v>1.64</v>
      </c>
      <c r="D18" s="13">
        <f t="shared" si="3"/>
        <v>0.13696369636963696</v>
      </c>
      <c r="E18" s="13">
        <f t="shared" si="4"/>
        <v>8.2340219966996664E-4</v>
      </c>
      <c r="F18" s="13">
        <f t="shared" si="5"/>
        <v>43642511.918452471</v>
      </c>
      <c r="G18" s="13">
        <f t="shared" si="0"/>
        <v>15.038187515358192</v>
      </c>
      <c r="H18" s="13">
        <f t="shared" si="1"/>
        <v>18.27</v>
      </c>
      <c r="J18" s="28">
        <f>INDEX(Integrale!$H$3:$H$502,MATCH('NGC2366'!D18,Integrale!$H$3:$H$502,1))</f>
        <v>0.13</v>
      </c>
      <c r="K18" s="28">
        <f>INDEX(Integrale!$I$3:$I$502,MATCH('NGC2366'!D18,Integrale!$H$3:$H$502,1))</f>
        <v>7.0528050000000003E-4</v>
      </c>
      <c r="L18" s="28">
        <f>INDEX(Integrale!$H$3:$H$502,MATCH('NGC2366'!D18,Integrale!$H$3:$H$502,1)+1)</f>
        <v>0.14000000000000001</v>
      </c>
      <c r="M18" s="28">
        <f>INDEX(Integrale!$I$3:$I$502,MATCH('NGC2366'!D18,Integrale!$H$3:$H$502,1)+1)</f>
        <v>8.7490549999999999E-4</v>
      </c>
      <c r="N18" s="28">
        <f t="shared" si="6"/>
        <v>0.30363036303630547</v>
      </c>
      <c r="O18" s="28">
        <f t="shared" si="2"/>
        <v>0.69636963696369447</v>
      </c>
    </row>
    <row r="19" spans="1:15" x14ac:dyDescent="0.3">
      <c r="A19" s="13">
        <v>1.07</v>
      </c>
      <c r="B19" s="13">
        <v>23.4</v>
      </c>
      <c r="C19" s="13">
        <v>2.08</v>
      </c>
      <c r="D19" s="13">
        <f t="shared" si="3"/>
        <v>0.17656765676567659</v>
      </c>
      <c r="E19" s="13">
        <f t="shared" si="4"/>
        <v>1.7093391501650174E-3</v>
      </c>
      <c r="F19" s="13">
        <f t="shared" si="5"/>
        <v>90599532.35934402</v>
      </c>
      <c r="G19" s="13">
        <f t="shared" si="0"/>
        <v>19.083180653509743</v>
      </c>
      <c r="H19" s="13">
        <f t="shared" si="1"/>
        <v>18.45</v>
      </c>
      <c r="J19" s="28">
        <f>INDEX(Integrale!$H$3:$H$502,MATCH('NGC2366'!D19,Integrale!$H$3:$H$502,1))</f>
        <v>0.17</v>
      </c>
      <c r="K19" s="28">
        <f>INDEX(Integrale!$I$3:$I$502,MATCH('NGC2366'!D19,Integrale!$H$3:$H$502,1))</f>
        <v>1.5312220000000001E-3</v>
      </c>
      <c r="L19" s="28">
        <f>INDEX(Integrale!$H$3:$H$502,MATCH('NGC2366'!D19,Integrale!$H$3:$H$502,1)+1)</f>
        <v>0.18</v>
      </c>
      <c r="M19" s="28">
        <f>INDEX(Integrale!$I$3:$I$502,MATCH('NGC2366'!D19,Integrale!$H$3:$H$502,1)+1)</f>
        <v>1.8024255E-3</v>
      </c>
      <c r="N19" s="28">
        <f t="shared" si="6"/>
        <v>0.3432343234323405</v>
      </c>
      <c r="O19" s="28">
        <f t="shared" si="2"/>
        <v>0.6567656765676595</v>
      </c>
    </row>
    <row r="20" spans="1:15" x14ac:dyDescent="0.3">
      <c r="A20" s="13">
        <v>1.31</v>
      </c>
      <c r="B20" s="13">
        <v>28.1</v>
      </c>
      <c r="C20" s="13">
        <v>2.46</v>
      </c>
      <c r="D20" s="13">
        <f t="shared" si="3"/>
        <v>0.21617161716171621</v>
      </c>
      <c r="E20" s="13">
        <f t="shared" si="4"/>
        <v>3.0213361739273941E-3</v>
      </c>
      <c r="F20" s="13">
        <f t="shared" si="5"/>
        <v>160138872.63493961</v>
      </c>
      <c r="G20" s="13">
        <f t="shared" si="0"/>
        <v>22.929385082049738</v>
      </c>
      <c r="H20" s="13">
        <f t="shared" si="1"/>
        <v>18.399999999999999</v>
      </c>
      <c r="J20" s="28">
        <f>INDEX(Integrale!$H$3:$H$502,MATCH('NGC2366'!D20,Integrale!$H$3:$H$502,1))</f>
        <v>0.21</v>
      </c>
      <c r="K20" s="28">
        <f>INDEX(Integrale!$I$3:$I$502,MATCH('NGC2366'!D20,Integrale!$H$3:$H$502,1))</f>
        <v>2.7838579000000001E-3</v>
      </c>
      <c r="L20" s="28">
        <f>INDEX(Integrale!$H$3:$H$502,MATCH('NGC2366'!D20,Integrale!$H$3:$H$502,1)+1)</f>
        <v>0.22</v>
      </c>
      <c r="M20" s="28">
        <f>INDEX(Integrale!$I$3:$I$502,MATCH('NGC2366'!D20,Integrale!$H$3:$H$502,1)+1)</f>
        <v>3.1686488999999999E-3</v>
      </c>
      <c r="N20" s="28">
        <f t="shared" si="6"/>
        <v>0.38283828382837914</v>
      </c>
      <c r="O20" s="28">
        <f t="shared" si="2"/>
        <v>0.61716171617162086</v>
      </c>
    </row>
    <row r="21" spans="1:15" x14ac:dyDescent="0.3">
      <c r="A21" s="13">
        <v>1.54</v>
      </c>
      <c r="B21" s="13">
        <v>33.1</v>
      </c>
      <c r="C21" s="13">
        <v>2.0099999999999998</v>
      </c>
      <c r="D21" s="13">
        <f t="shared" si="3"/>
        <v>0.25412541254125415</v>
      </c>
      <c r="E21" s="13">
        <f t="shared" si="4"/>
        <v>4.7071098231023113E-3</v>
      </c>
      <c r="F21" s="13">
        <f t="shared" si="5"/>
        <v>249489370.61201337</v>
      </c>
      <c r="G21" s="13">
        <f t="shared" si="0"/>
        <v>26.396438588798553</v>
      </c>
      <c r="H21" s="13">
        <f t="shared" si="1"/>
        <v>20.25</v>
      </c>
      <c r="J21" s="28">
        <f>INDEX(Integrale!$H$3:$H$502,MATCH('NGC2366'!D21,Integrale!$H$3:$H$502,1))</f>
        <v>0.25</v>
      </c>
      <c r="K21" s="28">
        <f>INDEX(Integrale!$I$3:$I$502,MATCH('NGC2366'!D21,Integrale!$H$3:$H$502,1))</f>
        <v>4.4997288E-3</v>
      </c>
      <c r="L21" s="28">
        <f>INDEX(Integrale!$H$3:$H$502,MATCH('NGC2366'!D21,Integrale!$H$3:$H$502,1)+1)</f>
        <v>0.26</v>
      </c>
      <c r="M21" s="28">
        <f>INDEX(Integrale!$I$3:$I$502,MATCH('NGC2366'!D21,Integrale!$H$3:$H$502,1)+1)</f>
        <v>5.0024203999999997E-3</v>
      </c>
      <c r="N21" s="28">
        <f t="shared" si="6"/>
        <v>0.58745874587458558</v>
      </c>
      <c r="O21" s="28">
        <f t="shared" si="2"/>
        <v>0.41254125412541437</v>
      </c>
    </row>
    <row r="22" spans="1:15" x14ac:dyDescent="0.3">
      <c r="A22" s="13">
        <v>1.79</v>
      </c>
      <c r="B22" s="13">
        <v>37.5</v>
      </c>
      <c r="C22" s="13">
        <v>1.62</v>
      </c>
      <c r="D22" s="13">
        <f t="shared" si="3"/>
        <v>0.2953795379537954</v>
      </c>
      <c r="E22" s="13">
        <f t="shared" si="4"/>
        <v>7.0167715825082532E-3</v>
      </c>
      <c r="F22" s="13">
        <f t="shared" si="5"/>
        <v>371907601.82741433</v>
      </c>
      <c r="G22" s="13">
        <f t="shared" si="0"/>
        <v>29.893081398119463</v>
      </c>
      <c r="H22" s="13">
        <f t="shared" si="1"/>
        <v>20.29</v>
      </c>
      <c r="J22" s="28">
        <f>INDEX(Integrale!$H$3:$H$502,MATCH('NGC2366'!D22,Integrale!$H$3:$H$502,1))</f>
        <v>0.28999999999999998</v>
      </c>
      <c r="K22" s="28">
        <f>INDEX(Integrale!$I$3:$I$502,MATCH('NGC2366'!D22,Integrale!$H$3:$H$502,1))</f>
        <v>6.6846487000000003E-3</v>
      </c>
      <c r="L22" s="28">
        <f>INDEX(Integrale!$H$3:$H$502,MATCH('NGC2366'!D22,Integrale!$H$3:$H$502,1)+1)</f>
        <v>0.3</v>
      </c>
      <c r="M22" s="28">
        <f>INDEX(Integrale!$I$3:$I$502,MATCH('NGC2366'!D22,Integrale!$H$3:$H$502,1)+1)</f>
        <v>7.3020304999999999E-3</v>
      </c>
      <c r="N22" s="28">
        <f t="shared" si="6"/>
        <v>0.46204620462045837</v>
      </c>
      <c r="O22" s="28">
        <f t="shared" si="2"/>
        <v>0.53795379537954169</v>
      </c>
    </row>
    <row r="23" spans="1:15" x14ac:dyDescent="0.3">
      <c r="A23" s="13">
        <v>2.02</v>
      </c>
      <c r="B23" s="13">
        <v>40.5</v>
      </c>
      <c r="C23" s="13">
        <v>1.68</v>
      </c>
      <c r="D23" s="13">
        <f t="shared" si="3"/>
        <v>0.33333333333333337</v>
      </c>
      <c r="E23" s="13">
        <f t="shared" si="4"/>
        <v>9.5560264666666693E-3</v>
      </c>
      <c r="F23" s="13">
        <f t="shared" si="5"/>
        <v>506494880.79058766</v>
      </c>
      <c r="G23" s="13">
        <f t="shared" si="0"/>
        <v>32.839120542669228</v>
      </c>
      <c r="H23" s="13">
        <f t="shared" si="1"/>
        <v>18.920000000000002</v>
      </c>
      <c r="J23" s="28">
        <f>INDEX(Integrale!$H$3:$H$502,MATCH('NGC2366'!D23,Integrale!$H$3:$H$502,1))</f>
        <v>0.33</v>
      </c>
      <c r="K23" s="28">
        <f>INDEX(Integrale!$I$3:$I$502,MATCH('NGC2366'!D23,Integrale!$H$3:$H$502,1))</f>
        <v>9.3153236999999993E-3</v>
      </c>
      <c r="L23" s="28">
        <f>INDEX(Integrale!$H$3:$H$502,MATCH('NGC2366'!D23,Integrale!$H$3:$H$502,1)+1)</f>
        <v>0.34</v>
      </c>
      <c r="M23" s="28">
        <f>INDEX(Integrale!$I$3:$I$502,MATCH('NGC2366'!D23,Integrale!$H$3:$H$502,1)+1)</f>
        <v>1.0037432000000001E-2</v>
      </c>
      <c r="N23" s="28">
        <f t="shared" si="6"/>
        <v>0.66666666666666485</v>
      </c>
      <c r="O23" s="28">
        <f t="shared" si="2"/>
        <v>0.3333333333333352</v>
      </c>
    </row>
    <row r="24" spans="1:15" x14ac:dyDescent="0.3">
      <c r="A24" s="13">
        <v>2.2599999999999998</v>
      </c>
      <c r="B24" s="13">
        <v>42.3</v>
      </c>
      <c r="C24" s="13">
        <v>1.69</v>
      </c>
      <c r="D24" s="13">
        <f t="shared" si="3"/>
        <v>0.3729372937293729</v>
      </c>
      <c r="E24" s="13">
        <f t="shared" si="4"/>
        <v>1.2581495902310228E-2</v>
      </c>
      <c r="F24" s="13">
        <f t="shared" si="5"/>
        <v>666852827.31649101</v>
      </c>
      <c r="G24" s="13">
        <f t="shared" si="0"/>
        <v>35.623817011909424</v>
      </c>
      <c r="H24" s="13">
        <f t="shared" si="1"/>
        <v>15.78</v>
      </c>
      <c r="J24" s="28">
        <f>INDEX(Integrale!$H$3:$H$502,MATCH('NGC2366'!D24,Integrale!$H$3:$H$502,1))</f>
        <v>0.37</v>
      </c>
      <c r="K24" s="28">
        <f>INDEX(Integrale!$I$3:$I$502,MATCH('NGC2366'!D24,Integrale!$H$3:$H$502,1))</f>
        <v>1.23431779E-2</v>
      </c>
      <c r="L24" s="28">
        <f>INDEX(Integrale!$H$3:$H$502,MATCH('NGC2366'!D24,Integrale!$H$3:$H$502,1)+1)</f>
        <v>0.38</v>
      </c>
      <c r="M24" s="28">
        <f>INDEX(Integrale!$I$3:$I$502,MATCH('NGC2366'!D24,Integrale!$H$3:$H$502,1)+1)</f>
        <v>1.31545302E-2</v>
      </c>
      <c r="N24" s="28">
        <f t="shared" si="6"/>
        <v>0.70627062706270993</v>
      </c>
      <c r="O24" s="28">
        <f t="shared" si="2"/>
        <v>0.29372937293729001</v>
      </c>
    </row>
    <row r="25" spans="1:15" x14ac:dyDescent="0.3">
      <c r="A25" s="13">
        <v>2.4900000000000002</v>
      </c>
      <c r="B25" s="13">
        <v>45.2</v>
      </c>
      <c r="C25" s="13">
        <v>1.91</v>
      </c>
      <c r="D25" s="13">
        <f t="shared" si="3"/>
        <v>0.41089108910891098</v>
      </c>
      <c r="E25" s="13">
        <f t="shared" si="4"/>
        <v>1.577831150099011E-2</v>
      </c>
      <c r="F25" s="13">
        <f t="shared" si="5"/>
        <v>836292577.32250547</v>
      </c>
      <c r="G25" s="13">
        <f t="shared" si="0"/>
        <v>38.006608735228617</v>
      </c>
      <c r="H25" s="13">
        <f t="shared" si="1"/>
        <v>15.91</v>
      </c>
      <c r="J25" s="28">
        <f>INDEX(Integrale!$H$3:$H$502,MATCH('NGC2366'!D25,Integrale!$H$3:$H$502,1))</f>
        <v>0.41</v>
      </c>
      <c r="K25" s="28">
        <f>INDEX(Integrale!$I$3:$I$502,MATCH('NGC2366'!D25,Integrale!$H$3:$H$502,1))</f>
        <v>1.56997951E-2</v>
      </c>
      <c r="L25" s="28">
        <f>INDEX(Integrale!$H$3:$H$502,MATCH('NGC2366'!D25,Integrale!$H$3:$H$502,1)+1)</f>
        <v>0.42</v>
      </c>
      <c r="M25" s="28">
        <f>INDEX(Integrale!$I$3:$I$502,MATCH('NGC2366'!D25,Integrale!$H$3:$H$502,1)+1)</f>
        <v>1.6580923599999998E-2</v>
      </c>
      <c r="N25" s="28">
        <f t="shared" si="6"/>
        <v>0.91089108910889982</v>
      </c>
      <c r="O25" s="28">
        <f t="shared" si="2"/>
        <v>8.9108910891100207E-2</v>
      </c>
    </row>
    <row r="26" spans="1:15" x14ac:dyDescent="0.3">
      <c r="A26" s="13">
        <v>2.74</v>
      </c>
      <c r="B26" s="13">
        <v>47.4</v>
      </c>
      <c r="C26" s="13">
        <v>1.95</v>
      </c>
      <c r="D26" s="13">
        <f t="shared" si="3"/>
        <v>0.45214521452145223</v>
      </c>
      <c r="E26" s="13">
        <f>N26*K26+O26*M26</f>
        <v>1.9502601725412547E-2</v>
      </c>
      <c r="F26" s="13">
        <f t="shared" si="5"/>
        <v>1033689888.8335506</v>
      </c>
      <c r="G26" s="13">
        <f t="shared" si="0"/>
        <v>40.28093335926453</v>
      </c>
      <c r="H26" s="13">
        <f t="shared" si="1"/>
        <v>15.02</v>
      </c>
      <c r="J26" s="28">
        <f>INDEX(Integrale!$H$3:$H$502,MATCH('NGC2366'!D26,Integrale!$H$3:$H$502,1))</f>
        <v>0.45</v>
      </c>
      <c r="K26" s="28">
        <f>INDEX(Integrale!$I$3:$I$502,MATCH('NGC2366'!D26,Integrale!$H$3:$H$502,1))</f>
        <v>1.9303288599999999E-2</v>
      </c>
      <c r="L26" s="28">
        <f>INDEX(Integrale!$H$3:$H$502,MATCH('NGC2366'!D26,Integrale!$H$3:$H$502,1)+1)</f>
        <v>0.46</v>
      </c>
      <c r="M26" s="28">
        <f>INDEX(Integrale!$I$3:$I$502,MATCH('NGC2366'!D26,Integrale!$H$3:$H$502,1)+1)</f>
        <v>2.0232394399999999E-2</v>
      </c>
      <c r="N26" s="28">
        <f t="shared" si="6"/>
        <v>0.78547854785477811</v>
      </c>
      <c r="O26" s="28">
        <f t="shared" si="2"/>
        <v>0.21452145214522192</v>
      </c>
    </row>
    <row r="27" spans="1:15" x14ac:dyDescent="0.3">
      <c r="A27" s="13">
        <v>2.97</v>
      </c>
      <c r="B27" s="13">
        <v>48.1</v>
      </c>
      <c r="C27" s="13">
        <v>1.74</v>
      </c>
      <c r="D27" s="13">
        <f t="shared" ref="D27:D40" si="7">A27/$C$12</f>
        <v>0.49009900990099015</v>
      </c>
      <c r="E27" s="13">
        <f t="shared" ref="E27:E40" si="8">N27*K27+O27*M27</f>
        <v>2.3074352840594062E-2</v>
      </c>
      <c r="F27" s="13">
        <f t="shared" ref="F27:F40" si="9">4*$H$12*$E$12*POWER($C$12,3)*E27</f>
        <v>1223002220.8585739</v>
      </c>
      <c r="G27" s="13">
        <f t="shared" ref="G27:G40" si="10">POWER($I$8*F27/A27,0.5)</f>
        <v>42.083811885230425</v>
      </c>
      <c r="H27" s="13">
        <f t="shared" ref="H27:H40" si="11">ROUND(ABS((B27-G27)/B27)*100,2)</f>
        <v>12.51</v>
      </c>
      <c r="J27" s="28">
        <f>INDEX(Integrale!$H$3:$H$502,MATCH('NGC2366'!D27,Integrale!$H$3:$H$502,1))</f>
        <v>0.49</v>
      </c>
      <c r="K27" s="28">
        <f>INDEX(Integrale!$I$3:$I$502,MATCH('NGC2366'!D27,Integrale!$H$3:$H$502,1))</f>
        <v>2.3064901700000001E-2</v>
      </c>
      <c r="L27" s="28">
        <f>INDEX(Integrale!$H$3:$H$502,MATCH('NGC2366'!D27,Integrale!$H$3:$H$502,1)+1)</f>
        <v>0.5</v>
      </c>
      <c r="M27" s="28">
        <f>INDEX(Integrale!$I$3:$I$502,MATCH('NGC2366'!D27,Integrale!$H$3:$H$502,1)+1)</f>
        <v>2.4019466900000001E-2</v>
      </c>
      <c r="N27" s="28">
        <f t="shared" ref="N27:N40" si="12">(L27-D27)/(L27-J27)</f>
        <v>0.99009900990098454</v>
      </c>
      <c r="O27" s="28">
        <f t="shared" ref="O27:O40" si="13">(D27-J27)/(L27-J27)</f>
        <v>9.9009900990154522E-3</v>
      </c>
    </row>
    <row r="28" spans="1:15" x14ac:dyDescent="0.3">
      <c r="A28" s="13">
        <v>3.21</v>
      </c>
      <c r="B28" s="13">
        <v>48.8</v>
      </c>
      <c r="C28" s="13">
        <v>1.08</v>
      </c>
      <c r="D28" s="13">
        <f t="shared" si="7"/>
        <v>0.52970297029702973</v>
      </c>
      <c r="E28" s="13">
        <f t="shared" si="8"/>
        <v>2.6866732450495048E-2</v>
      </c>
      <c r="F28" s="13">
        <f t="shared" si="9"/>
        <v>1424008451.3383305</v>
      </c>
      <c r="G28" s="13">
        <f t="shared" si="10"/>
        <v>43.680081463103669</v>
      </c>
      <c r="H28" s="13">
        <f t="shared" si="11"/>
        <v>10.49</v>
      </c>
      <c r="J28" s="28">
        <f>INDEX(Integrale!$H$3:$H$502,MATCH('NGC2366'!D28,Integrale!$H$3:$H$502,1))</f>
        <v>0.52</v>
      </c>
      <c r="K28" s="28">
        <f>INDEX(Integrale!$I$3:$I$502,MATCH('NGC2366'!D28,Integrale!$H$3:$H$502,1))</f>
        <v>2.5935959500000001E-2</v>
      </c>
      <c r="L28" s="28">
        <f>INDEX(Integrale!$H$3:$H$502,MATCH('NGC2366'!D28,Integrale!$H$3:$H$502,1)+1)</f>
        <v>0.53</v>
      </c>
      <c r="M28" s="28">
        <f>INDEX(Integrale!$I$3:$I$502,MATCH('NGC2366'!D28,Integrale!$H$3:$H$502,1)+1)</f>
        <v>2.6895225500000002E-2</v>
      </c>
      <c r="N28" s="28">
        <f t="shared" si="12"/>
        <v>2.9702970297029702E-2</v>
      </c>
      <c r="O28" s="28">
        <f t="shared" si="13"/>
        <v>0.97029702970297027</v>
      </c>
    </row>
    <row r="29" spans="1:15" x14ac:dyDescent="0.3">
      <c r="A29" s="13">
        <v>3.44</v>
      </c>
      <c r="B29" s="13">
        <v>50.7</v>
      </c>
      <c r="C29" s="13">
        <v>1.55</v>
      </c>
      <c r="D29" s="13">
        <f t="shared" si="7"/>
        <v>0.56765676567656764</v>
      </c>
      <c r="E29" s="13">
        <f t="shared" si="8"/>
        <v>3.0487474593729375E-2</v>
      </c>
      <c r="F29" s="13">
        <f t="shared" si="9"/>
        <v>1615917438.4689012</v>
      </c>
      <c r="G29" s="13">
        <f t="shared" si="10"/>
        <v>44.947965106146917</v>
      </c>
      <c r="H29" s="13">
        <f t="shared" si="11"/>
        <v>11.35</v>
      </c>
      <c r="J29" s="28">
        <f>INDEX(Integrale!$H$3:$H$502,MATCH('NGC2366'!D29,Integrale!$H$3:$H$502,1))</f>
        <v>0.56000000000000005</v>
      </c>
      <c r="K29" s="28">
        <f>INDEX(Integrale!$I$3:$I$502,MATCH('NGC2366'!D29,Integrale!$H$3:$H$502,1))</f>
        <v>2.9761802100000002E-2</v>
      </c>
      <c r="L29" s="28">
        <f>INDEX(Integrale!$H$3:$H$502,MATCH('NGC2366'!D29,Integrale!$H$3:$H$502,1)+1)</f>
        <v>0.56999999999999995</v>
      </c>
      <c r="M29" s="28">
        <f>INDEX(Integrale!$I$3:$I$502,MATCH('NGC2366'!D29,Integrale!$H$3:$H$502,1)+1)</f>
        <v>3.0709555400000001E-2</v>
      </c>
      <c r="N29" s="28">
        <f t="shared" si="12"/>
        <v>0.23432343234323322</v>
      </c>
      <c r="O29" s="28">
        <f t="shared" si="13"/>
        <v>0.76567656765676673</v>
      </c>
    </row>
    <row r="30" spans="1:15" x14ac:dyDescent="0.3">
      <c r="A30" s="13">
        <v>3.69</v>
      </c>
      <c r="B30" s="13">
        <v>52.1</v>
      </c>
      <c r="C30" s="13">
        <v>2.78</v>
      </c>
      <c r="D30" s="13">
        <f t="shared" si="7"/>
        <v>0.6089108910891089</v>
      </c>
      <c r="E30" s="13">
        <f t="shared" si="8"/>
        <v>3.4332065308910892E-2</v>
      </c>
      <c r="F30" s="13">
        <f t="shared" si="9"/>
        <v>1819690996.7325702</v>
      </c>
      <c r="G30" s="13">
        <f t="shared" si="10"/>
        <v>46.053783239122424</v>
      </c>
      <c r="H30" s="13">
        <f t="shared" si="11"/>
        <v>11.61</v>
      </c>
      <c r="J30" s="28">
        <f>INDEX(Integrale!$H$3:$H$502,MATCH('NGC2366'!D30,Integrale!$H$3:$H$502,1))</f>
        <v>0.6</v>
      </c>
      <c r="K30" s="28">
        <f>INDEX(Integrale!$I$3:$I$502,MATCH('NGC2366'!D30,Integrale!$H$3:$H$502,1))</f>
        <v>3.3513777199999997E-2</v>
      </c>
      <c r="L30" s="28">
        <f>INDEX(Integrale!$H$3:$H$502,MATCH('NGC2366'!D30,Integrale!$H$3:$H$502,1)+1)</f>
        <v>0.61</v>
      </c>
      <c r="M30" s="28">
        <f>INDEX(Integrale!$I$3:$I$502,MATCH('NGC2366'!D30,Integrale!$H$3:$H$502,1)+1)</f>
        <v>3.4432078300000002E-2</v>
      </c>
      <c r="N30" s="28">
        <f t="shared" si="12"/>
        <v>0.10891089108910891</v>
      </c>
      <c r="O30" s="28">
        <f t="shared" si="13"/>
        <v>0.8910891089108911</v>
      </c>
    </row>
    <row r="31" spans="1:15" x14ac:dyDescent="0.3">
      <c r="A31" s="13">
        <v>3.92</v>
      </c>
      <c r="B31" s="13">
        <v>53</v>
      </c>
      <c r="C31" s="13">
        <v>2.98</v>
      </c>
      <c r="D31" s="13">
        <f t="shared" si="7"/>
        <v>0.64686468646864692</v>
      </c>
      <c r="E31" s="13">
        <f t="shared" si="8"/>
        <v>3.7724711126732681E-2</v>
      </c>
      <c r="F31" s="13">
        <f t="shared" si="9"/>
        <v>1999510270.471117</v>
      </c>
      <c r="G31" s="13">
        <f t="shared" si="10"/>
        <v>46.838012542658468</v>
      </c>
      <c r="H31" s="13">
        <f t="shared" si="11"/>
        <v>11.63</v>
      </c>
      <c r="J31" s="28">
        <f>INDEX(Integrale!$H$3:$H$502,MATCH('NGC2366'!D31,Integrale!$H$3:$H$502,1))</f>
        <v>0.64</v>
      </c>
      <c r="K31" s="28">
        <f>INDEX(Integrale!$I$3:$I$502,MATCH('NGC2366'!D31,Integrale!$H$3:$H$502,1))</f>
        <v>3.7124703000000002E-2</v>
      </c>
      <c r="L31" s="28">
        <f>INDEX(Integrale!$H$3:$H$502,MATCH('NGC2366'!D31,Integrale!$H$3:$H$502,1)+1)</f>
        <v>0.65</v>
      </c>
      <c r="M31" s="28">
        <f>INDEX(Integrale!$I$3:$I$502,MATCH('NGC2366'!D31,Integrale!$H$3:$H$502,1)+1)</f>
        <v>3.79987533E-2</v>
      </c>
      <c r="N31" s="28">
        <f t="shared" si="12"/>
        <v>0.31353135313530983</v>
      </c>
      <c r="O31" s="28">
        <f t="shared" si="13"/>
        <v>0.68646864686469022</v>
      </c>
    </row>
    <row r="32" spans="1:15" x14ac:dyDescent="0.3">
      <c r="A32" s="13">
        <v>4.16</v>
      </c>
      <c r="B32" s="13">
        <v>53.7</v>
      </c>
      <c r="C32" s="13">
        <v>2.39</v>
      </c>
      <c r="D32" s="13">
        <f t="shared" si="7"/>
        <v>0.68646864686468656</v>
      </c>
      <c r="E32" s="13">
        <f t="shared" si="8"/>
        <v>4.1069885001980208E-2</v>
      </c>
      <c r="F32" s="13">
        <f t="shared" si="9"/>
        <v>2176813404.6846299</v>
      </c>
      <c r="G32" s="13">
        <f t="shared" si="10"/>
        <v>47.439882939561102</v>
      </c>
      <c r="H32" s="13">
        <f t="shared" si="11"/>
        <v>11.66</v>
      </c>
      <c r="J32" s="28">
        <f>INDEX(Integrale!$H$3:$H$502,MATCH('NGC2366'!D32,Integrale!$H$3:$H$502,1))</f>
        <v>0.68</v>
      </c>
      <c r="K32" s="28">
        <f>INDEX(Integrale!$I$3:$I$502,MATCH('NGC2366'!D32,Integrale!$H$3:$H$502,1))</f>
        <v>4.0540475999999999E-2</v>
      </c>
      <c r="L32" s="28">
        <f>INDEX(Integrale!$H$3:$H$502,MATCH('NGC2366'!D32,Integrale!$H$3:$H$502,1)+1)</f>
        <v>0.69</v>
      </c>
      <c r="M32" s="28">
        <f>INDEX(Integrale!$I$3:$I$502,MATCH('NGC2366'!D32,Integrale!$H$3:$H$502,1)+1)</f>
        <v>4.1358899099999999E-2</v>
      </c>
      <c r="N32" s="28">
        <f t="shared" si="12"/>
        <v>0.35313531353134225</v>
      </c>
      <c r="O32" s="28">
        <f t="shared" si="13"/>
        <v>0.6468646864686578</v>
      </c>
    </row>
    <row r="33" spans="1:15" x14ac:dyDescent="0.3">
      <c r="A33" s="13">
        <v>4.4000000000000004</v>
      </c>
      <c r="B33" s="13">
        <v>51.2</v>
      </c>
      <c r="C33" s="13">
        <v>2.21</v>
      </c>
      <c r="D33" s="13">
        <f t="shared" si="7"/>
        <v>0.7260726072607262</v>
      </c>
      <c r="E33" s="13">
        <f t="shared" si="8"/>
        <v>4.4179160955445551E-2</v>
      </c>
      <c r="F33" s="13">
        <f t="shared" si="9"/>
        <v>2341613320.0980921</v>
      </c>
      <c r="G33" s="13">
        <f t="shared" si="10"/>
        <v>47.842175973834401</v>
      </c>
      <c r="H33" s="13">
        <f t="shared" si="11"/>
        <v>6.56</v>
      </c>
      <c r="J33" s="28">
        <f>INDEX(Integrale!$H$3:$H$502,MATCH('NGC2366'!D33,Integrale!$H$3:$H$502,1))</f>
        <v>0.72</v>
      </c>
      <c r="K33" s="28">
        <f>INDEX(Integrale!$I$3:$I$502,MATCH('NGC2366'!D33,Integrale!$H$3:$H$502,1))</f>
        <v>4.3720770499999999E-2</v>
      </c>
      <c r="L33" s="28">
        <f>INDEX(Integrale!$H$3:$H$502,MATCH('NGC2366'!D33,Integrale!$H$3:$H$502,1)+1)</f>
        <v>0.73</v>
      </c>
      <c r="M33" s="28">
        <f>INDEX(Integrale!$I$3:$I$502,MATCH('NGC2366'!D33,Integrale!$H$3:$H$502,1)+1)</f>
        <v>4.447562E-2</v>
      </c>
      <c r="N33" s="28">
        <f t="shared" si="12"/>
        <v>0.39273927392737795</v>
      </c>
      <c r="O33" s="28">
        <f t="shared" si="13"/>
        <v>0.60726072607262205</v>
      </c>
    </row>
    <row r="34" spans="1:15" x14ac:dyDescent="0.3">
      <c r="A34" s="13">
        <v>4.6399999999999997</v>
      </c>
      <c r="B34" s="13">
        <v>51.6</v>
      </c>
      <c r="C34" s="13">
        <v>1.45</v>
      </c>
      <c r="D34" s="13">
        <f t="shared" si="7"/>
        <v>0.76567656765676573</v>
      </c>
      <c r="E34" s="13">
        <f t="shared" si="8"/>
        <v>4.7028451420132011E-2</v>
      </c>
      <c r="F34" s="13">
        <f t="shared" si="9"/>
        <v>2492633311.438962</v>
      </c>
      <c r="G34" s="13">
        <f t="shared" si="10"/>
        <v>48.06731677170049</v>
      </c>
      <c r="H34" s="13">
        <f t="shared" si="11"/>
        <v>6.85</v>
      </c>
      <c r="J34" s="28">
        <f>INDEX(Integrale!$H$3:$H$502,MATCH('NGC2366'!D34,Integrale!$H$3:$H$502,1))</f>
        <v>0.76</v>
      </c>
      <c r="K34" s="28">
        <f>INDEX(Integrale!$I$3:$I$502,MATCH('NGC2366'!D34,Integrale!$H$3:$H$502,1))</f>
        <v>4.66387261E-2</v>
      </c>
      <c r="L34" s="28">
        <f>INDEX(Integrale!$H$3:$H$502,MATCH('NGC2366'!D34,Integrale!$H$3:$H$502,1)+1)</f>
        <v>0.77</v>
      </c>
      <c r="M34" s="28">
        <f>INDEX(Integrale!$I$3:$I$502,MATCH('NGC2366'!D34,Integrale!$H$3:$H$502,1)+1)</f>
        <v>4.73252771E-2</v>
      </c>
      <c r="N34" s="28">
        <f t="shared" si="12"/>
        <v>0.43234323432342864</v>
      </c>
      <c r="O34" s="28">
        <f t="shared" si="13"/>
        <v>0.56765676567657131</v>
      </c>
    </row>
    <row r="35" spans="1:15" x14ac:dyDescent="0.3">
      <c r="A35" s="13">
        <v>4.87</v>
      </c>
      <c r="B35" s="13">
        <v>51.5</v>
      </c>
      <c r="C35" s="13">
        <v>1.84</v>
      </c>
      <c r="D35" s="13">
        <f t="shared" si="7"/>
        <v>0.80363036303630375</v>
      </c>
      <c r="E35" s="13">
        <f t="shared" si="8"/>
        <v>4.9503635275907593E-2</v>
      </c>
      <c r="F35" s="13">
        <f t="shared" si="9"/>
        <v>2623824655.0731478</v>
      </c>
      <c r="G35" s="13">
        <f t="shared" si="10"/>
        <v>48.137396313262983</v>
      </c>
      <c r="H35" s="13">
        <f t="shared" si="11"/>
        <v>6.53</v>
      </c>
      <c r="J35" s="28">
        <f>INDEX(Integrale!$H$3:$H$502,MATCH('NGC2366'!D35,Integrale!$H$3:$H$502,1))</f>
        <v>0.8</v>
      </c>
      <c r="K35" s="28">
        <f>INDEX(Integrale!$I$3:$I$502,MATCH('NGC2366'!D35,Integrale!$H$3:$H$502,1))</f>
        <v>4.9279864200000002E-2</v>
      </c>
      <c r="L35" s="28">
        <f>INDEX(Integrale!$H$3:$H$502,MATCH('NGC2366'!D35,Integrale!$H$3:$H$502,1)+1)</f>
        <v>0.81</v>
      </c>
      <c r="M35" s="28">
        <f>INDEX(Integrale!$I$3:$I$502,MATCH('NGC2366'!D35,Integrale!$H$3:$H$502,1)+1)</f>
        <v>4.9896251799999999E-2</v>
      </c>
      <c r="N35" s="28">
        <f t="shared" si="12"/>
        <v>0.63696369636962957</v>
      </c>
      <c r="O35" s="28">
        <f t="shared" si="13"/>
        <v>0.36303630363037043</v>
      </c>
    </row>
    <row r="36" spans="1:15" x14ac:dyDescent="0.3">
      <c r="A36" s="13">
        <v>5.1100000000000003</v>
      </c>
      <c r="B36" s="13">
        <v>50.4</v>
      </c>
      <c r="C36" s="13">
        <v>2.5299999999999998</v>
      </c>
      <c r="D36" s="13">
        <f t="shared" si="7"/>
        <v>0.84323432343234339</v>
      </c>
      <c r="E36" s="13">
        <f t="shared" si="8"/>
        <v>5.1817325155775591E-2</v>
      </c>
      <c r="F36" s="13">
        <f t="shared" si="9"/>
        <v>2746456387.4127197</v>
      </c>
      <c r="G36" s="13">
        <f t="shared" si="10"/>
        <v>48.079016576419789</v>
      </c>
      <c r="H36" s="13">
        <f t="shared" si="11"/>
        <v>4.6100000000000003</v>
      </c>
      <c r="J36" s="28">
        <f>INDEX(Integrale!$H$3:$H$502,MATCH('NGC2366'!D36,Integrale!$H$3:$H$502,1))</f>
        <v>0.84</v>
      </c>
      <c r="K36" s="28">
        <f>INDEX(Integrale!$I$3:$I$502,MATCH('NGC2366'!D36,Integrale!$H$3:$H$502,1))</f>
        <v>5.1640483799999998E-2</v>
      </c>
      <c r="L36" s="28">
        <f>INDEX(Integrale!$H$3:$H$502,MATCH('NGC2366'!D36,Integrale!$H$3:$H$502,1)+1)</f>
        <v>0.85</v>
      </c>
      <c r="M36" s="28">
        <f>INDEX(Integrale!$I$3:$I$502,MATCH('NGC2366'!D36,Integrale!$H$3:$H$502,1)+1)</f>
        <v>5.2187248399999997E-2</v>
      </c>
      <c r="N36" s="28">
        <f t="shared" si="12"/>
        <v>0.67656765676565811</v>
      </c>
      <c r="O36" s="28">
        <f t="shared" si="13"/>
        <v>0.32343234323434195</v>
      </c>
    </row>
    <row r="37" spans="1:15" x14ac:dyDescent="0.3">
      <c r="A37" s="13">
        <v>5.35</v>
      </c>
      <c r="B37" s="13">
        <v>48.5</v>
      </c>
      <c r="C37" s="13">
        <v>4.5999999999999996</v>
      </c>
      <c r="D37" s="13">
        <f t="shared" si="7"/>
        <v>0.88283828382838281</v>
      </c>
      <c r="E37" s="13">
        <f t="shared" si="8"/>
        <v>5.3861892489438942E-2</v>
      </c>
      <c r="F37" s="13">
        <f t="shared" si="9"/>
        <v>2854823907.2751226</v>
      </c>
      <c r="G37" s="13">
        <f t="shared" si="10"/>
        <v>47.90627949942008</v>
      </c>
      <c r="H37" s="13">
        <f t="shared" si="11"/>
        <v>1.22</v>
      </c>
      <c r="J37" s="28">
        <f>INDEX(Integrale!$H$3:$H$502,MATCH('NGC2366'!D37,Integrale!$H$3:$H$502,1))</f>
        <v>0.88</v>
      </c>
      <c r="K37" s="28">
        <f>INDEX(Integrale!$I$3:$I$502,MATCH('NGC2366'!D37,Integrale!$H$3:$H$502,1))</f>
        <v>5.37257701E-2</v>
      </c>
      <c r="L37" s="28">
        <f>INDEX(Integrale!$H$3:$H$502,MATCH('NGC2366'!D37,Integrale!$H$3:$H$502,1)+1)</f>
        <v>0.89</v>
      </c>
      <c r="M37" s="28">
        <f>INDEX(Integrale!$I$3:$I$502,MATCH('NGC2366'!D37,Integrale!$H$3:$H$502,1)+1)</f>
        <v>5.42053641E-2</v>
      </c>
      <c r="N37" s="28">
        <f t="shared" si="12"/>
        <v>0.71617161716171984</v>
      </c>
      <c r="O37" s="28">
        <f t="shared" si="13"/>
        <v>0.2838283828382801</v>
      </c>
    </row>
    <row r="38" spans="1:15" x14ac:dyDescent="0.3">
      <c r="A38" s="13">
        <v>5.59</v>
      </c>
      <c r="B38" s="13">
        <v>50</v>
      </c>
      <c r="C38" s="13">
        <v>5.91</v>
      </c>
      <c r="D38" s="13">
        <f t="shared" si="7"/>
        <v>0.92244224422442245</v>
      </c>
      <c r="E38" s="13">
        <f t="shared" si="8"/>
        <v>5.5649486109570961E-2</v>
      </c>
      <c r="F38" s="13">
        <f t="shared" si="9"/>
        <v>2949571135.1829796</v>
      </c>
      <c r="G38" s="13">
        <f t="shared" si="10"/>
        <v>47.637965525901244</v>
      </c>
      <c r="H38" s="13">
        <f t="shared" si="11"/>
        <v>4.72</v>
      </c>
      <c r="J38" s="28">
        <f>INDEX(Integrale!$H$3:$H$502,MATCH('NGC2366'!D38,Integrale!$H$3:$H$502,1))</f>
        <v>0.92</v>
      </c>
      <c r="K38" s="28">
        <f>INDEX(Integrale!$I$3:$I$502,MATCH('NGC2366'!D38,Integrale!$H$3:$H$502,1))</f>
        <v>5.5547815799999997E-2</v>
      </c>
      <c r="L38" s="28">
        <f>INDEX(Integrale!$H$3:$H$502,MATCH('NGC2366'!D38,Integrale!$H$3:$H$502,1)+1)</f>
        <v>0.93</v>
      </c>
      <c r="M38" s="28">
        <f>INDEX(Integrale!$I$3:$I$502,MATCH('NGC2366'!D38,Integrale!$H$3:$H$502,1)+1)</f>
        <v>5.5964114500000002E-2</v>
      </c>
      <c r="N38" s="28">
        <f t="shared" si="12"/>
        <v>0.75577557755775948</v>
      </c>
      <c r="O38" s="28">
        <f t="shared" si="13"/>
        <v>0.24422442244224052</v>
      </c>
    </row>
    <row r="39" spans="1:15" x14ac:dyDescent="0.3">
      <c r="A39" s="13">
        <v>5.82</v>
      </c>
      <c r="B39" s="13">
        <v>49</v>
      </c>
      <c r="C39" s="13">
        <v>7.42</v>
      </c>
      <c r="D39" s="13">
        <f t="shared" si="7"/>
        <v>0.96039603960396047</v>
      </c>
      <c r="E39" s="13">
        <f t="shared" si="8"/>
        <v>5.7137883117821781E-2</v>
      </c>
      <c r="F39" s="13">
        <f t="shared" si="9"/>
        <v>3028460144.9500308</v>
      </c>
      <c r="G39" s="13">
        <f t="shared" si="10"/>
        <v>47.307403424833304</v>
      </c>
      <c r="H39" s="13">
        <f t="shared" si="11"/>
        <v>3.45</v>
      </c>
      <c r="J39" s="28">
        <f>INDEX(Integrale!$H$3:$H$502,MATCH('NGC2366'!D39,Integrale!$H$3:$H$502,1))</f>
        <v>0.96</v>
      </c>
      <c r="K39" s="28">
        <f>INDEX(Integrale!$I$3:$I$502,MATCH('NGC2366'!D39,Integrale!$H$3:$H$502,1))</f>
        <v>5.7123710899999999E-2</v>
      </c>
      <c r="L39" s="28">
        <f>INDEX(Integrale!$H$3:$H$502,MATCH('NGC2366'!D39,Integrale!$H$3:$H$502,1)+1)</f>
        <v>0.97</v>
      </c>
      <c r="M39" s="28">
        <f>INDEX(Integrale!$I$3:$I$502,MATCH('NGC2366'!D39,Integrale!$H$3:$H$502,1)+1)</f>
        <v>5.74815594E-2</v>
      </c>
      <c r="N39" s="28">
        <f t="shared" si="12"/>
        <v>0.96039603960394926</v>
      </c>
      <c r="O39" s="28">
        <f t="shared" si="13"/>
        <v>3.9603960396050707E-2</v>
      </c>
    </row>
    <row r="40" spans="1:15" x14ac:dyDescent="0.3">
      <c r="A40" s="13">
        <v>6.06</v>
      </c>
      <c r="B40" s="13">
        <v>49.4</v>
      </c>
      <c r="C40" s="13">
        <v>5.92</v>
      </c>
      <c r="D40" s="13">
        <f t="shared" si="7"/>
        <v>1</v>
      </c>
      <c r="E40" s="13">
        <f t="shared" si="8"/>
        <v>5.8473808600000003E-2</v>
      </c>
      <c r="F40" s="13">
        <f t="shared" si="9"/>
        <v>3099267757.31917</v>
      </c>
      <c r="G40" s="13">
        <f t="shared" si="10"/>
        <v>46.900007208395273</v>
      </c>
      <c r="H40" s="13">
        <f t="shared" si="11"/>
        <v>5.0599999999999996</v>
      </c>
      <c r="J40" s="28">
        <f>INDEX(Integrale!$H$3:$H$502,MATCH('NGC2366'!D40,Integrale!$H$3:$H$502,1))</f>
        <v>1</v>
      </c>
      <c r="K40" s="28">
        <f>INDEX(Integrale!$I$3:$I$502,MATCH('NGC2366'!D40,Integrale!$H$3:$H$502,1))</f>
        <v>5.8473808600000003E-2</v>
      </c>
      <c r="L40" s="28">
        <f>INDEX(Integrale!$H$3:$H$502,MATCH('NGC2366'!D40,Integrale!$H$3:$H$502,1)+1)</f>
        <v>1.01</v>
      </c>
      <c r="M40" s="28">
        <f>INDEX(Integrale!$I$3:$I$502,MATCH('NGC2366'!D40,Integrale!$H$3:$H$502,1)+1)</f>
        <v>5.8778624799999998E-2</v>
      </c>
      <c r="N40" s="28">
        <f t="shared" si="12"/>
        <v>1</v>
      </c>
      <c r="O40" s="28">
        <f t="shared" si="13"/>
        <v>0</v>
      </c>
    </row>
    <row r="41" spans="1:15" x14ac:dyDescent="0.3">
      <c r="G41" s="28" t="s">
        <v>25</v>
      </c>
      <c r="H41" s="28">
        <f>ROUND(AVERAGE(H15:H40),2)</f>
        <v>14.28</v>
      </c>
    </row>
    <row r="42" spans="1:15" x14ac:dyDescent="0.3">
      <c r="B42" s="19" t="s">
        <v>24</v>
      </c>
      <c r="C42" s="20">
        <f>ROUND(MAX(0,100-H41),2)</f>
        <v>85.72</v>
      </c>
      <c r="D42" s="20" t="s">
        <v>26</v>
      </c>
    </row>
    <row r="44" spans="1:15" x14ac:dyDescent="0.3">
      <c r="A44" s="12" t="s">
        <v>7</v>
      </c>
      <c r="B44" s="12" t="s">
        <v>27</v>
      </c>
      <c r="C44" s="12" t="s">
        <v>28</v>
      </c>
      <c r="D44" s="12" t="s">
        <v>19</v>
      </c>
      <c r="E44" s="23" t="s">
        <v>34</v>
      </c>
      <c r="F44" s="23" t="s">
        <v>35</v>
      </c>
    </row>
    <row r="45" spans="1:15" x14ac:dyDescent="0.3">
      <c r="A45" s="13">
        <f>A15</f>
        <v>0.12</v>
      </c>
      <c r="B45" s="13">
        <f>B15</f>
        <v>4.2</v>
      </c>
      <c r="C45" s="13">
        <f>C15</f>
        <v>3.15</v>
      </c>
      <c r="D45" s="13">
        <f>ROUND(G15,2)</f>
        <v>2.37</v>
      </c>
      <c r="E45" s="28">
        <f>ROUND(POWER((B45-D45),2),2)</f>
        <v>3.35</v>
      </c>
      <c r="F45" s="28">
        <f>ROUND(E45/POWER(C45,2),2)</f>
        <v>0.34</v>
      </c>
    </row>
    <row r="46" spans="1:15" x14ac:dyDescent="0.3">
      <c r="A46" s="13">
        <f t="shared" ref="A46:A70" si="14">A16</f>
        <v>0.36</v>
      </c>
      <c r="B46" s="13">
        <f t="shared" ref="B46:C56" si="15">B16</f>
        <v>9.41</v>
      </c>
      <c r="C46" s="13">
        <f t="shared" si="15"/>
        <v>1.83</v>
      </c>
      <c r="D46" s="13">
        <f t="shared" ref="D46:D70" si="16">ROUND(G16,2)</f>
        <v>6.68</v>
      </c>
      <c r="E46" s="28">
        <f t="shared" ref="E46:E70" si="17">ROUND(POWER((B46-D46),2),2)</f>
        <v>7.45</v>
      </c>
      <c r="F46" s="28">
        <f t="shared" ref="F46:F70" si="18">ROUND(E46/POWER(C46,2),2)</f>
        <v>2.2200000000000002</v>
      </c>
    </row>
    <row r="47" spans="1:15" x14ac:dyDescent="0.3">
      <c r="A47" s="13">
        <f t="shared" si="14"/>
        <v>0.59</v>
      </c>
      <c r="B47" s="13">
        <f t="shared" si="15"/>
        <v>15.3</v>
      </c>
      <c r="C47" s="13">
        <f t="shared" si="15"/>
        <v>1.37</v>
      </c>
      <c r="D47" s="13">
        <f t="shared" si="16"/>
        <v>10.84</v>
      </c>
      <c r="E47" s="28">
        <f t="shared" si="17"/>
        <v>19.89</v>
      </c>
      <c r="F47" s="28">
        <f t="shared" si="18"/>
        <v>10.6</v>
      </c>
    </row>
    <row r="48" spans="1:15" x14ac:dyDescent="0.3">
      <c r="A48" s="13">
        <f t="shared" si="14"/>
        <v>0.83</v>
      </c>
      <c r="B48" s="13">
        <f t="shared" si="15"/>
        <v>18.399999999999999</v>
      </c>
      <c r="C48" s="13">
        <f t="shared" si="15"/>
        <v>1.64</v>
      </c>
      <c r="D48" s="13">
        <f t="shared" si="16"/>
        <v>15.04</v>
      </c>
      <c r="E48" s="28">
        <f t="shared" si="17"/>
        <v>11.29</v>
      </c>
      <c r="F48" s="28">
        <f t="shared" si="18"/>
        <v>4.2</v>
      </c>
    </row>
    <row r="49" spans="1:6" x14ac:dyDescent="0.3">
      <c r="A49" s="13">
        <f t="shared" si="14"/>
        <v>1.07</v>
      </c>
      <c r="B49" s="13">
        <f t="shared" si="15"/>
        <v>23.4</v>
      </c>
      <c r="C49" s="13">
        <f t="shared" si="15"/>
        <v>2.08</v>
      </c>
      <c r="D49" s="13">
        <f t="shared" si="16"/>
        <v>19.079999999999998</v>
      </c>
      <c r="E49" s="28">
        <f t="shared" si="17"/>
        <v>18.66</v>
      </c>
      <c r="F49" s="28">
        <f t="shared" si="18"/>
        <v>4.3099999999999996</v>
      </c>
    </row>
    <row r="50" spans="1:6" x14ac:dyDescent="0.3">
      <c r="A50" s="13">
        <f t="shared" si="14"/>
        <v>1.31</v>
      </c>
      <c r="B50" s="13">
        <f t="shared" si="15"/>
        <v>28.1</v>
      </c>
      <c r="C50" s="13">
        <f t="shared" si="15"/>
        <v>2.46</v>
      </c>
      <c r="D50" s="13">
        <f t="shared" si="16"/>
        <v>22.93</v>
      </c>
      <c r="E50" s="28">
        <f t="shared" si="17"/>
        <v>26.73</v>
      </c>
      <c r="F50" s="28">
        <f t="shared" si="18"/>
        <v>4.42</v>
      </c>
    </row>
    <row r="51" spans="1:6" x14ac:dyDescent="0.3">
      <c r="A51" s="13">
        <f t="shared" si="14"/>
        <v>1.54</v>
      </c>
      <c r="B51" s="13">
        <f t="shared" si="15"/>
        <v>33.1</v>
      </c>
      <c r="C51" s="13">
        <f t="shared" si="15"/>
        <v>2.0099999999999998</v>
      </c>
      <c r="D51" s="13">
        <f t="shared" si="16"/>
        <v>26.4</v>
      </c>
      <c r="E51" s="28">
        <f t="shared" si="17"/>
        <v>44.89</v>
      </c>
      <c r="F51" s="28">
        <f t="shared" si="18"/>
        <v>11.11</v>
      </c>
    </row>
    <row r="52" spans="1:6" x14ac:dyDescent="0.3">
      <c r="A52" s="13">
        <f t="shared" si="14"/>
        <v>1.79</v>
      </c>
      <c r="B52" s="13">
        <f t="shared" si="15"/>
        <v>37.5</v>
      </c>
      <c r="C52" s="13">
        <f t="shared" si="15"/>
        <v>1.62</v>
      </c>
      <c r="D52" s="13">
        <f t="shared" si="16"/>
        <v>29.89</v>
      </c>
      <c r="E52" s="28">
        <f t="shared" si="17"/>
        <v>57.91</v>
      </c>
      <c r="F52" s="28">
        <f t="shared" si="18"/>
        <v>22.07</v>
      </c>
    </row>
    <row r="53" spans="1:6" x14ac:dyDescent="0.3">
      <c r="A53" s="13">
        <f t="shared" si="14"/>
        <v>2.02</v>
      </c>
      <c r="B53" s="13">
        <f t="shared" si="15"/>
        <v>40.5</v>
      </c>
      <c r="C53" s="13">
        <f t="shared" si="15"/>
        <v>1.68</v>
      </c>
      <c r="D53" s="13">
        <f t="shared" si="16"/>
        <v>32.840000000000003</v>
      </c>
      <c r="E53" s="28">
        <f t="shared" si="17"/>
        <v>58.68</v>
      </c>
      <c r="F53" s="28">
        <f t="shared" si="18"/>
        <v>20.79</v>
      </c>
    </row>
    <row r="54" spans="1:6" x14ac:dyDescent="0.3">
      <c r="A54" s="13">
        <f t="shared" si="14"/>
        <v>2.2599999999999998</v>
      </c>
      <c r="B54" s="13">
        <f t="shared" si="15"/>
        <v>42.3</v>
      </c>
      <c r="C54" s="13">
        <f t="shared" si="15"/>
        <v>1.69</v>
      </c>
      <c r="D54" s="13">
        <f t="shared" si="16"/>
        <v>35.619999999999997</v>
      </c>
      <c r="E54" s="28">
        <f t="shared" si="17"/>
        <v>44.62</v>
      </c>
      <c r="F54" s="28">
        <f t="shared" si="18"/>
        <v>15.62</v>
      </c>
    </row>
    <row r="55" spans="1:6" x14ac:dyDescent="0.3">
      <c r="A55" s="13">
        <f t="shared" si="14"/>
        <v>2.4900000000000002</v>
      </c>
      <c r="B55" s="13">
        <f t="shared" si="15"/>
        <v>45.2</v>
      </c>
      <c r="C55" s="13">
        <f t="shared" si="15"/>
        <v>1.91</v>
      </c>
      <c r="D55" s="13">
        <f t="shared" si="16"/>
        <v>38.01</v>
      </c>
      <c r="E55" s="28">
        <f t="shared" si="17"/>
        <v>51.7</v>
      </c>
      <c r="F55" s="28">
        <f t="shared" si="18"/>
        <v>14.17</v>
      </c>
    </row>
    <row r="56" spans="1:6" x14ac:dyDescent="0.3">
      <c r="A56" s="13">
        <f t="shared" si="14"/>
        <v>2.74</v>
      </c>
      <c r="B56" s="13">
        <f t="shared" si="15"/>
        <v>47.4</v>
      </c>
      <c r="C56" s="13">
        <f t="shared" si="15"/>
        <v>1.95</v>
      </c>
      <c r="D56" s="13">
        <f t="shared" si="16"/>
        <v>40.28</v>
      </c>
      <c r="E56" s="28">
        <f t="shared" si="17"/>
        <v>50.69</v>
      </c>
      <c r="F56" s="28">
        <f t="shared" si="18"/>
        <v>13.33</v>
      </c>
    </row>
    <row r="57" spans="1:6" x14ac:dyDescent="0.3">
      <c r="A57" s="13">
        <f t="shared" si="14"/>
        <v>2.97</v>
      </c>
      <c r="B57" s="13">
        <f t="shared" ref="B57:C70" si="19">B27</f>
        <v>48.1</v>
      </c>
      <c r="C57" s="13">
        <f t="shared" si="19"/>
        <v>1.74</v>
      </c>
      <c r="D57" s="13">
        <f t="shared" si="16"/>
        <v>42.08</v>
      </c>
      <c r="E57" s="28">
        <f t="shared" si="17"/>
        <v>36.24</v>
      </c>
      <c r="F57" s="28">
        <f t="shared" si="18"/>
        <v>11.97</v>
      </c>
    </row>
    <row r="58" spans="1:6" x14ac:dyDescent="0.3">
      <c r="A58" s="13">
        <f t="shared" si="14"/>
        <v>3.21</v>
      </c>
      <c r="B58" s="13">
        <f t="shared" si="19"/>
        <v>48.8</v>
      </c>
      <c r="C58" s="13">
        <f t="shared" si="19"/>
        <v>1.08</v>
      </c>
      <c r="D58" s="13">
        <f t="shared" si="16"/>
        <v>43.68</v>
      </c>
      <c r="E58" s="28">
        <f t="shared" si="17"/>
        <v>26.21</v>
      </c>
      <c r="F58" s="28">
        <f t="shared" si="18"/>
        <v>22.47</v>
      </c>
    </row>
    <row r="59" spans="1:6" x14ac:dyDescent="0.3">
      <c r="A59" s="13">
        <f t="shared" si="14"/>
        <v>3.44</v>
      </c>
      <c r="B59" s="13">
        <f t="shared" si="19"/>
        <v>50.7</v>
      </c>
      <c r="C59" s="13">
        <f t="shared" si="19"/>
        <v>1.55</v>
      </c>
      <c r="D59" s="13">
        <f t="shared" si="16"/>
        <v>44.95</v>
      </c>
      <c r="E59" s="28">
        <f t="shared" si="17"/>
        <v>33.06</v>
      </c>
      <c r="F59" s="28">
        <f t="shared" si="18"/>
        <v>13.76</v>
      </c>
    </row>
    <row r="60" spans="1:6" x14ac:dyDescent="0.3">
      <c r="A60" s="13">
        <f t="shared" si="14"/>
        <v>3.69</v>
      </c>
      <c r="B60" s="13">
        <f t="shared" si="19"/>
        <v>52.1</v>
      </c>
      <c r="C60" s="13">
        <f t="shared" si="19"/>
        <v>2.78</v>
      </c>
      <c r="D60" s="13">
        <f t="shared" si="16"/>
        <v>46.05</v>
      </c>
      <c r="E60" s="28">
        <f t="shared" si="17"/>
        <v>36.6</v>
      </c>
      <c r="F60" s="28">
        <f t="shared" si="18"/>
        <v>4.74</v>
      </c>
    </row>
    <row r="61" spans="1:6" x14ac:dyDescent="0.3">
      <c r="A61" s="13">
        <f t="shared" si="14"/>
        <v>3.92</v>
      </c>
      <c r="B61" s="13">
        <f t="shared" si="19"/>
        <v>53</v>
      </c>
      <c r="C61" s="13">
        <f t="shared" si="19"/>
        <v>2.98</v>
      </c>
      <c r="D61" s="13">
        <f t="shared" si="16"/>
        <v>46.84</v>
      </c>
      <c r="E61" s="28">
        <f t="shared" si="17"/>
        <v>37.950000000000003</v>
      </c>
      <c r="F61" s="28">
        <f t="shared" si="18"/>
        <v>4.2699999999999996</v>
      </c>
    </row>
    <row r="62" spans="1:6" x14ac:dyDescent="0.3">
      <c r="A62" s="13">
        <f t="shared" si="14"/>
        <v>4.16</v>
      </c>
      <c r="B62" s="13">
        <f t="shared" si="19"/>
        <v>53.7</v>
      </c>
      <c r="C62" s="13">
        <f t="shared" si="19"/>
        <v>2.39</v>
      </c>
      <c r="D62" s="13">
        <f t="shared" si="16"/>
        <v>47.44</v>
      </c>
      <c r="E62" s="28">
        <f t="shared" si="17"/>
        <v>39.19</v>
      </c>
      <c r="F62" s="28">
        <f t="shared" si="18"/>
        <v>6.86</v>
      </c>
    </row>
    <row r="63" spans="1:6" x14ac:dyDescent="0.3">
      <c r="A63" s="13">
        <f t="shared" si="14"/>
        <v>4.4000000000000004</v>
      </c>
      <c r="B63" s="13">
        <f t="shared" si="19"/>
        <v>51.2</v>
      </c>
      <c r="C63" s="13">
        <f t="shared" si="19"/>
        <v>2.21</v>
      </c>
      <c r="D63" s="13">
        <f t="shared" si="16"/>
        <v>47.84</v>
      </c>
      <c r="E63" s="28">
        <f t="shared" si="17"/>
        <v>11.29</v>
      </c>
      <c r="F63" s="28">
        <f t="shared" si="18"/>
        <v>2.31</v>
      </c>
    </row>
    <row r="64" spans="1:6" x14ac:dyDescent="0.3">
      <c r="A64" s="13">
        <f t="shared" si="14"/>
        <v>4.6399999999999997</v>
      </c>
      <c r="B64" s="13">
        <f t="shared" si="19"/>
        <v>51.6</v>
      </c>
      <c r="C64" s="13">
        <f t="shared" si="19"/>
        <v>1.45</v>
      </c>
      <c r="D64" s="13">
        <f t="shared" si="16"/>
        <v>48.07</v>
      </c>
      <c r="E64" s="28">
        <f t="shared" si="17"/>
        <v>12.46</v>
      </c>
      <c r="F64" s="28">
        <f t="shared" si="18"/>
        <v>5.93</v>
      </c>
    </row>
    <row r="65" spans="1:6" x14ac:dyDescent="0.3">
      <c r="A65" s="13">
        <f t="shared" si="14"/>
        <v>4.87</v>
      </c>
      <c r="B65" s="13">
        <f t="shared" si="19"/>
        <v>51.5</v>
      </c>
      <c r="C65" s="13">
        <f t="shared" si="19"/>
        <v>1.84</v>
      </c>
      <c r="D65" s="13">
        <f t="shared" si="16"/>
        <v>48.14</v>
      </c>
      <c r="E65" s="28">
        <f t="shared" si="17"/>
        <v>11.29</v>
      </c>
      <c r="F65" s="28">
        <f t="shared" si="18"/>
        <v>3.33</v>
      </c>
    </row>
    <row r="66" spans="1:6" x14ac:dyDescent="0.3">
      <c r="A66" s="13">
        <f t="shared" si="14"/>
        <v>5.1100000000000003</v>
      </c>
      <c r="B66" s="13">
        <f t="shared" si="19"/>
        <v>50.4</v>
      </c>
      <c r="C66" s="13">
        <f t="shared" si="19"/>
        <v>2.5299999999999998</v>
      </c>
      <c r="D66" s="13">
        <f t="shared" si="16"/>
        <v>48.08</v>
      </c>
      <c r="E66" s="28">
        <f t="shared" si="17"/>
        <v>5.38</v>
      </c>
      <c r="F66" s="28">
        <f t="shared" si="18"/>
        <v>0.84</v>
      </c>
    </row>
    <row r="67" spans="1:6" x14ac:dyDescent="0.3">
      <c r="A67" s="13">
        <f t="shared" si="14"/>
        <v>5.35</v>
      </c>
      <c r="B67" s="13">
        <f t="shared" si="19"/>
        <v>48.5</v>
      </c>
      <c r="C67" s="13">
        <f t="shared" si="19"/>
        <v>4.5999999999999996</v>
      </c>
      <c r="D67" s="13">
        <f t="shared" si="16"/>
        <v>47.91</v>
      </c>
      <c r="E67" s="28">
        <f t="shared" si="17"/>
        <v>0.35</v>
      </c>
      <c r="F67" s="28">
        <f t="shared" si="18"/>
        <v>0.02</v>
      </c>
    </row>
    <row r="68" spans="1:6" x14ac:dyDescent="0.3">
      <c r="A68" s="13">
        <f t="shared" si="14"/>
        <v>5.59</v>
      </c>
      <c r="B68" s="13">
        <f t="shared" si="19"/>
        <v>50</v>
      </c>
      <c r="C68" s="13">
        <f t="shared" si="19"/>
        <v>5.91</v>
      </c>
      <c r="D68" s="13">
        <f t="shared" si="16"/>
        <v>47.64</v>
      </c>
      <c r="E68" s="28">
        <f t="shared" si="17"/>
        <v>5.57</v>
      </c>
      <c r="F68" s="28">
        <f t="shared" si="18"/>
        <v>0.16</v>
      </c>
    </row>
    <row r="69" spans="1:6" x14ac:dyDescent="0.3">
      <c r="A69" s="13">
        <f t="shared" si="14"/>
        <v>5.82</v>
      </c>
      <c r="B69" s="13">
        <f t="shared" si="19"/>
        <v>49</v>
      </c>
      <c r="C69" s="13">
        <f t="shared" si="19"/>
        <v>7.42</v>
      </c>
      <c r="D69" s="13">
        <f t="shared" si="16"/>
        <v>47.31</v>
      </c>
      <c r="E69" s="28">
        <f t="shared" si="17"/>
        <v>2.86</v>
      </c>
      <c r="F69" s="28">
        <f t="shared" si="18"/>
        <v>0.05</v>
      </c>
    </row>
    <row r="70" spans="1:6" ht="19.5" thickBot="1" x14ac:dyDescent="0.35">
      <c r="A70" s="13">
        <f t="shared" si="14"/>
        <v>6.06</v>
      </c>
      <c r="B70" s="13">
        <f t="shared" si="19"/>
        <v>49.4</v>
      </c>
      <c r="C70" s="13">
        <f t="shared" si="19"/>
        <v>5.92</v>
      </c>
      <c r="D70" s="13">
        <f t="shared" si="16"/>
        <v>46.9</v>
      </c>
      <c r="E70" s="28">
        <f t="shared" si="17"/>
        <v>6.25</v>
      </c>
      <c r="F70" s="28">
        <f t="shared" si="18"/>
        <v>0.18</v>
      </c>
    </row>
    <row r="71" spans="1:6" ht="19.5" thickBot="1" x14ac:dyDescent="0.35">
      <c r="E71" s="25" t="s">
        <v>36</v>
      </c>
      <c r="F71" s="26">
        <f>ROUND(SUM(F45:F70)/(COUNT(F45:F70)),2)</f>
        <v>7.7</v>
      </c>
    </row>
    <row r="72" spans="1:6" x14ac:dyDescent="0.3">
      <c r="E72" s="24"/>
    </row>
    <row r="73" spans="1:6" x14ac:dyDescent="0.3">
      <c r="E73" s="24"/>
    </row>
    <row r="74" spans="1:6" x14ac:dyDescent="0.3">
      <c r="E74" s="27"/>
      <c r="F74" s="22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NGC2366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2026-01-12T08:39:48Z</dcterms:modified>
</cp:coreProperties>
</file>