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NGC0289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I17" i="1" l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16" i="1"/>
  <c r="F75" i="1" l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47" i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47" i="1"/>
  <c r="F47" i="1" s="1"/>
  <c r="C12" i="1" l="1"/>
  <c r="A73" i="1"/>
  <c r="B73" i="1"/>
  <c r="C73" i="1"/>
  <c r="A74" i="1"/>
  <c r="B74" i="1"/>
  <c r="C74" i="1"/>
  <c r="E9" i="1"/>
  <c r="C9" i="1"/>
  <c r="A72" i="1"/>
  <c r="B72" i="1"/>
  <c r="C72" i="1"/>
  <c r="A59" i="1"/>
  <c r="B59" i="1"/>
  <c r="C59" i="1"/>
  <c r="A60" i="1"/>
  <c r="B60" i="1"/>
  <c r="C60" i="1"/>
  <c r="A61" i="1"/>
  <c r="B61" i="1"/>
  <c r="C61" i="1"/>
  <c r="A62" i="1"/>
  <c r="B62" i="1"/>
  <c r="C62" i="1"/>
  <c r="A63" i="1"/>
  <c r="B63" i="1"/>
  <c r="C63" i="1"/>
  <c r="A64" i="1"/>
  <c r="B64" i="1"/>
  <c r="C64" i="1"/>
  <c r="A65" i="1"/>
  <c r="B65" i="1"/>
  <c r="C65" i="1"/>
  <c r="A66" i="1"/>
  <c r="B66" i="1"/>
  <c r="C66" i="1"/>
  <c r="A67" i="1"/>
  <c r="B67" i="1"/>
  <c r="C67" i="1"/>
  <c r="A68" i="1"/>
  <c r="B68" i="1"/>
  <c r="C68" i="1"/>
  <c r="A69" i="1"/>
  <c r="B69" i="1"/>
  <c r="C69" i="1"/>
  <c r="A70" i="1"/>
  <c r="B70" i="1"/>
  <c r="C70" i="1"/>
  <c r="A71" i="1"/>
  <c r="B71" i="1"/>
  <c r="C71" i="1"/>
  <c r="A48" i="1" l="1"/>
  <c r="A49" i="1"/>
  <c r="A50" i="1"/>
  <c r="A51" i="1"/>
  <c r="A52" i="1"/>
  <c r="A53" i="1"/>
  <c r="A54" i="1"/>
  <c r="A55" i="1"/>
  <c r="A56" i="1"/>
  <c r="A57" i="1"/>
  <c r="A58" i="1"/>
  <c r="A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C47" i="1"/>
  <c r="B47" i="1"/>
  <c r="I8" i="1"/>
  <c r="D41" i="1" l="1"/>
  <c r="D42" i="1"/>
  <c r="D16" i="1"/>
  <c r="J16" i="1" s="1"/>
  <c r="D27" i="1"/>
  <c r="D30" i="1"/>
  <c r="D31" i="1"/>
  <c r="D34" i="1"/>
  <c r="D37" i="1"/>
  <c r="D28" i="1"/>
  <c r="D29" i="1"/>
  <c r="D32" i="1"/>
  <c r="D33" i="1"/>
  <c r="D36" i="1"/>
  <c r="D38" i="1"/>
  <c r="D40" i="1"/>
  <c r="D35" i="1"/>
  <c r="D39" i="1"/>
  <c r="L16" i="1"/>
  <c r="N16" i="1" s="1"/>
  <c r="E10" i="1"/>
  <c r="E12" i="1" s="1"/>
  <c r="D15" i="1"/>
  <c r="D25" i="1"/>
  <c r="D23" i="1"/>
  <c r="D21" i="1"/>
  <c r="D19" i="1"/>
  <c r="D17" i="1"/>
  <c r="D26" i="1"/>
  <c r="D24" i="1"/>
  <c r="D22" i="1"/>
  <c r="D20" i="1"/>
  <c r="D18" i="1"/>
  <c r="J42" i="1" l="1"/>
  <c r="L42" i="1"/>
  <c r="N42" i="1" s="1"/>
  <c r="K42" i="1"/>
  <c r="M42" i="1"/>
  <c r="J41" i="1"/>
  <c r="M41" i="1"/>
  <c r="K41" i="1"/>
  <c r="L41" i="1"/>
  <c r="N41" i="1" s="1"/>
  <c r="M16" i="1"/>
  <c r="K16" i="1"/>
  <c r="J35" i="1"/>
  <c r="M35" i="1"/>
  <c r="K35" i="1"/>
  <c r="L35" i="1"/>
  <c r="L38" i="1"/>
  <c r="K38" i="1"/>
  <c r="M38" i="1"/>
  <c r="J38" i="1"/>
  <c r="J33" i="1"/>
  <c r="K33" i="1"/>
  <c r="M33" i="1"/>
  <c r="L33" i="1"/>
  <c r="J29" i="1"/>
  <c r="K29" i="1"/>
  <c r="M29" i="1"/>
  <c r="L29" i="1"/>
  <c r="J37" i="1"/>
  <c r="M37" i="1"/>
  <c r="K37" i="1"/>
  <c r="L37" i="1"/>
  <c r="J31" i="1"/>
  <c r="M31" i="1"/>
  <c r="K31" i="1"/>
  <c r="L31" i="1"/>
  <c r="J27" i="1"/>
  <c r="M27" i="1"/>
  <c r="K27" i="1"/>
  <c r="L27" i="1"/>
  <c r="J39" i="1"/>
  <c r="M39" i="1"/>
  <c r="K39" i="1"/>
  <c r="L39" i="1"/>
  <c r="L40" i="1"/>
  <c r="K40" i="1"/>
  <c r="M40" i="1"/>
  <c r="J40" i="1"/>
  <c r="J36" i="1"/>
  <c r="K36" i="1"/>
  <c r="M36" i="1"/>
  <c r="L36" i="1"/>
  <c r="J32" i="1"/>
  <c r="L32" i="1"/>
  <c r="K32" i="1"/>
  <c r="M32" i="1"/>
  <c r="J28" i="1"/>
  <c r="L28" i="1"/>
  <c r="K28" i="1"/>
  <c r="M28" i="1"/>
  <c r="K34" i="1"/>
  <c r="M34" i="1"/>
  <c r="J34" i="1"/>
  <c r="L34" i="1"/>
  <c r="K30" i="1"/>
  <c r="M30" i="1"/>
  <c r="J30" i="1"/>
  <c r="L30" i="1"/>
  <c r="J18" i="1"/>
  <c r="L18" i="1"/>
  <c r="K18" i="1"/>
  <c r="M18" i="1"/>
  <c r="J22" i="1"/>
  <c r="L22" i="1"/>
  <c r="K22" i="1"/>
  <c r="M22" i="1"/>
  <c r="J26" i="1"/>
  <c r="L26" i="1"/>
  <c r="M26" i="1"/>
  <c r="K26" i="1"/>
  <c r="J17" i="1"/>
  <c r="L17" i="1"/>
  <c r="K17" i="1"/>
  <c r="M17" i="1"/>
  <c r="J21" i="1"/>
  <c r="L21" i="1"/>
  <c r="K21" i="1"/>
  <c r="M21" i="1"/>
  <c r="J25" i="1"/>
  <c r="L25" i="1"/>
  <c r="M25" i="1"/>
  <c r="K25" i="1"/>
  <c r="J20" i="1"/>
  <c r="L20" i="1"/>
  <c r="K20" i="1"/>
  <c r="M20" i="1"/>
  <c r="J24" i="1"/>
  <c r="L24" i="1"/>
  <c r="K24" i="1"/>
  <c r="M24" i="1"/>
  <c r="J19" i="1"/>
  <c r="L19" i="1"/>
  <c r="K19" i="1"/>
  <c r="M19" i="1"/>
  <c r="J23" i="1"/>
  <c r="L23" i="1"/>
  <c r="K23" i="1"/>
  <c r="M23" i="1"/>
  <c r="M15" i="1"/>
  <c r="K15" i="1"/>
  <c r="L15" i="1"/>
  <c r="J15" i="1"/>
  <c r="O16" i="1"/>
  <c r="O39" i="1" l="1"/>
  <c r="O41" i="1"/>
  <c r="E41" i="1" s="1"/>
  <c r="F41" i="1" s="1"/>
  <c r="G41" i="1" s="1"/>
  <c r="O42" i="1"/>
  <c r="E42" i="1" s="1"/>
  <c r="F42" i="1" s="1"/>
  <c r="G42" i="1" s="1"/>
  <c r="O36" i="1"/>
  <c r="N39" i="1"/>
  <c r="E39" i="1" s="1"/>
  <c r="F39" i="1" s="1"/>
  <c r="G39" i="1" s="1"/>
  <c r="N30" i="1"/>
  <c r="N34" i="1"/>
  <c r="N28" i="1"/>
  <c r="N32" i="1"/>
  <c r="N36" i="1"/>
  <c r="E36" i="1" s="1"/>
  <c r="F36" i="1" s="1"/>
  <c r="G36" i="1" s="1"/>
  <c r="N40" i="1"/>
  <c r="N27" i="1"/>
  <c r="N31" i="1"/>
  <c r="N37" i="1"/>
  <c r="N29" i="1"/>
  <c r="N33" i="1"/>
  <c r="O38" i="1"/>
  <c r="N35" i="1"/>
  <c r="O30" i="1"/>
  <c r="O34" i="1"/>
  <c r="O28" i="1"/>
  <c r="O32" i="1"/>
  <c r="O40" i="1"/>
  <c r="O27" i="1"/>
  <c r="O31" i="1"/>
  <c r="O37" i="1"/>
  <c r="O29" i="1"/>
  <c r="O33" i="1"/>
  <c r="N38" i="1"/>
  <c r="O35" i="1"/>
  <c r="N23" i="1"/>
  <c r="N19" i="1"/>
  <c r="N24" i="1"/>
  <c r="N20" i="1"/>
  <c r="N25" i="1"/>
  <c r="N21" i="1"/>
  <c r="N17" i="1"/>
  <c r="N26" i="1"/>
  <c r="N22" i="1"/>
  <c r="N18" i="1"/>
  <c r="N15" i="1"/>
  <c r="O15" i="1"/>
  <c r="O25" i="1"/>
  <c r="O17" i="1"/>
  <c r="O22" i="1"/>
  <c r="E16" i="1"/>
  <c r="F16" i="1" s="1"/>
  <c r="G16" i="1" s="1"/>
  <c r="O19" i="1"/>
  <c r="O26" i="1"/>
  <c r="O24" i="1"/>
  <c r="O23" i="1"/>
  <c r="O20" i="1"/>
  <c r="O21" i="1"/>
  <c r="O18" i="1"/>
  <c r="H41" i="1" l="1"/>
  <c r="H42" i="1"/>
  <c r="E28" i="1"/>
  <c r="F28" i="1" s="1"/>
  <c r="G28" i="1" s="1"/>
  <c r="E33" i="1"/>
  <c r="F33" i="1" s="1"/>
  <c r="G33" i="1" s="1"/>
  <c r="H33" i="1" s="1"/>
  <c r="H28" i="1"/>
  <c r="H36" i="1"/>
  <c r="E30" i="1"/>
  <c r="F30" i="1" s="1"/>
  <c r="G30" i="1" s="1"/>
  <c r="H39" i="1"/>
  <c r="E40" i="1"/>
  <c r="F40" i="1" s="1"/>
  <c r="G40" i="1" s="1"/>
  <c r="E15" i="1"/>
  <c r="F15" i="1" s="1"/>
  <c r="G15" i="1" s="1"/>
  <c r="H15" i="1" s="1"/>
  <c r="E38" i="1"/>
  <c r="F38" i="1" s="1"/>
  <c r="G38" i="1" s="1"/>
  <c r="E29" i="1"/>
  <c r="F29" i="1" s="1"/>
  <c r="G29" i="1" s="1"/>
  <c r="E31" i="1"/>
  <c r="F31" i="1" s="1"/>
  <c r="G31" i="1" s="1"/>
  <c r="E32" i="1"/>
  <c r="F32" i="1" s="1"/>
  <c r="G32" i="1" s="1"/>
  <c r="E34" i="1"/>
  <c r="F34" i="1" s="1"/>
  <c r="G34" i="1" s="1"/>
  <c r="E37" i="1"/>
  <c r="F37" i="1" s="1"/>
  <c r="G37" i="1" s="1"/>
  <c r="E35" i="1"/>
  <c r="F35" i="1" s="1"/>
  <c r="G35" i="1" s="1"/>
  <c r="E27" i="1"/>
  <c r="F27" i="1" s="1"/>
  <c r="G27" i="1" s="1"/>
  <c r="H16" i="1"/>
  <c r="E17" i="1"/>
  <c r="F17" i="1" s="1"/>
  <c r="G17" i="1" s="1"/>
  <c r="E22" i="1"/>
  <c r="F22" i="1" s="1"/>
  <c r="G22" i="1" s="1"/>
  <c r="E26" i="1"/>
  <c r="F26" i="1" s="1"/>
  <c r="G26" i="1" s="1"/>
  <c r="E25" i="1"/>
  <c r="F25" i="1" s="1"/>
  <c r="G25" i="1" s="1"/>
  <c r="E24" i="1"/>
  <c r="F24" i="1" s="1"/>
  <c r="G24" i="1" s="1"/>
  <c r="E19" i="1"/>
  <c r="F19" i="1" s="1"/>
  <c r="G19" i="1" s="1"/>
  <c r="E18" i="1"/>
  <c r="F18" i="1" s="1"/>
  <c r="G18" i="1" s="1"/>
  <c r="E21" i="1"/>
  <c r="F21" i="1" s="1"/>
  <c r="G21" i="1" s="1"/>
  <c r="E20" i="1"/>
  <c r="F20" i="1" s="1"/>
  <c r="G20" i="1" s="1"/>
  <c r="E23" i="1"/>
  <c r="F23" i="1" s="1"/>
  <c r="G23" i="1" s="1"/>
  <c r="H35" i="1" l="1"/>
  <c r="H34" i="1"/>
  <c r="H31" i="1"/>
  <c r="H38" i="1"/>
  <c r="H40" i="1"/>
  <c r="H27" i="1"/>
  <c r="H37" i="1"/>
  <c r="H32" i="1"/>
  <c r="H29" i="1"/>
  <c r="H30" i="1"/>
  <c r="H23" i="1"/>
  <c r="H21" i="1"/>
  <c r="H19" i="1"/>
  <c r="H25" i="1"/>
  <c r="H22" i="1"/>
  <c r="H20" i="1"/>
  <c r="H18" i="1"/>
  <c r="H24" i="1"/>
  <c r="H26" i="1"/>
  <c r="H17" i="1"/>
  <c r="H43" i="1" l="1"/>
  <c r="C44" i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<sst xmlns="http://schemas.openxmlformats.org/spreadsheetml/2006/main" count="40" uniqueCount="37">
  <si>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</si>
  <si>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</si>
  <si>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</si>
  <si>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</si>
  <si>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</si>
  <si>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</si>
  <si>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</si>
  <si>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</si>
  <si>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</si>
  <si>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</si>
  <si>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</si>
  <si>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</si>
  <si>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</si>
  <si>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</si>
  <si>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ρ0=M_tot/4.π.r_c^3.I(infini)=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</si>
  <si>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</si>
  <si>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</si>
  <si>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</si>
  <si>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</si>
  <si>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</si>
  <si>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</si>
  <si>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</si>
  <si>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</si>
  <si>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</si>
  <si>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</si>
  <si>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</si>
  <si>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</si>
  <si>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</si>
  <si>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</si>
  <si>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</si>
  <si>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</si>
  <si>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</si>
  <si>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r_c=R_max/2=</t>
  </si>
  <si>
    <t>NGC0289</t>
  </si>
  <si>
    <t>A=(V_obs-V_TURI)^2</t>
  </si>
  <si>
    <t>A/Incer V_Obs^2</t>
  </si>
  <si>
    <t>X^2/d_f=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</si>
</sst>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6" xfId="0" applyFont="1" applyBorder="1" applyAlignment="1">
      <alignment horizontal="left"/>
    </xf>
    <xf numFmtId="0" fontId="1" fillId="0" borderId="1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0942556231104E-2"/>
          <c:y val="5.2238506683014989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'NGC0289'!$B$46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'NGC0289'!$C$47:$C$74</c:f>
                <c:numCache>
                  <c:formatCode>General</c:formatCode>
                  <c:ptCount val="28"/>
                  <c:pt idx="0">
                    <c:v>28.2</c:v>
                  </c:pt>
                  <c:pt idx="1">
                    <c:v>32</c:v>
                  </c:pt>
                  <c:pt idx="2">
                    <c:v>25.2</c:v>
                  </c:pt>
                  <c:pt idx="3">
                    <c:v>31.5</c:v>
                  </c:pt>
                  <c:pt idx="4">
                    <c:v>27.9</c:v>
                  </c:pt>
                  <c:pt idx="5">
                    <c:v>27.2</c:v>
                  </c:pt>
                  <c:pt idx="6">
                    <c:v>7.18</c:v>
                  </c:pt>
                  <c:pt idx="7">
                    <c:v>4.29</c:v>
                  </c:pt>
                  <c:pt idx="8">
                    <c:v>4.22</c:v>
                  </c:pt>
                  <c:pt idx="9">
                    <c:v>4.33</c:v>
                  </c:pt>
                  <c:pt idx="10">
                    <c:v>4.24</c:v>
                  </c:pt>
                  <c:pt idx="11">
                    <c:v>5.08</c:v>
                  </c:pt>
                  <c:pt idx="12">
                    <c:v>6.49</c:v>
                  </c:pt>
                  <c:pt idx="13">
                    <c:v>6.97</c:v>
                  </c:pt>
                  <c:pt idx="14">
                    <c:v>6.57</c:v>
                  </c:pt>
                  <c:pt idx="15">
                    <c:v>4.47</c:v>
                  </c:pt>
                  <c:pt idx="16">
                    <c:v>4.26</c:v>
                  </c:pt>
                  <c:pt idx="17">
                    <c:v>4.26</c:v>
                  </c:pt>
                  <c:pt idx="18">
                    <c:v>4.83</c:v>
                  </c:pt>
                  <c:pt idx="19">
                    <c:v>5.5</c:v>
                  </c:pt>
                  <c:pt idx="20">
                    <c:v>8.5</c:v>
                  </c:pt>
                  <c:pt idx="21">
                    <c:v>11</c:v>
                  </c:pt>
                  <c:pt idx="22">
                    <c:v>11.6</c:v>
                  </c:pt>
                  <c:pt idx="23">
                    <c:v>12.6</c:v>
                  </c:pt>
                  <c:pt idx="24">
                    <c:v>5.38</c:v>
                  </c:pt>
                  <c:pt idx="25">
                    <c:v>6.5</c:v>
                  </c:pt>
                  <c:pt idx="26">
                    <c:v>15.5</c:v>
                  </c:pt>
                  <c:pt idx="27">
                    <c:v>8.75</c:v>
                  </c:pt>
                </c:numCache>
              </c:numRef>
            </c:plus>
            <c:minus>
              <c:numRef>
                <c:f>'NGC0289'!$C$47:$C$74</c:f>
                <c:numCache>
                  <c:formatCode>General</c:formatCode>
                  <c:ptCount val="28"/>
                  <c:pt idx="0">
                    <c:v>28.2</c:v>
                  </c:pt>
                  <c:pt idx="1">
                    <c:v>32</c:v>
                  </c:pt>
                  <c:pt idx="2">
                    <c:v>25.2</c:v>
                  </c:pt>
                  <c:pt idx="3">
                    <c:v>31.5</c:v>
                  </c:pt>
                  <c:pt idx="4">
                    <c:v>27.9</c:v>
                  </c:pt>
                  <c:pt idx="5">
                    <c:v>27.2</c:v>
                  </c:pt>
                  <c:pt idx="6">
                    <c:v>7.18</c:v>
                  </c:pt>
                  <c:pt idx="7">
                    <c:v>4.29</c:v>
                  </c:pt>
                  <c:pt idx="8">
                    <c:v>4.22</c:v>
                  </c:pt>
                  <c:pt idx="9">
                    <c:v>4.33</c:v>
                  </c:pt>
                  <c:pt idx="10">
                    <c:v>4.24</c:v>
                  </c:pt>
                  <c:pt idx="11">
                    <c:v>5.08</c:v>
                  </c:pt>
                  <c:pt idx="12">
                    <c:v>6.49</c:v>
                  </c:pt>
                  <c:pt idx="13">
                    <c:v>6.97</c:v>
                  </c:pt>
                  <c:pt idx="14">
                    <c:v>6.57</c:v>
                  </c:pt>
                  <c:pt idx="15">
                    <c:v>4.47</c:v>
                  </c:pt>
                  <c:pt idx="16">
                    <c:v>4.26</c:v>
                  </c:pt>
                  <c:pt idx="17">
                    <c:v>4.26</c:v>
                  </c:pt>
                  <c:pt idx="18">
                    <c:v>4.83</c:v>
                  </c:pt>
                  <c:pt idx="19">
                    <c:v>5.5</c:v>
                  </c:pt>
                  <c:pt idx="20">
                    <c:v>8.5</c:v>
                  </c:pt>
                  <c:pt idx="21">
                    <c:v>11</c:v>
                  </c:pt>
                  <c:pt idx="22">
                    <c:v>11.6</c:v>
                  </c:pt>
                  <c:pt idx="23">
                    <c:v>12.6</c:v>
                  </c:pt>
                  <c:pt idx="24">
                    <c:v>5.38</c:v>
                  </c:pt>
                  <c:pt idx="25">
                    <c:v>6.5</c:v>
                  </c:pt>
                  <c:pt idx="26">
                    <c:v>15.5</c:v>
                  </c:pt>
                  <c:pt idx="27">
                    <c:v>8.75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'NGC0289'!$A$47:$A$74</c:f>
              <c:numCache>
                <c:formatCode>General</c:formatCode>
                <c:ptCount val="28"/>
                <c:pt idx="0">
                  <c:v>1.5</c:v>
                </c:pt>
                <c:pt idx="1">
                  <c:v>2.52</c:v>
                </c:pt>
                <c:pt idx="2">
                  <c:v>3.46</c:v>
                </c:pt>
                <c:pt idx="3">
                  <c:v>4.32</c:v>
                </c:pt>
                <c:pt idx="4">
                  <c:v>5.43</c:v>
                </c:pt>
                <c:pt idx="5">
                  <c:v>6.38</c:v>
                </c:pt>
                <c:pt idx="6">
                  <c:v>7.57</c:v>
                </c:pt>
                <c:pt idx="7">
                  <c:v>10.6</c:v>
                </c:pt>
                <c:pt idx="8">
                  <c:v>13.57</c:v>
                </c:pt>
                <c:pt idx="9">
                  <c:v>16.64</c:v>
                </c:pt>
                <c:pt idx="10">
                  <c:v>19.71</c:v>
                </c:pt>
                <c:pt idx="11">
                  <c:v>22.68</c:v>
                </c:pt>
                <c:pt idx="12">
                  <c:v>25.75</c:v>
                </c:pt>
                <c:pt idx="13">
                  <c:v>28.72</c:v>
                </c:pt>
                <c:pt idx="14">
                  <c:v>31.79</c:v>
                </c:pt>
                <c:pt idx="15">
                  <c:v>34.770000000000003</c:v>
                </c:pt>
                <c:pt idx="16">
                  <c:v>37.840000000000003</c:v>
                </c:pt>
                <c:pt idx="17">
                  <c:v>40.81</c:v>
                </c:pt>
                <c:pt idx="18">
                  <c:v>43.88</c:v>
                </c:pt>
                <c:pt idx="19">
                  <c:v>46.85</c:v>
                </c:pt>
                <c:pt idx="20">
                  <c:v>49.92</c:v>
                </c:pt>
                <c:pt idx="21">
                  <c:v>52.99</c:v>
                </c:pt>
                <c:pt idx="22">
                  <c:v>55.96</c:v>
                </c:pt>
                <c:pt idx="23">
                  <c:v>59.03</c:v>
                </c:pt>
                <c:pt idx="24">
                  <c:v>62</c:v>
                </c:pt>
                <c:pt idx="25">
                  <c:v>65.069999999999993</c:v>
                </c:pt>
                <c:pt idx="26">
                  <c:v>68.05</c:v>
                </c:pt>
                <c:pt idx="27">
                  <c:v>71.12</c:v>
                </c:pt>
              </c:numCache>
            </c:numRef>
          </c:xVal>
          <c:yVal>
            <c:numRef>
              <c:f>'NGC0289'!$B$47:$B$74</c:f>
              <c:numCache>
                <c:formatCode>General</c:formatCode>
                <c:ptCount val="28"/>
                <c:pt idx="0">
                  <c:v>164</c:v>
                </c:pt>
                <c:pt idx="1">
                  <c:v>194</c:v>
                </c:pt>
                <c:pt idx="2">
                  <c:v>175</c:v>
                </c:pt>
                <c:pt idx="3">
                  <c:v>185</c:v>
                </c:pt>
                <c:pt idx="4">
                  <c:v>175</c:v>
                </c:pt>
                <c:pt idx="5">
                  <c:v>167</c:v>
                </c:pt>
                <c:pt idx="6">
                  <c:v>176</c:v>
                </c:pt>
                <c:pt idx="7">
                  <c:v>185</c:v>
                </c:pt>
                <c:pt idx="8">
                  <c:v>183</c:v>
                </c:pt>
                <c:pt idx="9">
                  <c:v>172</c:v>
                </c:pt>
                <c:pt idx="10">
                  <c:v>161</c:v>
                </c:pt>
                <c:pt idx="11">
                  <c:v>156</c:v>
                </c:pt>
                <c:pt idx="12">
                  <c:v>159</c:v>
                </c:pt>
                <c:pt idx="13">
                  <c:v>173</c:v>
                </c:pt>
                <c:pt idx="14">
                  <c:v>177</c:v>
                </c:pt>
                <c:pt idx="15">
                  <c:v>179</c:v>
                </c:pt>
                <c:pt idx="16">
                  <c:v>181</c:v>
                </c:pt>
                <c:pt idx="17">
                  <c:v>182</c:v>
                </c:pt>
                <c:pt idx="18">
                  <c:v>182</c:v>
                </c:pt>
                <c:pt idx="19">
                  <c:v>180</c:v>
                </c:pt>
                <c:pt idx="20">
                  <c:v>177</c:v>
                </c:pt>
                <c:pt idx="21">
                  <c:v>175</c:v>
                </c:pt>
                <c:pt idx="22">
                  <c:v>172</c:v>
                </c:pt>
                <c:pt idx="23">
                  <c:v>168</c:v>
                </c:pt>
                <c:pt idx="24">
                  <c:v>158</c:v>
                </c:pt>
                <c:pt idx="25">
                  <c:v>158</c:v>
                </c:pt>
                <c:pt idx="26">
                  <c:v>166</c:v>
                </c:pt>
                <c:pt idx="27">
                  <c:v>165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205888"/>
        <c:axId val="271207424"/>
      </c:scatterChart>
      <c:scatterChart>
        <c:scatterStyle val="smoothMarker"/>
        <c:varyColors val="0"/>
        <c:ser>
          <c:idx val="1"/>
          <c:order val="1"/>
          <c:tx>
            <c:strRef>
              <c:f>'NGC0289'!$D$46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'NGC0289'!$A$47:$A$74</c:f>
              <c:numCache>
                <c:formatCode>General</c:formatCode>
                <c:ptCount val="28"/>
                <c:pt idx="0">
                  <c:v>1.5</c:v>
                </c:pt>
                <c:pt idx="1">
                  <c:v>2.52</c:v>
                </c:pt>
                <c:pt idx="2">
                  <c:v>3.46</c:v>
                </c:pt>
                <c:pt idx="3">
                  <c:v>4.32</c:v>
                </c:pt>
                <c:pt idx="4">
                  <c:v>5.43</c:v>
                </c:pt>
                <c:pt idx="5">
                  <c:v>6.38</c:v>
                </c:pt>
                <c:pt idx="6">
                  <c:v>7.57</c:v>
                </c:pt>
                <c:pt idx="7">
                  <c:v>10.6</c:v>
                </c:pt>
                <c:pt idx="8">
                  <c:v>13.57</c:v>
                </c:pt>
                <c:pt idx="9">
                  <c:v>16.64</c:v>
                </c:pt>
                <c:pt idx="10">
                  <c:v>19.71</c:v>
                </c:pt>
                <c:pt idx="11">
                  <c:v>22.68</c:v>
                </c:pt>
                <c:pt idx="12">
                  <c:v>25.75</c:v>
                </c:pt>
                <c:pt idx="13">
                  <c:v>28.72</c:v>
                </c:pt>
                <c:pt idx="14">
                  <c:v>31.79</c:v>
                </c:pt>
                <c:pt idx="15">
                  <c:v>34.770000000000003</c:v>
                </c:pt>
                <c:pt idx="16">
                  <c:v>37.840000000000003</c:v>
                </c:pt>
                <c:pt idx="17">
                  <c:v>40.81</c:v>
                </c:pt>
                <c:pt idx="18">
                  <c:v>43.88</c:v>
                </c:pt>
                <c:pt idx="19">
                  <c:v>46.85</c:v>
                </c:pt>
                <c:pt idx="20">
                  <c:v>49.92</c:v>
                </c:pt>
                <c:pt idx="21">
                  <c:v>52.99</c:v>
                </c:pt>
                <c:pt idx="22">
                  <c:v>55.96</c:v>
                </c:pt>
                <c:pt idx="23">
                  <c:v>59.03</c:v>
                </c:pt>
                <c:pt idx="24">
                  <c:v>62</c:v>
                </c:pt>
                <c:pt idx="25">
                  <c:v>65.069999999999993</c:v>
                </c:pt>
                <c:pt idx="26">
                  <c:v>68.05</c:v>
                </c:pt>
                <c:pt idx="27">
                  <c:v>71.12</c:v>
                </c:pt>
              </c:numCache>
            </c:numRef>
          </c:xVal>
          <c:yVal>
            <c:numRef>
              <c:f>'NGC0289'!$D$47:$D$74</c:f>
              <c:numCache>
                <c:formatCode>General</c:formatCode>
                <c:ptCount val="28"/>
                <c:pt idx="0">
                  <c:v>22.9</c:v>
                </c:pt>
                <c:pt idx="1">
                  <c:v>37.53</c:v>
                </c:pt>
                <c:pt idx="2">
                  <c:v>51.16</c:v>
                </c:pt>
                <c:pt idx="3">
                  <c:v>63.31</c:v>
                </c:pt>
                <c:pt idx="4">
                  <c:v>78.72</c:v>
                </c:pt>
                <c:pt idx="5">
                  <c:v>91.42</c:v>
                </c:pt>
                <c:pt idx="6">
                  <c:v>106.83</c:v>
                </c:pt>
                <c:pt idx="7">
                  <c:v>142.22</c:v>
                </c:pt>
                <c:pt idx="8">
                  <c:v>170.96</c:v>
                </c:pt>
                <c:pt idx="9">
                  <c:v>193.97</c:v>
                </c:pt>
                <c:pt idx="10">
                  <c:v>210.34</c:v>
                </c:pt>
                <c:pt idx="11">
                  <c:v>220.45</c:v>
                </c:pt>
                <c:pt idx="12">
                  <c:v>225.91</c:v>
                </c:pt>
                <c:pt idx="13">
                  <c:v>227.38</c:v>
                </c:pt>
                <c:pt idx="14">
                  <c:v>225.97</c:v>
                </c:pt>
                <c:pt idx="15">
                  <c:v>222.65</c:v>
                </c:pt>
                <c:pt idx="16">
                  <c:v>217.94</c:v>
                </c:pt>
                <c:pt idx="17">
                  <c:v>212.71</c:v>
                </c:pt>
                <c:pt idx="18">
                  <c:v>207.01</c:v>
                </c:pt>
                <c:pt idx="19">
                  <c:v>201.47</c:v>
                </c:pt>
                <c:pt idx="20">
                  <c:v>195.88</c:v>
                </c:pt>
                <c:pt idx="21">
                  <c:v>190.55</c:v>
                </c:pt>
                <c:pt idx="22">
                  <c:v>185.66</c:v>
                </c:pt>
                <c:pt idx="23">
                  <c:v>180.91</c:v>
                </c:pt>
                <c:pt idx="24">
                  <c:v>176.61</c:v>
                </c:pt>
                <c:pt idx="25">
                  <c:v>172.44</c:v>
                </c:pt>
                <c:pt idx="26">
                  <c:v>168.65</c:v>
                </c:pt>
                <c:pt idx="27">
                  <c:v>164.98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205888"/>
        <c:axId val="271207424"/>
      </c:scatterChart>
      <c:valAx>
        <c:axId val="2712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1207424"/>
        <c:crosses val="autoZero"/>
        <c:crossBetween val="midCat"/>
      </c:valAx>
      <c:valAx>
        <c:axId val="271207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12058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44</xdr:row>
      <xdr:rowOff>28575</xdr:rowOff>
    </xdr:from>
    <xdr:to>
      <xdr:col>12</xdr:col>
      <xdr:colOff>1133475</xdr:colOff>
      <xdr:row>60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5"/>
  <sheetViews>
    <sheetView tabSelected="1" topLeftCell="A63" workbookViewId="0">
      <selection activeCell="D44" sqref="D44"/>
    </sheetView>
  </sheetViews>
  <sheetFormatPr baseColWidth="10" defaultRowHeight="18.75" x14ac:dyDescent="0.3"/>
  <cols>
    <col min="1" max="1" width="12.42578125" style="1" customWidth="1"/>
    <col min="2" max="2" width="18.85546875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13" t="s">
        <v>2</v>
      </c>
      <c r="C3" s="13"/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33</v>
      </c>
      <c r="B9" s="14" t="s">
        <v>8</v>
      </c>
      <c r="C9" s="21">
        <f>A42</f>
        <v>71.12</v>
      </c>
      <c r="D9" s="14" t="s">
        <v>9</v>
      </c>
      <c r="E9" s="21">
        <f>B42</f>
        <v>165</v>
      </c>
      <c r="F9" s="10"/>
      <c r="G9" s="10"/>
      <c r="H9" s="10"/>
      <c r="I9" s="11"/>
    </row>
    <row r="10" spans="1:15" x14ac:dyDescent="0.3">
      <c r="B10" s="5" t="s">
        <v>10</v>
      </c>
      <c r="C10" s="25" t="s">
        <v>12</v>
      </c>
      <c r="D10" s="25"/>
      <c r="E10" s="9">
        <f>E9*E9*C9/I8</f>
        <v>450194610430.375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5" t="s">
        <v>21</v>
      </c>
      <c r="H11" s="6"/>
      <c r="I11" s="2"/>
    </row>
    <row r="12" spans="1:15" x14ac:dyDescent="0.3">
      <c r="B12" s="5" t="s">
        <v>32</v>
      </c>
      <c r="C12" s="7">
        <f>C9/2</f>
        <v>35.56</v>
      </c>
      <c r="D12" s="5" t="s">
        <v>14</v>
      </c>
      <c r="E12" s="9">
        <f>E10/(POWER(C12,3)*4*3.14159*H10)</f>
        <v>12281066.319561077</v>
      </c>
      <c r="F12" s="6" t="s">
        <v>15</v>
      </c>
      <c r="G12" s="17" t="s">
        <v>20</v>
      </c>
      <c r="H12" s="18">
        <v>3.1415899999999999</v>
      </c>
    </row>
    <row r="13" spans="1:15" x14ac:dyDescent="0.3">
      <c r="B13" s="2"/>
      <c r="D13" s="2"/>
    </row>
    <row r="14" spans="1:15" x14ac:dyDescent="0.3">
      <c r="A14" s="12" t="s">
        <v>7</v>
      </c>
      <c r="B14" s="12" t="s">
        <v>16</v>
      </c>
      <c r="C14" s="12" t="s">
        <v>31</v>
      </c>
      <c r="D14" s="12" t="s">
        <v>17</v>
      </c>
      <c r="E14" s="12" t="s">
        <v>30</v>
      </c>
      <c r="F14" s="12" t="s">
        <v>18</v>
      </c>
      <c r="G14" s="13" t="s">
        <v>19</v>
      </c>
      <c r="H14" s="12" t="s">
        <v>23</v>
      </c>
      <c r="J14" s="26" t="s">
        <v>29</v>
      </c>
      <c r="K14" s="26"/>
      <c r="L14" s="26"/>
      <c r="M14" s="26"/>
      <c r="N14" s="26"/>
      <c r="O14" s="26"/>
    </row>
    <row r="15" spans="1:15" x14ac:dyDescent="0.3">
      <c r="A15" s="13">
        <v>1.5</v>
      </c>
      <c r="B15" s="13">
        <v>164</v>
      </c>
      <c r="C15" s="13">
        <v>28.2</v>
      </c>
      <c r="D15" s="13">
        <f>A15/$C$12</f>
        <v>4.2182227221597299E-2</v>
      </c>
      <c r="E15" s="13">
        <f>N15*K15+O15*M15</f>
        <v>2.6345111361079862E-5</v>
      </c>
      <c r="F15" s="13">
        <f>4*$H$12*$E$12*POWER($C$12,3)*E15</f>
        <v>182823016.10207355</v>
      </c>
      <c r="G15" s="13">
        <f t="shared" ref="G15:G26" si="0">POWER($I$8*F15/A15,0.5)</f>
        <v>22.895465489239104</v>
      </c>
      <c r="H15" s="13">
        <f t="shared" ref="H15:H26" si="1">ROUND(ABS((B15-G15)/B15)*100,2)</f>
        <v>86.04</v>
      </c>
      <c r="I15" s="1">
        <v>1</v>
      </c>
      <c r="J15" s="13">
        <f>INDEX(Integrale!$H$3:$H$502,MATCH('NGC0289'!D15,Integrale!$H$3:$H$502,1))</f>
        <v>0.04</v>
      </c>
      <c r="K15" s="13">
        <f>INDEX(Integrale!$I$3:$I$502,MATCH('NGC0289'!D15,Integrale!$H$3:$H$502,1))</f>
        <v>2.1909800000000002E-5</v>
      </c>
      <c r="L15" s="13">
        <f>INDEX(Integrale!$H$3:$H$502,MATCH('NGC0289'!D15,Integrale!$H$3:$H$502,1)+1)</f>
        <v>0.05</v>
      </c>
      <c r="M15" s="13">
        <f>INDEX(Integrale!$I$3:$I$502,MATCH('NGC0289'!D15,Integrale!$H$3:$H$502,1)+1)</f>
        <v>4.2234499999999997E-5</v>
      </c>
      <c r="N15" s="13">
        <f>(L15-D15)/(L15-J15)</f>
        <v>0.78177727784027029</v>
      </c>
      <c r="O15" s="13">
        <f t="shared" ref="O15:O26" si="2">(D15-J15)/(L15-J15)</f>
        <v>0.21822272215972974</v>
      </c>
    </row>
    <row r="16" spans="1:15" x14ac:dyDescent="0.3">
      <c r="A16" s="13">
        <v>2.52</v>
      </c>
      <c r="B16" s="13">
        <v>194</v>
      </c>
      <c r="C16" s="13">
        <v>32</v>
      </c>
      <c r="D16" s="13">
        <f t="shared" ref="D16:D26" si="3">A16/$C$12</f>
        <v>7.0866141732283464E-2</v>
      </c>
      <c r="E16" s="13">
        <f t="shared" ref="E16:E25" si="4">N16*K16+O16*M16</f>
        <v>1.1890326614173224E-4</v>
      </c>
      <c r="F16" s="13">
        <f t="shared" ref="F16:F26" si="5">4*$H$12*$E$12*POWER($C$12,3)*E16</f>
        <v>825134251.3789252</v>
      </c>
      <c r="G16" s="13">
        <f t="shared" si="0"/>
        <v>37.526815289550477</v>
      </c>
      <c r="H16" s="13">
        <f t="shared" si="1"/>
        <v>80.66</v>
      </c>
      <c r="I16" s="1">
        <f>I15+1</f>
        <v>2</v>
      </c>
      <c r="J16" s="13">
        <f>INDEX(Integrale!$H$3:$H$502,MATCH('NGC0289'!D16,Integrale!$H$3:$H$502,1))</f>
        <v>7.0000000000000007E-2</v>
      </c>
      <c r="K16" s="13">
        <f>INDEX(Integrale!$I$3:$I$502,MATCH('NGC0289'!D16,Integrale!$H$3:$H$502,1))</f>
        <v>1.1412070000000001E-4</v>
      </c>
      <c r="L16" s="13">
        <f>INDEX(Integrale!$H$3:$H$502,MATCH('NGC0289'!D16,Integrale!$H$3:$H$502,1)+1)</f>
        <v>0.08</v>
      </c>
      <c r="M16" s="13">
        <f>INDEX(Integrale!$I$3:$I$502,MATCH('NGC0289'!D16,Integrale!$H$3:$H$502,1)+1)</f>
        <v>1.693376E-4</v>
      </c>
      <c r="N16" s="13">
        <f t="shared" ref="N16:N26" si="6">(L16-D16)/(L16-J16)</f>
        <v>0.91338582677165425</v>
      </c>
      <c r="O16" s="13">
        <f t="shared" si="2"/>
        <v>8.6614173228345734E-2</v>
      </c>
    </row>
    <row r="17" spans="1:15" x14ac:dyDescent="0.3">
      <c r="A17" s="13">
        <v>3.46</v>
      </c>
      <c r="B17" s="13">
        <v>175</v>
      </c>
      <c r="C17" s="13">
        <v>25.2</v>
      </c>
      <c r="D17" s="13">
        <f t="shared" si="3"/>
        <v>9.730033745781777E-2</v>
      </c>
      <c r="E17" s="13">
        <f t="shared" si="4"/>
        <v>3.034379534308211E-4</v>
      </c>
      <c r="F17" s="13">
        <f t="shared" si="5"/>
        <v>2105720529.540755</v>
      </c>
      <c r="G17" s="13">
        <f t="shared" si="0"/>
        <v>51.161349170921689</v>
      </c>
      <c r="H17" s="13">
        <f t="shared" si="1"/>
        <v>70.760000000000005</v>
      </c>
      <c r="I17" s="1">
        <f t="shared" ref="I17:I42" si="7">I16+1</f>
        <v>3</v>
      </c>
      <c r="J17" s="13">
        <f>INDEX(Integrale!$H$3:$H$502,MATCH('NGC0289'!D17,Integrale!$H$3:$H$502,1))</f>
        <v>0.09</v>
      </c>
      <c r="K17" s="13">
        <f>INDEX(Integrale!$I$3:$I$502,MATCH('NGC0289'!D17,Integrale!$H$3:$H$502,1))</f>
        <v>2.3974010000000001E-4</v>
      </c>
      <c r="L17" s="13">
        <f>INDEX(Integrale!$H$3:$H$502,MATCH('NGC0289'!D17,Integrale!$H$3:$H$502,1)+1)</f>
        <v>0.1</v>
      </c>
      <c r="M17" s="13">
        <f>INDEX(Integrale!$I$3:$I$502,MATCH('NGC0289'!D17,Integrale!$H$3:$H$502,1)+1)</f>
        <v>3.2699340000000001E-4</v>
      </c>
      <c r="N17" s="13">
        <f t="shared" si="6"/>
        <v>0.26996625421822329</v>
      </c>
      <c r="O17" s="13">
        <f t="shared" si="2"/>
        <v>0.73003374578177671</v>
      </c>
    </row>
    <row r="18" spans="1:15" x14ac:dyDescent="0.3">
      <c r="A18" s="13">
        <v>4.32</v>
      </c>
      <c r="B18" s="13">
        <v>185</v>
      </c>
      <c r="C18" s="13">
        <v>31.5</v>
      </c>
      <c r="D18" s="13">
        <f t="shared" si="3"/>
        <v>0.12148481439820022</v>
      </c>
      <c r="E18" s="13">
        <f t="shared" si="4"/>
        <v>5.8013205084364442E-4</v>
      </c>
      <c r="F18" s="13">
        <f t="shared" si="5"/>
        <v>4025850937.5444593</v>
      </c>
      <c r="G18" s="13">
        <f t="shared" si="0"/>
        <v>63.309173566749813</v>
      </c>
      <c r="H18" s="13">
        <f t="shared" si="1"/>
        <v>65.78</v>
      </c>
      <c r="I18" s="1">
        <f t="shared" si="7"/>
        <v>4</v>
      </c>
      <c r="J18" s="13">
        <f>INDEX(Integrale!$H$3:$H$502,MATCH('NGC0289'!D18,Integrale!$H$3:$H$502,1))</f>
        <v>0.12</v>
      </c>
      <c r="K18" s="13">
        <f>INDEX(Integrale!$I$3:$I$502,MATCH('NGC0289'!D18,Integrale!$H$3:$H$502,1))</f>
        <v>5.5830959999999998E-4</v>
      </c>
      <c r="L18" s="13">
        <f>INDEX(Integrale!$H$3:$H$502,MATCH('NGC0289'!D18,Integrale!$H$3:$H$502,1)+1)</f>
        <v>0.13</v>
      </c>
      <c r="M18" s="13">
        <f>INDEX(Integrale!$I$3:$I$502,MATCH('NGC0289'!D18,Integrale!$H$3:$H$502,1)+1)</f>
        <v>7.0528050000000003E-4</v>
      </c>
      <c r="N18" s="13">
        <f t="shared" si="6"/>
        <v>0.85151856017997773</v>
      </c>
      <c r="O18" s="13">
        <f t="shared" si="2"/>
        <v>0.14848143982002224</v>
      </c>
    </row>
    <row r="19" spans="1:15" x14ac:dyDescent="0.3">
      <c r="A19" s="13">
        <v>5.43</v>
      </c>
      <c r="B19" s="13">
        <v>175</v>
      </c>
      <c r="C19" s="13">
        <v>27.9</v>
      </c>
      <c r="D19" s="13">
        <f t="shared" si="3"/>
        <v>0.1526996625421822</v>
      </c>
      <c r="E19" s="13">
        <f t="shared" si="4"/>
        <v>1.1273629464566923E-3</v>
      </c>
      <c r="F19" s="13">
        <f t="shared" si="5"/>
        <v>7823382914.8818893</v>
      </c>
      <c r="G19" s="13">
        <f t="shared" si="0"/>
        <v>78.718543752410056</v>
      </c>
      <c r="H19" s="13">
        <f t="shared" si="1"/>
        <v>55.02</v>
      </c>
      <c r="I19" s="1">
        <f t="shared" si="7"/>
        <v>5</v>
      </c>
      <c r="J19" s="13">
        <f>INDEX(Integrale!$H$3:$H$502,MATCH('NGC0289'!D19,Integrale!$H$3:$H$502,1))</f>
        <v>0.15</v>
      </c>
      <c r="K19" s="13">
        <f>INDEX(Integrale!$I$3:$I$502,MATCH('NGC0289'!D19,Integrale!$H$3:$H$502,1))</f>
        <v>1.0683906E-3</v>
      </c>
      <c r="L19" s="13">
        <f>INDEX(Integrale!$H$3:$H$502,MATCH('NGC0289'!D19,Integrale!$H$3:$H$502,1)+1)</f>
        <v>0.16</v>
      </c>
      <c r="M19" s="13">
        <f>INDEX(Integrale!$I$3:$I$502,MATCH('NGC0289'!D19,Integrale!$H$3:$H$502,1)+1)</f>
        <v>1.2868339999999999E-3</v>
      </c>
      <c r="N19" s="13">
        <f t="shared" si="6"/>
        <v>0.73003374578177949</v>
      </c>
      <c r="O19" s="13">
        <f t="shared" si="2"/>
        <v>0.26996625421822051</v>
      </c>
    </row>
    <row r="20" spans="1:15" x14ac:dyDescent="0.3">
      <c r="A20" s="13">
        <v>6.38</v>
      </c>
      <c r="B20" s="13">
        <v>167</v>
      </c>
      <c r="C20" s="13">
        <v>27.2</v>
      </c>
      <c r="D20" s="13">
        <f t="shared" si="3"/>
        <v>0.1794150731158605</v>
      </c>
      <c r="E20" s="13">
        <f t="shared" si="4"/>
        <v>1.7865620781777275E-3</v>
      </c>
      <c r="F20" s="13">
        <f t="shared" si="5"/>
        <v>12397923208.955173</v>
      </c>
      <c r="G20" s="13">
        <f t="shared" si="0"/>
        <v>91.420544607841009</v>
      </c>
      <c r="H20" s="13">
        <f t="shared" si="1"/>
        <v>45.26</v>
      </c>
      <c r="I20" s="1">
        <f t="shared" si="7"/>
        <v>6</v>
      </c>
      <c r="J20" s="13">
        <f>INDEX(Integrale!$H$3:$H$502,MATCH('NGC0289'!D20,Integrale!$H$3:$H$502,1))</f>
        <v>0.17</v>
      </c>
      <c r="K20" s="13">
        <f>INDEX(Integrale!$I$3:$I$502,MATCH('NGC0289'!D20,Integrale!$H$3:$H$502,1))</f>
        <v>1.5312220000000001E-3</v>
      </c>
      <c r="L20" s="13">
        <f>INDEX(Integrale!$H$3:$H$502,MATCH('NGC0289'!D20,Integrale!$H$3:$H$502,1)+1)</f>
        <v>0.18</v>
      </c>
      <c r="M20" s="13">
        <f>INDEX(Integrale!$I$3:$I$502,MATCH('NGC0289'!D20,Integrale!$H$3:$H$502,1)+1)</f>
        <v>1.8024255E-3</v>
      </c>
      <c r="N20" s="13">
        <f t="shared" si="6"/>
        <v>5.8492688413949834E-2</v>
      </c>
      <c r="O20" s="13">
        <f t="shared" si="2"/>
        <v>0.94150731158605017</v>
      </c>
    </row>
    <row r="21" spans="1:15" x14ac:dyDescent="0.3">
      <c r="A21" s="13">
        <v>7.57</v>
      </c>
      <c r="B21" s="13">
        <v>176</v>
      </c>
      <c r="C21" s="13">
        <v>7.18</v>
      </c>
      <c r="D21" s="13">
        <f t="shared" si="3"/>
        <v>0.21287964004499438</v>
      </c>
      <c r="E21" s="13">
        <f t="shared" si="4"/>
        <v>2.8946638572553435E-3</v>
      </c>
      <c r="F21" s="13">
        <f t="shared" si="5"/>
        <v>20087642437.029049</v>
      </c>
      <c r="G21" s="13">
        <f t="shared" si="0"/>
        <v>106.83073523912923</v>
      </c>
      <c r="H21" s="13">
        <f t="shared" si="1"/>
        <v>39.299999999999997</v>
      </c>
      <c r="I21" s="1">
        <f t="shared" si="7"/>
        <v>7</v>
      </c>
      <c r="J21" s="13">
        <f>INDEX(Integrale!$H$3:$H$502,MATCH('NGC0289'!D21,Integrale!$H$3:$H$502,1))</f>
        <v>0.21</v>
      </c>
      <c r="K21" s="13">
        <f>INDEX(Integrale!$I$3:$I$502,MATCH('NGC0289'!D21,Integrale!$H$3:$H$502,1))</f>
        <v>2.7838579000000001E-3</v>
      </c>
      <c r="L21" s="13">
        <f>INDEX(Integrale!$H$3:$H$502,MATCH('NGC0289'!D21,Integrale!$H$3:$H$502,1)+1)</f>
        <v>0.22</v>
      </c>
      <c r="M21" s="13">
        <f>INDEX(Integrale!$I$3:$I$502,MATCH('NGC0289'!D21,Integrale!$H$3:$H$502,1)+1)</f>
        <v>3.1686488999999999E-3</v>
      </c>
      <c r="N21" s="13">
        <f t="shared" si="6"/>
        <v>0.71203599550056162</v>
      </c>
      <c r="O21" s="13">
        <f t="shared" si="2"/>
        <v>0.28796400449943832</v>
      </c>
    </row>
    <row r="22" spans="1:15" x14ac:dyDescent="0.3">
      <c r="A22" s="13">
        <v>10.6</v>
      </c>
      <c r="B22" s="13">
        <v>185</v>
      </c>
      <c r="C22" s="13">
        <v>4.29</v>
      </c>
      <c r="D22" s="13">
        <f t="shared" si="3"/>
        <v>0.29808773903262087</v>
      </c>
      <c r="E22" s="13">
        <f t="shared" si="4"/>
        <v>7.1839709881889738E-3</v>
      </c>
      <c r="F22" s="13">
        <f t="shared" si="5"/>
        <v>49853470939.994049</v>
      </c>
      <c r="G22" s="13">
        <f t="shared" si="0"/>
        <v>142.22450800062836</v>
      </c>
      <c r="H22" s="13">
        <f t="shared" si="1"/>
        <v>23.12</v>
      </c>
      <c r="I22" s="1">
        <f t="shared" si="7"/>
        <v>8</v>
      </c>
      <c r="J22" s="13">
        <f>INDEX(Integrale!$H$3:$H$502,MATCH('NGC0289'!D22,Integrale!$H$3:$H$502,1))</f>
        <v>0.28999999999999998</v>
      </c>
      <c r="K22" s="13">
        <f>INDEX(Integrale!$I$3:$I$502,MATCH('NGC0289'!D22,Integrale!$H$3:$H$502,1))</f>
        <v>6.6846487000000003E-3</v>
      </c>
      <c r="L22" s="13">
        <f>INDEX(Integrale!$H$3:$H$502,MATCH('NGC0289'!D22,Integrale!$H$3:$H$502,1)+1)</f>
        <v>0.3</v>
      </c>
      <c r="M22" s="13">
        <f>INDEX(Integrale!$I$3:$I$502,MATCH('NGC0289'!D22,Integrale!$H$3:$H$502,1)+1)</f>
        <v>7.3020304999999999E-3</v>
      </c>
      <c r="N22" s="13">
        <f t="shared" si="6"/>
        <v>0.19122609673791185</v>
      </c>
      <c r="O22" s="13">
        <f t="shared" si="2"/>
        <v>0.8087739032620882</v>
      </c>
    </row>
    <row r="23" spans="1:15" x14ac:dyDescent="0.3">
      <c r="A23" s="13">
        <v>13.57</v>
      </c>
      <c r="B23" s="13">
        <v>183</v>
      </c>
      <c r="C23" s="13">
        <v>4.22</v>
      </c>
      <c r="D23" s="13">
        <f t="shared" si="3"/>
        <v>0.38160854893138357</v>
      </c>
      <c r="E23" s="13">
        <f t="shared" si="4"/>
        <v>1.3288158954780652E-2</v>
      </c>
      <c r="F23" s="13">
        <f t="shared" si="5"/>
        <v>92213741868.851898</v>
      </c>
      <c r="G23" s="13">
        <f t="shared" si="0"/>
        <v>170.95726892088024</v>
      </c>
      <c r="H23" s="13">
        <f t="shared" si="1"/>
        <v>6.58</v>
      </c>
      <c r="I23" s="1">
        <f t="shared" si="7"/>
        <v>9</v>
      </c>
      <c r="J23" s="13">
        <f>INDEX(Integrale!$H$3:$H$502,MATCH('NGC0289'!D23,Integrale!$H$3:$H$502,1))</f>
        <v>0.38</v>
      </c>
      <c r="K23" s="13">
        <f>INDEX(Integrale!$I$3:$I$502,MATCH('NGC0289'!D23,Integrale!$H$3:$H$502,1))</f>
        <v>1.31545302E-2</v>
      </c>
      <c r="L23" s="13">
        <f>INDEX(Integrale!$H$3:$H$502,MATCH('NGC0289'!D23,Integrale!$H$3:$H$502,1)+1)</f>
        <v>0.39</v>
      </c>
      <c r="M23" s="13">
        <f>INDEX(Integrale!$I$3:$I$502,MATCH('NGC0289'!D23,Integrale!$H$3:$H$502,1)+1)</f>
        <v>1.39852712E-2</v>
      </c>
      <c r="N23" s="13">
        <f t="shared" si="6"/>
        <v>0.83914510686164323</v>
      </c>
      <c r="O23" s="13">
        <f t="shared" si="2"/>
        <v>0.16085489313835674</v>
      </c>
    </row>
    <row r="24" spans="1:15" x14ac:dyDescent="0.3">
      <c r="A24" s="13">
        <v>16.64</v>
      </c>
      <c r="B24" s="13">
        <v>172</v>
      </c>
      <c r="C24" s="13">
        <v>4.33</v>
      </c>
      <c r="D24" s="13">
        <f t="shared" si="3"/>
        <v>0.46794150731158601</v>
      </c>
      <c r="E24" s="13">
        <f t="shared" si="4"/>
        <v>2.0976971462992124E-2</v>
      </c>
      <c r="F24" s="13">
        <f t="shared" si="5"/>
        <v>145570581918.92761</v>
      </c>
      <c r="G24" s="13">
        <f t="shared" si="0"/>
        <v>193.97234694851761</v>
      </c>
      <c r="H24" s="13">
        <f t="shared" si="1"/>
        <v>12.77</v>
      </c>
      <c r="I24" s="1">
        <f t="shared" si="7"/>
        <v>10</v>
      </c>
      <c r="J24" s="13">
        <f>INDEX(Integrale!$H$3:$H$502,MATCH('NGC0289'!D24,Integrale!$H$3:$H$502,1))</f>
        <v>0.46</v>
      </c>
      <c r="K24" s="13">
        <f>INDEX(Integrale!$I$3:$I$502,MATCH('NGC0289'!D24,Integrale!$H$3:$H$502,1))</f>
        <v>2.0232394399999999E-2</v>
      </c>
      <c r="L24" s="13">
        <f>INDEX(Integrale!$H$3:$H$502,MATCH('NGC0289'!D24,Integrale!$H$3:$H$502,1)+1)</f>
        <v>0.47</v>
      </c>
      <c r="M24" s="13">
        <f>INDEX(Integrale!$I$3:$I$502,MATCH('NGC0289'!D24,Integrale!$H$3:$H$502,1)+1)</f>
        <v>2.1169970900000001E-2</v>
      </c>
      <c r="N24" s="13">
        <f t="shared" si="6"/>
        <v>0.20584926884139695</v>
      </c>
      <c r="O24" s="13">
        <f t="shared" si="2"/>
        <v>0.79415073115860302</v>
      </c>
    </row>
    <row r="25" spans="1:15" x14ac:dyDescent="0.3">
      <c r="A25" s="13">
        <v>19.71</v>
      </c>
      <c r="B25" s="13">
        <v>161</v>
      </c>
      <c r="C25" s="13">
        <v>4.24</v>
      </c>
      <c r="D25" s="13">
        <f t="shared" si="3"/>
        <v>0.55427446569178851</v>
      </c>
      <c r="E25" s="13">
        <f t="shared" si="4"/>
        <v>2.9216487669628789E-2</v>
      </c>
      <c r="F25" s="13">
        <f t="shared" si="5"/>
        <v>202749053608.54153</v>
      </c>
      <c r="G25" s="13">
        <f t="shared" si="0"/>
        <v>210.33704978842275</v>
      </c>
      <c r="H25" s="13">
        <f t="shared" si="1"/>
        <v>30.64</v>
      </c>
      <c r="I25" s="1">
        <f t="shared" si="7"/>
        <v>11</v>
      </c>
      <c r="J25" s="13">
        <f>INDEX(Integrale!$H$3:$H$502,MATCH('NGC0289'!D25,Integrale!$H$3:$H$502,1))</f>
        <v>0.55000000000000004</v>
      </c>
      <c r="K25" s="13">
        <f>INDEX(Integrale!$I$3:$I$502,MATCH('NGC0289'!D25,Integrale!$H$3:$H$502,1))</f>
        <v>2.88093767E-2</v>
      </c>
      <c r="L25" s="13">
        <f>INDEX(Integrale!$H$3:$H$502,MATCH('NGC0289'!D25,Integrale!$H$3:$H$502,1)+1)</f>
        <v>0.56000000000000005</v>
      </c>
      <c r="M25" s="13">
        <f>INDEX(Integrale!$I$3:$I$502,MATCH('NGC0289'!D25,Integrale!$H$3:$H$502,1)+1)</f>
        <v>2.9761802100000002E-2</v>
      </c>
      <c r="N25" s="13">
        <f t="shared" si="6"/>
        <v>0.57255343082115384</v>
      </c>
      <c r="O25" s="13">
        <f t="shared" si="2"/>
        <v>0.4274465691788461</v>
      </c>
    </row>
    <row r="26" spans="1:15" x14ac:dyDescent="0.3">
      <c r="A26" s="13">
        <v>22.68</v>
      </c>
      <c r="B26" s="13">
        <v>156</v>
      </c>
      <c r="C26" s="13">
        <v>5.08</v>
      </c>
      <c r="D26" s="13">
        <f t="shared" si="3"/>
        <v>0.63779527559055116</v>
      </c>
      <c r="E26" s="13">
        <f>N26*K26+O26*M26</f>
        <v>3.69292949023622E-2</v>
      </c>
      <c r="F26" s="13">
        <f t="shared" si="5"/>
        <v>256272406065.7016</v>
      </c>
      <c r="G26" s="13">
        <f t="shared" si="0"/>
        <v>220.44947583383683</v>
      </c>
      <c r="H26" s="13">
        <f t="shared" si="1"/>
        <v>41.31</v>
      </c>
      <c r="I26" s="1">
        <f t="shared" si="7"/>
        <v>12</v>
      </c>
      <c r="J26" s="13">
        <f>INDEX(Integrale!$H$3:$H$502,MATCH('NGC0289'!D26,Integrale!$H$3:$H$502,1))</f>
        <v>0.63</v>
      </c>
      <c r="K26" s="13">
        <f>INDEX(Integrale!$I$3:$I$502,MATCH('NGC0289'!D26,Integrale!$H$3:$H$502,1))</f>
        <v>3.6238387699999999E-2</v>
      </c>
      <c r="L26" s="13">
        <f>INDEX(Integrale!$H$3:$H$502,MATCH('NGC0289'!D26,Integrale!$H$3:$H$502,1)+1)</f>
        <v>0.64</v>
      </c>
      <c r="M26" s="13">
        <f>INDEX(Integrale!$I$3:$I$502,MATCH('NGC0289'!D26,Integrale!$H$3:$H$502,1)+1)</f>
        <v>3.7124703000000002E-2</v>
      </c>
      <c r="N26" s="13">
        <f t="shared" si="6"/>
        <v>0.2204724409448853</v>
      </c>
      <c r="O26" s="13">
        <f t="shared" si="2"/>
        <v>0.77952755905511473</v>
      </c>
    </row>
    <row r="27" spans="1:15" x14ac:dyDescent="0.3">
      <c r="A27" s="13">
        <v>25.75</v>
      </c>
      <c r="B27" s="13">
        <v>159</v>
      </c>
      <c r="C27" s="13">
        <v>6.49</v>
      </c>
      <c r="D27" s="13">
        <f t="shared" ref="D27:D40" si="8">A27/$C$12</f>
        <v>0.72412823397075365</v>
      </c>
      <c r="E27" s="13">
        <f t="shared" ref="E27:E40" si="9">N27*K27+O27*M27</f>
        <v>4.4032390034870639E-2</v>
      </c>
      <c r="F27" s="13">
        <f t="shared" ref="F27:F40" si="10">4*$H$12*$E$12*POWER($C$12,3)*E27</f>
        <v>305564635579.81219</v>
      </c>
      <c r="G27" s="13">
        <f t="shared" ref="G27:G40" si="11">POWER($I$8*F27/A27,0.5)</f>
        <v>225.91371676791081</v>
      </c>
      <c r="H27" s="13">
        <f t="shared" ref="H27:H40" si="12">ROUND(ABS((B27-G27)/B27)*100,2)</f>
        <v>42.08</v>
      </c>
      <c r="I27" s="1">
        <f t="shared" si="7"/>
        <v>13</v>
      </c>
      <c r="J27" s="13">
        <f>INDEX(Integrale!$H$3:$H$502,MATCH('NGC0289'!D27,Integrale!$H$3:$H$502,1))</f>
        <v>0.72</v>
      </c>
      <c r="K27" s="13">
        <f>INDEX(Integrale!$I$3:$I$502,MATCH('NGC0289'!D27,Integrale!$H$3:$H$502,1))</f>
        <v>4.3720770499999999E-2</v>
      </c>
      <c r="L27" s="13">
        <f>INDEX(Integrale!$H$3:$H$502,MATCH('NGC0289'!D27,Integrale!$H$3:$H$502,1)+1)</f>
        <v>0.73</v>
      </c>
      <c r="M27" s="13">
        <f>INDEX(Integrale!$I$3:$I$502,MATCH('NGC0289'!D27,Integrale!$H$3:$H$502,1)+1)</f>
        <v>4.447562E-2</v>
      </c>
      <c r="N27" s="13">
        <f t="shared" ref="N27:N40" si="13">(L27-D27)/(L27-J27)</f>
        <v>0.58717660292463225</v>
      </c>
      <c r="O27" s="13">
        <f t="shared" ref="O27:O40" si="14">(D27-J27)/(L27-J27)</f>
        <v>0.41282339707536769</v>
      </c>
    </row>
    <row r="28" spans="1:15" x14ac:dyDescent="0.3">
      <c r="A28" s="13">
        <v>28.72</v>
      </c>
      <c r="B28" s="13">
        <v>173</v>
      </c>
      <c r="C28" s="13">
        <v>6.97</v>
      </c>
      <c r="D28" s="13">
        <f t="shared" si="8"/>
        <v>0.80764904386951619</v>
      </c>
      <c r="E28" s="13">
        <f t="shared" si="9"/>
        <v>4.9751341779302578E-2</v>
      </c>
      <c r="F28" s="13">
        <f t="shared" si="10"/>
        <v>345251543428.82898</v>
      </c>
      <c r="G28" s="13">
        <f t="shared" si="11"/>
        <v>227.38157430172467</v>
      </c>
      <c r="H28" s="13">
        <f t="shared" si="12"/>
        <v>31.43</v>
      </c>
      <c r="I28" s="1">
        <f t="shared" si="7"/>
        <v>14</v>
      </c>
      <c r="J28" s="13">
        <f>INDEX(Integrale!$H$3:$H$502,MATCH('NGC0289'!D28,Integrale!$H$3:$H$502,1))</f>
        <v>0.8</v>
      </c>
      <c r="K28" s="13">
        <f>INDEX(Integrale!$I$3:$I$502,MATCH('NGC0289'!D28,Integrale!$H$3:$H$502,1))</f>
        <v>4.9279864200000002E-2</v>
      </c>
      <c r="L28" s="13">
        <f>INDEX(Integrale!$H$3:$H$502,MATCH('NGC0289'!D28,Integrale!$H$3:$H$502,1)+1)</f>
        <v>0.81</v>
      </c>
      <c r="M28" s="13">
        <f>INDEX(Integrale!$I$3:$I$502,MATCH('NGC0289'!D28,Integrale!$H$3:$H$502,1)+1)</f>
        <v>4.9896251799999999E-2</v>
      </c>
      <c r="N28" s="13">
        <f t="shared" si="13"/>
        <v>0.23509561304838589</v>
      </c>
      <c r="O28" s="13">
        <f t="shared" si="14"/>
        <v>0.76490438695161411</v>
      </c>
    </row>
    <row r="29" spans="1:15" x14ac:dyDescent="0.3">
      <c r="A29" s="13">
        <v>31.79</v>
      </c>
      <c r="B29" s="13">
        <v>177</v>
      </c>
      <c r="C29" s="13">
        <v>6.57</v>
      </c>
      <c r="D29" s="13">
        <f t="shared" si="8"/>
        <v>0.89398200224971869</v>
      </c>
      <c r="E29" s="13">
        <f t="shared" si="9"/>
        <v>5.4389874793363324E-2</v>
      </c>
      <c r="F29" s="13">
        <f t="shared" si="10"/>
        <v>377440839738.74854</v>
      </c>
      <c r="G29" s="13">
        <f t="shared" si="11"/>
        <v>225.97419782394687</v>
      </c>
      <c r="H29" s="13">
        <f t="shared" si="12"/>
        <v>27.67</v>
      </c>
      <c r="I29" s="1">
        <f t="shared" si="7"/>
        <v>15</v>
      </c>
      <c r="J29" s="13">
        <f>INDEX(Integrale!$H$3:$H$502,MATCH('NGC0289'!D29,Integrale!$H$3:$H$502,1))</f>
        <v>0.89</v>
      </c>
      <c r="K29" s="13">
        <f>INDEX(Integrale!$I$3:$I$502,MATCH('NGC0289'!D29,Integrale!$H$3:$H$502,1))</f>
        <v>5.42053641E-2</v>
      </c>
      <c r="L29" s="13">
        <f>INDEX(Integrale!$H$3:$H$502,MATCH('NGC0289'!D29,Integrale!$H$3:$H$502,1)+1)</f>
        <v>0.9</v>
      </c>
      <c r="M29" s="13">
        <f>INDEX(Integrale!$I$3:$I$502,MATCH('NGC0289'!D29,Integrale!$H$3:$H$502,1)+1)</f>
        <v>5.4668725699999997E-2</v>
      </c>
      <c r="N29" s="13">
        <f t="shared" si="13"/>
        <v>0.60179977502813287</v>
      </c>
      <c r="O29" s="13">
        <f t="shared" si="14"/>
        <v>0.39820022497186713</v>
      </c>
    </row>
    <row r="30" spans="1:15" x14ac:dyDescent="0.3">
      <c r="A30" s="13">
        <v>34.770000000000003</v>
      </c>
      <c r="B30" s="13">
        <v>179</v>
      </c>
      <c r="C30" s="13">
        <v>4.47</v>
      </c>
      <c r="D30" s="13">
        <f t="shared" si="8"/>
        <v>0.97778402699662548</v>
      </c>
      <c r="E30" s="13">
        <f t="shared" si="9"/>
        <v>5.7749382860067491E-2</v>
      </c>
      <c r="F30" s="13">
        <f t="shared" si="10"/>
        <v>400754288255.10077</v>
      </c>
      <c r="G30" s="13">
        <f t="shared" si="11"/>
        <v>222.64677878521604</v>
      </c>
      <c r="H30" s="13">
        <f t="shared" si="12"/>
        <v>24.38</v>
      </c>
      <c r="I30" s="1">
        <f t="shared" si="7"/>
        <v>16</v>
      </c>
      <c r="J30" s="13">
        <f>INDEX(Integrale!$H$3:$H$502,MATCH('NGC0289'!D30,Integrale!$H$3:$H$502,1))</f>
        <v>0.97</v>
      </c>
      <c r="K30" s="13">
        <f>INDEX(Integrale!$I$3:$I$502,MATCH('NGC0289'!D30,Integrale!$H$3:$H$502,1))</f>
        <v>5.74815594E-2</v>
      </c>
      <c r="L30" s="13">
        <f>INDEX(Integrale!$H$3:$H$502,MATCH('NGC0289'!D30,Integrale!$H$3:$H$502,1)+1)</f>
        <v>0.98</v>
      </c>
      <c r="M30" s="13">
        <f>INDEX(Integrale!$I$3:$I$502,MATCH('NGC0289'!D30,Integrale!$H$3:$H$502,1)+1)</f>
        <v>5.7825627400000003E-2</v>
      </c>
      <c r="N30" s="13">
        <f t="shared" si="13"/>
        <v>0.22159730033745031</v>
      </c>
      <c r="O30" s="13">
        <f t="shared" si="14"/>
        <v>0.77840269966254971</v>
      </c>
    </row>
    <row r="31" spans="1:15" x14ac:dyDescent="0.3">
      <c r="A31" s="13">
        <v>37.840000000000003</v>
      </c>
      <c r="B31" s="13">
        <v>181</v>
      </c>
      <c r="C31" s="13">
        <v>4.26</v>
      </c>
      <c r="D31" s="13">
        <f t="shared" si="8"/>
        <v>1.064116985376828</v>
      </c>
      <c r="E31" s="13">
        <f t="shared" si="9"/>
        <v>6.0221278574465686E-2</v>
      </c>
      <c r="F31" s="13">
        <f t="shared" si="10"/>
        <v>417908113258.99493</v>
      </c>
      <c r="G31" s="13">
        <f t="shared" si="11"/>
        <v>217.94379550674074</v>
      </c>
      <c r="H31" s="13">
        <f t="shared" si="12"/>
        <v>20.41</v>
      </c>
      <c r="I31" s="1">
        <f t="shared" si="7"/>
        <v>17</v>
      </c>
      <c r="J31" s="13">
        <f>INDEX(Integrale!$H$3:$H$502,MATCH('NGC0289'!D31,Integrale!$H$3:$H$502,1))</f>
        <v>1.06</v>
      </c>
      <c r="K31" s="13">
        <f>INDEX(Integrale!$I$3:$I$502,MATCH('NGC0289'!D31,Integrale!$H$3:$H$502,1))</f>
        <v>6.0124166299999997E-2</v>
      </c>
      <c r="L31" s="13">
        <f>INDEX(Integrale!$H$3:$H$502,MATCH('NGC0289'!D31,Integrale!$H$3:$H$502,1)+1)</f>
        <v>1.07</v>
      </c>
      <c r="M31" s="13">
        <f>INDEX(Integrale!$I$3:$I$502,MATCH('NGC0289'!D31,Integrale!$H$3:$H$502,1)+1)</f>
        <v>6.0360048299999997E-2</v>
      </c>
      <c r="N31" s="13">
        <f t="shared" si="13"/>
        <v>0.58830146231720837</v>
      </c>
      <c r="O31" s="13">
        <f t="shared" si="14"/>
        <v>0.41169853768279158</v>
      </c>
    </row>
    <row r="32" spans="1:15" x14ac:dyDescent="0.3">
      <c r="A32" s="13">
        <v>40.81</v>
      </c>
      <c r="B32" s="13">
        <v>182</v>
      </c>
      <c r="C32" s="13">
        <v>4.26</v>
      </c>
      <c r="D32" s="13">
        <f t="shared" si="8"/>
        <v>1.1476377952755905</v>
      </c>
      <c r="E32" s="13">
        <f t="shared" si="9"/>
        <v>6.1867595287401572E-2</v>
      </c>
      <c r="F32" s="13">
        <f t="shared" si="10"/>
        <v>429332797815.94995</v>
      </c>
      <c r="G32" s="13">
        <f t="shared" si="11"/>
        <v>212.71269420299018</v>
      </c>
      <c r="H32" s="13">
        <f t="shared" si="12"/>
        <v>16.88</v>
      </c>
      <c r="I32" s="1">
        <f t="shared" si="7"/>
        <v>18</v>
      </c>
      <c r="J32" s="13">
        <f>INDEX(Integrale!$H$3:$H$502,MATCH('NGC0289'!D32,Integrale!$H$3:$H$502,1))</f>
        <v>1.1399999999999999</v>
      </c>
      <c r="K32" s="13">
        <f>INDEX(Integrale!$I$3:$I$502,MATCH('NGC0289'!D32,Integrale!$H$3:$H$502,1))</f>
        <v>6.1742959299999997E-2</v>
      </c>
      <c r="L32" s="13">
        <f>INDEX(Integrale!$H$3:$H$502,MATCH('NGC0289'!D32,Integrale!$H$3:$H$502,1)+1)</f>
        <v>1.1499999999999999</v>
      </c>
      <c r="M32" s="13">
        <f>INDEX(Integrale!$I$3:$I$502,MATCH('NGC0289'!D32,Integrale!$H$3:$H$502,1)+1)</f>
        <v>6.1906142499999997E-2</v>
      </c>
      <c r="N32" s="13">
        <f t="shared" si="13"/>
        <v>0.2362204724409398</v>
      </c>
      <c r="O32" s="13">
        <f t="shared" si="14"/>
        <v>0.7637795275590602</v>
      </c>
    </row>
    <row r="33" spans="1:15" x14ac:dyDescent="0.3">
      <c r="A33" s="13">
        <v>43.88</v>
      </c>
      <c r="B33" s="13">
        <v>182</v>
      </c>
      <c r="C33" s="13">
        <v>4.83</v>
      </c>
      <c r="D33" s="13">
        <f t="shared" si="8"/>
        <v>1.2339707536557931</v>
      </c>
      <c r="E33" s="13">
        <f t="shared" si="9"/>
        <v>6.3001694006636674E-2</v>
      </c>
      <c r="F33" s="13">
        <f t="shared" si="10"/>
        <v>437202923911.31226</v>
      </c>
      <c r="G33" s="13">
        <f t="shared" si="11"/>
        <v>207.00836340992038</v>
      </c>
      <c r="H33" s="13">
        <f t="shared" si="12"/>
        <v>13.74</v>
      </c>
      <c r="I33" s="1">
        <f t="shared" si="7"/>
        <v>19</v>
      </c>
      <c r="J33" s="13">
        <f>INDEX(Integrale!$H$3:$H$502,MATCH('NGC0289'!D33,Integrale!$H$3:$H$502,1))</f>
        <v>1.23</v>
      </c>
      <c r="K33" s="13">
        <f>INDEX(Integrale!$I$3:$I$502,MATCH('NGC0289'!D33,Integrale!$H$3:$H$502,1))</f>
        <v>6.2960233700000007E-2</v>
      </c>
      <c r="L33" s="13">
        <f>INDEX(Integrale!$H$3:$H$502,MATCH('NGC0289'!D33,Integrale!$H$3:$H$502,1)+1)</f>
        <v>1.24</v>
      </c>
      <c r="M33" s="13">
        <f>INDEX(Integrale!$I$3:$I$502,MATCH('NGC0289'!D33,Integrale!$H$3:$H$502,1)+1)</f>
        <v>6.3064647900000007E-2</v>
      </c>
      <c r="N33" s="13">
        <f t="shared" si="13"/>
        <v>0.60292463442068678</v>
      </c>
      <c r="O33" s="13">
        <f t="shared" si="14"/>
        <v>0.39707536557931322</v>
      </c>
    </row>
    <row r="34" spans="1:15" x14ac:dyDescent="0.3">
      <c r="A34" s="13">
        <v>46.85</v>
      </c>
      <c r="B34" s="13">
        <v>180</v>
      </c>
      <c r="C34" s="13">
        <v>5.5</v>
      </c>
      <c r="D34" s="13">
        <f t="shared" si="8"/>
        <v>1.3174915635545557</v>
      </c>
      <c r="E34" s="13">
        <f t="shared" si="9"/>
        <v>6.3712431216760401E-2</v>
      </c>
      <c r="F34" s="13">
        <f t="shared" si="10"/>
        <v>442135114883.28723</v>
      </c>
      <c r="G34" s="13">
        <f t="shared" si="11"/>
        <v>201.46628540208565</v>
      </c>
      <c r="H34" s="13">
        <f t="shared" si="12"/>
        <v>11.93</v>
      </c>
      <c r="I34" s="1">
        <f t="shared" si="7"/>
        <v>20</v>
      </c>
      <c r="J34" s="13">
        <f>INDEX(Integrale!$H$3:$H$502,MATCH('NGC0289'!D34,Integrale!$H$3:$H$502,1))</f>
        <v>1.31</v>
      </c>
      <c r="K34" s="13">
        <f>INDEX(Integrale!$I$3:$I$502,MATCH('NGC0289'!D34,Integrale!$H$3:$H$502,1))</f>
        <v>6.3661119700000005E-2</v>
      </c>
      <c r="L34" s="13">
        <f>INDEX(Integrale!$H$3:$H$502,MATCH('NGC0289'!D34,Integrale!$H$3:$H$502,1)+1)</f>
        <v>1.32</v>
      </c>
      <c r="M34" s="13">
        <f>INDEX(Integrale!$I$3:$I$502,MATCH('NGC0289'!D34,Integrale!$H$3:$H$502,1)+1)</f>
        <v>6.3729612099999999E-2</v>
      </c>
      <c r="N34" s="13">
        <f t="shared" si="13"/>
        <v>0.25084364454444041</v>
      </c>
      <c r="O34" s="13">
        <f t="shared" si="14"/>
        <v>0.74915635545555959</v>
      </c>
    </row>
    <row r="35" spans="1:15" x14ac:dyDescent="0.3">
      <c r="A35" s="13">
        <v>49.92</v>
      </c>
      <c r="B35" s="13">
        <v>177</v>
      </c>
      <c r="C35" s="13">
        <v>8.5</v>
      </c>
      <c r="D35" s="13">
        <f t="shared" si="8"/>
        <v>1.403824521934758</v>
      </c>
      <c r="E35" s="13">
        <f t="shared" si="9"/>
        <v>6.4176984573678292E-2</v>
      </c>
      <c r="F35" s="13">
        <f t="shared" si="10"/>
        <v>445358902579.15332</v>
      </c>
      <c r="G35" s="13">
        <f t="shared" si="11"/>
        <v>195.88331863966283</v>
      </c>
      <c r="H35" s="13">
        <f t="shared" si="12"/>
        <v>10.67</v>
      </c>
      <c r="I35" s="1">
        <f t="shared" si="7"/>
        <v>21</v>
      </c>
      <c r="J35" s="13">
        <f>INDEX(Integrale!$H$3:$H$502,MATCH('NGC0289'!D35,Integrale!$H$3:$H$502,1))</f>
        <v>1.4</v>
      </c>
      <c r="K35" s="13">
        <f>INDEX(Integrale!$I$3:$I$502,MATCH('NGC0289'!D35,Integrale!$H$3:$H$502,1))</f>
        <v>6.4161072E-2</v>
      </c>
      <c r="L35" s="13">
        <f>INDEX(Integrale!$H$3:$H$502,MATCH('NGC0289'!D35,Integrale!$H$3:$H$502,1)+1)</f>
        <v>1.41</v>
      </c>
      <c r="M35" s="13">
        <f>INDEX(Integrale!$I$3:$I$502,MATCH('NGC0289'!D35,Integrale!$H$3:$H$502,1)+1)</f>
        <v>6.4202678700000002E-2</v>
      </c>
      <c r="N35" s="13">
        <f t="shared" si="13"/>
        <v>0.61754780652418739</v>
      </c>
      <c r="O35" s="13">
        <f t="shared" si="14"/>
        <v>0.38245219347581261</v>
      </c>
    </row>
    <row r="36" spans="1:15" x14ac:dyDescent="0.3">
      <c r="A36" s="13">
        <v>52.99</v>
      </c>
      <c r="B36" s="13">
        <v>175</v>
      </c>
      <c r="C36" s="13">
        <v>11</v>
      </c>
      <c r="D36" s="13">
        <f t="shared" si="8"/>
        <v>1.4901574803149606</v>
      </c>
      <c r="E36" s="13">
        <f t="shared" si="9"/>
        <v>6.4462390211811021E-2</v>
      </c>
      <c r="F36" s="13">
        <f t="shared" si="10"/>
        <v>447339487092.94843</v>
      </c>
      <c r="G36" s="13">
        <f t="shared" si="11"/>
        <v>190.54665552172875</v>
      </c>
      <c r="H36" s="13">
        <f t="shared" si="12"/>
        <v>8.8800000000000008</v>
      </c>
      <c r="I36" s="1">
        <f t="shared" si="7"/>
        <v>22</v>
      </c>
      <c r="J36" s="13">
        <f>INDEX(Integrale!$H$3:$H$502,MATCH('NGC0289'!D36,Integrale!$H$3:$H$502,1))</f>
        <v>1.49</v>
      </c>
      <c r="K36" s="13">
        <f>INDEX(Integrale!$I$3:$I$502,MATCH('NGC0289'!D36,Integrale!$H$3:$H$502,1))</f>
        <v>6.4462000899999997E-2</v>
      </c>
      <c r="L36" s="13">
        <f>INDEX(Integrale!$H$3:$H$502,MATCH('NGC0289'!D36,Integrale!$H$3:$H$502,1)+1)</f>
        <v>1.5</v>
      </c>
      <c r="M36" s="13">
        <f>INDEX(Integrale!$I$3:$I$502,MATCH('NGC0289'!D36,Integrale!$H$3:$H$502,1)+1)</f>
        <v>6.4486722199999999E-2</v>
      </c>
      <c r="N36" s="13">
        <f t="shared" si="13"/>
        <v>0.98425196850393437</v>
      </c>
      <c r="O36" s="13">
        <f t="shared" si="14"/>
        <v>1.5748031496065615E-2</v>
      </c>
    </row>
    <row r="37" spans="1:15" x14ac:dyDescent="0.3">
      <c r="A37" s="13">
        <v>55.96</v>
      </c>
      <c r="B37" s="13">
        <v>172</v>
      </c>
      <c r="C37" s="13">
        <v>11.6</v>
      </c>
      <c r="D37" s="13">
        <f t="shared" si="8"/>
        <v>1.5736782902137232</v>
      </c>
      <c r="E37" s="13">
        <f t="shared" si="9"/>
        <v>6.4629716543982002E-2</v>
      </c>
      <c r="F37" s="13">
        <f t="shared" si="10"/>
        <v>448500655261.93134</v>
      </c>
      <c r="G37" s="13">
        <f t="shared" si="11"/>
        <v>185.66171614417948</v>
      </c>
      <c r="H37" s="13">
        <f t="shared" si="12"/>
        <v>7.94</v>
      </c>
      <c r="I37" s="1">
        <f t="shared" si="7"/>
        <v>23</v>
      </c>
      <c r="J37" s="13">
        <f>INDEX(Integrale!$H$3:$H$502,MATCH('NGC0289'!D37,Integrale!$H$3:$H$502,1))</f>
        <v>1.57</v>
      </c>
      <c r="K37" s="13">
        <f>INDEX(Integrale!$I$3:$I$502,MATCH('NGC0289'!D37,Integrale!$H$3:$H$502,1))</f>
        <v>6.4624083499999999E-2</v>
      </c>
      <c r="L37" s="13">
        <f>INDEX(Integrale!$H$3:$H$502,MATCH('NGC0289'!D37,Integrale!$H$3:$H$502,1)+1)</f>
        <v>1.58</v>
      </c>
      <c r="M37" s="13">
        <f>INDEX(Integrale!$I$3:$I$502,MATCH('NGC0289'!D37,Integrale!$H$3:$H$502,1)+1)</f>
        <v>6.4639397799999998E-2</v>
      </c>
      <c r="N37" s="13">
        <f t="shared" si="13"/>
        <v>0.63217097862768801</v>
      </c>
      <c r="O37" s="13">
        <f t="shared" si="14"/>
        <v>0.36782902137231199</v>
      </c>
    </row>
    <row r="38" spans="1:15" x14ac:dyDescent="0.3">
      <c r="A38" s="13">
        <v>59.03</v>
      </c>
      <c r="B38" s="13">
        <v>168</v>
      </c>
      <c r="C38" s="13">
        <v>12.6</v>
      </c>
      <c r="D38" s="13">
        <f t="shared" si="8"/>
        <v>1.6600112485939258</v>
      </c>
      <c r="E38" s="13">
        <f t="shared" si="9"/>
        <v>6.4733320594263219E-2</v>
      </c>
      <c r="F38" s="13">
        <f t="shared" si="10"/>
        <v>449219619956.86847</v>
      </c>
      <c r="G38" s="13">
        <f t="shared" si="11"/>
        <v>180.91419284146983</v>
      </c>
      <c r="H38" s="13">
        <f t="shared" si="12"/>
        <v>7.69</v>
      </c>
      <c r="I38" s="1">
        <f t="shared" si="7"/>
        <v>24</v>
      </c>
      <c r="J38" s="13">
        <f>INDEX(Integrale!$H$3:$H$502,MATCH('NGC0289'!D38,Integrale!$H$3:$H$502,1))</f>
        <v>1.66</v>
      </c>
      <c r="K38" s="13">
        <f>INDEX(Integrale!$I$3:$I$502,MATCH('NGC0289'!D38,Integrale!$H$3:$H$502,1))</f>
        <v>6.4733310700000005E-2</v>
      </c>
      <c r="L38" s="13">
        <f>INDEX(Integrale!$H$3:$H$502,MATCH('NGC0289'!D38,Integrale!$H$3:$H$502,1)+1)</f>
        <v>1.67</v>
      </c>
      <c r="M38" s="13">
        <f>INDEX(Integrale!$I$3:$I$502,MATCH('NGC0289'!D38,Integrale!$H$3:$H$502,1)+1)</f>
        <v>6.4742106699999996E-2</v>
      </c>
      <c r="N38" s="13">
        <f t="shared" si="13"/>
        <v>0.99887514060741278</v>
      </c>
      <c r="O38" s="13">
        <f t="shared" si="14"/>
        <v>1.1248593925872175E-3</v>
      </c>
    </row>
    <row r="39" spans="1:15" x14ac:dyDescent="0.3">
      <c r="A39" s="13">
        <v>62</v>
      </c>
      <c r="B39" s="13">
        <v>158</v>
      </c>
      <c r="C39" s="13">
        <v>5.38</v>
      </c>
      <c r="D39" s="13">
        <f t="shared" si="8"/>
        <v>1.7435320584926883</v>
      </c>
      <c r="E39" s="13">
        <f t="shared" si="9"/>
        <v>6.4792241410686166E-2</v>
      </c>
      <c r="F39" s="13">
        <f t="shared" si="10"/>
        <v>449628503457.94769</v>
      </c>
      <c r="G39" s="13">
        <f t="shared" si="11"/>
        <v>176.60815157283193</v>
      </c>
      <c r="H39" s="13">
        <f t="shared" si="12"/>
        <v>11.78</v>
      </c>
      <c r="I39" s="1">
        <f t="shared" si="7"/>
        <v>25</v>
      </c>
      <c r="J39" s="13">
        <f>INDEX(Integrale!$H$3:$H$502,MATCH('NGC0289'!D39,Integrale!$H$3:$H$502,1))</f>
        <v>1.74</v>
      </c>
      <c r="K39" s="13">
        <f>INDEX(Integrale!$I$3:$I$502,MATCH('NGC0289'!D39,Integrale!$H$3:$H$502,1))</f>
        <v>6.4790366700000004E-2</v>
      </c>
      <c r="L39" s="13">
        <f>INDEX(Integrale!$H$3:$H$502,MATCH('NGC0289'!D39,Integrale!$H$3:$H$502,1)+1)</f>
        <v>1.75</v>
      </c>
      <c r="M39" s="13">
        <f>INDEX(Integrale!$I$3:$I$502,MATCH('NGC0289'!D39,Integrale!$H$3:$H$502,1)+1)</f>
        <v>6.4795674400000003E-2</v>
      </c>
      <c r="N39" s="13">
        <f t="shared" si="13"/>
        <v>0.64679415073116642</v>
      </c>
      <c r="O39" s="13">
        <f t="shared" si="14"/>
        <v>0.35320584926883358</v>
      </c>
    </row>
    <row r="40" spans="1:15" x14ac:dyDescent="0.3">
      <c r="A40" s="13">
        <v>65.069999999999993</v>
      </c>
      <c r="B40" s="13">
        <v>158</v>
      </c>
      <c r="C40" s="13">
        <v>6.5</v>
      </c>
      <c r="D40" s="13">
        <f t="shared" si="8"/>
        <v>1.8298650168728905</v>
      </c>
      <c r="E40" s="13">
        <f t="shared" si="9"/>
        <v>6.4827782403599543E-2</v>
      </c>
      <c r="F40" s="13">
        <f t="shared" si="10"/>
        <v>449875141683.56116</v>
      </c>
      <c r="G40" s="13">
        <f t="shared" si="11"/>
        <v>172.43890933603652</v>
      </c>
      <c r="H40" s="13">
        <f t="shared" si="12"/>
        <v>9.14</v>
      </c>
      <c r="I40" s="1">
        <f t="shared" si="7"/>
        <v>26</v>
      </c>
      <c r="J40" s="13">
        <f>INDEX(Integrale!$H$3:$H$502,MATCH('NGC0289'!D40,Integrale!$H$3:$H$502,1))</f>
        <v>1.82</v>
      </c>
      <c r="K40" s="13">
        <f>INDEX(Integrale!$I$3:$I$502,MATCH('NGC0289'!D40,Integrale!$H$3:$H$502,1))</f>
        <v>6.4824654699999998E-2</v>
      </c>
      <c r="L40" s="13">
        <f>INDEX(Integrale!$H$3:$H$502,MATCH('NGC0289'!D40,Integrale!$H$3:$H$502,1)+1)</f>
        <v>1.83</v>
      </c>
      <c r="M40" s="13">
        <f>INDEX(Integrale!$I$3:$I$502,MATCH('NGC0289'!D40,Integrale!$H$3:$H$502,1)+1)</f>
        <v>6.4827825199999994E-2</v>
      </c>
      <c r="N40" s="13">
        <f t="shared" si="13"/>
        <v>1.3498312710957793E-2</v>
      </c>
      <c r="O40" s="13">
        <f t="shared" si="14"/>
        <v>0.9865016872890422</v>
      </c>
    </row>
    <row r="41" spans="1:15" x14ac:dyDescent="0.3">
      <c r="A41" s="13">
        <v>68.05</v>
      </c>
      <c r="B41" s="13">
        <v>166</v>
      </c>
      <c r="C41" s="13">
        <v>15.5</v>
      </c>
      <c r="D41" s="13">
        <f t="shared" ref="D41:D42" si="15">A41/$C$12</f>
        <v>1.9136670416197974</v>
      </c>
      <c r="E41" s="13">
        <f t="shared" ref="E41:E42" si="16">N41*K41+O41*M41</f>
        <v>6.4847584535883004E-2</v>
      </c>
      <c r="F41" s="13">
        <f t="shared" ref="F41:F42" si="17">4*$H$12*$E$12*POWER($C$12,3)*E41</f>
        <v>450012559419.23499</v>
      </c>
      <c r="G41" s="13">
        <f t="shared" ref="G41:G42" si="18">POWER($I$8*F41/A41,0.5)</f>
        <v>168.64673009280281</v>
      </c>
      <c r="H41" s="13">
        <f t="shared" ref="H41:H42" si="19">ROUND(ABS((B41-G41)/B41)*100,2)</f>
        <v>1.59</v>
      </c>
      <c r="I41" s="1">
        <f t="shared" si="7"/>
        <v>27</v>
      </c>
      <c r="J41" s="13">
        <f>INDEX(Integrale!$H$3:$H$502,MATCH('NGC0289'!D41,Integrale!$H$3:$H$502,1))</f>
        <v>1.91</v>
      </c>
      <c r="K41" s="13">
        <f>INDEX(Integrale!$I$3:$I$502,MATCH('NGC0289'!D41,Integrale!$H$3:$H$502,1))</f>
        <v>6.4846940199999994E-2</v>
      </c>
      <c r="L41" s="13">
        <f>INDEX(Integrale!$H$3:$H$502,MATCH('NGC0289'!D41,Integrale!$H$3:$H$502,1)+1)</f>
        <v>1.92</v>
      </c>
      <c r="M41" s="13">
        <f>INDEX(Integrale!$I$3:$I$502,MATCH('NGC0289'!D41,Integrale!$H$3:$H$502,1)+1)</f>
        <v>6.4848697299999994E-2</v>
      </c>
      <c r="N41" s="13">
        <f t="shared" ref="N41:N42" si="20">(L41-D41)/(L41-J41)</f>
        <v>0.63329583802025302</v>
      </c>
      <c r="O41" s="13">
        <f t="shared" ref="O41:O42" si="21">(D41-J41)/(L41-J41)</f>
        <v>0.36670416197974698</v>
      </c>
    </row>
    <row r="42" spans="1:15" x14ac:dyDescent="0.3">
      <c r="A42" s="13">
        <v>71.12</v>
      </c>
      <c r="B42" s="13">
        <v>165</v>
      </c>
      <c r="C42" s="13">
        <v>8.75</v>
      </c>
      <c r="D42" s="13">
        <f t="shared" si="15"/>
        <v>2</v>
      </c>
      <c r="E42" s="13">
        <f t="shared" si="16"/>
        <v>6.4859241299999995E-2</v>
      </c>
      <c r="F42" s="13">
        <f t="shared" si="17"/>
        <v>450093452027.53143</v>
      </c>
      <c r="G42" s="13">
        <f t="shared" si="18"/>
        <v>164.98146126829442</v>
      </c>
      <c r="H42" s="13">
        <f t="shared" si="19"/>
        <v>0.01</v>
      </c>
      <c r="I42" s="1">
        <f t="shared" si="7"/>
        <v>28</v>
      </c>
      <c r="J42" s="13">
        <f>INDEX(Integrale!$H$3:$H$502,MATCH('NGC0289'!D42,Integrale!$H$3:$H$502,1))</f>
        <v>2</v>
      </c>
      <c r="K42" s="13">
        <f>INDEX(Integrale!$I$3:$I$502,MATCH('NGC0289'!D42,Integrale!$H$3:$H$502,1))</f>
        <v>6.4859241299999995E-2</v>
      </c>
      <c r="L42" s="13">
        <f>INDEX(Integrale!$H$3:$H$502,MATCH('NGC0289'!D42,Integrale!$H$3:$H$502,1)+1)</f>
        <v>2.0099999999999998</v>
      </c>
      <c r="M42" s="13">
        <f>INDEX(Integrale!$I$3:$I$502,MATCH('NGC0289'!D42,Integrale!$H$3:$H$502,1)+1)</f>
        <v>6.4860205500000004E-2</v>
      </c>
      <c r="N42" s="13">
        <f t="shared" si="20"/>
        <v>1</v>
      </c>
      <c r="O42" s="13">
        <f t="shared" si="21"/>
        <v>0</v>
      </c>
    </row>
    <row r="43" spans="1:15" x14ac:dyDescent="0.3">
      <c r="G43" s="13" t="s">
        <v>25</v>
      </c>
      <c r="H43" s="13">
        <f>ROUND(AVERAGE(H15:H42),2)</f>
        <v>28.7</v>
      </c>
    </row>
    <row r="44" spans="1:15" x14ac:dyDescent="0.3">
      <c r="B44" s="19" t="s">
        <v>24</v>
      </c>
      <c r="C44" s="20">
        <f>ROUND(MAX(0,100-H43),2)</f>
        <v>71.3</v>
      </c>
      <c r="D44" s="20" t="s">
        <v>26</v>
      </c>
    </row>
    <row r="46" spans="1:15" x14ac:dyDescent="0.3">
      <c r="A46" s="12" t="s">
        <v>7</v>
      </c>
      <c r="B46" s="12" t="s">
        <v>27</v>
      </c>
      <c r="C46" s="12" t="s">
        <v>28</v>
      </c>
      <c r="D46" s="12" t="s">
        <v>19</v>
      </c>
      <c r="E46" s="22" t="s">
        <v>34</v>
      </c>
      <c r="F46" s="22" t="s">
        <v>35</v>
      </c>
    </row>
    <row r="47" spans="1:15" x14ac:dyDescent="0.3">
      <c r="A47" s="13">
        <f>A15</f>
        <v>1.5</v>
      </c>
      <c r="B47" s="13">
        <f>B15</f>
        <v>164</v>
      </c>
      <c r="C47" s="13">
        <f>C15</f>
        <v>28.2</v>
      </c>
      <c r="D47" s="13">
        <f>ROUND(G15,2)</f>
        <v>22.9</v>
      </c>
      <c r="E47" s="13">
        <f>ROUND(POWER((B47-D47),2),2)</f>
        <v>19909.21</v>
      </c>
      <c r="F47" s="13">
        <f>ROUND(E47/POWER(C47,2),2)</f>
        <v>25.04</v>
      </c>
    </row>
    <row r="48" spans="1:15" x14ac:dyDescent="0.3">
      <c r="A48" s="13">
        <f t="shared" ref="A48:A72" si="22">A16</f>
        <v>2.52</v>
      </c>
      <c r="B48" s="13">
        <f t="shared" ref="B48:C48" si="23">B16</f>
        <v>194</v>
      </c>
      <c r="C48" s="13">
        <f t="shared" si="23"/>
        <v>32</v>
      </c>
      <c r="D48" s="13">
        <f t="shared" ref="D48:D74" si="24">ROUND(G16,2)</f>
        <v>37.53</v>
      </c>
      <c r="E48" s="13">
        <f t="shared" ref="E48:E74" si="25">ROUND(POWER((B48-D48),2),2)</f>
        <v>24482.86</v>
      </c>
      <c r="F48" s="13">
        <f t="shared" ref="F48:F74" si="26">ROUND(E48/POWER(C48,2),2)</f>
        <v>23.91</v>
      </c>
    </row>
    <row r="49" spans="1:6" x14ac:dyDescent="0.3">
      <c r="A49" s="13">
        <f t="shared" si="22"/>
        <v>3.46</v>
      </c>
      <c r="B49" s="13">
        <f t="shared" ref="B49:C49" si="27">B17</f>
        <v>175</v>
      </c>
      <c r="C49" s="13">
        <f t="shared" si="27"/>
        <v>25.2</v>
      </c>
      <c r="D49" s="13">
        <f t="shared" si="24"/>
        <v>51.16</v>
      </c>
      <c r="E49" s="13">
        <f t="shared" si="25"/>
        <v>15336.35</v>
      </c>
      <c r="F49" s="13">
        <f t="shared" si="26"/>
        <v>24.15</v>
      </c>
    </row>
    <row r="50" spans="1:6" x14ac:dyDescent="0.3">
      <c r="A50" s="13">
        <f t="shared" si="22"/>
        <v>4.32</v>
      </c>
      <c r="B50" s="13">
        <f t="shared" ref="B50:C50" si="28">B18</f>
        <v>185</v>
      </c>
      <c r="C50" s="13">
        <f t="shared" si="28"/>
        <v>31.5</v>
      </c>
      <c r="D50" s="13">
        <f t="shared" si="24"/>
        <v>63.31</v>
      </c>
      <c r="E50" s="13">
        <f t="shared" si="25"/>
        <v>14808.46</v>
      </c>
      <c r="F50" s="13">
        <f t="shared" si="26"/>
        <v>14.92</v>
      </c>
    </row>
    <row r="51" spans="1:6" x14ac:dyDescent="0.3">
      <c r="A51" s="13">
        <f t="shared" si="22"/>
        <v>5.43</v>
      </c>
      <c r="B51" s="13">
        <f t="shared" ref="B51:C51" si="29">B19</f>
        <v>175</v>
      </c>
      <c r="C51" s="13">
        <f t="shared" si="29"/>
        <v>27.9</v>
      </c>
      <c r="D51" s="13">
        <f t="shared" si="24"/>
        <v>78.72</v>
      </c>
      <c r="E51" s="13">
        <f t="shared" si="25"/>
        <v>9269.84</v>
      </c>
      <c r="F51" s="13">
        <f t="shared" si="26"/>
        <v>11.91</v>
      </c>
    </row>
    <row r="52" spans="1:6" x14ac:dyDescent="0.3">
      <c r="A52" s="13">
        <f t="shared" si="22"/>
        <v>6.38</v>
      </c>
      <c r="B52" s="13">
        <f t="shared" ref="B52:C52" si="30">B20</f>
        <v>167</v>
      </c>
      <c r="C52" s="13">
        <f t="shared" si="30"/>
        <v>27.2</v>
      </c>
      <c r="D52" s="13">
        <f t="shared" si="24"/>
        <v>91.42</v>
      </c>
      <c r="E52" s="13">
        <f t="shared" si="25"/>
        <v>5712.34</v>
      </c>
      <c r="F52" s="13">
        <f t="shared" si="26"/>
        <v>7.72</v>
      </c>
    </row>
    <row r="53" spans="1:6" x14ac:dyDescent="0.3">
      <c r="A53" s="13">
        <f t="shared" si="22"/>
        <v>7.57</v>
      </c>
      <c r="B53" s="13">
        <f t="shared" ref="B53:C53" si="31">B21</f>
        <v>176</v>
      </c>
      <c r="C53" s="13">
        <f t="shared" si="31"/>
        <v>7.18</v>
      </c>
      <c r="D53" s="13">
        <f t="shared" si="24"/>
        <v>106.83</v>
      </c>
      <c r="E53" s="13">
        <f t="shared" si="25"/>
        <v>4784.49</v>
      </c>
      <c r="F53" s="13">
        <f t="shared" si="26"/>
        <v>92.81</v>
      </c>
    </row>
    <row r="54" spans="1:6" x14ac:dyDescent="0.3">
      <c r="A54" s="13">
        <f t="shared" si="22"/>
        <v>10.6</v>
      </c>
      <c r="B54" s="13">
        <f t="shared" ref="B54:C54" si="32">B22</f>
        <v>185</v>
      </c>
      <c r="C54" s="13">
        <f t="shared" si="32"/>
        <v>4.29</v>
      </c>
      <c r="D54" s="13">
        <f t="shared" si="24"/>
        <v>142.22</v>
      </c>
      <c r="E54" s="13">
        <f t="shared" si="25"/>
        <v>1830.13</v>
      </c>
      <c r="F54" s="13">
        <f t="shared" si="26"/>
        <v>99.44</v>
      </c>
    </row>
    <row r="55" spans="1:6" x14ac:dyDescent="0.3">
      <c r="A55" s="13">
        <f t="shared" si="22"/>
        <v>13.57</v>
      </c>
      <c r="B55" s="13">
        <f t="shared" ref="B55:C55" si="33">B23</f>
        <v>183</v>
      </c>
      <c r="C55" s="13">
        <f t="shared" si="33"/>
        <v>4.22</v>
      </c>
      <c r="D55" s="13">
        <f t="shared" si="24"/>
        <v>170.96</v>
      </c>
      <c r="E55" s="13">
        <f t="shared" si="25"/>
        <v>144.96</v>
      </c>
      <c r="F55" s="13">
        <f t="shared" si="26"/>
        <v>8.14</v>
      </c>
    </row>
    <row r="56" spans="1:6" x14ac:dyDescent="0.3">
      <c r="A56" s="13">
        <f t="shared" si="22"/>
        <v>16.64</v>
      </c>
      <c r="B56" s="13">
        <f t="shared" ref="B56:C56" si="34">B24</f>
        <v>172</v>
      </c>
      <c r="C56" s="13">
        <f t="shared" si="34"/>
        <v>4.33</v>
      </c>
      <c r="D56" s="13">
        <f t="shared" si="24"/>
        <v>193.97</v>
      </c>
      <c r="E56" s="13">
        <f t="shared" si="25"/>
        <v>482.68</v>
      </c>
      <c r="F56" s="13">
        <f t="shared" si="26"/>
        <v>25.74</v>
      </c>
    </row>
    <row r="57" spans="1:6" x14ac:dyDescent="0.3">
      <c r="A57" s="13">
        <f t="shared" si="22"/>
        <v>19.71</v>
      </c>
      <c r="B57" s="13">
        <f t="shared" ref="B57:C57" si="35">B25</f>
        <v>161</v>
      </c>
      <c r="C57" s="13">
        <f t="shared" si="35"/>
        <v>4.24</v>
      </c>
      <c r="D57" s="13">
        <f t="shared" si="24"/>
        <v>210.34</v>
      </c>
      <c r="E57" s="13">
        <f t="shared" si="25"/>
        <v>2434.44</v>
      </c>
      <c r="F57" s="13">
        <f t="shared" si="26"/>
        <v>135.41999999999999</v>
      </c>
    </row>
    <row r="58" spans="1:6" x14ac:dyDescent="0.3">
      <c r="A58" s="13">
        <f t="shared" si="22"/>
        <v>22.68</v>
      </c>
      <c r="B58" s="13">
        <f t="shared" ref="B58:C58" si="36">B26</f>
        <v>156</v>
      </c>
      <c r="C58" s="13">
        <f t="shared" si="36"/>
        <v>5.08</v>
      </c>
      <c r="D58" s="13">
        <f t="shared" si="24"/>
        <v>220.45</v>
      </c>
      <c r="E58" s="13">
        <f t="shared" si="25"/>
        <v>4153.8</v>
      </c>
      <c r="F58" s="13">
        <f t="shared" si="26"/>
        <v>160.96</v>
      </c>
    </row>
    <row r="59" spans="1:6" x14ac:dyDescent="0.3">
      <c r="A59" s="13">
        <f t="shared" si="22"/>
        <v>25.75</v>
      </c>
      <c r="B59" s="13">
        <f t="shared" ref="B59:C72" si="37">B27</f>
        <v>159</v>
      </c>
      <c r="C59" s="13">
        <f t="shared" si="37"/>
        <v>6.49</v>
      </c>
      <c r="D59" s="13">
        <f t="shared" si="24"/>
        <v>225.91</v>
      </c>
      <c r="E59" s="13">
        <f t="shared" si="25"/>
        <v>4476.95</v>
      </c>
      <c r="F59" s="13">
        <f t="shared" si="26"/>
        <v>106.29</v>
      </c>
    </row>
    <row r="60" spans="1:6" x14ac:dyDescent="0.3">
      <c r="A60" s="13">
        <f t="shared" si="22"/>
        <v>28.72</v>
      </c>
      <c r="B60" s="13">
        <f t="shared" si="37"/>
        <v>173</v>
      </c>
      <c r="C60" s="13">
        <f t="shared" si="37"/>
        <v>6.97</v>
      </c>
      <c r="D60" s="13">
        <f t="shared" si="24"/>
        <v>227.38</v>
      </c>
      <c r="E60" s="13">
        <f t="shared" si="25"/>
        <v>2957.18</v>
      </c>
      <c r="F60" s="13">
        <f t="shared" si="26"/>
        <v>60.87</v>
      </c>
    </row>
    <row r="61" spans="1:6" x14ac:dyDescent="0.3">
      <c r="A61" s="13">
        <f t="shared" si="22"/>
        <v>31.79</v>
      </c>
      <c r="B61" s="13">
        <f t="shared" si="37"/>
        <v>177</v>
      </c>
      <c r="C61" s="13">
        <f t="shared" si="37"/>
        <v>6.57</v>
      </c>
      <c r="D61" s="13">
        <f t="shared" si="24"/>
        <v>225.97</v>
      </c>
      <c r="E61" s="13">
        <f t="shared" si="25"/>
        <v>2398.06</v>
      </c>
      <c r="F61" s="13">
        <f t="shared" si="26"/>
        <v>55.56</v>
      </c>
    </row>
    <row r="62" spans="1:6" x14ac:dyDescent="0.3">
      <c r="A62" s="13">
        <f t="shared" si="22"/>
        <v>34.770000000000003</v>
      </c>
      <c r="B62" s="13">
        <f t="shared" si="37"/>
        <v>179</v>
      </c>
      <c r="C62" s="13">
        <f t="shared" si="37"/>
        <v>4.47</v>
      </c>
      <c r="D62" s="13">
        <f t="shared" si="24"/>
        <v>222.65</v>
      </c>
      <c r="E62" s="13">
        <f t="shared" si="25"/>
        <v>1905.32</v>
      </c>
      <c r="F62" s="13">
        <f t="shared" si="26"/>
        <v>95.36</v>
      </c>
    </row>
    <row r="63" spans="1:6" x14ac:dyDescent="0.3">
      <c r="A63" s="13">
        <f t="shared" si="22"/>
        <v>37.840000000000003</v>
      </c>
      <c r="B63" s="13">
        <f t="shared" si="37"/>
        <v>181</v>
      </c>
      <c r="C63" s="13">
        <f t="shared" si="37"/>
        <v>4.26</v>
      </c>
      <c r="D63" s="13">
        <f t="shared" si="24"/>
        <v>217.94</v>
      </c>
      <c r="E63" s="13">
        <f t="shared" si="25"/>
        <v>1364.56</v>
      </c>
      <c r="F63" s="13">
        <f t="shared" si="26"/>
        <v>75.19</v>
      </c>
    </row>
    <row r="64" spans="1:6" x14ac:dyDescent="0.3">
      <c r="A64" s="13">
        <f t="shared" si="22"/>
        <v>40.81</v>
      </c>
      <c r="B64" s="13">
        <f t="shared" si="37"/>
        <v>182</v>
      </c>
      <c r="C64" s="13">
        <f t="shared" si="37"/>
        <v>4.26</v>
      </c>
      <c r="D64" s="13">
        <f t="shared" si="24"/>
        <v>212.71</v>
      </c>
      <c r="E64" s="13">
        <f t="shared" si="25"/>
        <v>943.1</v>
      </c>
      <c r="F64" s="13">
        <f t="shared" si="26"/>
        <v>51.97</v>
      </c>
    </row>
    <row r="65" spans="1:6" x14ac:dyDescent="0.3">
      <c r="A65" s="13">
        <f t="shared" si="22"/>
        <v>43.88</v>
      </c>
      <c r="B65" s="13">
        <f t="shared" si="37"/>
        <v>182</v>
      </c>
      <c r="C65" s="13">
        <f t="shared" si="37"/>
        <v>4.83</v>
      </c>
      <c r="D65" s="13">
        <f t="shared" si="24"/>
        <v>207.01</v>
      </c>
      <c r="E65" s="13">
        <f t="shared" si="25"/>
        <v>625.5</v>
      </c>
      <c r="F65" s="13">
        <f t="shared" si="26"/>
        <v>26.81</v>
      </c>
    </row>
    <row r="66" spans="1:6" x14ac:dyDescent="0.3">
      <c r="A66" s="13">
        <f t="shared" si="22"/>
        <v>46.85</v>
      </c>
      <c r="B66" s="13">
        <f t="shared" si="37"/>
        <v>180</v>
      </c>
      <c r="C66" s="13">
        <f t="shared" si="37"/>
        <v>5.5</v>
      </c>
      <c r="D66" s="13">
        <f t="shared" si="24"/>
        <v>201.47</v>
      </c>
      <c r="E66" s="13">
        <f t="shared" si="25"/>
        <v>460.96</v>
      </c>
      <c r="F66" s="13">
        <f t="shared" si="26"/>
        <v>15.24</v>
      </c>
    </row>
    <row r="67" spans="1:6" x14ac:dyDescent="0.3">
      <c r="A67" s="13">
        <f t="shared" si="22"/>
        <v>49.92</v>
      </c>
      <c r="B67" s="13">
        <f t="shared" si="37"/>
        <v>177</v>
      </c>
      <c r="C67" s="13">
        <f t="shared" si="37"/>
        <v>8.5</v>
      </c>
      <c r="D67" s="13">
        <f t="shared" si="24"/>
        <v>195.88</v>
      </c>
      <c r="E67" s="13">
        <f t="shared" si="25"/>
        <v>356.45</v>
      </c>
      <c r="F67" s="13">
        <f t="shared" si="26"/>
        <v>4.93</v>
      </c>
    </row>
    <row r="68" spans="1:6" x14ac:dyDescent="0.3">
      <c r="A68" s="13">
        <f t="shared" si="22"/>
        <v>52.99</v>
      </c>
      <c r="B68" s="13">
        <f t="shared" si="37"/>
        <v>175</v>
      </c>
      <c r="C68" s="13">
        <f t="shared" si="37"/>
        <v>11</v>
      </c>
      <c r="D68" s="13">
        <f t="shared" si="24"/>
        <v>190.55</v>
      </c>
      <c r="E68" s="13">
        <f t="shared" si="25"/>
        <v>241.8</v>
      </c>
      <c r="F68" s="13">
        <f t="shared" si="26"/>
        <v>2</v>
      </c>
    </row>
    <row r="69" spans="1:6" x14ac:dyDescent="0.3">
      <c r="A69" s="13">
        <f t="shared" si="22"/>
        <v>55.96</v>
      </c>
      <c r="B69" s="13">
        <f t="shared" si="37"/>
        <v>172</v>
      </c>
      <c r="C69" s="13">
        <f t="shared" si="37"/>
        <v>11.6</v>
      </c>
      <c r="D69" s="13">
        <f t="shared" si="24"/>
        <v>185.66</v>
      </c>
      <c r="E69" s="13">
        <f t="shared" si="25"/>
        <v>186.6</v>
      </c>
      <c r="F69" s="13">
        <f t="shared" si="26"/>
        <v>1.39</v>
      </c>
    </row>
    <row r="70" spans="1:6" x14ac:dyDescent="0.3">
      <c r="A70" s="13">
        <f t="shared" si="22"/>
        <v>59.03</v>
      </c>
      <c r="B70" s="13">
        <f t="shared" si="37"/>
        <v>168</v>
      </c>
      <c r="C70" s="13">
        <f t="shared" si="37"/>
        <v>12.6</v>
      </c>
      <c r="D70" s="13">
        <f t="shared" si="24"/>
        <v>180.91</v>
      </c>
      <c r="E70" s="13">
        <f t="shared" si="25"/>
        <v>166.67</v>
      </c>
      <c r="F70" s="13">
        <f t="shared" si="26"/>
        <v>1.05</v>
      </c>
    </row>
    <row r="71" spans="1:6" x14ac:dyDescent="0.3">
      <c r="A71" s="13">
        <f t="shared" si="22"/>
        <v>62</v>
      </c>
      <c r="B71" s="13">
        <f t="shared" si="37"/>
        <v>158</v>
      </c>
      <c r="C71" s="13">
        <f t="shared" si="37"/>
        <v>5.38</v>
      </c>
      <c r="D71" s="13">
        <f t="shared" si="24"/>
        <v>176.61</v>
      </c>
      <c r="E71" s="13">
        <f t="shared" si="25"/>
        <v>346.33</v>
      </c>
      <c r="F71" s="13">
        <f t="shared" si="26"/>
        <v>11.97</v>
      </c>
    </row>
    <row r="72" spans="1:6" x14ac:dyDescent="0.3">
      <c r="A72" s="13">
        <f t="shared" si="22"/>
        <v>65.069999999999993</v>
      </c>
      <c r="B72" s="13">
        <f t="shared" si="37"/>
        <v>158</v>
      </c>
      <c r="C72" s="13">
        <f t="shared" si="37"/>
        <v>6.5</v>
      </c>
      <c r="D72" s="13">
        <f t="shared" si="24"/>
        <v>172.44</v>
      </c>
      <c r="E72" s="13">
        <f t="shared" si="25"/>
        <v>208.51</v>
      </c>
      <c r="F72" s="13">
        <f t="shared" si="26"/>
        <v>4.9400000000000004</v>
      </c>
    </row>
    <row r="73" spans="1:6" x14ac:dyDescent="0.3">
      <c r="A73" s="13">
        <f t="shared" ref="A73:C73" si="38">A41</f>
        <v>68.05</v>
      </c>
      <c r="B73" s="13">
        <f t="shared" si="38"/>
        <v>166</v>
      </c>
      <c r="C73" s="13">
        <f t="shared" si="38"/>
        <v>15.5</v>
      </c>
      <c r="D73" s="13">
        <f t="shared" si="24"/>
        <v>168.65</v>
      </c>
      <c r="E73" s="13">
        <f t="shared" si="25"/>
        <v>7.02</v>
      </c>
      <c r="F73" s="13">
        <f t="shared" si="26"/>
        <v>0.03</v>
      </c>
    </row>
    <row r="74" spans="1:6" ht="19.5" thickBot="1" x14ac:dyDescent="0.35">
      <c r="A74" s="13">
        <f t="shared" ref="A74:C74" si="39">A42</f>
        <v>71.12</v>
      </c>
      <c r="B74" s="13">
        <f t="shared" si="39"/>
        <v>165</v>
      </c>
      <c r="C74" s="13">
        <f t="shared" si="39"/>
        <v>8.75</v>
      </c>
      <c r="D74" s="13">
        <f t="shared" si="24"/>
        <v>164.98</v>
      </c>
      <c r="E74" s="13">
        <f t="shared" si="25"/>
        <v>0</v>
      </c>
      <c r="F74" s="13">
        <f t="shared" si="26"/>
        <v>0</v>
      </c>
    </row>
    <row r="75" spans="1:6" ht="19.5" thickBot="1" x14ac:dyDescent="0.35">
      <c r="E75" s="23" t="s">
        <v>36</v>
      </c>
      <c r="F75" s="24">
        <f>ROUND(SUM(F47:F74)/(COUNT(F47:F74)-2),2)</f>
        <v>43.99</v>
      </c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22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NGC0289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2026-01-09T10:54:11Z</dcterms:modified>
</cp:coreProperties>
</file>