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NGC024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71" i="1" l="1"/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45" i="1"/>
  <c r="C12" i="1" l="1"/>
  <c r="E12" i="1" s="1"/>
  <c r="E9" i="1" l="1"/>
  <c r="A70" i="1" l="1"/>
  <c r="B70" i="1"/>
  <c r="C70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C9" i="1"/>
  <c r="A46" i="1" l="1"/>
  <c r="A47" i="1"/>
  <c r="A48" i="1"/>
  <c r="A49" i="1"/>
  <c r="A50" i="1"/>
  <c r="A51" i="1"/>
  <c r="A52" i="1"/>
  <c r="A53" i="1"/>
  <c r="A54" i="1"/>
  <c r="A55" i="1"/>
  <c r="A56" i="1"/>
  <c r="A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C45" i="1"/>
  <c r="B45" i="1"/>
  <c r="I8" i="1"/>
  <c r="D16" i="1" l="1"/>
  <c r="J16" i="1" s="1"/>
  <c r="D27" i="1"/>
  <c r="D30" i="1"/>
  <c r="D31" i="1"/>
  <c r="D34" i="1"/>
  <c r="D37" i="1"/>
  <c r="D28" i="1"/>
  <c r="D29" i="1"/>
  <c r="D32" i="1"/>
  <c r="D33" i="1"/>
  <c r="D36" i="1"/>
  <c r="D38" i="1"/>
  <c r="D40" i="1"/>
  <c r="D35" i="1"/>
  <c r="D39" i="1"/>
  <c r="L16" i="1"/>
  <c r="N16" i="1" s="1"/>
  <c r="E10" i="1"/>
  <c r="D15" i="1"/>
  <c r="D25" i="1"/>
  <c r="D23" i="1"/>
  <c r="D21" i="1"/>
  <c r="D19" i="1"/>
  <c r="D17" i="1"/>
  <c r="D26" i="1"/>
  <c r="D24" i="1"/>
  <c r="D22" i="1"/>
  <c r="D20" i="1"/>
  <c r="D18" i="1"/>
  <c r="M16" i="1" l="1"/>
  <c r="K16" i="1"/>
  <c r="J35" i="1"/>
  <c r="M35" i="1"/>
  <c r="K35" i="1"/>
  <c r="L35" i="1"/>
  <c r="L38" i="1"/>
  <c r="K38" i="1"/>
  <c r="M38" i="1"/>
  <c r="J38" i="1"/>
  <c r="J33" i="1"/>
  <c r="K33" i="1"/>
  <c r="M33" i="1"/>
  <c r="L33" i="1"/>
  <c r="J29" i="1"/>
  <c r="K29" i="1"/>
  <c r="M29" i="1"/>
  <c r="L29" i="1"/>
  <c r="J37" i="1"/>
  <c r="M37" i="1"/>
  <c r="K37" i="1"/>
  <c r="L37" i="1"/>
  <c r="J31" i="1"/>
  <c r="M31" i="1"/>
  <c r="K31" i="1"/>
  <c r="L31" i="1"/>
  <c r="J27" i="1"/>
  <c r="M27" i="1"/>
  <c r="K27" i="1"/>
  <c r="L27" i="1"/>
  <c r="J39" i="1"/>
  <c r="M39" i="1"/>
  <c r="K39" i="1"/>
  <c r="L39" i="1"/>
  <c r="L40" i="1"/>
  <c r="K40" i="1"/>
  <c r="M40" i="1"/>
  <c r="J40" i="1"/>
  <c r="J36" i="1"/>
  <c r="K36" i="1"/>
  <c r="M36" i="1"/>
  <c r="L36" i="1"/>
  <c r="J32" i="1"/>
  <c r="L32" i="1"/>
  <c r="K32" i="1"/>
  <c r="M32" i="1"/>
  <c r="J28" i="1"/>
  <c r="L28" i="1"/>
  <c r="K28" i="1"/>
  <c r="M28" i="1"/>
  <c r="K34" i="1"/>
  <c r="M34" i="1"/>
  <c r="J34" i="1"/>
  <c r="L34" i="1"/>
  <c r="K30" i="1"/>
  <c r="M30" i="1"/>
  <c r="J30" i="1"/>
  <c r="L30" i="1"/>
  <c r="J18" i="1"/>
  <c r="L18" i="1"/>
  <c r="K18" i="1"/>
  <c r="M18" i="1"/>
  <c r="J22" i="1"/>
  <c r="L22" i="1"/>
  <c r="K22" i="1"/>
  <c r="M22" i="1"/>
  <c r="J26" i="1"/>
  <c r="L26" i="1"/>
  <c r="M26" i="1"/>
  <c r="K26" i="1"/>
  <c r="J17" i="1"/>
  <c r="L17" i="1"/>
  <c r="K17" i="1"/>
  <c r="M17" i="1"/>
  <c r="J21" i="1"/>
  <c r="L21" i="1"/>
  <c r="K21" i="1"/>
  <c r="M21" i="1"/>
  <c r="J25" i="1"/>
  <c r="L25" i="1"/>
  <c r="M25" i="1"/>
  <c r="K25" i="1"/>
  <c r="J20" i="1"/>
  <c r="L20" i="1"/>
  <c r="K20" i="1"/>
  <c r="M20" i="1"/>
  <c r="J24" i="1"/>
  <c r="L24" i="1"/>
  <c r="K24" i="1"/>
  <c r="M24" i="1"/>
  <c r="J19" i="1"/>
  <c r="L19" i="1"/>
  <c r="K19" i="1"/>
  <c r="M19" i="1"/>
  <c r="J23" i="1"/>
  <c r="L23" i="1"/>
  <c r="K23" i="1"/>
  <c r="M23" i="1"/>
  <c r="M15" i="1"/>
  <c r="K15" i="1"/>
  <c r="L15" i="1"/>
  <c r="J15" i="1"/>
  <c r="O16" i="1"/>
  <c r="O39" i="1" l="1"/>
  <c r="O36" i="1"/>
  <c r="N39" i="1"/>
  <c r="E39" i="1" s="1"/>
  <c r="F39" i="1" s="1"/>
  <c r="G39" i="1" s="1"/>
  <c r="N30" i="1"/>
  <c r="N34" i="1"/>
  <c r="N28" i="1"/>
  <c r="N32" i="1"/>
  <c r="N36" i="1"/>
  <c r="E36" i="1" s="1"/>
  <c r="F36" i="1" s="1"/>
  <c r="G36" i="1" s="1"/>
  <c r="N40" i="1"/>
  <c r="N27" i="1"/>
  <c r="N31" i="1"/>
  <c r="N37" i="1"/>
  <c r="N29" i="1"/>
  <c r="N33" i="1"/>
  <c r="O38" i="1"/>
  <c r="N35" i="1"/>
  <c r="O30" i="1"/>
  <c r="O34" i="1"/>
  <c r="O28" i="1"/>
  <c r="O32" i="1"/>
  <c r="O40" i="1"/>
  <c r="O27" i="1"/>
  <c r="O31" i="1"/>
  <c r="O37" i="1"/>
  <c r="O29" i="1"/>
  <c r="O33" i="1"/>
  <c r="N38" i="1"/>
  <c r="O35" i="1"/>
  <c r="N23" i="1"/>
  <c r="N19" i="1"/>
  <c r="N24" i="1"/>
  <c r="N20" i="1"/>
  <c r="N25" i="1"/>
  <c r="N21" i="1"/>
  <c r="N17" i="1"/>
  <c r="N26" i="1"/>
  <c r="N22" i="1"/>
  <c r="N18" i="1"/>
  <c r="N15" i="1"/>
  <c r="O15" i="1"/>
  <c r="O25" i="1"/>
  <c r="O17" i="1"/>
  <c r="O22" i="1"/>
  <c r="E16" i="1"/>
  <c r="F16" i="1" s="1"/>
  <c r="G16" i="1" s="1"/>
  <c r="O19" i="1"/>
  <c r="O26" i="1"/>
  <c r="O24" i="1"/>
  <c r="O23" i="1"/>
  <c r="O20" i="1"/>
  <c r="O21" i="1"/>
  <c r="O18" i="1"/>
  <c r="E33" i="1" l="1"/>
  <c r="F33" i="1" s="1"/>
  <c r="G33" i="1" s="1"/>
  <c r="E28" i="1"/>
  <c r="F28" i="1" s="1"/>
  <c r="G28" i="1" s="1"/>
  <c r="E30" i="1"/>
  <c r="F30" i="1" s="1"/>
  <c r="G30" i="1" s="1"/>
  <c r="H28" i="1"/>
  <c r="H30" i="1"/>
  <c r="H39" i="1"/>
  <c r="H33" i="1"/>
  <c r="H36" i="1"/>
  <c r="E40" i="1"/>
  <c r="F40" i="1" s="1"/>
  <c r="G40" i="1" s="1"/>
  <c r="E15" i="1"/>
  <c r="F15" i="1" s="1"/>
  <c r="G15" i="1" s="1"/>
  <c r="H15" i="1" s="1"/>
  <c r="E38" i="1"/>
  <c r="F38" i="1" s="1"/>
  <c r="G38" i="1" s="1"/>
  <c r="E29" i="1"/>
  <c r="F29" i="1" s="1"/>
  <c r="G29" i="1" s="1"/>
  <c r="E31" i="1"/>
  <c r="F31" i="1" s="1"/>
  <c r="G31" i="1" s="1"/>
  <c r="E32" i="1"/>
  <c r="F32" i="1" s="1"/>
  <c r="G32" i="1" s="1"/>
  <c r="E34" i="1"/>
  <c r="F34" i="1" s="1"/>
  <c r="G34" i="1" s="1"/>
  <c r="E37" i="1"/>
  <c r="F37" i="1" s="1"/>
  <c r="G37" i="1" s="1"/>
  <c r="E35" i="1"/>
  <c r="F35" i="1" s="1"/>
  <c r="G35" i="1" s="1"/>
  <c r="E27" i="1"/>
  <c r="F27" i="1" s="1"/>
  <c r="G27" i="1" s="1"/>
  <c r="H16" i="1"/>
  <c r="E17" i="1"/>
  <c r="F17" i="1" s="1"/>
  <c r="G17" i="1" s="1"/>
  <c r="E22" i="1"/>
  <c r="F22" i="1" s="1"/>
  <c r="G22" i="1" s="1"/>
  <c r="E26" i="1"/>
  <c r="F26" i="1" s="1"/>
  <c r="G26" i="1" s="1"/>
  <c r="E25" i="1"/>
  <c r="F25" i="1" s="1"/>
  <c r="G25" i="1" s="1"/>
  <c r="E24" i="1"/>
  <c r="F24" i="1" s="1"/>
  <c r="G24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E23" i="1"/>
  <c r="F23" i="1" s="1"/>
  <c r="G23" i="1" s="1"/>
  <c r="H27" i="1" l="1"/>
  <c r="H37" i="1"/>
  <c r="H32" i="1"/>
  <c r="H29" i="1"/>
  <c r="H35" i="1"/>
  <c r="H34" i="1"/>
  <c r="H31" i="1"/>
  <c r="H38" i="1"/>
  <c r="H40" i="1"/>
  <c r="H23" i="1"/>
  <c r="H21" i="1"/>
  <c r="H19" i="1"/>
  <c r="H25" i="1"/>
  <c r="H22" i="1"/>
  <c r="H20" i="1"/>
  <c r="H18" i="1"/>
  <c r="H24" i="1"/>
  <c r="H26" i="1"/>
  <c r="H17" i="1"/>
  <c r="H41" i="1" l="1"/>
  <c r="C42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<sst xmlns="http://schemas.openxmlformats.org/spreadsheetml/2006/main" count="40" uniqueCount="37">
  <si>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</si>
  <si>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</si>
  <si>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</si>
  <si>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</si>
  <si>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</si>
  <si>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</si>
  <si>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</si>
  <si>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</si>
  <si>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</si>
  <si>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</si>
  <si>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</si>
  <si>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</si>
  <si>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</si>
  <si>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</si>
  <si>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</si>
  <si>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</si>
  <si>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</si>
  <si>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</si>
  <si>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</si>
  <si>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</si>
  <si>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</si>
  <si>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</si>
  <si>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</si>
  <si>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</si>
  <si>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</si>
  <si>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</si>
  <si>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</si>
  <si>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</si>
  <si>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</si>
  <si>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</si>
  <si>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NGC0247</t>
  </si>
  <si>
    <t>Incer V_obs</t>
  </si>
  <si>
    <t>A=(V_obs-V_TURI)^2</t>
  </si>
  <si>
    <t>A/Incer V_Obs^2</t>
  </si>
  <si>
    <t>X^2/d_f=</t>
  </si>
  <si>
    <t>r_c=R_max/1,2=</t>
  </si>
  <si>
    <t>ρ0=M_tot/4.π.r_c^3.I(infini)/1,17=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</si>
</sst>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493870228246786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'NGC024'!$B$44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'NGC024'!$C$45:$C$70</c:f>
                <c:numCache>
                  <c:formatCode>General</c:formatCode>
                  <c:ptCount val="26"/>
                  <c:pt idx="0">
                    <c:v>0.9</c:v>
                  </c:pt>
                  <c:pt idx="1">
                    <c:v>0.8</c:v>
                  </c:pt>
                  <c:pt idx="2">
                    <c:v>3.1</c:v>
                  </c:pt>
                  <c:pt idx="3">
                    <c:v>1.4</c:v>
                  </c:pt>
                  <c:pt idx="4">
                    <c:v>2.2999999999999998</c:v>
                  </c:pt>
                  <c:pt idx="5">
                    <c:v>0.7</c:v>
                  </c:pt>
                  <c:pt idx="6">
                    <c:v>1.1000000000000001</c:v>
                  </c:pt>
                  <c:pt idx="7">
                    <c:v>1.7</c:v>
                  </c:pt>
                  <c:pt idx="8">
                    <c:v>3</c:v>
                  </c:pt>
                  <c:pt idx="9">
                    <c:v>3.8</c:v>
                  </c:pt>
                  <c:pt idx="10">
                    <c:v>5</c:v>
                  </c:pt>
                  <c:pt idx="11">
                    <c:v>7</c:v>
                  </c:pt>
                  <c:pt idx="12">
                    <c:v>7.2</c:v>
                  </c:pt>
                  <c:pt idx="13">
                    <c:v>4.8</c:v>
                  </c:pt>
                  <c:pt idx="14">
                    <c:v>1.4</c:v>
                  </c:pt>
                  <c:pt idx="15">
                    <c:v>2.1</c:v>
                  </c:pt>
                  <c:pt idx="16">
                    <c:v>5.2</c:v>
                  </c:pt>
                  <c:pt idx="17">
                    <c:v>8.1999999999999993</c:v>
                  </c:pt>
                  <c:pt idx="18">
                    <c:v>9.4</c:v>
                  </c:pt>
                  <c:pt idx="19">
                    <c:v>9.4</c:v>
                  </c:pt>
                  <c:pt idx="20">
                    <c:v>8.9</c:v>
                  </c:pt>
                  <c:pt idx="21">
                    <c:v>8.4</c:v>
                  </c:pt>
                  <c:pt idx="22">
                    <c:v>9</c:v>
                  </c:pt>
                  <c:pt idx="23">
                    <c:v>8.4</c:v>
                  </c:pt>
                  <c:pt idx="24">
                    <c:v>7.7</c:v>
                  </c:pt>
                  <c:pt idx="25">
                    <c:v>9.1999999999999993</c:v>
                  </c:pt>
                </c:numCache>
              </c:numRef>
            </c:plus>
            <c:minus>
              <c:numRef>
                <c:f>'NGC024'!$C$45:$C$70</c:f>
                <c:numCache>
                  <c:formatCode>General</c:formatCode>
                  <c:ptCount val="26"/>
                  <c:pt idx="0">
                    <c:v>0.9</c:v>
                  </c:pt>
                  <c:pt idx="1">
                    <c:v>0.8</c:v>
                  </c:pt>
                  <c:pt idx="2">
                    <c:v>3.1</c:v>
                  </c:pt>
                  <c:pt idx="3">
                    <c:v>1.4</c:v>
                  </c:pt>
                  <c:pt idx="4">
                    <c:v>2.2999999999999998</c:v>
                  </c:pt>
                  <c:pt idx="5">
                    <c:v>0.7</c:v>
                  </c:pt>
                  <c:pt idx="6">
                    <c:v>1.1000000000000001</c:v>
                  </c:pt>
                  <c:pt idx="7">
                    <c:v>1.7</c:v>
                  </c:pt>
                  <c:pt idx="8">
                    <c:v>3</c:v>
                  </c:pt>
                  <c:pt idx="9">
                    <c:v>3.8</c:v>
                  </c:pt>
                  <c:pt idx="10">
                    <c:v>5</c:v>
                  </c:pt>
                  <c:pt idx="11">
                    <c:v>7</c:v>
                  </c:pt>
                  <c:pt idx="12">
                    <c:v>7.2</c:v>
                  </c:pt>
                  <c:pt idx="13">
                    <c:v>4.8</c:v>
                  </c:pt>
                  <c:pt idx="14">
                    <c:v>1.4</c:v>
                  </c:pt>
                  <c:pt idx="15">
                    <c:v>2.1</c:v>
                  </c:pt>
                  <c:pt idx="16">
                    <c:v>5.2</c:v>
                  </c:pt>
                  <c:pt idx="17">
                    <c:v>8.1999999999999993</c:v>
                  </c:pt>
                  <c:pt idx="18">
                    <c:v>9.4</c:v>
                  </c:pt>
                  <c:pt idx="19">
                    <c:v>9.4</c:v>
                  </c:pt>
                  <c:pt idx="20">
                    <c:v>8.9</c:v>
                  </c:pt>
                  <c:pt idx="21">
                    <c:v>8.4</c:v>
                  </c:pt>
                  <c:pt idx="22">
                    <c:v>9</c:v>
                  </c:pt>
                  <c:pt idx="23">
                    <c:v>8.4</c:v>
                  </c:pt>
                  <c:pt idx="24">
                    <c:v>7.7</c:v>
                  </c:pt>
                  <c:pt idx="25">
                    <c:v>9.1999999999999993</c:v>
                  </c:pt>
                </c:numCache>
              </c:numRef>
            </c:minus>
          </c:errBars>
          <c:xVal>
            <c:numRef>
              <c:f>'NGC024'!$A$45:$A$70</c:f>
              <c:numCache>
                <c:formatCode>General</c:formatCode>
                <c:ptCount val="26"/>
                <c:pt idx="0">
                  <c:v>1.08</c:v>
                </c:pt>
                <c:pt idx="1">
                  <c:v>1.61</c:v>
                </c:pt>
                <c:pt idx="2">
                  <c:v>2.15</c:v>
                </c:pt>
                <c:pt idx="3">
                  <c:v>2.7</c:v>
                </c:pt>
                <c:pt idx="4">
                  <c:v>3.22</c:v>
                </c:pt>
                <c:pt idx="5">
                  <c:v>3.77</c:v>
                </c:pt>
                <c:pt idx="6">
                  <c:v>4.3099999999999996</c:v>
                </c:pt>
                <c:pt idx="7">
                  <c:v>4.8499999999999996</c:v>
                </c:pt>
                <c:pt idx="8">
                  <c:v>5.38</c:v>
                </c:pt>
                <c:pt idx="9">
                  <c:v>5.92</c:v>
                </c:pt>
                <c:pt idx="10">
                  <c:v>6.46</c:v>
                </c:pt>
                <c:pt idx="11">
                  <c:v>6.99</c:v>
                </c:pt>
                <c:pt idx="12">
                  <c:v>7.53</c:v>
                </c:pt>
                <c:pt idx="13">
                  <c:v>8.07</c:v>
                </c:pt>
                <c:pt idx="14">
                  <c:v>8.6199999999999992</c:v>
                </c:pt>
                <c:pt idx="15">
                  <c:v>9.14</c:v>
                </c:pt>
                <c:pt idx="16">
                  <c:v>9.69</c:v>
                </c:pt>
                <c:pt idx="17">
                  <c:v>10.23</c:v>
                </c:pt>
                <c:pt idx="18">
                  <c:v>10.76</c:v>
                </c:pt>
                <c:pt idx="19">
                  <c:v>11.3</c:v>
                </c:pt>
                <c:pt idx="20">
                  <c:v>11.84</c:v>
                </c:pt>
                <c:pt idx="21">
                  <c:v>12.38</c:v>
                </c:pt>
                <c:pt idx="22">
                  <c:v>12.91</c:v>
                </c:pt>
                <c:pt idx="23">
                  <c:v>13.48</c:v>
                </c:pt>
                <c:pt idx="24">
                  <c:v>14.01</c:v>
                </c:pt>
                <c:pt idx="25">
                  <c:v>14.54</c:v>
                </c:pt>
              </c:numCache>
            </c:numRef>
          </c:xVal>
          <c:yVal>
            <c:numRef>
              <c:f>'NGC024'!$B$45:$B$70</c:f>
              <c:numCache>
                <c:formatCode>General</c:formatCode>
                <c:ptCount val="26"/>
                <c:pt idx="0">
                  <c:v>34.6</c:v>
                </c:pt>
                <c:pt idx="1">
                  <c:v>47</c:v>
                </c:pt>
                <c:pt idx="2">
                  <c:v>59.1</c:v>
                </c:pt>
                <c:pt idx="3">
                  <c:v>64.400000000000006</c:v>
                </c:pt>
                <c:pt idx="4">
                  <c:v>67.400000000000006</c:v>
                </c:pt>
                <c:pt idx="5">
                  <c:v>69.8</c:v>
                </c:pt>
                <c:pt idx="6">
                  <c:v>71.3</c:v>
                </c:pt>
                <c:pt idx="7">
                  <c:v>73.2</c:v>
                </c:pt>
                <c:pt idx="8">
                  <c:v>75.099999999999994</c:v>
                </c:pt>
                <c:pt idx="9">
                  <c:v>78.5</c:v>
                </c:pt>
                <c:pt idx="10">
                  <c:v>81.400000000000006</c:v>
                </c:pt>
                <c:pt idx="11">
                  <c:v>83.5</c:v>
                </c:pt>
                <c:pt idx="12">
                  <c:v>87.1</c:v>
                </c:pt>
                <c:pt idx="13">
                  <c:v>90.7</c:v>
                </c:pt>
                <c:pt idx="14">
                  <c:v>93.1</c:v>
                </c:pt>
                <c:pt idx="15">
                  <c:v>95.9</c:v>
                </c:pt>
                <c:pt idx="16">
                  <c:v>98.4</c:v>
                </c:pt>
                <c:pt idx="17">
                  <c:v>101</c:v>
                </c:pt>
                <c:pt idx="18">
                  <c:v>103</c:v>
                </c:pt>
                <c:pt idx="19">
                  <c:v>104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106</c:v>
                </c:pt>
                <c:pt idx="24">
                  <c:v>108</c:v>
                </c:pt>
                <c:pt idx="25">
                  <c:v>107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96192"/>
        <c:axId val="213497728"/>
      </c:scatterChart>
      <c:scatterChart>
        <c:scatterStyle val="smoothMarker"/>
        <c:varyColors val="0"/>
        <c:ser>
          <c:idx val="1"/>
          <c:order val="1"/>
          <c:tx>
            <c:strRef>
              <c:f>'NGC024'!$D$44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'NGC024'!$A$45:$A$70</c:f>
              <c:numCache>
                <c:formatCode>General</c:formatCode>
                <c:ptCount val="26"/>
                <c:pt idx="0">
                  <c:v>1.08</c:v>
                </c:pt>
                <c:pt idx="1">
                  <c:v>1.61</c:v>
                </c:pt>
                <c:pt idx="2">
                  <c:v>2.15</c:v>
                </c:pt>
                <c:pt idx="3">
                  <c:v>2.7</c:v>
                </c:pt>
                <c:pt idx="4">
                  <c:v>3.22</c:v>
                </c:pt>
                <c:pt idx="5">
                  <c:v>3.77</c:v>
                </c:pt>
                <c:pt idx="6">
                  <c:v>4.3099999999999996</c:v>
                </c:pt>
                <c:pt idx="7">
                  <c:v>4.8499999999999996</c:v>
                </c:pt>
                <c:pt idx="8">
                  <c:v>5.38</c:v>
                </c:pt>
                <c:pt idx="9">
                  <c:v>5.92</c:v>
                </c:pt>
                <c:pt idx="10">
                  <c:v>6.46</c:v>
                </c:pt>
                <c:pt idx="11">
                  <c:v>6.99</c:v>
                </c:pt>
                <c:pt idx="12">
                  <c:v>7.53</c:v>
                </c:pt>
                <c:pt idx="13">
                  <c:v>8.07</c:v>
                </c:pt>
                <c:pt idx="14">
                  <c:v>8.6199999999999992</c:v>
                </c:pt>
                <c:pt idx="15">
                  <c:v>9.14</c:v>
                </c:pt>
                <c:pt idx="16">
                  <c:v>9.69</c:v>
                </c:pt>
                <c:pt idx="17">
                  <c:v>10.23</c:v>
                </c:pt>
                <c:pt idx="18">
                  <c:v>10.76</c:v>
                </c:pt>
                <c:pt idx="19">
                  <c:v>11.3</c:v>
                </c:pt>
                <c:pt idx="20">
                  <c:v>11.84</c:v>
                </c:pt>
                <c:pt idx="21">
                  <c:v>12.38</c:v>
                </c:pt>
                <c:pt idx="22">
                  <c:v>12.91</c:v>
                </c:pt>
                <c:pt idx="23">
                  <c:v>13.48</c:v>
                </c:pt>
                <c:pt idx="24">
                  <c:v>14.01</c:v>
                </c:pt>
                <c:pt idx="25">
                  <c:v>14.54</c:v>
                </c:pt>
              </c:numCache>
            </c:numRef>
          </c:xVal>
          <c:yVal>
            <c:numRef>
              <c:f>'NGC024'!$D$45:$D$70</c:f>
              <c:numCache>
                <c:formatCode>General</c:formatCode>
                <c:ptCount val="26"/>
                <c:pt idx="0">
                  <c:v>21.78</c:v>
                </c:pt>
                <c:pt idx="1">
                  <c:v>32.049999999999997</c:v>
                </c:pt>
                <c:pt idx="2">
                  <c:v>42.05</c:v>
                </c:pt>
                <c:pt idx="3">
                  <c:v>51.66</c:v>
                </c:pt>
                <c:pt idx="4">
                  <c:v>60.13</c:v>
                </c:pt>
                <c:pt idx="5">
                  <c:v>68.319999999999993</c:v>
                </c:pt>
                <c:pt idx="6">
                  <c:v>75.569999999999993</c:v>
                </c:pt>
                <c:pt idx="7">
                  <c:v>81.97</c:v>
                </c:pt>
                <c:pt idx="8">
                  <c:v>87.44</c:v>
                </c:pt>
                <c:pt idx="9">
                  <c:v>92.17</c:v>
                </c:pt>
                <c:pt idx="10">
                  <c:v>96.09</c:v>
                </c:pt>
                <c:pt idx="11">
                  <c:v>99.19</c:v>
                </c:pt>
                <c:pt idx="12">
                  <c:v>101.64</c:v>
                </c:pt>
                <c:pt idx="13">
                  <c:v>103.44</c:v>
                </c:pt>
                <c:pt idx="14">
                  <c:v>104.67</c:v>
                </c:pt>
                <c:pt idx="15">
                  <c:v>105.34</c:v>
                </c:pt>
                <c:pt idx="16">
                  <c:v>105.59</c:v>
                </c:pt>
                <c:pt idx="17">
                  <c:v>105.46</c:v>
                </c:pt>
                <c:pt idx="18">
                  <c:v>105.02</c:v>
                </c:pt>
                <c:pt idx="19">
                  <c:v>104.32</c:v>
                </c:pt>
                <c:pt idx="20">
                  <c:v>103.41</c:v>
                </c:pt>
                <c:pt idx="21">
                  <c:v>102.34</c:v>
                </c:pt>
                <c:pt idx="22">
                  <c:v>101.17</c:v>
                </c:pt>
                <c:pt idx="23">
                  <c:v>99.83</c:v>
                </c:pt>
                <c:pt idx="24">
                  <c:v>98.52</c:v>
                </c:pt>
                <c:pt idx="25">
                  <c:v>97.18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496192"/>
        <c:axId val="213497728"/>
      </c:scatterChart>
      <c:valAx>
        <c:axId val="21349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497728"/>
        <c:crosses val="autoZero"/>
        <c:crossBetween val="midCat"/>
      </c:valAx>
      <c:valAx>
        <c:axId val="21349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3496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43</xdr:row>
      <xdr:rowOff>0</xdr:rowOff>
    </xdr:from>
    <xdr:to>
      <xdr:col>12</xdr:col>
      <xdr:colOff>1019175</xdr:colOff>
      <xdr:row>59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71"/>
  <sheetViews>
    <sheetView tabSelected="1" topLeftCell="A64" workbookViewId="0">
      <selection activeCell="F71" sqref="F71"/>
    </sheetView>
  </sheetViews>
  <sheetFormatPr baseColWidth="10" defaultRowHeight="18.75" x14ac:dyDescent="0.3"/>
  <cols>
    <col min="1" max="1" width="13.140625" style="1" customWidth="1"/>
    <col min="2" max="2" width="18.85546875" style="1" customWidth="1"/>
    <col min="3" max="3" width="15.140625" style="1" customWidth="1"/>
    <col min="4" max="4" width="38.140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1" t="s">
        <v>2</v>
      </c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30</v>
      </c>
      <c r="B9" s="14" t="s">
        <v>8</v>
      </c>
      <c r="C9" s="21">
        <f>A40</f>
        <v>14.54</v>
      </c>
      <c r="D9" s="14" t="s">
        <v>9</v>
      </c>
      <c r="E9" s="21">
        <f>B40</f>
        <v>107</v>
      </c>
      <c r="F9" s="10"/>
      <c r="G9" s="10"/>
      <c r="H9" s="10"/>
      <c r="I9" s="11"/>
    </row>
    <row r="10" spans="1:15" x14ac:dyDescent="0.3">
      <c r="B10" s="5" t="s">
        <v>10</v>
      </c>
      <c r="C10" s="25" t="s">
        <v>12</v>
      </c>
      <c r="D10" s="25"/>
      <c r="E10" s="9">
        <f>E9*E9*C9/I8</f>
        <v>38705494198.888596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20</v>
      </c>
      <c r="H11" s="6"/>
      <c r="I11" s="2"/>
    </row>
    <row r="12" spans="1:15" x14ac:dyDescent="0.3">
      <c r="B12" s="5" t="s">
        <v>35</v>
      </c>
      <c r="C12" s="7">
        <f>C9/1.2</f>
        <v>12.116666666666667</v>
      </c>
      <c r="D12" s="5" t="s">
        <v>36</v>
      </c>
      <c r="E12" s="9">
        <f>E10/(POWER(C12,3)*4*3.14159*H10)/1.17</f>
        <v>22811734.896693669</v>
      </c>
      <c r="F12" s="6" t="s">
        <v>14</v>
      </c>
      <c r="G12" s="17" t="s">
        <v>19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15</v>
      </c>
      <c r="C14" s="12" t="s">
        <v>31</v>
      </c>
      <c r="D14" s="12" t="s">
        <v>16</v>
      </c>
      <c r="E14" s="12" t="s">
        <v>29</v>
      </c>
      <c r="F14" s="12" t="s">
        <v>17</v>
      </c>
      <c r="G14" s="13" t="s">
        <v>18</v>
      </c>
      <c r="H14" s="12" t="s">
        <v>22</v>
      </c>
      <c r="J14" s="26" t="s">
        <v>28</v>
      </c>
      <c r="K14" s="26"/>
      <c r="L14" s="26"/>
      <c r="M14" s="26"/>
      <c r="N14" s="26"/>
      <c r="O14" s="26"/>
    </row>
    <row r="15" spans="1:15" x14ac:dyDescent="0.3">
      <c r="A15" s="13">
        <v>1.08</v>
      </c>
      <c r="B15" s="13">
        <v>34.6</v>
      </c>
      <c r="C15" s="13">
        <v>0.9</v>
      </c>
      <c r="D15" s="13">
        <f>A15/$C$12</f>
        <v>8.9133425034387898E-2</v>
      </c>
      <c r="E15" s="13">
        <f>N15*K15+O15*M15</f>
        <v>2.3363919559834945E-4</v>
      </c>
      <c r="F15" s="13">
        <f>4*$H$12*$E$12*POWER($C$12,3)*E15</f>
        <v>119141481.67419085</v>
      </c>
      <c r="G15" s="13">
        <f t="shared" ref="G15:G26" si="0">POWER($I$8*F15/A15,0.5)</f>
        <v>21.782077208799855</v>
      </c>
      <c r="H15" s="13">
        <f t="shared" ref="H15:H26" si="1">ROUND(ABS((B15-G15)/B15)*100,2)</f>
        <v>37.049999999999997</v>
      </c>
      <c r="J15" s="13">
        <f>INDEX(Integrale!$H$3:$H$502,MATCH('NGC024'!D15,Integrale!$H$3:$H$502,1))</f>
        <v>0.08</v>
      </c>
      <c r="K15" s="13">
        <f>INDEX(Integrale!$I$3:$I$502,MATCH('NGC024'!D15,Integrale!$H$3:$H$502,1))</f>
        <v>1.693376E-4</v>
      </c>
      <c r="L15" s="13">
        <f>INDEX(Integrale!$H$3:$H$502,MATCH('NGC024'!D15,Integrale!$H$3:$H$502,1)+1)</f>
        <v>0.09</v>
      </c>
      <c r="M15" s="13">
        <f>INDEX(Integrale!$I$3:$I$502,MATCH('NGC024'!D15,Integrale!$H$3:$H$502,1)+1)</f>
        <v>2.3974010000000001E-4</v>
      </c>
      <c r="N15" s="13">
        <f>(L15-D15)/(L15-J15)</f>
        <v>8.6657496561209954E-2</v>
      </c>
      <c r="O15" s="13">
        <f t="shared" ref="O15:O26" si="2">(D15-J15)/(L15-J15)</f>
        <v>0.91334250343879009</v>
      </c>
    </row>
    <row r="16" spans="1:15" x14ac:dyDescent="0.3">
      <c r="A16" s="13">
        <v>1.61</v>
      </c>
      <c r="B16" s="13">
        <v>47</v>
      </c>
      <c r="C16" s="13">
        <v>0.8</v>
      </c>
      <c r="D16" s="13">
        <f t="shared" ref="D16:D26" si="3">A16/$C$12</f>
        <v>0.1328748280605227</v>
      </c>
      <c r="E16" s="13">
        <f t="shared" ref="E16:E25" si="4">N16*K16+O16*M16</f>
        <v>7.5404477097661604E-4</v>
      </c>
      <c r="F16" s="13">
        <f t="shared" ref="F16:F26" si="5">4*$H$12*$E$12*POWER($C$12,3)*E16</f>
        <v>384516009.96465939</v>
      </c>
      <c r="G16" s="13">
        <f t="shared" si="0"/>
        <v>32.049698472985966</v>
      </c>
      <c r="H16" s="13">
        <f t="shared" si="1"/>
        <v>31.81</v>
      </c>
      <c r="J16" s="13">
        <f>INDEX(Integrale!$H$3:$H$502,MATCH('NGC024'!D16,Integrale!$H$3:$H$502,1))</f>
        <v>0.13</v>
      </c>
      <c r="K16" s="13">
        <f>INDEX(Integrale!$I$3:$I$502,MATCH('NGC024'!D16,Integrale!$H$3:$H$502,1))</f>
        <v>7.0528050000000003E-4</v>
      </c>
      <c r="L16" s="13">
        <f>INDEX(Integrale!$H$3:$H$502,MATCH('NGC024'!D16,Integrale!$H$3:$H$502,1)+1)</f>
        <v>0.14000000000000001</v>
      </c>
      <c r="M16" s="13">
        <f>INDEX(Integrale!$I$3:$I$502,MATCH('NGC024'!D16,Integrale!$H$3:$H$502,1)+1)</f>
        <v>8.7490549999999999E-4</v>
      </c>
      <c r="N16" s="13">
        <f t="shared" ref="N16:N26" si="6">(L16-D16)/(L16-J16)</f>
        <v>0.71251719394773083</v>
      </c>
      <c r="O16" s="13">
        <f t="shared" si="2"/>
        <v>0.28748280605226911</v>
      </c>
    </row>
    <row r="17" spans="1:15" x14ac:dyDescent="0.3">
      <c r="A17" s="13">
        <v>2.15</v>
      </c>
      <c r="B17" s="13">
        <v>59.1</v>
      </c>
      <c r="C17" s="13">
        <v>3.1</v>
      </c>
      <c r="D17" s="13">
        <f t="shared" si="3"/>
        <v>0.17744154057771663</v>
      </c>
      <c r="E17" s="13">
        <f t="shared" si="4"/>
        <v>1.7330391850068775E-3</v>
      </c>
      <c r="F17" s="13">
        <f t="shared" si="5"/>
        <v>883742369.39296412</v>
      </c>
      <c r="G17" s="13">
        <f t="shared" si="0"/>
        <v>42.045863975570612</v>
      </c>
      <c r="H17" s="13">
        <f t="shared" si="1"/>
        <v>28.86</v>
      </c>
      <c r="J17" s="13">
        <f>INDEX(Integrale!$H$3:$H$502,MATCH('NGC024'!D17,Integrale!$H$3:$H$502,1))</f>
        <v>0.17</v>
      </c>
      <c r="K17" s="13">
        <f>INDEX(Integrale!$I$3:$I$502,MATCH('NGC024'!D17,Integrale!$H$3:$H$502,1))</f>
        <v>1.5312220000000001E-3</v>
      </c>
      <c r="L17" s="13">
        <f>INDEX(Integrale!$H$3:$H$502,MATCH('NGC024'!D17,Integrale!$H$3:$H$502,1)+1)</f>
        <v>0.18</v>
      </c>
      <c r="M17" s="13">
        <f>INDEX(Integrale!$I$3:$I$502,MATCH('NGC024'!D17,Integrale!$H$3:$H$502,1)+1)</f>
        <v>1.8024255E-3</v>
      </c>
      <c r="N17" s="13">
        <f t="shared" si="6"/>
        <v>0.25584594222833651</v>
      </c>
      <c r="O17" s="13">
        <f t="shared" si="2"/>
        <v>0.74415405777166355</v>
      </c>
    </row>
    <row r="18" spans="1:15" x14ac:dyDescent="0.3">
      <c r="A18" s="13">
        <v>2.7</v>
      </c>
      <c r="B18" s="13">
        <v>64.400000000000006</v>
      </c>
      <c r="C18" s="13">
        <v>1.4</v>
      </c>
      <c r="D18" s="13">
        <f t="shared" si="3"/>
        <v>0.22283356258596976</v>
      </c>
      <c r="E18" s="13">
        <f t="shared" si="4"/>
        <v>3.2860047481430539E-3</v>
      </c>
      <c r="F18" s="13">
        <f t="shared" si="5"/>
        <v>1675658373.5000479</v>
      </c>
      <c r="G18" s="13">
        <f t="shared" si="0"/>
        <v>51.664297790089968</v>
      </c>
      <c r="H18" s="13">
        <f t="shared" si="1"/>
        <v>19.78</v>
      </c>
      <c r="J18" s="13">
        <f>INDEX(Integrale!$H$3:$H$502,MATCH('NGC024'!D18,Integrale!$H$3:$H$502,1))</f>
        <v>0.22</v>
      </c>
      <c r="K18" s="13">
        <f>INDEX(Integrale!$I$3:$I$502,MATCH('NGC024'!D18,Integrale!$H$3:$H$502,1))</f>
        <v>3.1686488999999999E-3</v>
      </c>
      <c r="L18" s="13">
        <f>INDEX(Integrale!$H$3:$H$502,MATCH('NGC024'!D18,Integrale!$H$3:$H$502,1)+1)</f>
        <v>0.23</v>
      </c>
      <c r="M18" s="13">
        <f>INDEX(Integrale!$I$3:$I$502,MATCH('NGC024'!D18,Integrale!$H$3:$H$502,1)+1)</f>
        <v>3.5828125000000001E-3</v>
      </c>
      <c r="N18" s="13">
        <f t="shared" si="6"/>
        <v>0.71664374140302456</v>
      </c>
      <c r="O18" s="13">
        <f t="shared" si="2"/>
        <v>0.28335625859697539</v>
      </c>
    </row>
    <row r="19" spans="1:15" x14ac:dyDescent="0.3">
      <c r="A19" s="13">
        <v>3.22</v>
      </c>
      <c r="B19" s="13">
        <v>67.400000000000006</v>
      </c>
      <c r="C19" s="13">
        <v>2.2999999999999998</v>
      </c>
      <c r="D19" s="13">
        <f t="shared" si="3"/>
        <v>0.2657496561210454</v>
      </c>
      <c r="E19" s="13">
        <f t="shared" si="4"/>
        <v>5.3082711724896821E-3</v>
      </c>
      <c r="F19" s="13">
        <f t="shared" si="5"/>
        <v>2706888675.0750432</v>
      </c>
      <c r="G19" s="13">
        <f t="shared" si="0"/>
        <v>60.129408846838544</v>
      </c>
      <c r="H19" s="13">
        <f t="shared" si="1"/>
        <v>10.79</v>
      </c>
      <c r="J19" s="13">
        <f>INDEX(Integrale!$H$3:$H$502,MATCH('NGC024'!D19,Integrale!$H$3:$H$502,1))</f>
        <v>0.26</v>
      </c>
      <c r="K19" s="13">
        <f>INDEX(Integrale!$I$3:$I$502,MATCH('NGC024'!D19,Integrale!$H$3:$H$502,1))</f>
        <v>5.0024203999999997E-3</v>
      </c>
      <c r="L19" s="13">
        <f>INDEX(Integrale!$H$3:$H$502,MATCH('NGC024'!D19,Integrale!$H$3:$H$502,1)+1)</f>
        <v>0.27</v>
      </c>
      <c r="M19" s="13">
        <f>INDEX(Integrale!$I$3:$I$502,MATCH('NGC024'!D19,Integrale!$H$3:$H$502,1)+1)</f>
        <v>5.5343666E-3</v>
      </c>
      <c r="N19" s="13">
        <f t="shared" si="6"/>
        <v>0.42503438789546172</v>
      </c>
      <c r="O19" s="13">
        <f t="shared" si="2"/>
        <v>0.57496561210453823</v>
      </c>
    </row>
    <row r="20" spans="1:15" x14ac:dyDescent="0.3">
      <c r="A20" s="13">
        <v>3.77</v>
      </c>
      <c r="B20" s="13">
        <v>69.8</v>
      </c>
      <c r="C20" s="13">
        <v>0.7</v>
      </c>
      <c r="D20" s="13">
        <f t="shared" si="3"/>
        <v>0.31114167812929849</v>
      </c>
      <c r="E20" s="13">
        <f t="shared" si="4"/>
        <v>8.0234164075653376E-3</v>
      </c>
      <c r="F20" s="13">
        <f t="shared" si="5"/>
        <v>4091444145.0555182</v>
      </c>
      <c r="G20" s="13">
        <f t="shared" si="0"/>
        <v>68.319913955083749</v>
      </c>
      <c r="H20" s="13">
        <f t="shared" si="1"/>
        <v>2.12</v>
      </c>
      <c r="J20" s="13">
        <f>INDEX(Integrale!$H$3:$H$502,MATCH('NGC024'!D20,Integrale!$H$3:$H$502,1))</f>
        <v>0.31</v>
      </c>
      <c r="K20" s="13">
        <f>INDEX(Integrale!$I$3:$I$502,MATCH('NGC024'!D20,Integrale!$H$3:$H$502,1))</f>
        <v>7.9467676999999994E-3</v>
      </c>
      <c r="L20" s="13">
        <f>INDEX(Integrale!$H$3:$H$502,MATCH('NGC024'!D20,Integrale!$H$3:$H$502,1)+1)</f>
        <v>0.32</v>
      </c>
      <c r="M20" s="13">
        <f>INDEX(Integrale!$I$3:$I$502,MATCH('NGC024'!D20,Integrale!$H$3:$H$502,1)+1)</f>
        <v>8.6181364999999999E-3</v>
      </c>
      <c r="N20" s="13">
        <f t="shared" si="6"/>
        <v>0.88583218707015055</v>
      </c>
      <c r="O20" s="13">
        <f t="shared" si="2"/>
        <v>0.11416781292984947</v>
      </c>
    </row>
    <row r="21" spans="1:15" x14ac:dyDescent="0.3">
      <c r="A21" s="13">
        <v>4.3099999999999996</v>
      </c>
      <c r="B21" s="13">
        <v>71.3</v>
      </c>
      <c r="C21" s="13">
        <v>1.1000000000000001</v>
      </c>
      <c r="D21" s="13">
        <f t="shared" si="3"/>
        <v>0.3557083906464924</v>
      </c>
      <c r="E21" s="13">
        <f t="shared" si="4"/>
        <v>1.1222434654195323E-2</v>
      </c>
      <c r="F21" s="13">
        <f t="shared" si="5"/>
        <v>5722744804.3056955</v>
      </c>
      <c r="G21" s="13">
        <f t="shared" si="0"/>
        <v>75.568922043713258</v>
      </c>
      <c r="H21" s="13">
        <f t="shared" si="1"/>
        <v>5.99</v>
      </c>
      <c r="J21" s="13">
        <f>INDEX(Integrale!$H$3:$H$502,MATCH('NGC024'!D21,Integrale!$H$3:$H$502,1))</f>
        <v>0.35</v>
      </c>
      <c r="K21" s="13">
        <f>INDEX(Integrale!$I$3:$I$502,MATCH('NGC024'!D21,Integrale!$H$3:$H$502,1))</f>
        <v>1.0783486300000001E-2</v>
      </c>
      <c r="L21" s="13">
        <f>INDEX(Integrale!$H$3:$H$502,MATCH('NGC024'!D21,Integrale!$H$3:$H$502,1)+1)</f>
        <v>0.36</v>
      </c>
      <c r="M21" s="13">
        <f>INDEX(Integrale!$I$3:$I$502,MATCH('NGC024'!D21,Integrale!$H$3:$H$502,1)+1)</f>
        <v>1.15524392E-2</v>
      </c>
      <c r="N21" s="13">
        <f t="shared" si="6"/>
        <v>0.42916093535075822</v>
      </c>
      <c r="O21" s="13">
        <f t="shared" si="2"/>
        <v>0.57083906464924172</v>
      </c>
    </row>
    <row r="22" spans="1:15" x14ac:dyDescent="0.3">
      <c r="A22" s="13">
        <v>4.8499999999999996</v>
      </c>
      <c r="B22" s="13">
        <v>73.2</v>
      </c>
      <c r="C22" s="13">
        <v>1.7</v>
      </c>
      <c r="D22" s="13">
        <f t="shared" si="3"/>
        <v>0.40027510316368636</v>
      </c>
      <c r="E22" s="13">
        <f t="shared" si="4"/>
        <v>1.4857944429023381E-2</v>
      </c>
      <c r="F22" s="13">
        <f t="shared" si="5"/>
        <v>7576629038.5188293</v>
      </c>
      <c r="G22" s="13">
        <f t="shared" si="0"/>
        <v>81.968467449587905</v>
      </c>
      <c r="H22" s="13">
        <f t="shared" si="1"/>
        <v>11.98</v>
      </c>
      <c r="J22" s="13">
        <f>INDEX(Integrale!$H$3:$H$502,MATCH('NGC024'!D22,Integrale!$H$3:$H$502,1))</f>
        <v>0.4</v>
      </c>
      <c r="K22" s="13">
        <f>INDEX(Integrale!$I$3:$I$502,MATCH('NGC024'!D22,Integrale!$H$3:$H$502,1))</f>
        <v>1.48341297E-2</v>
      </c>
      <c r="L22" s="13">
        <f>INDEX(Integrale!$H$3:$H$502,MATCH('NGC024'!D22,Integrale!$H$3:$H$502,1)+1)</f>
        <v>0.41</v>
      </c>
      <c r="M22" s="13">
        <f>INDEX(Integrale!$I$3:$I$502,MATCH('NGC024'!D22,Integrale!$H$3:$H$502,1)+1)</f>
        <v>1.56997951E-2</v>
      </c>
      <c r="N22" s="13">
        <f t="shared" si="6"/>
        <v>0.97248968363136579</v>
      </c>
      <c r="O22" s="13">
        <f t="shared" si="2"/>
        <v>2.7510316368634231E-2</v>
      </c>
    </row>
    <row r="23" spans="1:15" x14ac:dyDescent="0.3">
      <c r="A23" s="13">
        <v>5.38</v>
      </c>
      <c r="B23" s="13">
        <v>75.099999999999994</v>
      </c>
      <c r="C23" s="13">
        <v>3</v>
      </c>
      <c r="D23" s="13">
        <f t="shared" si="3"/>
        <v>0.44401650618982114</v>
      </c>
      <c r="E23" s="13">
        <f t="shared" si="4"/>
        <v>1.8753273463136169E-2</v>
      </c>
      <c r="F23" s="13">
        <f t="shared" si="5"/>
        <v>9563004961.2065678</v>
      </c>
      <c r="G23" s="13">
        <f t="shared" si="0"/>
        <v>87.435082703089833</v>
      </c>
      <c r="H23" s="13">
        <f t="shared" si="1"/>
        <v>16.420000000000002</v>
      </c>
      <c r="J23" s="13">
        <f>INDEX(Integrale!$H$3:$H$502,MATCH('NGC024'!D23,Integrale!$H$3:$H$502,1))</f>
        <v>0.44</v>
      </c>
      <c r="K23" s="13">
        <f>INDEX(Integrale!$I$3:$I$502,MATCH('NGC024'!D23,Integrale!$H$3:$H$502,1))</f>
        <v>1.8384067899999999E-2</v>
      </c>
      <c r="L23" s="13">
        <f>INDEX(Integrale!$H$3:$H$502,MATCH('NGC024'!D23,Integrale!$H$3:$H$502,1)+1)</f>
        <v>0.45</v>
      </c>
      <c r="M23" s="13">
        <f>INDEX(Integrale!$I$3:$I$502,MATCH('NGC024'!D23,Integrale!$H$3:$H$502,1)+1)</f>
        <v>1.9303288599999999E-2</v>
      </c>
      <c r="N23" s="13">
        <f t="shared" si="6"/>
        <v>0.59834938101788693</v>
      </c>
      <c r="O23" s="13">
        <f t="shared" si="2"/>
        <v>0.40165061898211307</v>
      </c>
    </row>
    <row r="24" spans="1:15" x14ac:dyDescent="0.3">
      <c r="A24" s="13">
        <v>5.92</v>
      </c>
      <c r="B24" s="13">
        <v>78.5</v>
      </c>
      <c r="C24" s="13">
        <v>3.8</v>
      </c>
      <c r="D24" s="13">
        <f t="shared" si="3"/>
        <v>0.4885832187070151</v>
      </c>
      <c r="E24" s="13">
        <f t="shared" si="4"/>
        <v>2.2930265752957354E-2</v>
      </c>
      <c r="F24" s="13">
        <f t="shared" si="5"/>
        <v>11693011654.11817</v>
      </c>
      <c r="G24" s="13">
        <f t="shared" si="0"/>
        <v>92.168391925511003</v>
      </c>
      <c r="H24" s="13">
        <f t="shared" si="1"/>
        <v>17.41</v>
      </c>
      <c r="J24" s="13">
        <f>INDEX(Integrale!$H$3:$H$502,MATCH('NGC024'!D24,Integrale!$H$3:$H$502,1))</f>
        <v>0.48</v>
      </c>
      <c r="K24" s="13">
        <f>INDEX(Integrale!$I$3:$I$502,MATCH('NGC024'!D24,Integrale!$H$3:$H$502,1))</f>
        <v>2.2114607200000001E-2</v>
      </c>
      <c r="L24" s="13">
        <f>INDEX(Integrale!$H$3:$H$502,MATCH('NGC024'!D24,Integrale!$H$3:$H$502,1)+1)</f>
        <v>0.49</v>
      </c>
      <c r="M24" s="13">
        <f>INDEX(Integrale!$I$3:$I$502,MATCH('NGC024'!D24,Integrale!$H$3:$H$502,1)+1)</f>
        <v>2.3064901700000001E-2</v>
      </c>
      <c r="N24" s="13">
        <f t="shared" si="6"/>
        <v>0.14167812929848908</v>
      </c>
      <c r="O24" s="13">
        <f t="shared" si="2"/>
        <v>0.85832187070151089</v>
      </c>
    </row>
    <row r="25" spans="1:15" x14ac:dyDescent="0.3">
      <c r="A25" s="13">
        <v>6.46</v>
      </c>
      <c r="B25" s="13">
        <v>81.400000000000006</v>
      </c>
      <c r="C25" s="13">
        <v>5</v>
      </c>
      <c r="D25" s="13">
        <f t="shared" si="3"/>
        <v>0.53314993122420906</v>
      </c>
      <c r="E25" s="13">
        <f t="shared" si="4"/>
        <v>2.719705890275103E-2</v>
      </c>
      <c r="F25" s="13">
        <f t="shared" si="5"/>
        <v>13868811209.333286</v>
      </c>
      <c r="G25" s="13">
        <f t="shared" si="0"/>
        <v>96.091070491527304</v>
      </c>
      <c r="H25" s="13">
        <f t="shared" si="1"/>
        <v>18.05</v>
      </c>
      <c r="J25" s="13">
        <f>INDEX(Integrale!$H$3:$H$502,MATCH('NGC024'!D25,Integrale!$H$3:$H$502,1))</f>
        <v>0.53</v>
      </c>
      <c r="K25" s="13">
        <f>INDEX(Integrale!$I$3:$I$502,MATCH('NGC024'!D25,Integrale!$H$3:$H$502,1))</f>
        <v>2.6895225500000002E-2</v>
      </c>
      <c r="L25" s="13">
        <f>INDEX(Integrale!$H$3:$H$502,MATCH('NGC024'!D25,Integrale!$H$3:$H$502,1)+1)</f>
        <v>0.54</v>
      </c>
      <c r="M25" s="13">
        <f>INDEX(Integrale!$I$3:$I$502,MATCH('NGC024'!D25,Integrale!$H$3:$H$502,1)+1)</f>
        <v>2.7853447699999999E-2</v>
      </c>
      <c r="N25" s="13">
        <f t="shared" si="6"/>
        <v>0.68500687757909684</v>
      </c>
      <c r="O25" s="13">
        <f t="shared" si="2"/>
        <v>0.31499312242090322</v>
      </c>
    </row>
    <row r="26" spans="1:15" x14ac:dyDescent="0.3">
      <c r="A26" s="13">
        <v>6.99</v>
      </c>
      <c r="B26" s="13">
        <v>83.5</v>
      </c>
      <c r="C26" s="13">
        <v>7</v>
      </c>
      <c r="D26" s="13">
        <f t="shared" si="3"/>
        <v>0.57689133425034389</v>
      </c>
      <c r="E26" s="13">
        <f>N26*K26+O26*M26</f>
        <v>3.1358689522558464E-2</v>
      </c>
      <c r="F26" s="13">
        <f t="shared" si="5"/>
        <v>15990984404.437548</v>
      </c>
      <c r="G26" s="13">
        <f t="shared" si="0"/>
        <v>99.192465351003023</v>
      </c>
      <c r="H26" s="13">
        <f t="shared" si="1"/>
        <v>18.79</v>
      </c>
      <c r="J26" s="13">
        <f>INDEX(Integrale!$H$3:$H$502,MATCH('NGC024'!D26,Integrale!$H$3:$H$502,1))</f>
        <v>0.56999999999999995</v>
      </c>
      <c r="K26" s="13">
        <f>INDEX(Integrale!$I$3:$I$502,MATCH('NGC024'!D26,Integrale!$H$3:$H$502,1))</f>
        <v>3.0709555400000001E-2</v>
      </c>
      <c r="L26" s="13">
        <f>INDEX(Integrale!$H$3:$H$502,MATCH('NGC024'!D26,Integrale!$H$3:$H$502,1)+1)</f>
        <v>0.57999999999999996</v>
      </c>
      <c r="M26" s="13">
        <f>INDEX(Integrale!$I$3:$I$502,MATCH('NGC024'!D26,Integrale!$H$3:$H$502,1)+1)</f>
        <v>3.1651512499999999E-2</v>
      </c>
      <c r="N26" s="13">
        <f t="shared" si="6"/>
        <v>0.31086657496560671</v>
      </c>
      <c r="O26" s="13">
        <f t="shared" si="2"/>
        <v>0.68913342503439323</v>
      </c>
    </row>
    <row r="27" spans="1:15" x14ac:dyDescent="0.3">
      <c r="A27" s="13">
        <v>7.53</v>
      </c>
      <c r="B27" s="13">
        <v>87.1</v>
      </c>
      <c r="C27" s="13">
        <v>7.2</v>
      </c>
      <c r="D27" s="13">
        <f t="shared" ref="D27:D40" si="7">A27/$C$12</f>
        <v>0.6214580467675378</v>
      </c>
      <c r="E27" s="13">
        <f t="shared" ref="E27:E40" si="8">N27*K27+O27*M27</f>
        <v>3.5471478496698759E-2</v>
      </c>
      <c r="F27" s="13">
        <f t="shared" ref="F27:F40" si="9">4*$H$12*$E$12*POWER($C$12,3)*E27</f>
        <v>18088251393.126888</v>
      </c>
      <c r="G27" s="13">
        <f t="shared" ref="G27:G40" si="10">POWER($I$8*F27/A27,0.5)</f>
        <v>101.64370264022395</v>
      </c>
      <c r="H27" s="13">
        <f t="shared" ref="H27:H40" si="11">ROUND(ABS((B27-G27)/B27)*100,2)</f>
        <v>16.7</v>
      </c>
      <c r="J27" s="13">
        <f>INDEX(Integrale!$H$3:$H$502,MATCH('NGC024'!D27,Integrale!$H$3:$H$502,1))</f>
        <v>0.62</v>
      </c>
      <c r="K27" s="13">
        <f>INDEX(Integrale!$I$3:$I$502,MATCH('NGC024'!D27,Integrale!$H$3:$H$502,1))</f>
        <v>3.5340572899999999E-2</v>
      </c>
      <c r="L27" s="13">
        <f>INDEX(Integrale!$H$3:$H$502,MATCH('NGC024'!D27,Integrale!$H$3:$H$502,1)+1)</f>
        <v>0.63</v>
      </c>
      <c r="M27" s="13">
        <f>INDEX(Integrale!$I$3:$I$502,MATCH('NGC024'!D27,Integrale!$H$3:$H$502,1)+1)</f>
        <v>3.6238387699999999E-2</v>
      </c>
      <c r="N27" s="13">
        <f t="shared" ref="N27:N40" si="12">(L27-D27)/(L27-J27)</f>
        <v>0.85419532324621994</v>
      </c>
      <c r="O27" s="13">
        <f t="shared" ref="O27:O40" si="13">(D27-J27)/(L27-J27)</f>
        <v>0.14580467675378003</v>
      </c>
    </row>
    <row r="28" spans="1:15" x14ac:dyDescent="0.3">
      <c r="A28" s="13">
        <v>8.07</v>
      </c>
      <c r="B28" s="13">
        <v>90.7</v>
      </c>
      <c r="C28" s="13">
        <v>4.8</v>
      </c>
      <c r="D28" s="13">
        <f t="shared" si="7"/>
        <v>0.66602475928473182</v>
      </c>
      <c r="E28" s="13">
        <f t="shared" si="8"/>
        <v>3.9370390825034393E-2</v>
      </c>
      <c r="F28" s="13">
        <f t="shared" si="9"/>
        <v>20076454573.359711</v>
      </c>
      <c r="G28" s="13">
        <f t="shared" si="10"/>
        <v>103.43950064770081</v>
      </c>
      <c r="H28" s="13">
        <f t="shared" si="11"/>
        <v>14.05</v>
      </c>
      <c r="J28" s="13">
        <f>INDEX(Integrale!$H$3:$H$502,MATCH('NGC024'!D28,Integrale!$H$3:$H$502,1))</f>
        <v>0.66</v>
      </c>
      <c r="K28" s="13">
        <f>INDEX(Integrale!$I$3:$I$502,MATCH('NGC024'!D28,Integrale!$H$3:$H$502,1))</f>
        <v>3.8859827600000001E-2</v>
      </c>
      <c r="L28" s="13">
        <f>INDEX(Integrale!$H$3:$H$502,MATCH('NGC024'!D28,Integrale!$H$3:$H$502,1)+1)</f>
        <v>0.67</v>
      </c>
      <c r="M28" s="13">
        <f>INDEX(Integrale!$I$3:$I$502,MATCH('NGC024'!D28,Integrale!$H$3:$H$502,1)+1)</f>
        <v>3.97072693E-2</v>
      </c>
      <c r="N28" s="13">
        <f t="shared" si="12"/>
        <v>0.39752407152682212</v>
      </c>
      <c r="O28" s="13">
        <f t="shared" si="13"/>
        <v>0.60247592847317788</v>
      </c>
    </row>
    <row r="29" spans="1:15" x14ac:dyDescent="0.3">
      <c r="A29" s="13">
        <v>8.6199999999999992</v>
      </c>
      <c r="B29" s="13">
        <v>93.1</v>
      </c>
      <c r="C29" s="13">
        <v>1.4</v>
      </c>
      <c r="D29" s="13">
        <f t="shared" si="7"/>
        <v>0.7114167812929848</v>
      </c>
      <c r="E29" s="13">
        <f t="shared" si="8"/>
        <v>4.3058741347867947E-2</v>
      </c>
      <c r="F29" s="13">
        <f t="shared" si="9"/>
        <v>21957284307.851704</v>
      </c>
      <c r="G29" s="13">
        <f t="shared" si="10"/>
        <v>104.66834378269959</v>
      </c>
      <c r="H29" s="13">
        <f t="shared" si="11"/>
        <v>12.43</v>
      </c>
      <c r="J29" s="13">
        <f>INDEX(Integrale!$H$3:$H$502,MATCH('NGC024'!D29,Integrale!$H$3:$H$502,1))</f>
        <v>0.71</v>
      </c>
      <c r="K29" s="13">
        <f>INDEX(Integrale!$I$3:$I$502,MATCH('NGC024'!D29,Integrale!$H$3:$H$502,1))</f>
        <v>4.2949464100000001E-2</v>
      </c>
      <c r="L29" s="13">
        <f>INDEX(Integrale!$H$3:$H$502,MATCH('NGC024'!D29,Integrale!$H$3:$H$502,1)+1)</f>
        <v>0.72</v>
      </c>
      <c r="M29" s="13">
        <f>INDEX(Integrale!$I$3:$I$502,MATCH('NGC024'!D29,Integrale!$H$3:$H$502,1)+1)</f>
        <v>4.3720770499999999E-2</v>
      </c>
      <c r="N29" s="13">
        <f t="shared" si="12"/>
        <v>0.85832187070151644</v>
      </c>
      <c r="O29" s="13">
        <f t="shared" si="13"/>
        <v>0.14167812929848353</v>
      </c>
    </row>
    <row r="30" spans="1:15" x14ac:dyDescent="0.3">
      <c r="A30" s="13">
        <v>9.14</v>
      </c>
      <c r="B30" s="13">
        <v>95.9</v>
      </c>
      <c r="C30" s="13">
        <v>2.1</v>
      </c>
      <c r="D30" s="13">
        <f t="shared" si="7"/>
        <v>0.75433287482806055</v>
      </c>
      <c r="E30" s="13">
        <f t="shared" si="8"/>
        <v>4.6239814382255849E-2</v>
      </c>
      <c r="F30" s="13">
        <f t="shared" si="9"/>
        <v>23579434023.185966</v>
      </c>
      <c r="G30" s="13">
        <f t="shared" si="10"/>
        <v>105.33513661407351</v>
      </c>
      <c r="H30" s="13">
        <f t="shared" si="11"/>
        <v>9.84</v>
      </c>
      <c r="J30" s="13">
        <f>INDEX(Integrale!$H$3:$H$502,MATCH('NGC024'!D30,Integrale!$H$3:$H$502,1))</f>
        <v>0.75</v>
      </c>
      <c r="K30" s="13">
        <f>INDEX(Integrale!$I$3:$I$502,MATCH('NGC024'!D30,Integrale!$H$3:$H$502,1))</f>
        <v>4.5934821200000003E-2</v>
      </c>
      <c r="L30" s="13">
        <f>INDEX(Integrale!$H$3:$H$502,MATCH('NGC024'!D30,Integrale!$H$3:$H$502,1)+1)</f>
        <v>0.76</v>
      </c>
      <c r="M30" s="13">
        <f>INDEX(Integrale!$I$3:$I$502,MATCH('NGC024'!D30,Integrale!$H$3:$H$502,1)+1)</f>
        <v>4.66387261E-2</v>
      </c>
      <c r="N30" s="13">
        <f t="shared" si="12"/>
        <v>0.56671251719394522</v>
      </c>
      <c r="O30" s="13">
        <f t="shared" si="13"/>
        <v>0.43328748280605472</v>
      </c>
    </row>
    <row r="31" spans="1:15" x14ac:dyDescent="0.3">
      <c r="A31" s="13">
        <v>9.69</v>
      </c>
      <c r="B31" s="13">
        <v>98.4</v>
      </c>
      <c r="C31" s="13">
        <v>5.2</v>
      </c>
      <c r="D31" s="13">
        <f t="shared" si="7"/>
        <v>0.79972489683631354</v>
      </c>
      <c r="E31" s="13">
        <f t="shared" si="8"/>
        <v>4.9262423663548827E-2</v>
      </c>
      <c r="F31" s="13">
        <f t="shared" si="9"/>
        <v>25120777064.421597</v>
      </c>
      <c r="G31" s="13">
        <f t="shared" si="10"/>
        <v>105.59280301782447</v>
      </c>
      <c r="H31" s="13">
        <f t="shared" si="11"/>
        <v>7.31</v>
      </c>
      <c r="J31" s="13">
        <f>INDEX(Integrale!$H$3:$H$502,MATCH('NGC024'!D31,Integrale!$H$3:$H$502,1))</f>
        <v>0.79</v>
      </c>
      <c r="K31" s="13">
        <f>INDEX(Integrale!$I$3:$I$502,MATCH('NGC024'!D31,Integrale!$H$3:$H$502,1))</f>
        <v>4.8645900700000001E-2</v>
      </c>
      <c r="L31" s="13">
        <f>INDEX(Integrale!$H$3:$H$502,MATCH('NGC024'!D31,Integrale!$H$3:$H$502,1)+1)</f>
        <v>0.8</v>
      </c>
      <c r="M31" s="13">
        <f>INDEX(Integrale!$I$3:$I$502,MATCH('NGC024'!D31,Integrale!$H$3:$H$502,1)+1)</f>
        <v>4.9279864200000002E-2</v>
      </c>
      <c r="N31" s="13">
        <f t="shared" si="12"/>
        <v>2.7510316368650731E-2</v>
      </c>
      <c r="O31" s="13">
        <f t="shared" si="13"/>
        <v>0.97248968363134924</v>
      </c>
    </row>
    <row r="32" spans="1:15" x14ac:dyDescent="0.3">
      <c r="A32" s="13">
        <v>10.23</v>
      </c>
      <c r="B32" s="13">
        <v>101</v>
      </c>
      <c r="C32" s="13">
        <v>8.1999999999999993</v>
      </c>
      <c r="D32" s="13">
        <f t="shared" si="7"/>
        <v>0.84429160935350756</v>
      </c>
      <c r="E32" s="13">
        <f t="shared" si="8"/>
        <v>5.1875133807152682E-2</v>
      </c>
      <c r="F32" s="13">
        <f t="shared" si="9"/>
        <v>26453096998.570309</v>
      </c>
      <c r="G32" s="13">
        <f t="shared" si="10"/>
        <v>105.45814255892988</v>
      </c>
      <c r="H32" s="13">
        <f t="shared" si="11"/>
        <v>4.41</v>
      </c>
      <c r="J32" s="13">
        <f>INDEX(Integrale!$H$3:$H$502,MATCH('NGC024'!D32,Integrale!$H$3:$H$502,1))</f>
        <v>0.84</v>
      </c>
      <c r="K32" s="13">
        <f>INDEX(Integrale!$I$3:$I$502,MATCH('NGC024'!D32,Integrale!$H$3:$H$502,1))</f>
        <v>5.1640483799999998E-2</v>
      </c>
      <c r="L32" s="13">
        <f>INDEX(Integrale!$H$3:$H$502,MATCH('NGC024'!D32,Integrale!$H$3:$H$502,1)+1)</f>
        <v>0.85</v>
      </c>
      <c r="M32" s="13">
        <f>INDEX(Integrale!$I$3:$I$502,MATCH('NGC024'!D32,Integrale!$H$3:$H$502,1)+1)</f>
        <v>5.2187248399999997E-2</v>
      </c>
      <c r="N32" s="13">
        <f t="shared" si="12"/>
        <v>0.57083906464924172</v>
      </c>
      <c r="O32" s="13">
        <f t="shared" si="13"/>
        <v>0.42916093535075822</v>
      </c>
    </row>
    <row r="33" spans="1:15" x14ac:dyDescent="0.3">
      <c r="A33" s="13">
        <v>10.76</v>
      </c>
      <c r="B33" s="13">
        <v>103</v>
      </c>
      <c r="C33" s="13">
        <v>9.4</v>
      </c>
      <c r="D33" s="13">
        <f t="shared" si="7"/>
        <v>0.88803301237964227</v>
      </c>
      <c r="E33" s="13">
        <f t="shared" si="8"/>
        <v>5.4111028553920214E-2</v>
      </c>
      <c r="F33" s="13">
        <f t="shared" si="9"/>
        <v>27593264479.09602</v>
      </c>
      <c r="G33" s="13">
        <f t="shared" si="10"/>
        <v>105.02074109102007</v>
      </c>
      <c r="H33" s="13">
        <f t="shared" si="11"/>
        <v>1.96</v>
      </c>
      <c r="J33" s="13">
        <f>INDEX(Integrale!$H$3:$H$502,MATCH('NGC024'!D33,Integrale!$H$3:$H$502,1))</f>
        <v>0.88</v>
      </c>
      <c r="K33" s="13">
        <f>INDEX(Integrale!$I$3:$I$502,MATCH('NGC024'!D33,Integrale!$H$3:$H$502,1))</f>
        <v>5.37257701E-2</v>
      </c>
      <c r="L33" s="13">
        <f>INDEX(Integrale!$H$3:$H$502,MATCH('NGC024'!D33,Integrale!$H$3:$H$502,1)+1)</f>
        <v>0.89</v>
      </c>
      <c r="M33" s="13">
        <f>INDEX(Integrale!$I$3:$I$502,MATCH('NGC024'!D33,Integrale!$H$3:$H$502,1)+1)</f>
        <v>5.42053641E-2</v>
      </c>
      <c r="N33" s="13">
        <f t="shared" si="12"/>
        <v>0.19669876203577391</v>
      </c>
      <c r="O33" s="13">
        <f t="shared" si="13"/>
        <v>0.80330123796422614</v>
      </c>
    </row>
    <row r="34" spans="1:15" x14ac:dyDescent="0.3">
      <c r="A34" s="13">
        <v>11.3</v>
      </c>
      <c r="B34" s="13">
        <v>104</v>
      </c>
      <c r="C34" s="13">
        <v>9.4</v>
      </c>
      <c r="D34" s="13">
        <f t="shared" si="7"/>
        <v>0.93259972489683629</v>
      </c>
      <c r="E34" s="13">
        <f t="shared" si="8"/>
        <v>5.6068416320770288E-2</v>
      </c>
      <c r="F34" s="13">
        <f t="shared" si="9"/>
        <v>28591410694.058853</v>
      </c>
      <c r="G34" s="13">
        <f t="shared" si="10"/>
        <v>104.31775752842414</v>
      </c>
      <c r="H34" s="13">
        <f t="shared" si="11"/>
        <v>0.31</v>
      </c>
      <c r="J34" s="13">
        <f>INDEX(Integrale!$H$3:$H$502,MATCH('NGC024'!D34,Integrale!$H$3:$H$502,1))</f>
        <v>0.93</v>
      </c>
      <c r="K34" s="13">
        <f>INDEX(Integrale!$I$3:$I$502,MATCH('NGC024'!D34,Integrale!$H$3:$H$502,1))</f>
        <v>5.5964114500000002E-2</v>
      </c>
      <c r="L34" s="13">
        <f>INDEX(Integrale!$H$3:$H$502,MATCH('NGC024'!D34,Integrale!$H$3:$H$502,1)+1)</f>
        <v>0.94</v>
      </c>
      <c r="M34" s="13">
        <f>INDEX(Integrale!$I$3:$I$502,MATCH('NGC024'!D34,Integrale!$H$3:$H$502,1)+1)</f>
        <v>5.6365317800000002E-2</v>
      </c>
      <c r="N34" s="13">
        <f t="shared" si="12"/>
        <v>0.74002751031637315</v>
      </c>
      <c r="O34" s="13">
        <f t="shared" si="13"/>
        <v>0.25997248968362685</v>
      </c>
    </row>
    <row r="35" spans="1:15" x14ac:dyDescent="0.3">
      <c r="A35" s="13">
        <v>11.84</v>
      </c>
      <c r="B35" s="13">
        <v>105</v>
      </c>
      <c r="C35" s="13">
        <v>8.9</v>
      </c>
      <c r="D35" s="13">
        <f t="shared" si="7"/>
        <v>0.9771664374140302</v>
      </c>
      <c r="E35" s="13">
        <f t="shared" si="8"/>
        <v>5.7728133578817051E-2</v>
      </c>
      <c r="F35" s="13">
        <f t="shared" si="9"/>
        <v>29437763433.707275</v>
      </c>
      <c r="G35" s="13">
        <f t="shared" si="10"/>
        <v>103.40849720040377</v>
      </c>
      <c r="H35" s="13">
        <f t="shared" si="11"/>
        <v>1.52</v>
      </c>
      <c r="J35" s="13">
        <f>INDEX(Integrale!$H$3:$H$502,MATCH('NGC024'!D35,Integrale!$H$3:$H$502,1))</f>
        <v>0.97</v>
      </c>
      <c r="K35" s="13">
        <f>INDEX(Integrale!$I$3:$I$502,MATCH('NGC024'!D35,Integrale!$H$3:$H$502,1))</f>
        <v>5.74815594E-2</v>
      </c>
      <c r="L35" s="13">
        <f>INDEX(Integrale!$H$3:$H$502,MATCH('NGC024'!D35,Integrale!$H$3:$H$502,1)+1)</f>
        <v>0.98</v>
      </c>
      <c r="M35" s="13">
        <f>INDEX(Integrale!$I$3:$I$502,MATCH('NGC024'!D35,Integrale!$H$3:$H$502,1)+1)</f>
        <v>5.7825627400000003E-2</v>
      </c>
      <c r="N35" s="13">
        <f t="shared" si="12"/>
        <v>0.28335625859697816</v>
      </c>
      <c r="O35" s="13">
        <f t="shared" si="13"/>
        <v>0.71664374140302178</v>
      </c>
    </row>
    <row r="36" spans="1:15" x14ac:dyDescent="0.3">
      <c r="A36" s="13">
        <v>12.38</v>
      </c>
      <c r="B36" s="13">
        <v>105</v>
      </c>
      <c r="C36" s="13">
        <v>8.4</v>
      </c>
      <c r="D36" s="13">
        <f t="shared" si="7"/>
        <v>1.0217331499312243</v>
      </c>
      <c r="E36" s="13">
        <f t="shared" si="8"/>
        <v>5.9119664678404404E-2</v>
      </c>
      <c r="F36" s="13">
        <f t="shared" si="9"/>
        <v>30147357885.853748</v>
      </c>
      <c r="G36" s="13">
        <f t="shared" si="10"/>
        <v>102.33966202882213</v>
      </c>
      <c r="H36" s="13">
        <f t="shared" si="11"/>
        <v>2.5299999999999998</v>
      </c>
      <c r="J36" s="13">
        <f>INDEX(Integrale!$H$3:$H$502,MATCH('NGC024'!D36,Integrale!$H$3:$H$502,1))</f>
        <v>1.02</v>
      </c>
      <c r="K36" s="13">
        <f>INDEX(Integrale!$I$3:$I$502,MATCH('NGC024'!D36,Integrale!$H$3:$H$502,1))</f>
        <v>5.9071064E-2</v>
      </c>
      <c r="L36" s="13">
        <f>INDEX(Integrale!$H$3:$H$502,MATCH('NGC024'!D36,Integrale!$H$3:$H$502,1)+1)</f>
        <v>1.03</v>
      </c>
      <c r="M36" s="13">
        <f>INDEX(Integrale!$I$3:$I$502,MATCH('NGC024'!D36,Integrale!$H$3:$H$502,1)+1)</f>
        <v>5.93514822E-2</v>
      </c>
      <c r="N36" s="13">
        <f t="shared" si="12"/>
        <v>0.82668500687756918</v>
      </c>
      <c r="O36" s="13">
        <f t="shared" si="13"/>
        <v>0.17331499312243076</v>
      </c>
    </row>
    <row r="37" spans="1:15" x14ac:dyDescent="0.3">
      <c r="A37" s="13">
        <v>12.91</v>
      </c>
      <c r="B37" s="13">
        <v>105</v>
      </c>
      <c r="C37" s="13">
        <v>9</v>
      </c>
      <c r="D37" s="13">
        <f t="shared" si="7"/>
        <v>1.065474552957359</v>
      </c>
      <c r="E37" s="13">
        <f t="shared" si="8"/>
        <v>6.0253301150068772E-2</v>
      </c>
      <c r="F37" s="13">
        <f t="shared" si="9"/>
        <v>30725442092.008018</v>
      </c>
      <c r="G37" s="13">
        <f t="shared" si="10"/>
        <v>101.17323146364394</v>
      </c>
      <c r="H37" s="13">
        <f t="shared" si="11"/>
        <v>3.64</v>
      </c>
      <c r="J37" s="13">
        <f>INDEX(Integrale!$H$3:$H$502,MATCH('NGC024'!D37,Integrale!$H$3:$H$502,1))</f>
        <v>1.06</v>
      </c>
      <c r="K37" s="13">
        <f>INDEX(Integrale!$I$3:$I$502,MATCH('NGC024'!D37,Integrale!$H$3:$H$502,1))</f>
        <v>6.0124166299999997E-2</v>
      </c>
      <c r="L37" s="13">
        <f>INDEX(Integrale!$H$3:$H$502,MATCH('NGC024'!D37,Integrale!$H$3:$H$502,1)+1)</f>
        <v>1.07</v>
      </c>
      <c r="M37" s="13">
        <f>INDEX(Integrale!$I$3:$I$502,MATCH('NGC024'!D37,Integrale!$H$3:$H$502,1)+1)</f>
        <v>6.0360048299999997E-2</v>
      </c>
      <c r="N37" s="13">
        <f t="shared" si="12"/>
        <v>0.45254470426410137</v>
      </c>
      <c r="O37" s="13">
        <f t="shared" si="13"/>
        <v>0.54745529573589868</v>
      </c>
    </row>
    <row r="38" spans="1:15" x14ac:dyDescent="0.3">
      <c r="A38" s="13">
        <v>13.48</v>
      </c>
      <c r="B38" s="13">
        <v>106</v>
      </c>
      <c r="C38" s="13">
        <v>8.4</v>
      </c>
      <c r="D38" s="13">
        <f t="shared" si="7"/>
        <v>1.1125171939477303</v>
      </c>
      <c r="E38" s="13">
        <f t="shared" si="8"/>
        <v>6.1251743805914714E-2</v>
      </c>
      <c r="F38" s="13">
        <f t="shared" si="9"/>
        <v>31234585847.102509</v>
      </c>
      <c r="G38" s="13">
        <f t="shared" si="10"/>
        <v>99.828053310330603</v>
      </c>
      <c r="H38" s="13">
        <f t="shared" si="11"/>
        <v>5.82</v>
      </c>
      <c r="J38" s="13">
        <f>INDEX(Integrale!$H$3:$H$502,MATCH('NGC024'!D38,Integrale!$H$3:$H$502,1))</f>
        <v>1.1100000000000001</v>
      </c>
      <c r="K38" s="13">
        <f>INDEX(Integrale!$I$3:$I$502,MATCH('NGC024'!D38,Integrale!$H$3:$H$502,1))</f>
        <v>6.1204422799999998E-2</v>
      </c>
      <c r="L38" s="13">
        <f>INDEX(Integrale!$H$3:$H$502,MATCH('NGC024'!D38,Integrale!$H$3:$H$502,1)+1)</f>
        <v>1.1200000000000001</v>
      </c>
      <c r="M38" s="13">
        <f>INDEX(Integrale!$I$3:$I$502,MATCH('NGC024'!D38,Integrale!$H$3:$H$502,1)+1)</f>
        <v>6.1392413899999998E-2</v>
      </c>
      <c r="N38" s="13">
        <f t="shared" si="12"/>
        <v>0.74828060522698014</v>
      </c>
      <c r="O38" s="13">
        <f t="shared" si="13"/>
        <v>0.25171939477301986</v>
      </c>
    </row>
    <row r="39" spans="1:15" x14ac:dyDescent="0.3">
      <c r="A39" s="13">
        <v>14.01</v>
      </c>
      <c r="B39" s="13">
        <v>108</v>
      </c>
      <c r="C39" s="13">
        <v>7.7</v>
      </c>
      <c r="D39" s="13">
        <f t="shared" si="7"/>
        <v>1.1562585969738652</v>
      </c>
      <c r="E39" s="13">
        <f t="shared" si="8"/>
        <v>6.2003483647867952E-2</v>
      </c>
      <c r="F39" s="13">
        <f t="shared" si="9"/>
        <v>31617926486.39233</v>
      </c>
      <c r="G39" s="13">
        <f t="shared" si="10"/>
        <v>98.520656582258653</v>
      </c>
      <c r="H39" s="13">
        <f t="shared" si="11"/>
        <v>8.7799999999999994</v>
      </c>
      <c r="J39" s="13">
        <f>INDEX(Integrale!$H$3:$H$502,MATCH('NGC024'!D39,Integrale!$H$3:$H$502,1))</f>
        <v>1.1499999999999999</v>
      </c>
      <c r="K39" s="13">
        <f>INDEX(Integrale!$I$3:$I$502,MATCH('NGC024'!D39,Integrale!$H$3:$H$502,1))</f>
        <v>6.1906142499999997E-2</v>
      </c>
      <c r="L39" s="13">
        <f>INDEX(Integrale!$H$3:$H$502,MATCH('NGC024'!D39,Integrale!$H$3:$H$502,1)+1)</f>
        <v>1.1599999999999999</v>
      </c>
      <c r="M39" s="13">
        <f>INDEX(Integrale!$I$3:$I$502,MATCH('NGC024'!D39,Integrale!$H$3:$H$502,1)+1)</f>
        <v>6.2061674400000003E-2</v>
      </c>
      <c r="N39" s="13">
        <f t="shared" si="12"/>
        <v>0.37414030261346787</v>
      </c>
      <c r="O39" s="13">
        <f t="shared" si="13"/>
        <v>0.62585969738653213</v>
      </c>
    </row>
    <row r="40" spans="1:15" x14ac:dyDescent="0.3">
      <c r="A40" s="13">
        <v>14.54</v>
      </c>
      <c r="B40" s="13">
        <v>107</v>
      </c>
      <c r="C40" s="13">
        <v>9.1999999999999993</v>
      </c>
      <c r="D40" s="13">
        <f t="shared" si="7"/>
        <v>1.2</v>
      </c>
      <c r="E40" s="13">
        <f t="shared" si="8"/>
        <v>6.2613131399999994E-2</v>
      </c>
      <c r="F40" s="13">
        <f t="shared" si="9"/>
        <v>31928808983.236813</v>
      </c>
      <c r="G40" s="13">
        <f t="shared" si="10"/>
        <v>97.182670407385586</v>
      </c>
      <c r="H40" s="13">
        <f t="shared" si="11"/>
        <v>9.18</v>
      </c>
      <c r="J40" s="13">
        <f>INDEX(Integrale!$H$3:$H$502,MATCH('NGC024'!D40,Integrale!$H$3:$H$502,1))</f>
        <v>1.2</v>
      </c>
      <c r="K40" s="13">
        <f>INDEX(Integrale!$I$3:$I$502,MATCH('NGC024'!D40,Integrale!$H$3:$H$502,1))</f>
        <v>6.2613131399999994E-2</v>
      </c>
      <c r="L40" s="13">
        <f>INDEX(Integrale!$H$3:$H$502,MATCH('NGC024'!D40,Integrale!$H$3:$H$502,1)+1)</f>
        <v>1.21</v>
      </c>
      <c r="M40" s="13">
        <f>INDEX(Integrale!$I$3:$I$502,MATCH('NGC024'!D40,Integrale!$H$3:$H$502,1)+1)</f>
        <v>6.2734724300000003E-2</v>
      </c>
      <c r="N40" s="13">
        <f t="shared" si="12"/>
        <v>1</v>
      </c>
      <c r="O40" s="13">
        <f t="shared" si="13"/>
        <v>0</v>
      </c>
    </row>
    <row r="41" spans="1:15" x14ac:dyDescent="0.3">
      <c r="G41" s="1" t="s">
        <v>24</v>
      </c>
      <c r="H41" s="1">
        <f>ROUND(AVERAGE(H15:H40),2)</f>
        <v>12.21</v>
      </c>
    </row>
    <row r="42" spans="1:15" x14ac:dyDescent="0.3">
      <c r="B42" s="19" t="s">
        <v>23</v>
      </c>
      <c r="C42" s="20">
        <f>ROUND(MAX(0,100-H41),2)</f>
        <v>87.79</v>
      </c>
      <c r="D42" s="20" t="s">
        <v>25</v>
      </c>
    </row>
    <row r="44" spans="1:15" x14ac:dyDescent="0.3">
      <c r="A44" s="12" t="s">
        <v>7</v>
      </c>
      <c r="B44" s="12" t="s">
        <v>26</v>
      </c>
      <c r="C44" s="12" t="s">
        <v>27</v>
      </c>
      <c r="D44" s="12" t="s">
        <v>18</v>
      </c>
      <c r="E44" s="22" t="s">
        <v>32</v>
      </c>
      <c r="F44" s="22" t="s">
        <v>33</v>
      </c>
    </row>
    <row r="45" spans="1:15" x14ac:dyDescent="0.3">
      <c r="A45" s="13">
        <f>A15</f>
        <v>1.08</v>
      </c>
      <c r="B45" s="13">
        <f>B15</f>
        <v>34.6</v>
      </c>
      <c r="C45" s="13">
        <f>C15</f>
        <v>0.9</v>
      </c>
      <c r="D45" s="13">
        <f>ROUND(G15,2)</f>
        <v>21.78</v>
      </c>
      <c r="E45" s="13">
        <f>ROUND(POWER((B45-D45),2),2)</f>
        <v>164.35</v>
      </c>
      <c r="F45" s="13">
        <f>ROUND(E45/POWER(C45,2),2)</f>
        <v>202.9</v>
      </c>
    </row>
    <row r="46" spans="1:15" x14ac:dyDescent="0.3">
      <c r="A46" s="13">
        <f t="shared" ref="A46:C61" si="14">A16</f>
        <v>1.61</v>
      </c>
      <c r="B46" s="13">
        <f t="shared" ref="B46:C46" si="15">B16</f>
        <v>47</v>
      </c>
      <c r="C46" s="13">
        <f t="shared" si="15"/>
        <v>0.8</v>
      </c>
      <c r="D46" s="13">
        <f t="shared" ref="D46:D70" si="16">ROUND(G16,2)</f>
        <v>32.049999999999997</v>
      </c>
      <c r="E46" s="13">
        <f t="shared" ref="E46:E70" si="17">ROUND(POWER((B46-D46),2),2)</f>
        <v>223.5</v>
      </c>
      <c r="F46" s="13">
        <f t="shared" ref="F46:F70" si="18">ROUND(E46/POWER(C46,2),2)</f>
        <v>349.22</v>
      </c>
    </row>
    <row r="47" spans="1:15" x14ac:dyDescent="0.3">
      <c r="A47" s="13">
        <f t="shared" si="14"/>
        <v>2.15</v>
      </c>
      <c r="B47" s="13">
        <f t="shared" ref="B47:C47" si="19">B17</f>
        <v>59.1</v>
      </c>
      <c r="C47" s="13">
        <f t="shared" si="19"/>
        <v>3.1</v>
      </c>
      <c r="D47" s="13">
        <f t="shared" si="16"/>
        <v>42.05</v>
      </c>
      <c r="E47" s="13">
        <f t="shared" si="17"/>
        <v>290.7</v>
      </c>
      <c r="F47" s="13">
        <f t="shared" si="18"/>
        <v>30.25</v>
      </c>
    </row>
    <row r="48" spans="1:15" x14ac:dyDescent="0.3">
      <c r="A48" s="13">
        <f t="shared" si="14"/>
        <v>2.7</v>
      </c>
      <c r="B48" s="13">
        <f t="shared" ref="B48:C48" si="20">B18</f>
        <v>64.400000000000006</v>
      </c>
      <c r="C48" s="13">
        <f t="shared" si="20"/>
        <v>1.4</v>
      </c>
      <c r="D48" s="13">
        <f t="shared" si="16"/>
        <v>51.66</v>
      </c>
      <c r="E48" s="13">
        <f t="shared" si="17"/>
        <v>162.31</v>
      </c>
      <c r="F48" s="13">
        <f t="shared" si="18"/>
        <v>82.81</v>
      </c>
    </row>
    <row r="49" spans="1:6" x14ac:dyDescent="0.3">
      <c r="A49" s="13">
        <f t="shared" si="14"/>
        <v>3.22</v>
      </c>
      <c r="B49" s="13">
        <f t="shared" ref="B49:C49" si="21">B19</f>
        <v>67.400000000000006</v>
      </c>
      <c r="C49" s="13">
        <f t="shared" si="21"/>
        <v>2.2999999999999998</v>
      </c>
      <c r="D49" s="13">
        <f t="shared" si="16"/>
        <v>60.13</v>
      </c>
      <c r="E49" s="13">
        <f t="shared" si="17"/>
        <v>52.85</v>
      </c>
      <c r="F49" s="13">
        <f t="shared" si="18"/>
        <v>9.99</v>
      </c>
    </row>
    <row r="50" spans="1:6" x14ac:dyDescent="0.3">
      <c r="A50" s="13">
        <f t="shared" si="14"/>
        <v>3.77</v>
      </c>
      <c r="B50" s="13">
        <f t="shared" ref="B50:C50" si="22">B20</f>
        <v>69.8</v>
      </c>
      <c r="C50" s="13">
        <f t="shared" si="22"/>
        <v>0.7</v>
      </c>
      <c r="D50" s="13">
        <f t="shared" si="16"/>
        <v>68.319999999999993</v>
      </c>
      <c r="E50" s="13">
        <f t="shared" si="17"/>
        <v>2.19</v>
      </c>
      <c r="F50" s="13">
        <f t="shared" si="18"/>
        <v>4.47</v>
      </c>
    </row>
    <row r="51" spans="1:6" x14ac:dyDescent="0.3">
      <c r="A51" s="13">
        <f t="shared" si="14"/>
        <v>4.3099999999999996</v>
      </c>
      <c r="B51" s="13">
        <f t="shared" ref="B51:C51" si="23">B21</f>
        <v>71.3</v>
      </c>
      <c r="C51" s="13">
        <f t="shared" si="23"/>
        <v>1.1000000000000001</v>
      </c>
      <c r="D51" s="13">
        <f t="shared" si="16"/>
        <v>75.569999999999993</v>
      </c>
      <c r="E51" s="13">
        <f t="shared" si="17"/>
        <v>18.23</v>
      </c>
      <c r="F51" s="13">
        <f t="shared" si="18"/>
        <v>15.07</v>
      </c>
    </row>
    <row r="52" spans="1:6" x14ac:dyDescent="0.3">
      <c r="A52" s="13">
        <f t="shared" si="14"/>
        <v>4.8499999999999996</v>
      </c>
      <c r="B52" s="13">
        <f t="shared" ref="B52:C52" si="24">B22</f>
        <v>73.2</v>
      </c>
      <c r="C52" s="13">
        <f t="shared" si="24"/>
        <v>1.7</v>
      </c>
      <c r="D52" s="13">
        <f t="shared" si="16"/>
        <v>81.97</v>
      </c>
      <c r="E52" s="13">
        <f t="shared" si="17"/>
        <v>76.91</v>
      </c>
      <c r="F52" s="13">
        <f t="shared" si="18"/>
        <v>26.61</v>
      </c>
    </row>
    <row r="53" spans="1:6" x14ac:dyDescent="0.3">
      <c r="A53" s="13">
        <f t="shared" si="14"/>
        <v>5.38</v>
      </c>
      <c r="B53" s="13">
        <f t="shared" ref="B53:C53" si="25">B23</f>
        <v>75.099999999999994</v>
      </c>
      <c r="C53" s="13">
        <f t="shared" si="25"/>
        <v>3</v>
      </c>
      <c r="D53" s="13">
        <f t="shared" si="16"/>
        <v>87.44</v>
      </c>
      <c r="E53" s="13">
        <f t="shared" si="17"/>
        <v>152.28</v>
      </c>
      <c r="F53" s="13">
        <f t="shared" si="18"/>
        <v>16.920000000000002</v>
      </c>
    </row>
    <row r="54" spans="1:6" x14ac:dyDescent="0.3">
      <c r="A54" s="13">
        <f t="shared" si="14"/>
        <v>5.92</v>
      </c>
      <c r="B54" s="13">
        <f t="shared" ref="B54:C54" si="26">B24</f>
        <v>78.5</v>
      </c>
      <c r="C54" s="13">
        <f t="shared" si="26"/>
        <v>3.8</v>
      </c>
      <c r="D54" s="13">
        <f t="shared" si="16"/>
        <v>92.17</v>
      </c>
      <c r="E54" s="13">
        <f t="shared" si="17"/>
        <v>186.87</v>
      </c>
      <c r="F54" s="13">
        <f t="shared" si="18"/>
        <v>12.94</v>
      </c>
    </row>
    <row r="55" spans="1:6" x14ac:dyDescent="0.3">
      <c r="A55" s="13">
        <f t="shared" si="14"/>
        <v>6.46</v>
      </c>
      <c r="B55" s="13">
        <f t="shared" ref="B55:C55" si="27">B25</f>
        <v>81.400000000000006</v>
      </c>
      <c r="C55" s="13">
        <f t="shared" si="27"/>
        <v>5</v>
      </c>
      <c r="D55" s="13">
        <f t="shared" si="16"/>
        <v>96.09</v>
      </c>
      <c r="E55" s="13">
        <f t="shared" si="17"/>
        <v>215.8</v>
      </c>
      <c r="F55" s="13">
        <f t="shared" si="18"/>
        <v>8.6300000000000008</v>
      </c>
    </row>
    <row r="56" spans="1:6" x14ac:dyDescent="0.3">
      <c r="A56" s="13">
        <f t="shared" si="14"/>
        <v>6.99</v>
      </c>
      <c r="B56" s="13">
        <f t="shared" ref="B56:C56" si="28">B26</f>
        <v>83.5</v>
      </c>
      <c r="C56" s="13">
        <f t="shared" si="28"/>
        <v>7</v>
      </c>
      <c r="D56" s="13">
        <f t="shared" si="16"/>
        <v>99.19</v>
      </c>
      <c r="E56" s="13">
        <f t="shared" si="17"/>
        <v>246.18</v>
      </c>
      <c r="F56" s="13">
        <f t="shared" si="18"/>
        <v>5.0199999999999996</v>
      </c>
    </row>
    <row r="57" spans="1:6" x14ac:dyDescent="0.3">
      <c r="A57" s="13">
        <f t="shared" si="14"/>
        <v>7.53</v>
      </c>
      <c r="B57" s="13">
        <f t="shared" si="14"/>
        <v>87.1</v>
      </c>
      <c r="C57" s="13">
        <f t="shared" si="14"/>
        <v>7.2</v>
      </c>
      <c r="D57" s="13">
        <f t="shared" si="16"/>
        <v>101.64</v>
      </c>
      <c r="E57" s="13">
        <f t="shared" si="17"/>
        <v>211.41</v>
      </c>
      <c r="F57" s="13">
        <f t="shared" si="18"/>
        <v>4.08</v>
      </c>
    </row>
    <row r="58" spans="1:6" x14ac:dyDescent="0.3">
      <c r="A58" s="13">
        <f t="shared" si="14"/>
        <v>8.07</v>
      </c>
      <c r="B58" s="13">
        <f t="shared" si="14"/>
        <v>90.7</v>
      </c>
      <c r="C58" s="13">
        <f t="shared" si="14"/>
        <v>4.8</v>
      </c>
      <c r="D58" s="13">
        <f t="shared" si="16"/>
        <v>103.44</v>
      </c>
      <c r="E58" s="13">
        <f t="shared" si="17"/>
        <v>162.31</v>
      </c>
      <c r="F58" s="13">
        <f t="shared" si="18"/>
        <v>7.04</v>
      </c>
    </row>
    <row r="59" spans="1:6" x14ac:dyDescent="0.3">
      <c r="A59" s="13">
        <f t="shared" si="14"/>
        <v>8.6199999999999992</v>
      </c>
      <c r="B59" s="13">
        <f t="shared" si="14"/>
        <v>93.1</v>
      </c>
      <c r="C59" s="13">
        <f t="shared" si="14"/>
        <v>1.4</v>
      </c>
      <c r="D59" s="13">
        <f t="shared" si="16"/>
        <v>104.67</v>
      </c>
      <c r="E59" s="13">
        <f t="shared" si="17"/>
        <v>133.86000000000001</v>
      </c>
      <c r="F59" s="13">
        <f t="shared" si="18"/>
        <v>68.3</v>
      </c>
    </row>
    <row r="60" spans="1:6" x14ac:dyDescent="0.3">
      <c r="A60" s="13">
        <f t="shared" si="14"/>
        <v>9.14</v>
      </c>
      <c r="B60" s="13">
        <f t="shared" si="14"/>
        <v>95.9</v>
      </c>
      <c r="C60" s="13">
        <f t="shared" si="14"/>
        <v>2.1</v>
      </c>
      <c r="D60" s="13">
        <f t="shared" si="16"/>
        <v>105.34</v>
      </c>
      <c r="E60" s="13">
        <f t="shared" si="17"/>
        <v>89.11</v>
      </c>
      <c r="F60" s="13">
        <f t="shared" si="18"/>
        <v>20.21</v>
      </c>
    </row>
    <row r="61" spans="1:6" x14ac:dyDescent="0.3">
      <c r="A61" s="13">
        <f t="shared" si="14"/>
        <v>9.69</v>
      </c>
      <c r="B61" s="13">
        <f t="shared" si="14"/>
        <v>98.4</v>
      </c>
      <c r="C61" s="13">
        <f t="shared" si="14"/>
        <v>5.2</v>
      </c>
      <c r="D61" s="13">
        <f t="shared" si="16"/>
        <v>105.59</v>
      </c>
      <c r="E61" s="13">
        <f t="shared" si="17"/>
        <v>51.7</v>
      </c>
      <c r="F61" s="13">
        <f t="shared" si="18"/>
        <v>1.91</v>
      </c>
    </row>
    <row r="62" spans="1:6" x14ac:dyDescent="0.3">
      <c r="A62" s="13">
        <f t="shared" ref="A62:C70" si="29">A32</f>
        <v>10.23</v>
      </c>
      <c r="B62" s="13">
        <f t="shared" si="29"/>
        <v>101</v>
      </c>
      <c r="C62" s="13">
        <f t="shared" si="29"/>
        <v>8.1999999999999993</v>
      </c>
      <c r="D62" s="13">
        <f t="shared" si="16"/>
        <v>105.46</v>
      </c>
      <c r="E62" s="13">
        <f t="shared" si="17"/>
        <v>19.89</v>
      </c>
      <c r="F62" s="13">
        <f t="shared" si="18"/>
        <v>0.3</v>
      </c>
    </row>
    <row r="63" spans="1:6" x14ac:dyDescent="0.3">
      <c r="A63" s="13">
        <f t="shared" si="29"/>
        <v>10.76</v>
      </c>
      <c r="B63" s="13">
        <f t="shared" si="29"/>
        <v>103</v>
      </c>
      <c r="C63" s="13">
        <f t="shared" si="29"/>
        <v>9.4</v>
      </c>
      <c r="D63" s="13">
        <f t="shared" si="16"/>
        <v>105.02</v>
      </c>
      <c r="E63" s="13">
        <f t="shared" si="17"/>
        <v>4.08</v>
      </c>
      <c r="F63" s="13">
        <f t="shared" si="18"/>
        <v>0.05</v>
      </c>
    </row>
    <row r="64" spans="1:6" x14ac:dyDescent="0.3">
      <c r="A64" s="13">
        <f t="shared" si="29"/>
        <v>11.3</v>
      </c>
      <c r="B64" s="13">
        <f t="shared" si="29"/>
        <v>104</v>
      </c>
      <c r="C64" s="13">
        <f t="shared" si="29"/>
        <v>9.4</v>
      </c>
      <c r="D64" s="13">
        <f t="shared" si="16"/>
        <v>104.32</v>
      </c>
      <c r="E64" s="13">
        <f t="shared" si="17"/>
        <v>0.1</v>
      </c>
      <c r="F64" s="13">
        <f t="shared" si="18"/>
        <v>0</v>
      </c>
    </row>
    <row r="65" spans="1:6" x14ac:dyDescent="0.3">
      <c r="A65" s="13">
        <f t="shared" si="29"/>
        <v>11.84</v>
      </c>
      <c r="B65" s="13">
        <f t="shared" si="29"/>
        <v>105</v>
      </c>
      <c r="C65" s="13">
        <f t="shared" si="29"/>
        <v>8.9</v>
      </c>
      <c r="D65" s="13">
        <f t="shared" si="16"/>
        <v>103.41</v>
      </c>
      <c r="E65" s="13">
        <f t="shared" si="17"/>
        <v>2.5299999999999998</v>
      </c>
      <c r="F65" s="13">
        <f t="shared" si="18"/>
        <v>0.03</v>
      </c>
    </row>
    <row r="66" spans="1:6" x14ac:dyDescent="0.3">
      <c r="A66" s="13">
        <f t="shared" si="29"/>
        <v>12.38</v>
      </c>
      <c r="B66" s="13">
        <f t="shared" si="29"/>
        <v>105</v>
      </c>
      <c r="C66" s="13">
        <f t="shared" si="29"/>
        <v>8.4</v>
      </c>
      <c r="D66" s="13">
        <f t="shared" si="16"/>
        <v>102.34</v>
      </c>
      <c r="E66" s="13">
        <f t="shared" si="17"/>
        <v>7.08</v>
      </c>
      <c r="F66" s="13">
        <f t="shared" si="18"/>
        <v>0.1</v>
      </c>
    </row>
    <row r="67" spans="1:6" x14ac:dyDescent="0.3">
      <c r="A67" s="13">
        <f t="shared" si="29"/>
        <v>12.91</v>
      </c>
      <c r="B67" s="13">
        <f t="shared" si="29"/>
        <v>105</v>
      </c>
      <c r="C67" s="13">
        <f t="shared" si="29"/>
        <v>9</v>
      </c>
      <c r="D67" s="13">
        <f t="shared" si="16"/>
        <v>101.17</v>
      </c>
      <c r="E67" s="13">
        <f t="shared" si="17"/>
        <v>14.67</v>
      </c>
      <c r="F67" s="13">
        <f t="shared" si="18"/>
        <v>0.18</v>
      </c>
    </row>
    <row r="68" spans="1:6" x14ac:dyDescent="0.3">
      <c r="A68" s="13">
        <f t="shared" si="29"/>
        <v>13.48</v>
      </c>
      <c r="B68" s="13">
        <f t="shared" si="29"/>
        <v>106</v>
      </c>
      <c r="C68" s="13">
        <f t="shared" si="29"/>
        <v>8.4</v>
      </c>
      <c r="D68" s="13">
        <f t="shared" si="16"/>
        <v>99.83</v>
      </c>
      <c r="E68" s="13">
        <f t="shared" si="17"/>
        <v>38.07</v>
      </c>
      <c r="F68" s="13">
        <f t="shared" si="18"/>
        <v>0.54</v>
      </c>
    </row>
    <row r="69" spans="1:6" x14ac:dyDescent="0.3">
      <c r="A69" s="13">
        <f t="shared" si="29"/>
        <v>14.01</v>
      </c>
      <c r="B69" s="13">
        <f t="shared" si="29"/>
        <v>108</v>
      </c>
      <c r="C69" s="13">
        <f t="shared" si="29"/>
        <v>7.7</v>
      </c>
      <c r="D69" s="13">
        <f t="shared" si="16"/>
        <v>98.52</v>
      </c>
      <c r="E69" s="13">
        <f t="shared" si="17"/>
        <v>89.87</v>
      </c>
      <c r="F69" s="13">
        <f t="shared" si="18"/>
        <v>1.52</v>
      </c>
    </row>
    <row r="70" spans="1:6" ht="19.5" thickBot="1" x14ac:dyDescent="0.35">
      <c r="A70" s="13">
        <f>A40</f>
        <v>14.54</v>
      </c>
      <c r="B70" s="13">
        <f t="shared" si="29"/>
        <v>107</v>
      </c>
      <c r="C70" s="13">
        <f t="shared" si="29"/>
        <v>9.1999999999999993</v>
      </c>
      <c r="D70" s="13">
        <f t="shared" si="16"/>
        <v>97.18</v>
      </c>
      <c r="E70" s="13">
        <f t="shared" si="17"/>
        <v>96.43</v>
      </c>
      <c r="F70" s="13">
        <f t="shared" si="18"/>
        <v>1.1399999999999999</v>
      </c>
    </row>
    <row r="71" spans="1:6" ht="19.5" thickBot="1" x14ac:dyDescent="0.35">
      <c r="D71" s="10"/>
      <c r="E71" s="23" t="s">
        <v>34</v>
      </c>
      <c r="F71" s="24">
        <f>ROUND(SUM(F45:F70)/(COUNT(F45:F70)-2),2)</f>
        <v>36.26</v>
      </c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21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NGC024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2026-01-12T08:25:21Z</dcterms:modified>
</cp:coreProperties>
</file>