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6614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44" i="1" l="1"/>
  <c r="F45" i="1" s="1"/>
  <c r="A41" i="1"/>
  <c r="B41" i="1"/>
  <c r="E41" i="1" s="1"/>
  <c r="F41" i="1" s="1"/>
  <c r="C41" i="1"/>
  <c r="D41" i="1"/>
  <c r="A42" i="1"/>
  <c r="B42" i="1"/>
  <c r="E42" i="1" s="1"/>
  <c r="F42" i="1" s="1"/>
  <c r="C42" i="1"/>
  <c r="D42" i="1"/>
  <c r="A43" i="1"/>
  <c r="B43" i="1"/>
  <c r="E43" i="1" s="1"/>
  <c r="F43" i="1" s="1"/>
  <c r="C43" i="1"/>
  <c r="D43" i="1"/>
  <c r="A44" i="1"/>
  <c r="B44" i="1"/>
  <c r="E44" i="1" s="1"/>
  <c r="C44" i="1"/>
  <c r="D44" i="1"/>
  <c r="C9" i="1" l="1"/>
  <c r="C12" i="1" s="1"/>
  <c r="A33" i="1" l="1"/>
  <c r="A34" i="1"/>
  <c r="A35" i="1"/>
  <c r="A36" i="1"/>
  <c r="A37" i="1"/>
  <c r="A38" i="1"/>
  <c r="A39" i="1"/>
  <c r="A40" i="1"/>
  <c r="A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E9" i="1" s="1"/>
  <c r="C40" i="1"/>
  <c r="C32" i="1"/>
  <c r="B32" i="1"/>
  <c r="I8" i="1"/>
  <c r="D16" i="1" l="1"/>
  <c r="J16" i="1" s="1"/>
  <c r="D27" i="1"/>
  <c r="E10" i="1"/>
  <c r="E12" i="1" s="1"/>
  <c r="D15" i="1"/>
  <c r="D25" i="1"/>
  <c r="D23" i="1"/>
  <c r="D21" i="1"/>
  <c r="D19" i="1"/>
  <c r="D17" i="1"/>
  <c r="D26" i="1"/>
  <c r="D24" i="1"/>
  <c r="D22" i="1"/>
  <c r="D20" i="1"/>
  <c r="D18" i="1"/>
  <c r="L16" i="1" l="1"/>
  <c r="N16" i="1" s="1"/>
  <c r="M16" i="1"/>
  <c r="K16" i="1"/>
  <c r="J27" i="1"/>
  <c r="M27" i="1"/>
  <c r="K27" i="1"/>
  <c r="L27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 l="1"/>
  <c r="N27" i="1"/>
  <c r="O27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D33" i="1" s="1"/>
  <c r="E33" i="1" s="1"/>
  <c r="F33" i="1" s="1"/>
  <c r="O19" i="1"/>
  <c r="O26" i="1"/>
  <c r="O24" i="1"/>
  <c r="O23" i="1"/>
  <c r="O20" i="1"/>
  <c r="O21" i="1"/>
  <c r="O18" i="1"/>
  <c r="E15" i="1" l="1"/>
  <c r="F15" i="1" s="1"/>
  <c r="G15" i="1" s="1"/>
  <c r="E27" i="1"/>
  <c r="F27" i="1" s="1"/>
  <c r="G27" i="1" s="1"/>
  <c r="H16" i="1"/>
  <c r="E17" i="1"/>
  <c r="F17" i="1" s="1"/>
  <c r="G17" i="1" s="1"/>
  <c r="D34" i="1" s="1"/>
  <c r="E34" i="1" s="1"/>
  <c r="F34" i="1" s="1"/>
  <c r="E22" i="1"/>
  <c r="F22" i="1" s="1"/>
  <c r="G22" i="1" s="1"/>
  <c r="D39" i="1" s="1"/>
  <c r="E39" i="1" s="1"/>
  <c r="F39" i="1" s="1"/>
  <c r="E26" i="1"/>
  <c r="F26" i="1" s="1"/>
  <c r="G26" i="1" s="1"/>
  <c r="E25" i="1"/>
  <c r="F25" i="1" s="1"/>
  <c r="G25" i="1" s="1"/>
  <c r="E24" i="1"/>
  <c r="F24" i="1" s="1"/>
  <c r="G24" i="1" s="1"/>
  <c r="E19" i="1"/>
  <c r="F19" i="1" s="1"/>
  <c r="G19" i="1" s="1"/>
  <c r="D36" i="1" s="1"/>
  <c r="E36" i="1" s="1"/>
  <c r="F36" i="1" s="1"/>
  <c r="E18" i="1"/>
  <c r="F18" i="1" s="1"/>
  <c r="G18" i="1" s="1"/>
  <c r="D35" i="1" s="1"/>
  <c r="E35" i="1" s="1"/>
  <c r="F35" i="1" s="1"/>
  <c r="E21" i="1"/>
  <c r="F21" i="1" s="1"/>
  <c r="G21" i="1" s="1"/>
  <c r="D38" i="1" s="1"/>
  <c r="E38" i="1" s="1"/>
  <c r="F38" i="1" s="1"/>
  <c r="E20" i="1"/>
  <c r="F20" i="1" s="1"/>
  <c r="G20" i="1" s="1"/>
  <c r="D37" i="1" s="1"/>
  <c r="E37" i="1" s="1"/>
  <c r="F37" i="1" s="1"/>
  <c r="E23" i="1"/>
  <c r="F23" i="1" s="1"/>
  <c r="G23" i="1" s="1"/>
  <c r="D40" i="1" s="1"/>
  <c r="E40" i="1" s="1"/>
  <c r="F40" i="1" s="1"/>
  <c r="H15" i="1" l="1"/>
  <c r="D32" i="1"/>
  <c r="E32" i="1" s="1"/>
  <c r="F32" i="1" s="1"/>
  <c r="H27" i="1"/>
  <c r="H23" i="1"/>
  <c r="H21" i="1"/>
  <c r="H19" i="1"/>
  <c r="H25" i="1"/>
  <c r="H22" i="1"/>
  <c r="H20" i="1"/>
  <c r="H18" i="1"/>
  <c r="H24" i="1"/>
  <c r="H26" i="1"/>
  <c r="H17" i="1"/>
  <c r="H28" i="1" l="1"/>
  <c r="C29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<sst xmlns="http://schemas.openxmlformats.org/spreadsheetml/2006/main" count="40" uniqueCount="37">
  <si>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</si>
  <si>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</si>
  <si>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</si>
  <si>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</si>
  <si>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</si>
  <si>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</si>
  <si>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</si>
  <si>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</si>
  <si>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</si>
  <si>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</si>
  <si>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</si>
  <si>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</si>
  <si>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</si>
  <si>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</si>
  <si>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</si>
  <si>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</si>
  <si>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</si>
  <si>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</si>
  <si>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</si>
  <si>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</si>
  <si>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</si>
  <si>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</si>
  <si>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</si>
  <si>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</si>
  <si>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</si>
  <si>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</si>
  <si>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</si>
  <si>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</si>
  <si>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</si>
  <si>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</si>
  <si>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</si>
  <si>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</si>
  <si>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UGC06614</t>
  </si>
  <si>
    <t>A=(V_obs-V_TURI)^2</t>
  </si>
  <si>
    <t>A/Incer V_Obs^2</t>
  </si>
  <si>
    <t>X^2/d_f=</t>
  </si>
  <si>
    <t>r_c=R_max/1,82=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</si>
</sst>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'UGC06614'!$B$31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'UGC06614'!$C$32:$C$44</c:f>
                <c:numCache>
                  <c:formatCode>General</c:formatCode>
                  <c:ptCount val="13"/>
                  <c:pt idx="0">
                    <c:v>16.7</c:v>
                  </c:pt>
                  <c:pt idx="1">
                    <c:v>8.1</c:v>
                  </c:pt>
                  <c:pt idx="2">
                    <c:v>10.7</c:v>
                  </c:pt>
                  <c:pt idx="3">
                    <c:v>6.8</c:v>
                  </c:pt>
                  <c:pt idx="4">
                    <c:v>6.8</c:v>
                  </c:pt>
                  <c:pt idx="5">
                    <c:v>12.1</c:v>
                  </c:pt>
                  <c:pt idx="6">
                    <c:v>19.600000000000001</c:v>
                  </c:pt>
                  <c:pt idx="7">
                    <c:v>23.2</c:v>
                  </c:pt>
                  <c:pt idx="8">
                    <c:v>23</c:v>
                  </c:pt>
                  <c:pt idx="9">
                    <c:v>7.2</c:v>
                  </c:pt>
                  <c:pt idx="10">
                    <c:v>17.100000000000001</c:v>
                  </c:pt>
                  <c:pt idx="11">
                    <c:v>16</c:v>
                  </c:pt>
                  <c:pt idx="12">
                    <c:v>16</c:v>
                  </c:pt>
                </c:numCache>
              </c:numRef>
            </c:plus>
            <c:minus>
              <c:numRef>
                <c:f>'UGC06614'!$C$32:$C$44</c:f>
                <c:numCache>
                  <c:formatCode>General</c:formatCode>
                  <c:ptCount val="13"/>
                  <c:pt idx="0">
                    <c:v>16.7</c:v>
                  </c:pt>
                  <c:pt idx="1">
                    <c:v>8.1</c:v>
                  </c:pt>
                  <c:pt idx="2">
                    <c:v>10.7</c:v>
                  </c:pt>
                  <c:pt idx="3">
                    <c:v>6.8</c:v>
                  </c:pt>
                  <c:pt idx="4">
                    <c:v>6.8</c:v>
                  </c:pt>
                  <c:pt idx="5">
                    <c:v>12.1</c:v>
                  </c:pt>
                  <c:pt idx="6">
                    <c:v>19.600000000000001</c:v>
                  </c:pt>
                  <c:pt idx="7">
                    <c:v>23.2</c:v>
                  </c:pt>
                  <c:pt idx="8">
                    <c:v>23</c:v>
                  </c:pt>
                  <c:pt idx="9">
                    <c:v>7.2</c:v>
                  </c:pt>
                  <c:pt idx="10">
                    <c:v>17.100000000000001</c:v>
                  </c:pt>
                  <c:pt idx="11">
                    <c:v>16</c:v>
                  </c:pt>
                  <c:pt idx="12">
                    <c:v>16</c:v>
                  </c:pt>
                </c:numCache>
              </c:numRef>
            </c:minus>
          </c:errBars>
          <c:xVal>
            <c:numRef>
              <c:f>'UGC06614'!$A$32:$A$44</c:f>
              <c:numCache>
                <c:formatCode>General</c:formatCode>
                <c:ptCount val="13"/>
                <c:pt idx="0">
                  <c:v>3.23</c:v>
                </c:pt>
                <c:pt idx="1">
                  <c:v>9.18</c:v>
                </c:pt>
                <c:pt idx="2">
                  <c:v>10.64</c:v>
                </c:pt>
                <c:pt idx="3">
                  <c:v>11.58</c:v>
                </c:pt>
                <c:pt idx="4">
                  <c:v>12.52</c:v>
                </c:pt>
                <c:pt idx="5">
                  <c:v>13.57</c:v>
                </c:pt>
                <c:pt idx="6">
                  <c:v>15.76</c:v>
                </c:pt>
                <c:pt idx="7">
                  <c:v>24.94</c:v>
                </c:pt>
                <c:pt idx="8">
                  <c:v>26.3</c:v>
                </c:pt>
                <c:pt idx="9">
                  <c:v>34.96</c:v>
                </c:pt>
                <c:pt idx="10">
                  <c:v>36.840000000000003</c:v>
                </c:pt>
                <c:pt idx="11">
                  <c:v>47.38</c:v>
                </c:pt>
                <c:pt idx="12">
                  <c:v>64.59</c:v>
                </c:pt>
              </c:numCache>
            </c:numRef>
          </c:xVal>
          <c:yVal>
            <c:numRef>
              <c:f>'UGC06614'!$B$32:$B$44</c:f>
              <c:numCache>
                <c:formatCode>General</c:formatCode>
                <c:ptCount val="13"/>
                <c:pt idx="0">
                  <c:v>194</c:v>
                </c:pt>
                <c:pt idx="1">
                  <c:v>172</c:v>
                </c:pt>
                <c:pt idx="2">
                  <c:v>170</c:v>
                </c:pt>
                <c:pt idx="3">
                  <c:v>170</c:v>
                </c:pt>
                <c:pt idx="4">
                  <c:v>171</c:v>
                </c:pt>
                <c:pt idx="5">
                  <c:v>172</c:v>
                </c:pt>
                <c:pt idx="6">
                  <c:v>174</c:v>
                </c:pt>
                <c:pt idx="7">
                  <c:v>193</c:v>
                </c:pt>
                <c:pt idx="8">
                  <c:v>194</c:v>
                </c:pt>
                <c:pt idx="9">
                  <c:v>201</c:v>
                </c:pt>
                <c:pt idx="10">
                  <c:v>202</c:v>
                </c:pt>
                <c:pt idx="11">
                  <c:v>205</c:v>
                </c:pt>
                <c:pt idx="12">
                  <c:v>204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04128"/>
        <c:axId val="134721536"/>
      </c:scatterChart>
      <c:scatterChart>
        <c:scatterStyle val="smoothMarker"/>
        <c:varyColors val="0"/>
        <c:ser>
          <c:idx val="1"/>
          <c:order val="1"/>
          <c:tx>
            <c:strRef>
              <c:f>'UGC06614'!$D$31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'UGC06614'!$A$32:$A$44</c:f>
              <c:numCache>
                <c:formatCode>General</c:formatCode>
                <c:ptCount val="13"/>
                <c:pt idx="0">
                  <c:v>3.23</c:v>
                </c:pt>
                <c:pt idx="1">
                  <c:v>9.18</c:v>
                </c:pt>
                <c:pt idx="2">
                  <c:v>10.64</c:v>
                </c:pt>
                <c:pt idx="3">
                  <c:v>11.58</c:v>
                </c:pt>
                <c:pt idx="4">
                  <c:v>12.52</c:v>
                </c:pt>
                <c:pt idx="5">
                  <c:v>13.57</c:v>
                </c:pt>
                <c:pt idx="6">
                  <c:v>15.76</c:v>
                </c:pt>
                <c:pt idx="7">
                  <c:v>24.94</c:v>
                </c:pt>
                <c:pt idx="8">
                  <c:v>26.3</c:v>
                </c:pt>
                <c:pt idx="9">
                  <c:v>34.96</c:v>
                </c:pt>
                <c:pt idx="10">
                  <c:v>36.840000000000003</c:v>
                </c:pt>
                <c:pt idx="11">
                  <c:v>47.38</c:v>
                </c:pt>
                <c:pt idx="12">
                  <c:v>64.59</c:v>
                </c:pt>
              </c:numCache>
            </c:numRef>
          </c:xVal>
          <c:yVal>
            <c:numRef>
              <c:f>'UGC06614'!$D$32:$D$44</c:f>
              <c:numCache>
                <c:formatCode>General</c:formatCode>
                <c:ptCount val="13"/>
                <c:pt idx="0">
                  <c:v>53.7</c:v>
                </c:pt>
                <c:pt idx="1">
                  <c:v>141.94</c:v>
                </c:pt>
                <c:pt idx="2">
                  <c:v>160.22999999999999</c:v>
                </c:pt>
                <c:pt idx="3">
                  <c:v>171.2</c:v>
                </c:pt>
                <c:pt idx="4">
                  <c:v>181.43</c:v>
                </c:pt>
                <c:pt idx="5">
                  <c:v>192.01</c:v>
                </c:pt>
                <c:pt idx="6">
                  <c:v>211.19</c:v>
                </c:pt>
                <c:pt idx="7">
                  <c:v>252.33</c:v>
                </c:pt>
                <c:pt idx="8">
                  <c:v>254.03</c:v>
                </c:pt>
                <c:pt idx="9">
                  <c:v>249.32</c:v>
                </c:pt>
                <c:pt idx="10">
                  <c:v>246.15</c:v>
                </c:pt>
                <c:pt idx="11">
                  <c:v>224.67</c:v>
                </c:pt>
                <c:pt idx="12">
                  <c:v>193.93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04128"/>
        <c:axId val="134721536"/>
      </c:scatterChart>
      <c:valAx>
        <c:axId val="1347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21536"/>
        <c:crosses val="autoZero"/>
        <c:crossBetween val="midCat"/>
      </c:valAx>
      <c:valAx>
        <c:axId val="13472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04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</xdr:row>
      <xdr:rowOff>28575</xdr:rowOff>
    </xdr:from>
    <xdr:to>
      <xdr:col>12</xdr:col>
      <xdr:colOff>1000125</xdr:colOff>
      <xdr:row>45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8"/>
  <sheetViews>
    <sheetView tabSelected="1" topLeftCell="A27" workbookViewId="0">
      <selection activeCell="C12" sqref="C12"/>
    </sheetView>
  </sheetViews>
  <sheetFormatPr baseColWidth="10" defaultRowHeight="18.75" x14ac:dyDescent="0.3"/>
  <cols>
    <col min="1" max="1" width="15.28515625" style="1" customWidth="1"/>
    <col min="2" max="2" width="12.7109375" style="1" customWidth="1"/>
    <col min="3" max="3" width="15.85546875" style="1" customWidth="1"/>
    <col min="4" max="4" width="32.710937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8</v>
      </c>
      <c r="C9" s="21">
        <f>A27</f>
        <v>64.59</v>
      </c>
      <c r="D9" s="14" t="s">
        <v>9</v>
      </c>
      <c r="E9" s="21">
        <f>B40</f>
        <v>194</v>
      </c>
      <c r="F9" s="10"/>
      <c r="G9" s="10"/>
      <c r="H9" s="10"/>
      <c r="I9" s="11"/>
    </row>
    <row r="10" spans="1:15" x14ac:dyDescent="0.3">
      <c r="B10" s="5" t="s">
        <v>10</v>
      </c>
      <c r="C10" s="30" t="s">
        <v>12</v>
      </c>
      <c r="D10" s="30"/>
      <c r="E10" s="9">
        <f>E9*E9*C9/I8</f>
        <v>565209430584.29626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36</v>
      </c>
      <c r="C12" s="7">
        <f>C9/1.82</f>
        <v>35.489010989010993</v>
      </c>
      <c r="D12" s="5" t="s">
        <v>14</v>
      </c>
      <c r="E12" s="9">
        <f>E10/(POWER(C12,3)*4*3.14159*H10)</f>
        <v>15511319.799498482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1" t="s">
        <v>29</v>
      </c>
      <c r="K14" s="31"/>
      <c r="L14" s="31"/>
      <c r="M14" s="31"/>
      <c r="N14" s="31"/>
      <c r="O14" s="31"/>
    </row>
    <row r="15" spans="1:15" x14ac:dyDescent="0.3">
      <c r="A15" s="13">
        <v>3.23</v>
      </c>
      <c r="B15" s="13">
        <v>194</v>
      </c>
      <c r="C15" s="13">
        <v>16.7</v>
      </c>
      <c r="D15" s="13">
        <f>A15/$C$12</f>
        <v>9.1014088868245843E-2</v>
      </c>
      <c r="E15" s="13">
        <f>N15*K15+O15*M15</f>
        <v>2.4858836002477155E-4</v>
      </c>
      <c r="F15" s="13">
        <f>4*$H$12*$E$12*POWER($C$12,3)*E15</f>
        <v>2165811861.9311175</v>
      </c>
      <c r="G15" s="13">
        <f t="shared" ref="G15:G26" si="0">POWER($I$8*F15/A15,0.5)</f>
        <v>53.701791648970676</v>
      </c>
      <c r="H15" s="13">
        <f t="shared" ref="H15:H26" si="1">ROUND(ABS((B15-G15)/B15)*100,2)</f>
        <v>72.319999999999993</v>
      </c>
      <c r="J15" s="26">
        <f>INDEX(Integrale!$H$3:$H$502,MATCH('UGC06614'!D15,Integrale!$H$3:$H$502,1))</f>
        <v>0.09</v>
      </c>
      <c r="K15" s="26">
        <f>INDEX(Integrale!$I$3:$I$502,MATCH('UGC06614'!D15,Integrale!$H$3:$H$502,1))</f>
        <v>2.3974010000000001E-4</v>
      </c>
      <c r="L15" s="26">
        <f>INDEX(Integrale!$H$3:$H$502,MATCH('UGC06614'!D15,Integrale!$H$3:$H$502,1)+1)</f>
        <v>0.1</v>
      </c>
      <c r="M15" s="26">
        <f>INDEX(Integrale!$I$3:$I$502,MATCH('UGC06614'!D15,Integrale!$H$3:$H$502,1)+1)</f>
        <v>3.2699340000000001E-4</v>
      </c>
      <c r="N15" s="26">
        <f>(L15-D15)/(L15-J15)</f>
        <v>0.8985911131754154</v>
      </c>
      <c r="O15" s="26">
        <f t="shared" ref="O15:O26" si="2">(D15-J15)/(L15-J15)</f>
        <v>0.10140888682458457</v>
      </c>
    </row>
    <row r="16" spans="1:15" x14ac:dyDescent="0.3">
      <c r="A16" s="13">
        <v>9.18</v>
      </c>
      <c r="B16" s="13">
        <v>172</v>
      </c>
      <c r="C16" s="13">
        <v>8.1</v>
      </c>
      <c r="D16" s="13">
        <f t="shared" ref="D16:D26" si="3">A16/$C$12</f>
        <v>0.2586716209939619</v>
      </c>
      <c r="E16" s="13">
        <f t="shared" ref="E16:E25" si="4">N16*K16+O16*M16</f>
        <v>4.9356439032048295E-3</v>
      </c>
      <c r="F16" s="13">
        <f t="shared" ref="F16:F26" si="5">4*$H$12*$E$12*POWER($C$12,3)*E16</f>
        <v>43001515078.034248</v>
      </c>
      <c r="G16" s="13">
        <f t="shared" si="0"/>
        <v>141.93849975366857</v>
      </c>
      <c r="H16" s="13">
        <f t="shared" si="1"/>
        <v>17.48</v>
      </c>
      <c r="J16" s="26">
        <f>INDEX(Integrale!$H$3:$H$502,MATCH('UGC06614'!D16,Integrale!$H$3:$H$502,1))</f>
        <v>0.25</v>
      </c>
      <c r="K16" s="26">
        <f>INDEX(Integrale!$I$3:$I$502,MATCH('UGC06614'!D16,Integrale!$H$3:$H$502,1))</f>
        <v>4.4997288E-3</v>
      </c>
      <c r="L16" s="26">
        <f>INDEX(Integrale!$H$3:$H$502,MATCH('UGC06614'!D16,Integrale!$H$3:$H$502,1)+1)</f>
        <v>0.26</v>
      </c>
      <c r="M16" s="26">
        <f>INDEX(Integrale!$I$3:$I$502,MATCH('UGC06614'!D16,Integrale!$H$3:$H$502,1)+1)</f>
        <v>5.0024203999999997E-3</v>
      </c>
      <c r="N16" s="26">
        <f t="shared" ref="N16:N26" si="6">(L16-D16)/(L16-J16)</f>
        <v>0.1328379006038104</v>
      </c>
      <c r="O16" s="26">
        <f t="shared" si="2"/>
        <v>0.8671620993961896</v>
      </c>
    </row>
    <row r="17" spans="1:15" x14ac:dyDescent="0.3">
      <c r="A17" s="13">
        <v>10.64</v>
      </c>
      <c r="B17" s="13">
        <v>170</v>
      </c>
      <c r="C17" s="13">
        <v>10.7</v>
      </c>
      <c r="D17" s="13">
        <f t="shared" si="3"/>
        <v>0.29981111627186868</v>
      </c>
      <c r="E17" s="13">
        <f t="shared" si="4"/>
        <v>7.2903691623935583E-3</v>
      </c>
      <c r="F17" s="13">
        <f t="shared" si="5"/>
        <v>63516924156.044075</v>
      </c>
      <c r="G17" s="13">
        <f t="shared" si="0"/>
        <v>160.23359918146866</v>
      </c>
      <c r="H17" s="13">
        <f t="shared" si="1"/>
        <v>5.74</v>
      </c>
      <c r="J17" s="26">
        <f>INDEX(Integrale!$H$3:$H$502,MATCH('UGC06614'!D17,Integrale!$H$3:$H$502,1))</f>
        <v>0.28999999999999998</v>
      </c>
      <c r="K17" s="26">
        <f>INDEX(Integrale!$I$3:$I$502,MATCH('UGC06614'!D17,Integrale!$H$3:$H$502,1))</f>
        <v>6.6846487000000003E-3</v>
      </c>
      <c r="L17" s="26">
        <f>INDEX(Integrale!$H$3:$H$502,MATCH('UGC06614'!D17,Integrale!$H$3:$H$502,1)+1)</f>
        <v>0.3</v>
      </c>
      <c r="M17" s="26">
        <f>INDEX(Integrale!$I$3:$I$502,MATCH('UGC06614'!D17,Integrale!$H$3:$H$502,1)+1)</f>
        <v>7.3020304999999999E-3</v>
      </c>
      <c r="N17" s="26">
        <f t="shared" si="6"/>
        <v>1.8888372813130588E-2</v>
      </c>
      <c r="O17" s="26">
        <f t="shared" si="2"/>
        <v>0.98111162718686939</v>
      </c>
    </row>
    <row r="18" spans="1:15" x14ac:dyDescent="0.3">
      <c r="A18" s="13">
        <v>11.58</v>
      </c>
      <c r="B18" s="13">
        <v>170</v>
      </c>
      <c r="C18" s="13">
        <v>6.8</v>
      </c>
      <c r="D18" s="13">
        <f t="shared" si="3"/>
        <v>0.32629818857408266</v>
      </c>
      <c r="E18" s="13">
        <f t="shared" si="4"/>
        <v>9.0572381457036666E-3</v>
      </c>
      <c r="F18" s="13">
        <f t="shared" si="5"/>
        <v>78910669068.918839</v>
      </c>
      <c r="G18" s="13">
        <f t="shared" si="0"/>
        <v>171.19585905846625</v>
      </c>
      <c r="H18" s="13">
        <f t="shared" si="1"/>
        <v>0.7</v>
      </c>
      <c r="J18" s="26">
        <f>INDEX(Integrale!$H$3:$H$502,MATCH('UGC06614'!D18,Integrale!$H$3:$H$502,1))</f>
        <v>0.32</v>
      </c>
      <c r="K18" s="26">
        <f>INDEX(Integrale!$I$3:$I$502,MATCH('UGC06614'!D18,Integrale!$H$3:$H$502,1))</f>
        <v>8.6181364999999999E-3</v>
      </c>
      <c r="L18" s="26">
        <f>INDEX(Integrale!$H$3:$H$502,MATCH('UGC06614'!D18,Integrale!$H$3:$H$502,1)+1)</f>
        <v>0.33</v>
      </c>
      <c r="M18" s="26">
        <f>INDEX(Integrale!$I$3:$I$502,MATCH('UGC06614'!D18,Integrale!$H$3:$H$502,1)+1)</f>
        <v>9.3153236999999993E-3</v>
      </c>
      <c r="N18" s="26">
        <f t="shared" si="6"/>
        <v>0.37018114259173529</v>
      </c>
      <c r="O18" s="26">
        <f t="shared" si="2"/>
        <v>0.62981885740826471</v>
      </c>
    </row>
    <row r="19" spans="1:15" x14ac:dyDescent="0.3">
      <c r="A19" s="13">
        <v>12.52</v>
      </c>
      <c r="B19" s="13">
        <v>171</v>
      </c>
      <c r="C19" s="13">
        <v>6.8</v>
      </c>
      <c r="D19" s="13">
        <f t="shared" si="3"/>
        <v>0.35278526087629658</v>
      </c>
      <c r="E19" s="13">
        <f t="shared" si="4"/>
        <v>1.0997659742808481E-2</v>
      </c>
      <c r="F19" s="13">
        <f t="shared" si="5"/>
        <v>95816481198.409317</v>
      </c>
      <c r="G19" s="13">
        <f t="shared" si="0"/>
        <v>181.42520263804445</v>
      </c>
      <c r="H19" s="13">
        <f t="shared" si="1"/>
        <v>6.1</v>
      </c>
      <c r="J19" s="26">
        <f>INDEX(Integrale!$H$3:$H$502,MATCH('UGC06614'!D19,Integrale!$H$3:$H$502,1))</f>
        <v>0.35</v>
      </c>
      <c r="K19" s="26">
        <f>INDEX(Integrale!$I$3:$I$502,MATCH('UGC06614'!D19,Integrale!$H$3:$H$502,1))</f>
        <v>1.0783486300000001E-2</v>
      </c>
      <c r="L19" s="26">
        <f>INDEX(Integrale!$H$3:$H$502,MATCH('UGC06614'!D19,Integrale!$H$3:$H$502,1)+1)</f>
        <v>0.36</v>
      </c>
      <c r="M19" s="26">
        <f>INDEX(Integrale!$I$3:$I$502,MATCH('UGC06614'!D19,Integrale!$H$3:$H$502,1)+1)</f>
        <v>1.15524392E-2</v>
      </c>
      <c r="N19" s="26">
        <f t="shared" si="6"/>
        <v>0.72147391237033998</v>
      </c>
      <c r="O19" s="26">
        <f t="shared" si="2"/>
        <v>0.27852608762966002</v>
      </c>
    </row>
    <row r="20" spans="1:15" x14ac:dyDescent="0.3">
      <c r="A20" s="13">
        <v>13.57</v>
      </c>
      <c r="B20" s="13">
        <v>172</v>
      </c>
      <c r="C20" s="13">
        <v>12.1</v>
      </c>
      <c r="D20" s="13">
        <f t="shared" si="3"/>
        <v>0.38237188419259943</v>
      </c>
      <c r="E20" s="13">
        <f t="shared" si="4"/>
        <v>1.3351572344604424E-2</v>
      </c>
      <c r="F20" s="13">
        <f t="shared" si="5"/>
        <v>116324810045.38658</v>
      </c>
      <c r="G20" s="13">
        <f t="shared" si="0"/>
        <v>192.0109182914471</v>
      </c>
      <c r="H20" s="13">
        <f t="shared" si="1"/>
        <v>11.63</v>
      </c>
      <c r="J20" s="26">
        <f>INDEX(Integrale!$H$3:$H$502,MATCH('UGC06614'!D20,Integrale!$H$3:$H$502,1))</f>
        <v>0.38</v>
      </c>
      <c r="K20" s="26">
        <f>INDEX(Integrale!$I$3:$I$502,MATCH('UGC06614'!D20,Integrale!$H$3:$H$502,1))</f>
        <v>1.31545302E-2</v>
      </c>
      <c r="L20" s="26">
        <f>INDEX(Integrale!$H$3:$H$502,MATCH('UGC06614'!D20,Integrale!$H$3:$H$502,1)+1)</f>
        <v>0.39</v>
      </c>
      <c r="M20" s="26">
        <f>INDEX(Integrale!$I$3:$I$502,MATCH('UGC06614'!D20,Integrale!$H$3:$H$502,1)+1)</f>
        <v>1.39852712E-2</v>
      </c>
      <c r="N20" s="26">
        <f t="shared" si="6"/>
        <v>0.7628115807400575</v>
      </c>
      <c r="O20" s="26">
        <f t="shared" si="2"/>
        <v>0.2371884192599425</v>
      </c>
    </row>
    <row r="21" spans="1:15" x14ac:dyDescent="0.3">
      <c r="A21" s="13">
        <v>15.76</v>
      </c>
      <c r="B21" s="13">
        <v>174</v>
      </c>
      <c r="C21" s="13">
        <v>19.600000000000001</v>
      </c>
      <c r="D21" s="13">
        <f t="shared" si="3"/>
        <v>0.44408112710945963</v>
      </c>
      <c r="E21" s="13">
        <f t="shared" si="4"/>
        <v>1.8759213551834644E-2</v>
      </c>
      <c r="F21" s="13">
        <f t="shared" si="5"/>
        <v>163438574625.99542</v>
      </c>
      <c r="G21" s="13">
        <f t="shared" si="0"/>
        <v>211.19267395807654</v>
      </c>
      <c r="H21" s="13">
        <f t="shared" si="1"/>
        <v>21.38</v>
      </c>
      <c r="J21" s="26">
        <f>INDEX(Integrale!$H$3:$H$502,MATCH('UGC06614'!D21,Integrale!$H$3:$H$502,1))</f>
        <v>0.44</v>
      </c>
      <c r="K21" s="26">
        <f>INDEX(Integrale!$I$3:$I$502,MATCH('UGC06614'!D21,Integrale!$H$3:$H$502,1))</f>
        <v>1.8384067899999999E-2</v>
      </c>
      <c r="L21" s="26">
        <f>INDEX(Integrale!$H$3:$H$502,MATCH('UGC06614'!D21,Integrale!$H$3:$H$502,1)+1)</f>
        <v>0.45</v>
      </c>
      <c r="M21" s="26">
        <f>INDEX(Integrale!$I$3:$I$502,MATCH('UGC06614'!D21,Integrale!$H$3:$H$502,1)+1)</f>
        <v>1.9303288599999999E-2</v>
      </c>
      <c r="N21" s="26">
        <f t="shared" si="6"/>
        <v>0.59188728905403776</v>
      </c>
      <c r="O21" s="26">
        <f t="shared" si="2"/>
        <v>0.40811271094596219</v>
      </c>
    </row>
    <row r="22" spans="1:15" x14ac:dyDescent="0.3">
      <c r="A22" s="13">
        <v>24.94</v>
      </c>
      <c r="B22" s="13">
        <v>193</v>
      </c>
      <c r="C22" s="13">
        <v>23.2</v>
      </c>
      <c r="D22" s="13">
        <f t="shared" si="3"/>
        <v>0.70275274810342159</v>
      </c>
      <c r="E22" s="13">
        <f t="shared" si="4"/>
        <v>4.2378800121489396E-2</v>
      </c>
      <c r="F22" s="13">
        <f t="shared" si="5"/>
        <v>369222871048.27997</v>
      </c>
      <c r="G22" s="13">
        <f t="shared" si="0"/>
        <v>252.33398443122829</v>
      </c>
      <c r="H22" s="13">
        <f t="shared" si="1"/>
        <v>30.74</v>
      </c>
      <c r="J22" s="26">
        <f>INDEX(Integrale!$H$3:$H$502,MATCH('UGC06614'!D22,Integrale!$H$3:$H$502,1))</f>
        <v>0.7</v>
      </c>
      <c r="K22" s="26">
        <f>INDEX(Integrale!$I$3:$I$502,MATCH('UGC06614'!D22,Integrale!$H$3:$H$502,1))</f>
        <v>4.2162042900000002E-2</v>
      </c>
      <c r="L22" s="26">
        <f>INDEX(Integrale!$H$3:$H$502,MATCH('UGC06614'!D22,Integrale!$H$3:$H$502,1)+1)</f>
        <v>0.71</v>
      </c>
      <c r="M22" s="26">
        <f>INDEX(Integrale!$I$3:$I$502,MATCH('UGC06614'!D22,Integrale!$H$3:$H$502,1)+1)</f>
        <v>4.2949464100000001E-2</v>
      </c>
      <c r="N22" s="26">
        <f t="shared" si="6"/>
        <v>0.72472518965783705</v>
      </c>
      <c r="O22" s="26">
        <f t="shared" si="2"/>
        <v>0.27527481034216295</v>
      </c>
    </row>
    <row r="23" spans="1:15" x14ac:dyDescent="0.3">
      <c r="A23" s="13">
        <v>26.3</v>
      </c>
      <c r="B23" s="13">
        <v>194</v>
      </c>
      <c r="C23" s="13">
        <v>23</v>
      </c>
      <c r="D23" s="13">
        <f t="shared" si="3"/>
        <v>0.74107446973215663</v>
      </c>
      <c r="E23" s="13">
        <f t="shared" si="4"/>
        <v>4.5291199159513851E-2</v>
      </c>
      <c r="F23" s="13">
        <f t="shared" si="5"/>
        <v>394596981013.04895</v>
      </c>
      <c r="G23" s="13">
        <f t="shared" si="0"/>
        <v>254.026296926127</v>
      </c>
      <c r="H23" s="13">
        <f t="shared" si="1"/>
        <v>30.94</v>
      </c>
      <c r="J23" s="26">
        <f>INDEX(Integrale!$H$3:$H$502,MATCH('UGC06614'!D23,Integrale!$H$3:$H$502,1))</f>
        <v>0.74</v>
      </c>
      <c r="K23" s="26">
        <f>INDEX(Integrale!$I$3:$I$502,MATCH('UGC06614'!D23,Integrale!$H$3:$H$502,1))</f>
        <v>4.5213718899999998E-2</v>
      </c>
      <c r="L23" s="26">
        <f>INDEX(Integrale!$H$3:$H$502,MATCH('UGC06614'!D23,Integrale!$H$3:$H$502,1)+1)</f>
        <v>0.75</v>
      </c>
      <c r="M23" s="26">
        <f>INDEX(Integrale!$I$3:$I$502,MATCH('UGC06614'!D23,Integrale!$H$3:$H$502,1)+1)</f>
        <v>4.5934821200000003E-2</v>
      </c>
      <c r="N23" s="26">
        <f t="shared" si="6"/>
        <v>0.89255302678433657</v>
      </c>
      <c r="O23" s="26">
        <f t="shared" si="2"/>
        <v>0.10744697321566345</v>
      </c>
    </row>
    <row r="24" spans="1:15" x14ac:dyDescent="0.3">
      <c r="A24" s="13">
        <v>34.96</v>
      </c>
      <c r="B24" s="13">
        <v>201</v>
      </c>
      <c r="C24" s="13">
        <v>7.2</v>
      </c>
      <c r="D24" s="13">
        <f t="shared" si="3"/>
        <v>0.98509366775042573</v>
      </c>
      <c r="E24" s="13">
        <f t="shared" si="4"/>
        <v>5.7994040915869328E-2</v>
      </c>
      <c r="F24" s="13">
        <f t="shared" si="5"/>
        <v>505269762930.13898</v>
      </c>
      <c r="G24" s="13">
        <f t="shared" si="0"/>
        <v>249.31913711842006</v>
      </c>
      <c r="H24" s="13">
        <f t="shared" si="1"/>
        <v>24.04</v>
      </c>
      <c r="J24" s="26">
        <f>INDEX(Integrale!$H$3:$H$502,MATCH('UGC06614'!D24,Integrale!$H$3:$H$502,1))</f>
        <v>0.98</v>
      </c>
      <c r="K24" s="26">
        <f>INDEX(Integrale!$I$3:$I$502,MATCH('UGC06614'!D24,Integrale!$H$3:$H$502,1))</f>
        <v>5.7825627400000003E-2</v>
      </c>
      <c r="L24" s="26">
        <f>INDEX(Integrale!$H$3:$H$502,MATCH('UGC06614'!D24,Integrale!$H$3:$H$502,1)+1)</f>
        <v>0.99</v>
      </c>
      <c r="M24" s="26">
        <f>INDEX(Integrale!$I$3:$I$502,MATCH('UGC06614'!D24,Integrale!$H$3:$H$502,1)+1)</f>
        <v>5.8156260500000001E-2</v>
      </c>
      <c r="N24" s="26">
        <f t="shared" si="6"/>
        <v>0.4906332249574259</v>
      </c>
      <c r="O24" s="26">
        <f t="shared" si="2"/>
        <v>0.5093667750425741</v>
      </c>
    </row>
    <row r="25" spans="1:15" x14ac:dyDescent="0.3">
      <c r="A25" s="13">
        <v>36.840000000000003</v>
      </c>
      <c r="B25" s="13">
        <v>202</v>
      </c>
      <c r="C25" s="13">
        <v>17.100000000000001</v>
      </c>
      <c r="D25" s="13">
        <f t="shared" si="3"/>
        <v>1.0380678123548537</v>
      </c>
      <c r="E25" s="13">
        <f t="shared" si="4"/>
        <v>5.9568307319414773E-2</v>
      </c>
      <c r="F25" s="13">
        <f t="shared" si="5"/>
        <v>518985468887.96661</v>
      </c>
      <c r="G25" s="13">
        <f t="shared" si="0"/>
        <v>246.14865144579721</v>
      </c>
      <c r="H25" s="13">
        <f t="shared" si="1"/>
        <v>21.86</v>
      </c>
      <c r="J25" s="26">
        <f>INDEX(Integrale!$H$3:$H$502,MATCH('UGC06614'!D25,Integrale!$H$3:$H$502,1))</f>
        <v>1.03</v>
      </c>
      <c r="K25" s="26">
        <f>INDEX(Integrale!$I$3:$I$502,MATCH('UGC06614'!D25,Integrale!$H$3:$H$502,1))</f>
        <v>5.93514822E-2</v>
      </c>
      <c r="L25" s="26">
        <f>INDEX(Integrale!$H$3:$H$502,MATCH('UGC06614'!D25,Integrale!$H$3:$H$502,1)+1)</f>
        <v>1.04</v>
      </c>
      <c r="M25" s="26">
        <f>INDEX(Integrale!$I$3:$I$502,MATCH('UGC06614'!D25,Integrale!$H$3:$H$502,1)+1)</f>
        <v>5.96202355E-2</v>
      </c>
      <c r="N25" s="26">
        <f t="shared" si="6"/>
        <v>0.19321876451463532</v>
      </c>
      <c r="O25" s="26">
        <f t="shared" si="2"/>
        <v>0.80678123548536473</v>
      </c>
    </row>
    <row r="26" spans="1:15" x14ac:dyDescent="0.3">
      <c r="A26" s="13">
        <v>47.38</v>
      </c>
      <c r="B26" s="13">
        <v>205</v>
      </c>
      <c r="C26" s="13">
        <v>16</v>
      </c>
      <c r="D26" s="13">
        <f t="shared" si="3"/>
        <v>1.3350611549775506</v>
      </c>
      <c r="E26" s="13">
        <f>N26*K26+O26*M26</f>
        <v>6.3825586927620373E-2</v>
      </c>
      <c r="F26" s="13">
        <f t="shared" si="5"/>
        <v>556076773863.34973</v>
      </c>
      <c r="G26" s="13">
        <f t="shared" si="0"/>
        <v>224.67229532169247</v>
      </c>
      <c r="H26" s="13">
        <f t="shared" si="1"/>
        <v>9.6</v>
      </c>
      <c r="J26" s="26">
        <f>INDEX(Integrale!$H$3:$H$502,MATCH('UGC06614'!D26,Integrale!$H$3:$H$502,1))</f>
        <v>1.33</v>
      </c>
      <c r="K26" s="26">
        <f>INDEX(Integrale!$I$3:$I$502,MATCH('UGC06614'!D26,Integrale!$H$3:$H$502,1))</f>
        <v>6.37944919E-2</v>
      </c>
      <c r="L26" s="26">
        <f>INDEX(Integrale!$H$3:$H$502,MATCH('UGC06614'!D26,Integrale!$H$3:$H$502,1)+1)</f>
        <v>1.34</v>
      </c>
      <c r="M26" s="26">
        <f>INDEX(Integrale!$I$3:$I$502,MATCH('UGC06614'!D26,Integrale!$H$3:$H$502,1)+1)</f>
        <v>6.3855930500000005E-2</v>
      </c>
      <c r="N26" s="26">
        <f t="shared" si="6"/>
        <v>0.49388450224494518</v>
      </c>
      <c r="O26" s="26">
        <f t="shared" si="2"/>
        <v>0.50611549775505482</v>
      </c>
    </row>
    <row r="27" spans="1:15" x14ac:dyDescent="0.3">
      <c r="A27" s="13">
        <v>64.59</v>
      </c>
      <c r="B27" s="13">
        <v>204</v>
      </c>
      <c r="C27" s="13">
        <v>16</v>
      </c>
      <c r="D27" s="13">
        <f t="shared" ref="D27" si="7">A27/$C$12</f>
        <v>1.8199999999999998</v>
      </c>
      <c r="E27" s="13">
        <f t="shared" ref="E27" si="8">N27*K27+O27*M27</f>
        <v>6.4824654699999998E-2</v>
      </c>
      <c r="F27" s="13">
        <f t="shared" ref="F27" si="9">4*$H$12*$E$12*POWER($C$12,3)*E27</f>
        <v>564781094661.30371</v>
      </c>
      <c r="G27" s="13">
        <f t="shared" ref="G27" si="10">POWER($I$8*F27/A27,0.5)</f>
        <v>193.92647599806969</v>
      </c>
      <c r="H27" s="13">
        <f t="shared" ref="H27" si="11">ROUND(ABS((B27-G27)/B27)*100,2)</f>
        <v>4.9400000000000004</v>
      </c>
      <c r="J27" s="26">
        <f>INDEX(Integrale!$H$3:$H$502,MATCH('UGC06614'!D27,Integrale!$H$3:$H$502,1))</f>
        <v>1.81</v>
      </c>
      <c r="K27" s="26">
        <f>INDEX(Integrale!$I$3:$I$502,MATCH('UGC06614'!D27,Integrale!$H$3:$H$502,1))</f>
        <v>6.4821271400000005E-2</v>
      </c>
      <c r="L27" s="26">
        <f>INDEX(Integrale!$H$3:$H$502,MATCH('UGC06614'!D27,Integrale!$H$3:$H$502,1)+1)</f>
        <v>1.82</v>
      </c>
      <c r="M27" s="26">
        <f>INDEX(Integrale!$I$3:$I$502,MATCH('UGC06614'!D27,Integrale!$H$3:$H$502,1)+1)</f>
        <v>6.4824654699999998E-2</v>
      </c>
      <c r="N27" s="26">
        <f t="shared" ref="N27" si="12">(L27-D27)/(L27-J27)</f>
        <v>2.2204460492503112E-14</v>
      </c>
      <c r="O27" s="26">
        <f t="shared" ref="O27" si="13">(D27-J27)/(L27-J27)</f>
        <v>0.9999999999999778</v>
      </c>
    </row>
    <row r="28" spans="1:15" x14ac:dyDescent="0.3">
      <c r="G28" s="8" t="s">
        <v>25</v>
      </c>
      <c r="H28" s="6">
        <f>ROUND(AVERAGE(H15:H27),2)</f>
        <v>19.809999999999999</v>
      </c>
    </row>
    <row r="29" spans="1:15" x14ac:dyDescent="0.3">
      <c r="B29" s="19" t="s">
        <v>24</v>
      </c>
      <c r="C29" s="20">
        <f>ROUND(MAX(0,100-H28),2)</f>
        <v>80.19</v>
      </c>
      <c r="D29" s="20" t="s">
        <v>26</v>
      </c>
    </row>
    <row r="31" spans="1:15" x14ac:dyDescent="0.3">
      <c r="A31" s="12" t="s">
        <v>7</v>
      </c>
      <c r="B31" s="12" t="s">
        <v>27</v>
      </c>
      <c r="C31" s="12" t="s">
        <v>28</v>
      </c>
      <c r="D31" s="12" t="s">
        <v>19</v>
      </c>
      <c r="E31" s="25" t="s">
        <v>33</v>
      </c>
      <c r="F31" s="25" t="s">
        <v>34</v>
      </c>
    </row>
    <row r="32" spans="1:15" x14ac:dyDescent="0.3">
      <c r="A32" s="13">
        <f>A15</f>
        <v>3.23</v>
      </c>
      <c r="B32" s="13">
        <f>B15</f>
        <v>194</v>
      </c>
      <c r="C32" s="13">
        <f>C15</f>
        <v>16.7</v>
      </c>
      <c r="D32" s="13">
        <f>ROUND(G15,2)</f>
        <v>53.7</v>
      </c>
      <c r="E32" s="24">
        <f>ROUND(POWER((B32-D32),2),2)</f>
        <v>19684.09</v>
      </c>
      <c r="F32" s="24">
        <f>ROUND(E32/POWER(C32,2),2)</f>
        <v>70.58</v>
      </c>
    </row>
    <row r="33" spans="1:6" x14ac:dyDescent="0.3">
      <c r="A33" s="13">
        <f t="shared" ref="A33:A39" si="14">A16</f>
        <v>9.18</v>
      </c>
      <c r="B33" s="13">
        <f t="shared" ref="B33:C39" si="15">B16</f>
        <v>172</v>
      </c>
      <c r="C33" s="13">
        <f t="shared" si="15"/>
        <v>8.1</v>
      </c>
      <c r="D33" s="24">
        <f t="shared" ref="D33:D39" si="16">ROUND(G16,2)</f>
        <v>141.94</v>
      </c>
      <c r="E33" s="24">
        <f t="shared" ref="E33:E40" si="17">ROUND(POWER((B33-D33),2),2)</f>
        <v>903.6</v>
      </c>
      <c r="F33" s="24">
        <f t="shared" ref="F33:F40" si="18">ROUND(E33/POWER(C33,2),2)</f>
        <v>13.77</v>
      </c>
    </row>
    <row r="34" spans="1:6" x14ac:dyDescent="0.3">
      <c r="A34" s="13">
        <f t="shared" si="14"/>
        <v>10.64</v>
      </c>
      <c r="B34" s="13">
        <f t="shared" si="15"/>
        <v>170</v>
      </c>
      <c r="C34" s="13">
        <f t="shared" si="15"/>
        <v>10.7</v>
      </c>
      <c r="D34" s="24">
        <f t="shared" si="16"/>
        <v>160.22999999999999</v>
      </c>
      <c r="E34" s="24">
        <f t="shared" si="17"/>
        <v>95.45</v>
      </c>
      <c r="F34" s="24">
        <f t="shared" si="18"/>
        <v>0.83</v>
      </c>
    </row>
    <row r="35" spans="1:6" x14ac:dyDescent="0.3">
      <c r="A35" s="13">
        <f t="shared" si="14"/>
        <v>11.58</v>
      </c>
      <c r="B35" s="13">
        <f t="shared" si="15"/>
        <v>170</v>
      </c>
      <c r="C35" s="13">
        <f t="shared" si="15"/>
        <v>6.8</v>
      </c>
      <c r="D35" s="24">
        <f t="shared" si="16"/>
        <v>171.2</v>
      </c>
      <c r="E35" s="24">
        <f t="shared" si="17"/>
        <v>1.44</v>
      </c>
      <c r="F35" s="24">
        <f t="shared" si="18"/>
        <v>0.03</v>
      </c>
    </row>
    <row r="36" spans="1:6" x14ac:dyDescent="0.3">
      <c r="A36" s="13">
        <f t="shared" si="14"/>
        <v>12.52</v>
      </c>
      <c r="B36" s="13">
        <f t="shared" si="15"/>
        <v>171</v>
      </c>
      <c r="C36" s="13">
        <f t="shared" si="15"/>
        <v>6.8</v>
      </c>
      <c r="D36" s="24">
        <f t="shared" si="16"/>
        <v>181.43</v>
      </c>
      <c r="E36" s="24">
        <f t="shared" si="17"/>
        <v>108.78</v>
      </c>
      <c r="F36" s="24">
        <f t="shared" si="18"/>
        <v>2.35</v>
      </c>
    </row>
    <row r="37" spans="1:6" x14ac:dyDescent="0.3">
      <c r="A37" s="13">
        <f t="shared" si="14"/>
        <v>13.57</v>
      </c>
      <c r="B37" s="13">
        <f t="shared" si="15"/>
        <v>172</v>
      </c>
      <c r="C37" s="13">
        <f t="shared" si="15"/>
        <v>12.1</v>
      </c>
      <c r="D37" s="24">
        <f t="shared" si="16"/>
        <v>192.01</v>
      </c>
      <c r="E37" s="24">
        <f t="shared" si="17"/>
        <v>400.4</v>
      </c>
      <c r="F37" s="24">
        <f t="shared" si="18"/>
        <v>2.73</v>
      </c>
    </row>
    <row r="38" spans="1:6" x14ac:dyDescent="0.3">
      <c r="A38" s="13">
        <f t="shared" si="14"/>
        <v>15.76</v>
      </c>
      <c r="B38" s="13">
        <f t="shared" si="15"/>
        <v>174</v>
      </c>
      <c r="C38" s="13">
        <f t="shared" si="15"/>
        <v>19.600000000000001</v>
      </c>
      <c r="D38" s="24">
        <f t="shared" si="16"/>
        <v>211.19</v>
      </c>
      <c r="E38" s="24">
        <f t="shared" si="17"/>
        <v>1383.1</v>
      </c>
      <c r="F38" s="24">
        <f t="shared" si="18"/>
        <v>3.6</v>
      </c>
    </row>
    <row r="39" spans="1:6" x14ac:dyDescent="0.3">
      <c r="A39" s="13">
        <f t="shared" si="14"/>
        <v>24.94</v>
      </c>
      <c r="B39" s="13">
        <f t="shared" si="15"/>
        <v>193</v>
      </c>
      <c r="C39" s="13">
        <f t="shared" si="15"/>
        <v>23.2</v>
      </c>
      <c r="D39" s="24">
        <f t="shared" si="16"/>
        <v>252.33</v>
      </c>
      <c r="E39" s="24">
        <f t="shared" si="17"/>
        <v>3520.05</v>
      </c>
      <c r="F39" s="24">
        <f t="shared" si="18"/>
        <v>6.54</v>
      </c>
    </row>
    <row r="40" spans="1:6" x14ac:dyDescent="0.3">
      <c r="A40" s="13">
        <f>A23</f>
        <v>26.3</v>
      </c>
      <c r="B40" s="13">
        <f>B23</f>
        <v>194</v>
      </c>
      <c r="C40" s="13">
        <f>C23</f>
        <v>23</v>
      </c>
      <c r="D40" s="24">
        <f>ROUND(G23,2)</f>
        <v>254.03</v>
      </c>
      <c r="E40" s="24">
        <f t="shared" si="17"/>
        <v>3603.6</v>
      </c>
      <c r="F40" s="24">
        <f t="shared" si="18"/>
        <v>6.81</v>
      </c>
    </row>
    <row r="41" spans="1:6" x14ac:dyDescent="0.3">
      <c r="A41" s="26">
        <f t="shared" ref="A41:C41" si="19">A24</f>
        <v>34.96</v>
      </c>
      <c r="B41" s="26">
        <f t="shared" si="19"/>
        <v>201</v>
      </c>
      <c r="C41" s="26">
        <f t="shared" si="19"/>
        <v>7.2</v>
      </c>
      <c r="D41" s="26">
        <f t="shared" ref="D41:D44" si="20">ROUND(G24,2)</f>
        <v>249.32</v>
      </c>
      <c r="E41" s="26">
        <f t="shared" ref="E41:E44" si="21">ROUND(POWER((B41-D41),2),2)</f>
        <v>2334.8200000000002</v>
      </c>
      <c r="F41" s="26">
        <f t="shared" ref="F41:F44" si="22">ROUND(E41/POWER(C41,2),2)</f>
        <v>45.04</v>
      </c>
    </row>
    <row r="42" spans="1:6" x14ac:dyDescent="0.3">
      <c r="A42" s="26">
        <f t="shared" ref="A42:C42" si="23">A25</f>
        <v>36.840000000000003</v>
      </c>
      <c r="B42" s="26">
        <f t="shared" si="23"/>
        <v>202</v>
      </c>
      <c r="C42" s="26">
        <f t="shared" si="23"/>
        <v>17.100000000000001</v>
      </c>
      <c r="D42" s="26">
        <f t="shared" si="20"/>
        <v>246.15</v>
      </c>
      <c r="E42" s="26">
        <f t="shared" si="21"/>
        <v>1949.22</v>
      </c>
      <c r="F42" s="26">
        <f t="shared" si="22"/>
        <v>6.67</v>
      </c>
    </row>
    <row r="43" spans="1:6" x14ac:dyDescent="0.3">
      <c r="A43" s="26">
        <f t="shared" ref="A43:C43" si="24">A26</f>
        <v>47.38</v>
      </c>
      <c r="B43" s="26">
        <f t="shared" si="24"/>
        <v>205</v>
      </c>
      <c r="C43" s="26">
        <f t="shared" si="24"/>
        <v>16</v>
      </c>
      <c r="D43" s="26">
        <f t="shared" si="20"/>
        <v>224.67</v>
      </c>
      <c r="E43" s="26">
        <f t="shared" si="21"/>
        <v>386.91</v>
      </c>
      <c r="F43" s="26">
        <f t="shared" si="22"/>
        <v>1.51</v>
      </c>
    </row>
    <row r="44" spans="1:6" ht="19.5" thickBot="1" x14ac:dyDescent="0.35">
      <c r="A44" s="26">
        <f t="shared" ref="A44:C44" si="25">A27</f>
        <v>64.59</v>
      </c>
      <c r="B44" s="26">
        <f t="shared" si="25"/>
        <v>204</v>
      </c>
      <c r="C44" s="26">
        <f t="shared" si="25"/>
        <v>16</v>
      </c>
      <c r="D44" s="26">
        <f t="shared" si="20"/>
        <v>193.93</v>
      </c>
      <c r="E44" s="26">
        <f t="shared" si="21"/>
        <v>101.4</v>
      </c>
      <c r="F44" s="26">
        <f t="shared" si="22"/>
        <v>0.4</v>
      </c>
    </row>
    <row r="45" spans="1:6" ht="19.5" thickBot="1" x14ac:dyDescent="0.35">
      <c r="E45" s="28" t="s">
        <v>35</v>
      </c>
      <c r="F45" s="29">
        <f>ROUND(SUM(F32:F44)/(COUNT(F32:F44)-1),2)</f>
        <v>13.41</v>
      </c>
    </row>
    <row r="46" spans="1:6" x14ac:dyDescent="0.3">
      <c r="E46" s="27"/>
      <c r="F46" s="10"/>
    </row>
    <row r="47" spans="1:6" x14ac:dyDescent="0.3">
      <c r="E47" s="27"/>
      <c r="F47" s="10"/>
    </row>
    <row r="48" spans="1:6" x14ac:dyDescent="0.3">
      <c r="E48" s="27"/>
      <c r="F48" s="10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UGC06614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2026-01-12T08:50:21Z</dcterms:modified>
</cp:coreProperties>
</file>