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leeds365-my.sharepoint.com/personal/men5tds_leeds_ac_uk/Documents/Work/Papers Pubs etc/2025/Feet Frames/"/>
    </mc:Choice>
  </mc:AlternateContent>
  <xr:revisionPtr revIDLastSave="19" documentId="8_{CFAF7D0C-6D20-904C-B154-6C9916BF8A99}" xr6:coauthVersionLast="47" xr6:coauthVersionMax="47" xr10:uidLastSave="{43B1FCF5-65A6-45FC-8721-6A97B2690361}"/>
  <bookViews>
    <workbookView xWindow="0" yWindow="150" windowWidth="28920" windowHeight="15330" xr2:uid="{00000000-000D-0000-FFFF-FFFF00000000}"/>
  </bookViews>
  <sheets>
    <sheet name="Readme and Comparisons" sheetId="1" r:id="rId1"/>
    <sheet name="Model 1 Average" sheetId="2" r:id="rId2"/>
    <sheet name="Model 1 Frame 1" sheetId="3" r:id="rId3"/>
    <sheet name="Model 1 Frame 2" sheetId="4" r:id="rId4"/>
    <sheet name="Model 1 Frame 3" sheetId="5" r:id="rId5"/>
    <sheet name="Model 2 Average" sheetId="6" r:id="rId6"/>
    <sheet name="Model 2 Frame 1" sheetId="7" r:id="rId7"/>
    <sheet name="Model 2 Frame 3" sheetId="9" r:id="rId8"/>
    <sheet name="Model 2 Frame 2" sheetId="8" r:id="rId9"/>
    <sheet name="Model 3 Average" sheetId="10" r:id="rId10"/>
    <sheet name="Model 3 Frame 1" sheetId="11" r:id="rId11"/>
    <sheet name="Model 3 Frame 2" sheetId="12" r:id="rId12"/>
    <sheet name="Model 3 Frame 3" sheetId="13" r:id="rId13"/>
    <sheet name="Model 4 Average" sheetId="14" r:id="rId14"/>
    <sheet name="Model 4 Frame 1" sheetId="15" r:id="rId15"/>
    <sheet name="Model 4 Frame 2" sheetId="16" r:id="rId16"/>
    <sheet name="Model 4 Frame 3" sheetId="17"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4" i="2"/>
  <c r="I5" i="2"/>
  <c r="I6" i="2"/>
  <c r="I7" i="2"/>
  <c r="I8" i="2"/>
  <c r="I9" i="2"/>
  <c r="I3" i="6"/>
  <c r="I4" i="6"/>
  <c r="I5" i="6"/>
  <c r="I6" i="6"/>
  <c r="I7" i="6"/>
  <c r="I8" i="6"/>
  <c r="I9" i="6"/>
  <c r="I3" i="10"/>
  <c r="I4" i="10"/>
  <c r="I5" i="10"/>
  <c r="I6" i="10"/>
  <c r="I7" i="10"/>
  <c r="I8" i="10"/>
  <c r="I9" i="10"/>
  <c r="I2" i="10"/>
  <c r="I2" i="6"/>
  <c r="I2" i="2"/>
  <c r="G2" i="14"/>
  <c r="G3" i="14"/>
  <c r="G4" i="14"/>
  <c r="G5" i="14"/>
  <c r="G6" i="14"/>
  <c r="G7" i="14"/>
  <c r="G8" i="14"/>
  <c r="G2" i="10"/>
  <c r="G3" i="10"/>
  <c r="G4" i="10"/>
  <c r="G5" i="10"/>
  <c r="G6" i="10"/>
  <c r="G7" i="10"/>
  <c r="G8" i="10"/>
  <c r="G3" i="6"/>
  <c r="G4" i="6"/>
  <c r="G5" i="6"/>
  <c r="G6" i="6"/>
  <c r="G7" i="6"/>
  <c r="G8" i="6"/>
  <c r="G3" i="2"/>
  <c r="G4" i="2"/>
  <c r="G5" i="2"/>
  <c r="G6" i="2"/>
  <c r="G7" i="2"/>
  <c r="G8" i="2"/>
  <c r="G9" i="2"/>
  <c r="G3" i="17"/>
  <c r="A4" i="17"/>
  <c r="G4" i="17"/>
  <c r="A5" i="17"/>
  <c r="G5" i="17"/>
  <c r="I5" i="17"/>
  <c r="J5" i="17"/>
  <c r="A6" i="17"/>
  <c r="G6" i="17"/>
  <c r="I6" i="17"/>
  <c r="J6" i="17"/>
  <c r="A7" i="17"/>
  <c r="G7" i="17"/>
  <c r="I7" i="17"/>
  <c r="J7" i="17"/>
  <c r="A8" i="17"/>
  <c r="A9" i="17" s="1"/>
  <c r="G8" i="17"/>
  <c r="G9" i="17"/>
  <c r="N12" i="17"/>
  <c r="N15" i="17"/>
  <c r="I2" i="17" s="1"/>
  <c r="O15" i="17"/>
  <c r="N17" i="17"/>
  <c r="J2" i="17" s="1"/>
  <c r="G3" i="16"/>
  <c r="A4" i="16"/>
  <c r="G4" i="16"/>
  <c r="A5" i="16"/>
  <c r="G5" i="16"/>
  <c r="I5" i="16"/>
  <c r="J5" i="16"/>
  <c r="A6" i="16"/>
  <c r="G6" i="16"/>
  <c r="I6" i="16"/>
  <c r="J6" i="16"/>
  <c r="A7" i="16"/>
  <c r="G7" i="16"/>
  <c r="I7" i="16"/>
  <c r="J7" i="16"/>
  <c r="A8" i="16"/>
  <c r="A9" i="16" s="1"/>
  <c r="G8" i="16"/>
  <c r="G9" i="16"/>
  <c r="P11" i="16"/>
  <c r="I2" i="16" s="1"/>
  <c r="P14" i="16"/>
  <c r="Q14" i="16"/>
  <c r="P16" i="16"/>
  <c r="J2" i="16" s="1"/>
  <c r="J2" i="15"/>
  <c r="M2" i="15"/>
  <c r="G3" i="15"/>
  <c r="M3" i="15" s="1"/>
  <c r="J3" i="15"/>
  <c r="A4" i="15"/>
  <c r="G4" i="15"/>
  <c r="J4" i="15"/>
  <c r="M4" i="15"/>
  <c r="A5" i="15"/>
  <c r="G5" i="15"/>
  <c r="J5" i="15"/>
  <c r="M5" i="15"/>
  <c r="A6" i="15"/>
  <c r="A7" i="15" s="1"/>
  <c r="A8" i="15" s="1"/>
  <c r="A9" i="15" s="1"/>
  <c r="G6" i="15"/>
  <c r="I6" i="15"/>
  <c r="J6" i="15"/>
  <c r="M6" i="15"/>
  <c r="G7" i="15"/>
  <c r="J7" i="15"/>
  <c r="M7" i="15"/>
  <c r="G8" i="15"/>
  <c r="J8" i="15"/>
  <c r="M8" i="15"/>
  <c r="G9" i="15"/>
  <c r="J9" i="15"/>
  <c r="M9" i="15"/>
  <c r="R12" i="15"/>
  <c r="I2" i="15" s="1"/>
  <c r="R15" i="15"/>
  <c r="S15" i="15"/>
  <c r="A4" i="14"/>
  <c r="J4" i="14"/>
  <c r="A5" i="14"/>
  <c r="I5" i="14"/>
  <c r="J5" i="14"/>
  <c r="A6" i="14"/>
  <c r="I6" i="14"/>
  <c r="J6" i="14"/>
  <c r="A7" i="14"/>
  <c r="I7" i="14"/>
  <c r="J7" i="14"/>
  <c r="A8" i="14"/>
  <c r="A9" i="14" s="1"/>
  <c r="G9" i="14"/>
  <c r="P12" i="14"/>
  <c r="I2" i="14" s="1"/>
  <c r="G3" i="13"/>
  <c r="A4" i="13"/>
  <c r="G4" i="13"/>
  <c r="J4" i="13"/>
  <c r="A5" i="13"/>
  <c r="G5" i="13"/>
  <c r="I5" i="13"/>
  <c r="J5" i="13"/>
  <c r="A6" i="13"/>
  <c r="G6" i="13"/>
  <c r="I6" i="13"/>
  <c r="J6" i="13"/>
  <c r="A7" i="13"/>
  <c r="G7" i="13"/>
  <c r="I7" i="13"/>
  <c r="J7" i="13"/>
  <c r="A8" i="13"/>
  <c r="A9" i="13" s="1"/>
  <c r="G8" i="13"/>
  <c r="G9" i="13"/>
  <c r="N15" i="13"/>
  <c r="I2" i="13" s="1"/>
  <c r="O15" i="13"/>
  <c r="N17" i="13"/>
  <c r="J2" i="13" s="1"/>
  <c r="I2" i="12"/>
  <c r="G3" i="12"/>
  <c r="I3" i="12"/>
  <c r="A4" i="12"/>
  <c r="G4" i="12"/>
  <c r="I4" i="12"/>
  <c r="A5" i="12"/>
  <c r="G5" i="12"/>
  <c r="I5" i="12"/>
  <c r="J5" i="12"/>
  <c r="A6" i="12"/>
  <c r="G6" i="12"/>
  <c r="I6" i="12"/>
  <c r="J6" i="12"/>
  <c r="A7" i="12"/>
  <c r="G7" i="12"/>
  <c r="I7" i="12"/>
  <c r="J7" i="12"/>
  <c r="A8" i="12"/>
  <c r="A9" i="12" s="1"/>
  <c r="G8" i="12"/>
  <c r="I8" i="12"/>
  <c r="G9" i="12"/>
  <c r="I9" i="12"/>
  <c r="P14" i="12"/>
  <c r="Q14" i="12"/>
  <c r="P16" i="12"/>
  <c r="J2" i="12" s="1"/>
  <c r="I2" i="11"/>
  <c r="J2" i="11"/>
  <c r="M2" i="11"/>
  <c r="G3" i="11"/>
  <c r="I3" i="11" s="1"/>
  <c r="J3" i="11"/>
  <c r="A4" i="11"/>
  <c r="G4" i="11"/>
  <c r="I4" i="11"/>
  <c r="J4" i="11"/>
  <c r="M4" i="11"/>
  <c r="A5" i="11"/>
  <c r="G5" i="11"/>
  <c r="I5" i="11"/>
  <c r="J5" i="11"/>
  <c r="M5" i="11"/>
  <c r="A6" i="11"/>
  <c r="A7" i="11" s="1"/>
  <c r="A8" i="11" s="1"/>
  <c r="A9" i="11" s="1"/>
  <c r="G6" i="11"/>
  <c r="I6" i="11"/>
  <c r="J6" i="11"/>
  <c r="M6" i="11"/>
  <c r="G7" i="11"/>
  <c r="I7" i="11"/>
  <c r="J7" i="11"/>
  <c r="M7" i="11"/>
  <c r="G8" i="11"/>
  <c r="I8" i="11"/>
  <c r="J8" i="11"/>
  <c r="M8" i="11"/>
  <c r="G9" i="11"/>
  <c r="I9" i="11"/>
  <c r="J9" i="11"/>
  <c r="M9" i="11"/>
  <c r="R15" i="11"/>
  <c r="S15" i="11"/>
  <c r="J2" i="10"/>
  <c r="J3" i="10"/>
  <c r="A4" i="10"/>
  <c r="J4" i="10"/>
  <c r="A5" i="10"/>
  <c r="J5" i="10"/>
  <c r="A6" i="10"/>
  <c r="J6" i="10"/>
  <c r="A7" i="10"/>
  <c r="J7" i="10"/>
  <c r="A8" i="10"/>
  <c r="A9" i="10" s="1"/>
  <c r="J8" i="10"/>
  <c r="G9" i="10"/>
  <c r="J9" i="10"/>
  <c r="P12" i="10"/>
  <c r="I2" i="9"/>
  <c r="J2" i="9"/>
  <c r="G3" i="9"/>
  <c r="I3" i="9"/>
  <c r="J3" i="9"/>
  <c r="A4" i="9"/>
  <c r="G4" i="9"/>
  <c r="I4" i="9"/>
  <c r="J4" i="9"/>
  <c r="A5" i="9"/>
  <c r="G5" i="9"/>
  <c r="I5" i="9"/>
  <c r="J5" i="9"/>
  <c r="A6" i="9"/>
  <c r="G6" i="9"/>
  <c r="I6" i="9"/>
  <c r="J6" i="9"/>
  <c r="A7" i="9"/>
  <c r="G7" i="9"/>
  <c r="I7" i="9"/>
  <c r="J7" i="9"/>
  <c r="A8" i="9"/>
  <c r="A9" i="9" s="1"/>
  <c r="G8" i="9"/>
  <c r="I8" i="9"/>
  <c r="J8" i="9"/>
  <c r="G9" i="9"/>
  <c r="I9" i="9"/>
  <c r="J9" i="9"/>
  <c r="N12" i="9"/>
  <c r="O12" i="9"/>
  <c r="P12" i="9"/>
  <c r="N14" i="9"/>
  <c r="I2" i="8"/>
  <c r="J2" i="8"/>
  <c r="G3" i="8"/>
  <c r="I3" i="8"/>
  <c r="J3" i="8"/>
  <c r="A4" i="8"/>
  <c r="G4" i="8"/>
  <c r="I4" i="8"/>
  <c r="J4" i="8"/>
  <c r="A5" i="8"/>
  <c r="G5" i="8"/>
  <c r="I5" i="8"/>
  <c r="J5" i="8"/>
  <c r="A6" i="8"/>
  <c r="G6" i="8"/>
  <c r="I6" i="8"/>
  <c r="J6" i="8"/>
  <c r="A7" i="8"/>
  <c r="G7" i="8"/>
  <c r="I7" i="8"/>
  <c r="J7" i="8"/>
  <c r="A8" i="8"/>
  <c r="A9" i="8" s="1"/>
  <c r="G8" i="8"/>
  <c r="I8" i="8"/>
  <c r="J8" i="8"/>
  <c r="G9" i="8"/>
  <c r="I9" i="8"/>
  <c r="J9" i="8"/>
  <c r="P11" i="8"/>
  <c r="Q11" i="8"/>
  <c r="R11" i="8"/>
  <c r="P12" i="8"/>
  <c r="I2" i="7"/>
  <c r="J2" i="7"/>
  <c r="M2" i="7"/>
  <c r="G3" i="7"/>
  <c r="I3" i="7"/>
  <c r="J3" i="7"/>
  <c r="M3" i="7"/>
  <c r="A4" i="7"/>
  <c r="G4" i="7"/>
  <c r="I4" i="7"/>
  <c r="J4" i="7"/>
  <c r="M4" i="7"/>
  <c r="A5" i="7"/>
  <c r="G5" i="7"/>
  <c r="I5" i="7"/>
  <c r="J5" i="7"/>
  <c r="M5" i="7"/>
  <c r="A6" i="7"/>
  <c r="A7" i="7" s="1"/>
  <c r="A8" i="7" s="1"/>
  <c r="A9" i="7" s="1"/>
  <c r="G6" i="7"/>
  <c r="I6" i="7"/>
  <c r="J6" i="7"/>
  <c r="M6" i="7"/>
  <c r="G7" i="7"/>
  <c r="I7" i="7"/>
  <c r="J7" i="7"/>
  <c r="M7" i="7"/>
  <c r="G8" i="7"/>
  <c r="I8" i="7" s="1"/>
  <c r="J8" i="7"/>
  <c r="G9" i="7"/>
  <c r="I9" i="7"/>
  <c r="J9" i="7"/>
  <c r="M9" i="7"/>
  <c r="R12" i="7"/>
  <c r="S12" i="7"/>
  <c r="T12" i="7"/>
  <c r="R15" i="7"/>
  <c r="J2" i="6"/>
  <c r="J3" i="6"/>
  <c r="A4" i="6"/>
  <c r="J4" i="6"/>
  <c r="A5" i="6"/>
  <c r="J5" i="6"/>
  <c r="A6" i="6"/>
  <c r="J6" i="6"/>
  <c r="A7" i="6"/>
  <c r="J7" i="6"/>
  <c r="A8" i="6"/>
  <c r="A9" i="6" s="1"/>
  <c r="J8" i="6"/>
  <c r="G9" i="6"/>
  <c r="J9" i="6"/>
  <c r="P12" i="6"/>
  <c r="Q12" i="6"/>
  <c r="R12" i="6"/>
  <c r="P14" i="6"/>
  <c r="I2" i="5"/>
  <c r="J2" i="5"/>
  <c r="G3" i="5"/>
  <c r="I3" i="5" s="1"/>
  <c r="J3" i="5"/>
  <c r="A4" i="5"/>
  <c r="G4" i="5"/>
  <c r="I4" i="5"/>
  <c r="J4" i="5"/>
  <c r="A5" i="5"/>
  <c r="G5" i="5"/>
  <c r="I5" i="5"/>
  <c r="J5" i="5"/>
  <c r="A6" i="5"/>
  <c r="G6" i="5"/>
  <c r="I6" i="5" s="1"/>
  <c r="J6" i="5"/>
  <c r="A7" i="5"/>
  <c r="G7" i="5"/>
  <c r="I7" i="5"/>
  <c r="J7" i="5"/>
  <c r="A8" i="5"/>
  <c r="A9" i="5" s="1"/>
  <c r="G8" i="5"/>
  <c r="I8" i="5"/>
  <c r="J8" i="5"/>
  <c r="G9" i="5"/>
  <c r="I9" i="5"/>
  <c r="J9" i="5"/>
  <c r="I2" i="4"/>
  <c r="J2" i="4"/>
  <c r="G3" i="4"/>
  <c r="I3" i="4"/>
  <c r="J3" i="4"/>
  <c r="A4" i="4"/>
  <c r="G4" i="4"/>
  <c r="I4" i="4"/>
  <c r="J4" i="4"/>
  <c r="A5" i="4"/>
  <c r="G5" i="4"/>
  <c r="I5" i="4"/>
  <c r="J5" i="4"/>
  <c r="A6" i="4"/>
  <c r="G6" i="4"/>
  <c r="I6" i="4"/>
  <c r="J6" i="4"/>
  <c r="A7" i="4"/>
  <c r="G7" i="4"/>
  <c r="I7" i="4"/>
  <c r="J7" i="4"/>
  <c r="A8" i="4"/>
  <c r="A9" i="4" s="1"/>
  <c r="G8" i="4"/>
  <c r="I8" i="4"/>
  <c r="J8" i="4"/>
  <c r="G9" i="4"/>
  <c r="I9" i="4"/>
  <c r="J9" i="4"/>
  <c r="I2" i="3"/>
  <c r="J2" i="3"/>
  <c r="G3" i="3"/>
  <c r="I3" i="3"/>
  <c r="J3" i="3"/>
  <c r="A4" i="3"/>
  <c r="G4" i="3"/>
  <c r="I4" i="3"/>
  <c r="J4" i="3"/>
  <c r="A5" i="3"/>
  <c r="G5" i="3"/>
  <c r="I5" i="3"/>
  <c r="J5" i="3"/>
  <c r="A6" i="3"/>
  <c r="G6" i="3"/>
  <c r="I6" i="3"/>
  <c r="J6" i="3"/>
  <c r="A7" i="3"/>
  <c r="G7" i="3"/>
  <c r="I7" i="3"/>
  <c r="J7" i="3"/>
  <c r="A8" i="3"/>
  <c r="A9" i="3" s="1"/>
  <c r="G8" i="3"/>
  <c r="I8" i="3"/>
  <c r="J8" i="3"/>
  <c r="G9" i="3"/>
  <c r="I9" i="3"/>
  <c r="J9" i="3"/>
  <c r="J2" i="2"/>
  <c r="J3" i="2"/>
  <c r="A4" i="2"/>
  <c r="J4" i="2"/>
  <c r="A5" i="2"/>
  <c r="J5" i="2"/>
  <c r="A6" i="2"/>
  <c r="J6" i="2"/>
  <c r="A7" i="2"/>
  <c r="J7" i="2"/>
  <c r="A8" i="2"/>
  <c r="A9" i="2" s="1"/>
  <c r="J8" i="2"/>
  <c r="J9" i="2"/>
  <c r="J4" i="17" l="1"/>
  <c r="I4" i="17"/>
  <c r="J9" i="17"/>
  <c r="I9" i="17"/>
  <c r="J3" i="17"/>
  <c r="I3" i="17"/>
  <c r="J8" i="17"/>
  <c r="I8" i="17"/>
  <c r="J4" i="16"/>
  <c r="I4" i="16"/>
  <c r="J9" i="16"/>
  <c r="I9" i="16"/>
  <c r="J3" i="16"/>
  <c r="I3" i="16"/>
  <c r="J8" i="16"/>
  <c r="I8" i="16"/>
  <c r="I8" i="15"/>
  <c r="I5" i="15"/>
  <c r="I9" i="15"/>
  <c r="I4" i="15"/>
  <c r="I3" i="15"/>
  <c r="I7" i="15"/>
  <c r="I4" i="14"/>
  <c r="I9" i="14"/>
  <c r="J8" i="14"/>
  <c r="J9" i="14"/>
  <c r="I3" i="14"/>
  <c r="J2" i="14"/>
  <c r="J3" i="14"/>
  <c r="I8" i="14"/>
  <c r="I4" i="13"/>
  <c r="J9" i="13"/>
  <c r="I9" i="13"/>
  <c r="J3" i="13"/>
  <c r="I3" i="13"/>
  <c r="J8" i="13"/>
  <c r="I8" i="13"/>
  <c r="J4" i="12"/>
  <c r="J9" i="12"/>
  <c r="J3" i="12"/>
  <c r="J8" i="12"/>
  <c r="M3" i="11"/>
  <c r="M8" i="7"/>
</calcChain>
</file>

<file path=xl/sharedStrings.xml><?xml version="1.0" encoding="utf-8"?>
<sst xmlns="http://schemas.openxmlformats.org/spreadsheetml/2006/main" count="136" uniqueCount="16">
  <si>
    <t>Stiffness S.D.</t>
  </si>
  <si>
    <t>Stiffness (N/mm)</t>
  </si>
  <si>
    <t>Pos Zeroed</t>
  </si>
  <si>
    <t>Std_Position</t>
  </si>
  <si>
    <t>Average_Position</t>
  </si>
  <si>
    <t>Std_Force</t>
  </si>
  <si>
    <t>Average_Force</t>
  </si>
  <si>
    <t>Step</t>
  </si>
  <si>
    <t>S.D.</t>
  </si>
  <si>
    <t>Frame 1 = Charcot</t>
  </si>
  <si>
    <t>Frame 2 = Butt</t>
  </si>
  <si>
    <t>Frame 3 = Mitre</t>
  </si>
  <si>
    <t>Frame 4 = Mitre with Secitoned Foot</t>
  </si>
  <si>
    <t xml:space="preserve">Components were provided by Orthofix UK ( Maidenhead, UK) </t>
  </si>
  <si>
    <t>Frames were Manufactured by Sarah Johnson-lynn (South Tees Hospitals NHS Foundation Trust, Middlesbrough, UK)  and Paul Harwood ( Leeds Teaching Hospitals Trust, Leeds, UK)</t>
  </si>
  <si>
    <t>Data was collected at the University of Leeds School of Mechanical Engineering, Leeds, UK  By Tom Irish, Supervised by Professor Todd Stewart and Dr. Peter Watson from the Institute of Medical and Biological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</si>
</sst>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7009383128124E-2"/>
          <c:y val="2.9333339492564722E-2"/>
          <c:w val="0.92541160513842347"/>
          <c:h val="0.84243706910505656"/>
        </c:manualLayout>
      </c:layout>
      <c:barChart>
        <c:barDir val="col"/>
        <c:grouping val="clustered"/>
        <c:varyColors val="0"/>
        <c:ser>
          <c:idx val="0"/>
          <c:order val="0"/>
          <c:tx>
            <c:v>Charcot</c:v>
          </c:tx>
          <c:spPr>
            <a:solidFill>
              <a:schemeClr val="accent1"/>
            </a:solidFill>
            <a:ln>
              <a:noFill/>
            </a:ln>
            <a:effectLst/>
          </c:spPr>
          <c:invertIfNegative val="0"/>
          <c:errBars>
            <c:errBarType val="both"/>
            <c:errValType val="cust"/>
            <c:noEndCap val="0"/>
            <c:plus>
              <c:numRef>
                <c:f>'Readme and Comparisons'!$V$7:$V$14</c:f>
                <c:numCache>
                  <c:formatCode>General</c:formatCode>
                  <c:ptCount val="8"/>
                  <c:pt idx="0">
                    <c:v>3.8248434960740556</c:v>
                  </c:pt>
                  <c:pt idx="1">
                    <c:v>3.8727610085814752</c:v>
                  </c:pt>
                  <c:pt idx="2">
                    <c:v>3.6653788774040978</c:v>
                  </c:pt>
                  <c:pt idx="3">
                    <c:v>3.3808325912714712</c:v>
                  </c:pt>
                  <c:pt idx="4">
                    <c:v>3.2979838541484319</c:v>
                  </c:pt>
                  <c:pt idx="5">
                    <c:v>3.5127387232238454</c:v>
                  </c:pt>
                  <c:pt idx="6">
                    <c:v>3.1690162918396694</c:v>
                  </c:pt>
                  <c:pt idx="7">
                    <c:v>2.5614821647098203</c:v>
                  </c:pt>
                </c:numCache>
              </c:numRef>
            </c:plus>
            <c:minus>
              <c:numRef>
                <c:f>'Readme and Comparisons'!$V$7:$V$14</c:f>
                <c:numCache>
                  <c:formatCode>General</c:formatCode>
                  <c:ptCount val="8"/>
                  <c:pt idx="0">
                    <c:v>3.8248434960740556</c:v>
                  </c:pt>
                  <c:pt idx="1">
                    <c:v>3.8727610085814752</c:v>
                  </c:pt>
                  <c:pt idx="2">
                    <c:v>3.6653788774040978</c:v>
                  </c:pt>
                  <c:pt idx="3">
                    <c:v>3.3808325912714712</c:v>
                  </c:pt>
                  <c:pt idx="4">
                    <c:v>3.2979838541484319</c:v>
                  </c:pt>
                  <c:pt idx="5">
                    <c:v>3.5127387232238454</c:v>
                  </c:pt>
                  <c:pt idx="6">
                    <c:v>3.1690162918396694</c:v>
                  </c:pt>
                  <c:pt idx="7">
                    <c:v>2.5614821647098203</c:v>
                  </c:pt>
                </c:numCache>
              </c:numRef>
            </c:minus>
            <c:spPr>
              <a:noFill/>
              <a:ln w="9525" cap="flat" cmpd="sng" algn="ctr">
                <a:solidFill>
                  <a:schemeClr val="tx1">
                    <a:lumMod val="65000"/>
                    <a:lumOff val="35000"/>
                  </a:schemeClr>
                </a:solidFill>
                <a:round/>
              </a:ln>
              <a:effectLst/>
            </c:spPr>
          </c:errBars>
          <c:cat>
            <c:numRef>
              <c:f>'Model 1 Average'!$A$2:$A$9</c:f>
              <c:numCache>
                <c:formatCode>General</c:formatCode>
                <c:ptCount val="8"/>
                <c:pt idx="0">
                  <c:v>50</c:v>
                </c:pt>
                <c:pt idx="1">
                  <c:v>100</c:v>
                </c:pt>
                <c:pt idx="2">
                  <c:v>200</c:v>
                </c:pt>
                <c:pt idx="3">
                  <c:v>300</c:v>
                </c:pt>
                <c:pt idx="4">
                  <c:v>400</c:v>
                </c:pt>
                <c:pt idx="5">
                  <c:v>500</c:v>
                </c:pt>
                <c:pt idx="6">
                  <c:v>600</c:v>
                </c:pt>
                <c:pt idx="7">
                  <c:v>700</c:v>
                </c:pt>
              </c:numCache>
            </c:numRef>
          </c:cat>
          <c:val>
            <c:numRef>
              <c:f>'Model 1 Average'!$I$2:$I$9</c:f>
              <c:numCache>
                <c:formatCode>General</c:formatCode>
                <c:ptCount val="8"/>
                <c:pt idx="0">
                  <c:v>31.344000000000001</c:v>
                </c:pt>
                <c:pt idx="1">
                  <c:v>38.622052162050146</c:v>
                </c:pt>
                <c:pt idx="2">
                  <c:v>51.486224482348433</c:v>
                </c:pt>
                <c:pt idx="3">
                  <c:v>62.353952505274336</c:v>
                </c:pt>
                <c:pt idx="4">
                  <c:v>71.822351080489852</c:v>
                </c:pt>
                <c:pt idx="5">
                  <c:v>80.250560582342018</c:v>
                </c:pt>
                <c:pt idx="6">
                  <c:v>87.142356469765986</c:v>
                </c:pt>
                <c:pt idx="7">
                  <c:v>92.847173494685464</c:v>
                </c:pt>
              </c:numCache>
            </c:numRef>
          </c:val>
          <c:extLst>
            <c:ext xmlns:c16="http://schemas.microsoft.com/office/drawing/2014/chart" uri="{C3380CC4-5D6E-409C-BE32-E72D297353CC}">
              <c16:uniqueId val="{00000000-60EE-4C04-9688-B407DC01C18E}"/>
            </c:ext>
          </c:extLst>
        </c:ser>
        <c:ser>
          <c:idx val="1"/>
          <c:order val="1"/>
          <c:tx>
            <c:v>Butt</c:v>
          </c:tx>
          <c:spPr>
            <a:solidFill>
              <a:schemeClr val="accent2"/>
            </a:solidFill>
            <a:ln>
              <a:noFill/>
            </a:ln>
            <a:effectLst/>
          </c:spPr>
          <c:invertIfNegative val="0"/>
          <c:errBars>
            <c:errBarType val="both"/>
            <c:errValType val="cust"/>
            <c:noEndCap val="0"/>
            <c:plus>
              <c:numRef>
                <c:f>'Readme and Comparisons'!$W$7:$W$14</c:f>
                <c:numCache>
                  <c:formatCode>General</c:formatCode>
                  <c:ptCount val="8"/>
                  <c:pt idx="0">
                    <c:v>12.571848210232684</c:v>
                  </c:pt>
                  <c:pt idx="1">
                    <c:v>11.543983462865038</c:v>
                  </c:pt>
                  <c:pt idx="2">
                    <c:v>11.515563417507975</c:v>
                  </c:pt>
                  <c:pt idx="3">
                    <c:v>11.430434340643471</c:v>
                  </c:pt>
                  <c:pt idx="4">
                    <c:v>11.40899157798075</c:v>
                  </c:pt>
                  <c:pt idx="5">
                    <c:v>11.216463018623649</c:v>
                  </c:pt>
                  <c:pt idx="6">
                    <c:v>9.8365863652920069</c:v>
                  </c:pt>
                  <c:pt idx="7">
                    <c:v>7.4291522662023102</c:v>
                  </c:pt>
                </c:numCache>
              </c:numRef>
            </c:plus>
            <c:minus>
              <c:numRef>
                <c:f>'Readme and Comparisons'!$W$7:$W$14</c:f>
                <c:numCache>
                  <c:formatCode>General</c:formatCode>
                  <c:ptCount val="8"/>
                  <c:pt idx="0">
                    <c:v>12.571848210232684</c:v>
                  </c:pt>
                  <c:pt idx="1">
                    <c:v>11.543983462865038</c:v>
                  </c:pt>
                  <c:pt idx="2">
                    <c:v>11.515563417507975</c:v>
                  </c:pt>
                  <c:pt idx="3">
                    <c:v>11.430434340643471</c:v>
                  </c:pt>
                  <c:pt idx="4">
                    <c:v>11.40899157798075</c:v>
                  </c:pt>
                  <c:pt idx="5">
                    <c:v>11.216463018623649</c:v>
                  </c:pt>
                  <c:pt idx="6">
                    <c:v>9.8365863652920069</c:v>
                  </c:pt>
                  <c:pt idx="7">
                    <c:v>7.4291522662023102</c:v>
                  </c:pt>
                </c:numCache>
              </c:numRef>
            </c:minus>
            <c:spPr>
              <a:noFill/>
              <a:ln w="9525" cap="flat" cmpd="sng" algn="ctr">
                <a:solidFill>
                  <a:schemeClr val="tx1">
                    <a:lumMod val="65000"/>
                    <a:lumOff val="35000"/>
                  </a:schemeClr>
                </a:solidFill>
                <a:round/>
              </a:ln>
              <a:effectLst/>
            </c:spPr>
          </c:errBars>
          <c:val>
            <c:numRef>
              <c:f>'Model 2 Average'!$I$2:$I$9</c:f>
              <c:numCache>
                <c:formatCode>General</c:formatCode>
                <c:ptCount val="8"/>
                <c:pt idx="0">
                  <c:v>46.911000000000001</c:v>
                </c:pt>
                <c:pt idx="1">
                  <c:v>52.621964763895839</c:v>
                </c:pt>
                <c:pt idx="2">
                  <c:v>67.282128625404866</c:v>
                </c:pt>
                <c:pt idx="3">
                  <c:v>83.108860461442134</c:v>
                </c:pt>
                <c:pt idx="4">
                  <c:v>97.078938125081521</c:v>
                </c:pt>
                <c:pt idx="5">
                  <c:v>109.4441952879984</c:v>
                </c:pt>
                <c:pt idx="6">
                  <c:v>116.8881938840365</c:v>
                </c:pt>
                <c:pt idx="7">
                  <c:v>121.96644211035191</c:v>
                </c:pt>
              </c:numCache>
            </c:numRef>
          </c:val>
          <c:extLst>
            <c:ext xmlns:c16="http://schemas.microsoft.com/office/drawing/2014/chart" uri="{C3380CC4-5D6E-409C-BE32-E72D297353CC}">
              <c16:uniqueId val="{00000001-60EE-4C04-9688-B407DC01C18E}"/>
            </c:ext>
          </c:extLst>
        </c:ser>
        <c:ser>
          <c:idx val="2"/>
          <c:order val="2"/>
          <c:tx>
            <c:v>Mitre</c:v>
          </c:tx>
          <c:spPr>
            <a:solidFill>
              <a:schemeClr val="accent3"/>
            </a:solidFill>
            <a:ln>
              <a:noFill/>
            </a:ln>
            <a:effectLst/>
          </c:spPr>
          <c:invertIfNegative val="0"/>
          <c:errBars>
            <c:errBarType val="both"/>
            <c:errValType val="cust"/>
            <c:noEndCap val="0"/>
            <c:plus>
              <c:numRef>
                <c:f>'Readme and Comparisons'!$X$7:$X$14</c:f>
                <c:numCache>
                  <c:formatCode>General</c:formatCode>
                  <c:ptCount val="8"/>
                  <c:pt idx="0">
                    <c:v>3.4868996609432612</c:v>
                  </c:pt>
                  <c:pt idx="1">
                    <c:v>3.9546049655579782</c:v>
                  </c:pt>
                  <c:pt idx="2">
                    <c:v>4.5799084213534904</c:v>
                  </c:pt>
                  <c:pt idx="3">
                    <c:v>4.6791468153589406</c:v>
                  </c:pt>
                  <c:pt idx="4">
                    <c:v>5.079340173776929</c:v>
                  </c:pt>
                  <c:pt idx="5">
                    <c:v>5.4193925070602935</c:v>
                  </c:pt>
                  <c:pt idx="6">
                    <c:v>5.383855864920756</c:v>
                  </c:pt>
                  <c:pt idx="7">
                    <c:v>4.2327586085414755</c:v>
                  </c:pt>
                </c:numCache>
              </c:numRef>
            </c:plus>
            <c:minus>
              <c:numRef>
                <c:f>'Readme and Comparisons'!$X$7:$X$14</c:f>
                <c:numCache>
                  <c:formatCode>General</c:formatCode>
                  <c:ptCount val="8"/>
                  <c:pt idx="0">
                    <c:v>3.4868996609432612</c:v>
                  </c:pt>
                  <c:pt idx="1">
                    <c:v>3.9546049655579782</c:v>
                  </c:pt>
                  <c:pt idx="2">
                    <c:v>4.5799084213534904</c:v>
                  </c:pt>
                  <c:pt idx="3">
                    <c:v>4.6791468153589406</c:v>
                  </c:pt>
                  <c:pt idx="4">
                    <c:v>5.079340173776929</c:v>
                  </c:pt>
                  <c:pt idx="5">
                    <c:v>5.4193925070602935</c:v>
                  </c:pt>
                  <c:pt idx="6">
                    <c:v>5.383855864920756</c:v>
                  </c:pt>
                  <c:pt idx="7">
                    <c:v>4.2327586085414755</c:v>
                  </c:pt>
                </c:numCache>
              </c:numRef>
            </c:minus>
            <c:spPr>
              <a:noFill/>
              <a:ln w="9525" cap="flat" cmpd="sng" algn="ctr">
                <a:solidFill>
                  <a:schemeClr val="tx1">
                    <a:lumMod val="65000"/>
                    <a:lumOff val="35000"/>
                  </a:schemeClr>
                </a:solidFill>
                <a:round/>
              </a:ln>
              <a:effectLst/>
            </c:spPr>
          </c:errBars>
          <c:val>
            <c:numRef>
              <c:f>'Model 3 Average'!$I$2:$I$9</c:f>
              <c:numCache>
                <c:formatCode>General</c:formatCode>
                <c:ptCount val="8"/>
                <c:pt idx="0">
                  <c:v>53.183999999999997</c:v>
                </c:pt>
                <c:pt idx="1">
                  <c:v>58.18676423871802</c:v>
                </c:pt>
                <c:pt idx="2">
                  <c:v>67.891920342431661</c:v>
                </c:pt>
                <c:pt idx="3">
                  <c:v>77.16954829498539</c:v>
                </c:pt>
                <c:pt idx="4">
                  <c:v>85.355651644173861</c:v>
                </c:pt>
                <c:pt idx="5">
                  <c:v>93.006631061199215</c:v>
                </c:pt>
                <c:pt idx="6">
                  <c:v>99.749131390826179</c:v>
                </c:pt>
                <c:pt idx="7">
                  <c:v>104.96201045330363</c:v>
                </c:pt>
              </c:numCache>
            </c:numRef>
          </c:val>
          <c:extLst>
            <c:ext xmlns:c16="http://schemas.microsoft.com/office/drawing/2014/chart" uri="{C3380CC4-5D6E-409C-BE32-E72D297353CC}">
              <c16:uniqueId val="{00000002-60EE-4C04-9688-B407DC01C18E}"/>
            </c:ext>
          </c:extLst>
        </c:ser>
        <c:ser>
          <c:idx val="3"/>
          <c:order val="3"/>
          <c:tx>
            <c:v>Mitre Sectioned Foot</c:v>
          </c:tx>
          <c:spPr>
            <a:solidFill>
              <a:schemeClr val="bg1">
                <a:lumMod val="85000"/>
              </a:schemeClr>
            </a:solidFill>
            <a:ln>
              <a:noFill/>
            </a:ln>
            <a:effectLst/>
          </c:spPr>
          <c:invertIfNegative val="0"/>
          <c:errBars>
            <c:errBarType val="both"/>
            <c:errValType val="cust"/>
            <c:noEndCap val="0"/>
            <c:plus>
              <c:numRef>
                <c:f>'Readme and Comparisons'!$Y$7:$Y$14</c:f>
                <c:numCache>
                  <c:formatCode>General</c:formatCode>
                  <c:ptCount val="8"/>
                  <c:pt idx="0">
                    <c:v>30.602131297505299</c:v>
                  </c:pt>
                  <c:pt idx="1">
                    <c:v>29.832865601197213</c:v>
                  </c:pt>
                  <c:pt idx="2">
                    <c:v>28.534233947222688</c:v>
                  </c:pt>
                  <c:pt idx="3">
                    <c:v>27.604110225696065</c:v>
                  </c:pt>
                  <c:pt idx="4">
                    <c:v>27.172278890411143</c:v>
                  </c:pt>
                  <c:pt idx="5">
                    <c:v>28.07890272560136</c:v>
                  </c:pt>
                  <c:pt idx="6">
                    <c:v>28.912565041805305</c:v>
                  </c:pt>
                  <c:pt idx="7">
                    <c:v>29.280574095438517</c:v>
                  </c:pt>
                </c:numCache>
              </c:numRef>
            </c:plus>
            <c:minus>
              <c:numRef>
                <c:f>'Readme and Comparisons'!$Y$7:$Y$14</c:f>
                <c:numCache>
                  <c:formatCode>General</c:formatCode>
                  <c:ptCount val="8"/>
                  <c:pt idx="0">
                    <c:v>30.602131297505299</c:v>
                  </c:pt>
                  <c:pt idx="1">
                    <c:v>29.832865601197213</c:v>
                  </c:pt>
                  <c:pt idx="2">
                    <c:v>28.534233947222688</c:v>
                  </c:pt>
                  <c:pt idx="3">
                    <c:v>27.604110225696065</c:v>
                  </c:pt>
                  <c:pt idx="4">
                    <c:v>27.172278890411143</c:v>
                  </c:pt>
                  <c:pt idx="5">
                    <c:v>28.07890272560136</c:v>
                  </c:pt>
                  <c:pt idx="6">
                    <c:v>28.912565041805305</c:v>
                  </c:pt>
                  <c:pt idx="7">
                    <c:v>29.280574095438517</c:v>
                  </c:pt>
                </c:numCache>
              </c:numRef>
            </c:minus>
            <c:spPr>
              <a:noFill/>
              <a:ln w="9525" cap="flat" cmpd="sng" algn="ctr">
                <a:solidFill>
                  <a:schemeClr val="tx1">
                    <a:lumMod val="65000"/>
                    <a:lumOff val="35000"/>
                  </a:schemeClr>
                </a:solidFill>
                <a:round/>
              </a:ln>
              <a:effectLst/>
            </c:spPr>
          </c:errBars>
          <c:val>
            <c:numRef>
              <c:f>'Model 4 Average'!$I$2:$I$9</c:f>
              <c:numCache>
                <c:formatCode>General</c:formatCode>
                <c:ptCount val="8"/>
                <c:pt idx="0">
                  <c:v>32.399000000000001</c:v>
                </c:pt>
                <c:pt idx="1">
                  <c:v>41.55055968029103</c:v>
                </c:pt>
                <c:pt idx="2">
                  <c:v>56.866078101904357</c:v>
                </c:pt>
                <c:pt idx="3">
                  <c:v>68.954738587173608</c:v>
                </c:pt>
                <c:pt idx="4">
                  <c:v>79.745000849194383</c:v>
                </c:pt>
                <c:pt idx="5">
                  <c:v>89.747029374761524</c:v>
                </c:pt>
                <c:pt idx="6">
                  <c:v>97.608071393125499</c:v>
                </c:pt>
                <c:pt idx="7">
                  <c:v>103.90216417042019</c:v>
                </c:pt>
              </c:numCache>
            </c:numRef>
          </c:val>
          <c:extLst>
            <c:ext xmlns:c16="http://schemas.microsoft.com/office/drawing/2014/chart" uri="{C3380CC4-5D6E-409C-BE32-E72D297353CC}">
              <c16:uniqueId val="{00000003-60EE-4C04-9688-B407DC01C18E}"/>
            </c:ext>
          </c:extLst>
        </c:ser>
        <c:dLbls>
          <c:showLegendKey val="0"/>
          <c:showVal val="0"/>
          <c:showCatName val="0"/>
          <c:showSerName val="0"/>
          <c:showPercent val="0"/>
          <c:showBubbleSize val="0"/>
        </c:dLbls>
        <c:gapWidth val="219"/>
        <c:overlap val="-27"/>
        <c:axId val="923754440"/>
        <c:axId val="923755880"/>
      </c:barChart>
      <c:catAx>
        <c:axId val="923754440"/>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Axial</a:t>
                </a:r>
                <a:r>
                  <a:rPr lang="en-GB" sz="1100" baseline="0"/>
                  <a:t> L</a:t>
                </a:r>
                <a:r>
                  <a:rPr lang="en-GB" sz="1100"/>
                  <a:t>oadi</a:t>
                </a:r>
                <a:r>
                  <a:rPr lang="en-GB" sz="1100" baseline="0"/>
                  <a:t> (N)</a:t>
                </a:r>
                <a:endParaRPr lang="en-GB"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23755880"/>
        <c:crosses val="autoZero"/>
        <c:auto val="1"/>
        <c:lblAlgn val="ctr"/>
        <c:lblOffset val="100"/>
        <c:noMultiLvlLbl val="0"/>
      </c:catAx>
      <c:valAx>
        <c:axId val="923755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Axial</a:t>
                </a:r>
                <a:r>
                  <a:rPr lang="en-GB" sz="1100" baseline="0"/>
                  <a:t> S</a:t>
                </a:r>
                <a:r>
                  <a:rPr lang="en-GB" sz="1100"/>
                  <a:t>tiffness (N/mm)</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23754440"/>
        <c:crosses val="autoZero"/>
        <c:crossBetween val="between"/>
      </c:valAx>
      <c:spPr>
        <a:noFill/>
        <a:ln>
          <a:noFill/>
        </a:ln>
        <a:effectLst/>
      </c:spPr>
    </c:plotArea>
    <c:legend>
      <c:legendPos val="b"/>
      <c:layout>
        <c:manualLayout>
          <c:xMode val="edge"/>
          <c:yMode val="edge"/>
          <c:x val="9.6323766340542169E-2"/>
          <c:y val="0.15597393017375627"/>
          <c:w val="0.34349042634439858"/>
          <c:h val="9.992335069097642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2321315477423654E-2"/>
          <c:y val="0.17171296296296296"/>
          <c:w val="0.8922843054873647"/>
          <c:h val="0.72125801983085447"/>
        </c:manualLayout>
      </c:layout>
      <c:scatterChart>
        <c:scatterStyle val="lineMarker"/>
        <c:varyColors val="0"/>
        <c:ser>
          <c:idx val="0"/>
          <c:order val="0"/>
          <c:tx>
            <c:v>COMBINED</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0.50623461399221648"/>
                  <c:y val="-0.2122978918943584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y"/>
            <c:errBarType val="both"/>
            <c:errValType val="cust"/>
            <c:noEndCap val="0"/>
            <c:plus>
              <c:numRef>
                <c:f>'Model 2 Average'!$F$2:$F$9</c:f>
                <c:numCache>
                  <c:formatCode>General</c:formatCode>
                  <c:ptCount val="8"/>
                  <c:pt idx="0">
                    <c:v>1.1924808121557</c:v>
                  </c:pt>
                  <c:pt idx="1">
                    <c:v>1.09498448796929</c:v>
                  </c:pt>
                  <c:pt idx="2">
                    <c:v>1.0922887539608801</c:v>
                  </c:pt>
                  <c:pt idx="3">
                    <c:v>1.0842139833289199</c:v>
                  </c:pt>
                  <c:pt idx="4">
                    <c:v>1.0821800673439901</c:v>
                  </c:pt>
                  <c:pt idx="5">
                    <c:v>1.0639181054600999</c:v>
                  </c:pt>
                  <c:pt idx="6">
                    <c:v>0.93303230372887203</c:v>
                  </c:pt>
                  <c:pt idx="7">
                    <c:v>0.70467932637132302</c:v>
                  </c:pt>
                </c:numCache>
              </c:numRef>
            </c:plus>
            <c:minus>
              <c:numRef>
                <c:f>'Model 2 Average'!$F$2:$F$9</c:f>
                <c:numCache>
                  <c:formatCode>General</c:formatCode>
                  <c:ptCount val="8"/>
                  <c:pt idx="0">
                    <c:v>1.1924808121557</c:v>
                  </c:pt>
                  <c:pt idx="1">
                    <c:v>1.09498448796929</c:v>
                  </c:pt>
                  <c:pt idx="2">
                    <c:v>1.0922887539608801</c:v>
                  </c:pt>
                  <c:pt idx="3">
                    <c:v>1.0842139833289199</c:v>
                  </c:pt>
                  <c:pt idx="4">
                    <c:v>1.0821800673439901</c:v>
                  </c:pt>
                  <c:pt idx="5">
                    <c:v>1.0639181054600999</c:v>
                  </c:pt>
                  <c:pt idx="6">
                    <c:v>0.93303230372887203</c:v>
                  </c:pt>
                  <c:pt idx="7">
                    <c:v>0.70467932637132302</c:v>
                  </c:pt>
                </c:numCache>
              </c:numRef>
            </c:minus>
            <c:spPr>
              <a:noFill/>
              <a:ln w="9525" cap="flat" cmpd="sng" algn="ctr">
                <a:solidFill>
                  <a:schemeClr val="tx1">
                    <a:lumMod val="65000"/>
                    <a:lumOff val="35000"/>
                  </a:schemeClr>
                </a:solidFill>
                <a:round/>
              </a:ln>
              <a:effectLst/>
            </c:spPr>
          </c:errBars>
          <c:xVal>
            <c:numRef>
              <c:f>'Model 2 Average'!$G$2:$G$9</c:f>
              <c:numCache>
                <c:formatCode>General</c:formatCode>
                <c:ptCount val="8"/>
                <c:pt idx="0">
                  <c:v>0</c:v>
                </c:pt>
                <c:pt idx="1">
                  <c:v>0.54170363704359836</c:v>
                </c:pt>
                <c:pt idx="2">
                  <c:v>1.9322680008161992</c:v>
                </c:pt>
                <c:pt idx="3">
                  <c:v>3.43348514232183</c:v>
                </c:pt>
                <c:pt idx="4">
                  <c:v>4.7585925791627792</c:v>
                </c:pt>
                <c:pt idx="5">
                  <c:v>5.9314775565798188</c:v>
                </c:pt>
                <c:pt idx="6">
                  <c:v>6.6375651057648488</c:v>
                </c:pt>
                <c:pt idx="7">
                  <c:v>7.1192535152952692</c:v>
                </c:pt>
              </c:numCache>
            </c:numRef>
          </c:xVal>
          <c:yVal>
            <c:numRef>
              <c:f>'Model 2 Average'!$A$2:$A$9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0A17-4C0B-8905-3B2AB9308E40}"/>
            </c:ext>
          </c:extLst>
        </c:ser>
        <c:dLbls>
          <c:showLegendKey val="0"/>
          <c:showVal val="0"/>
          <c:showCatName val="0"/>
          <c:showSerName val="0"/>
          <c:showPercent val="0"/>
          <c:showBubbleSize val="0"/>
        </c:dLbls>
        <c:axId val="746812568"/>
        <c:axId val="746812928"/>
      </c:scatterChart>
      <c:valAx>
        <c:axId val="746812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812928"/>
        <c:crosses val="autoZero"/>
        <c:crossBetween val="midCat"/>
      </c:valAx>
      <c:valAx>
        <c:axId val="746812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8125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6954114165820453E-2"/>
          <c:y val="0.17171296296296296"/>
          <c:w val="0.86297944903470625"/>
          <c:h val="0.72125801983085447"/>
        </c:manualLayout>
      </c:layout>
      <c:scatterChart>
        <c:scatterStyle val="lineMarker"/>
        <c:varyColors val="0"/>
        <c:ser>
          <c:idx val="0"/>
          <c:order val="0"/>
          <c:tx>
            <c:v>FRAME 1</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9.6375487973009669E-2"/>
                  <c:y val="-0.5736654272382618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x"/>
            <c:errBarType val="both"/>
            <c:errValType val="cust"/>
            <c:noEndCap val="0"/>
            <c:plus>
              <c:numRef>
                <c:f>'Model 2 Frame 1'!$F$2:$F$9</c:f>
                <c:numCache>
                  <c:formatCode>General</c:formatCode>
                  <c:ptCount val="8"/>
                  <c:pt idx="0">
                    <c:v>0.86611667691279204</c:v>
                  </c:pt>
                  <c:pt idx="1">
                    <c:v>0.56397415553980101</c:v>
                  </c:pt>
                  <c:pt idx="2">
                    <c:v>0.40164082140610202</c:v>
                  </c:pt>
                  <c:pt idx="3">
                    <c:v>0.30137488659308098</c:v>
                  </c:pt>
                  <c:pt idx="4">
                    <c:v>0.18253158822843299</c:v>
                  </c:pt>
                  <c:pt idx="5">
                    <c:v>9.0521396291823999E-2</c:v>
                  </c:pt>
                  <c:pt idx="6">
                    <c:v>2.25549468896185E-2</c:v>
                  </c:pt>
                  <c:pt idx="7">
                    <c:v>8.3745689482594803E-3</c:v>
                  </c:pt>
                </c:numCache>
              </c:numRef>
            </c:plus>
            <c:minus>
              <c:numRef>
                <c:f>'Model 2 Frame 1'!$F$2:$F$9</c:f>
                <c:numCache>
                  <c:formatCode>General</c:formatCode>
                  <c:ptCount val="8"/>
                  <c:pt idx="0">
                    <c:v>0.86611667691279204</c:v>
                  </c:pt>
                  <c:pt idx="1">
                    <c:v>0.56397415553980101</c:v>
                  </c:pt>
                  <c:pt idx="2">
                    <c:v>0.40164082140610202</c:v>
                  </c:pt>
                  <c:pt idx="3">
                    <c:v>0.30137488659308098</c:v>
                  </c:pt>
                  <c:pt idx="4">
                    <c:v>0.18253158822843299</c:v>
                  </c:pt>
                  <c:pt idx="5">
                    <c:v>9.0521396291823999E-2</c:v>
                  </c:pt>
                  <c:pt idx="6">
                    <c:v>2.25549468896185E-2</c:v>
                  </c:pt>
                  <c:pt idx="7">
                    <c:v>8.3745689482594803E-3</c:v>
                  </c:pt>
                </c:numCache>
              </c:numRef>
            </c:minus>
            <c:spPr>
              <a:noFill/>
              <a:ln w="9525" cap="flat" cmpd="sng" algn="ctr">
                <a:solidFill>
                  <a:schemeClr val="tx1">
                    <a:lumMod val="65000"/>
                    <a:lumOff val="35000"/>
                  </a:schemeClr>
                </a:solidFill>
                <a:round/>
              </a:ln>
              <a:effectLst/>
            </c:spPr>
          </c:errBars>
          <c:xVal>
            <c:numRef>
              <c:f>'Model 2 Frame 1'!$G$2:$G$9</c:f>
              <c:numCache>
                <c:formatCode>General</c:formatCode>
                <c:ptCount val="8"/>
                <c:pt idx="0">
                  <c:v>0</c:v>
                </c:pt>
                <c:pt idx="1">
                  <c:v>-0.63605168097149978</c:v>
                </c:pt>
                <c:pt idx="2">
                  <c:v>-2.1978820227545803</c:v>
                </c:pt>
                <c:pt idx="3">
                  <c:v>-3.6639331358217095</c:v>
                </c:pt>
                <c:pt idx="4">
                  <c:v>-4.9229297449101006</c:v>
                </c:pt>
                <c:pt idx="5">
                  <c:v>-6.0828137715027504</c:v>
                </c:pt>
                <c:pt idx="6">
                  <c:v>-6.5322292431416704</c:v>
                </c:pt>
                <c:pt idx="7">
                  <c:v>-6.8370858101543002</c:v>
                </c:pt>
              </c:numCache>
            </c:numRef>
          </c:xVal>
          <c:yVal>
            <c:numRef>
              <c:f>'Model 2 Frame 1'!$A$2:$A$9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8F03-40A6-9641-A6857A89E1EC}"/>
            </c:ext>
          </c:extLst>
        </c:ser>
        <c:dLbls>
          <c:showLegendKey val="0"/>
          <c:showVal val="0"/>
          <c:showCatName val="0"/>
          <c:showSerName val="0"/>
          <c:showPercent val="0"/>
          <c:showBubbleSize val="0"/>
        </c:dLbls>
        <c:axId val="678320400"/>
        <c:axId val="678311400"/>
      </c:scatterChart>
      <c:valAx>
        <c:axId val="678320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11400"/>
        <c:crosses val="autoZero"/>
        <c:crossBetween val="midCat"/>
      </c:valAx>
      <c:valAx>
        <c:axId val="678311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204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FRAME 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FRAME 3</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6.195980263669138E-3"/>
                  <c:y val="-0.5644061679790026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2 Frame 3'!$G$2:$G$9</c:f>
              <c:numCache>
                <c:formatCode>General</c:formatCode>
                <c:ptCount val="8"/>
                <c:pt idx="0">
                  <c:v>0</c:v>
                </c:pt>
                <c:pt idx="1">
                  <c:v>-0.58872572111729937</c:v>
                </c:pt>
                <c:pt idx="2">
                  <c:v>-1.8788490989358007</c:v>
                </c:pt>
                <c:pt idx="3">
                  <c:v>-3.3671137988562005</c:v>
                </c:pt>
                <c:pt idx="4">
                  <c:v>-4.7323190076661295</c:v>
                </c:pt>
                <c:pt idx="5">
                  <c:v>-6.0006471789115503</c:v>
                </c:pt>
                <c:pt idx="6">
                  <c:v>-7.0909859850452603</c:v>
                </c:pt>
                <c:pt idx="7">
                  <c:v>-8.0820968626871093</c:v>
                </c:pt>
              </c:numCache>
            </c:numRef>
          </c:xVal>
          <c:yVal>
            <c:numRef>
              <c:f>'Model 2 Frame 3'!$A$2:$A$9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FE99-483C-A31A-86926D17B065}"/>
            </c:ext>
          </c:extLst>
        </c:ser>
        <c:dLbls>
          <c:showLegendKey val="0"/>
          <c:showVal val="0"/>
          <c:showCatName val="0"/>
          <c:showSerName val="0"/>
          <c:showPercent val="0"/>
          <c:showBubbleSize val="0"/>
        </c:dLbls>
        <c:axId val="684436768"/>
        <c:axId val="684429928"/>
      </c:scatterChart>
      <c:valAx>
        <c:axId val="684436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429928"/>
        <c:crosses val="autoZero"/>
        <c:crossBetween val="midCat"/>
      </c:valAx>
      <c:valAx>
        <c:axId val="684429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4367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FRAME 2</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1.7284787640607386E-2"/>
                  <c:y val="-0.5829246864975211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2 Frame 2'!$G$2:$G$9</c:f>
              <c:numCache>
                <c:formatCode>General</c:formatCode>
                <c:ptCount val="8"/>
                <c:pt idx="0">
                  <c:v>0</c:v>
                </c:pt>
                <c:pt idx="1">
                  <c:v>-0.48390691834040034</c:v>
                </c:pt>
                <c:pt idx="2">
                  <c:v>-1.7177445893234893</c:v>
                </c:pt>
                <c:pt idx="3">
                  <c:v>-3.2165084591820294</c:v>
                </c:pt>
                <c:pt idx="4">
                  <c:v>-4.5685885410395395</c:v>
                </c:pt>
                <c:pt idx="5">
                  <c:v>-5.7317214612121692</c:v>
                </c:pt>
                <c:pt idx="6">
                  <c:v>-6.3878251169187497</c:v>
                </c:pt>
                <c:pt idx="7">
                  <c:v>-6.6693537348053997</c:v>
                </c:pt>
              </c:numCache>
            </c:numRef>
          </c:xVal>
          <c:yVal>
            <c:numRef>
              <c:f>'Model 2 Frame 2'!$A$2:$A$9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B7AE-4874-8801-1CD7C0B101E0}"/>
            </c:ext>
          </c:extLst>
        </c:ser>
        <c:dLbls>
          <c:showLegendKey val="0"/>
          <c:showVal val="0"/>
          <c:showCatName val="0"/>
          <c:showSerName val="0"/>
          <c:showPercent val="0"/>
          <c:showBubbleSize val="0"/>
        </c:dLbls>
        <c:axId val="684341368"/>
        <c:axId val="607717912"/>
      </c:scatterChart>
      <c:valAx>
        <c:axId val="68434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717912"/>
        <c:crosses val="autoZero"/>
        <c:crossBetween val="midCat"/>
      </c:valAx>
      <c:valAx>
        <c:axId val="607717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3413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2321315477423654E-2"/>
          <c:y val="0.17171296296296296"/>
          <c:w val="0.8922843054873647"/>
          <c:h val="0.72125801983085447"/>
        </c:manualLayout>
      </c:layout>
      <c:scatterChart>
        <c:scatterStyle val="lineMarker"/>
        <c:varyColors val="0"/>
        <c:ser>
          <c:idx val="0"/>
          <c:order val="0"/>
          <c:tx>
            <c:v>COMBINED</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0.48165320390985611"/>
                  <c:y val="-0.2266409309967823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y"/>
            <c:errBarType val="both"/>
            <c:errValType val="cust"/>
            <c:noEndCap val="0"/>
            <c:plus>
              <c:numRef>
                <c:f>'Model 3 Average'!$F$2:$F$9</c:f>
                <c:numCache>
                  <c:formatCode>General</c:formatCode>
                  <c:ptCount val="8"/>
                  <c:pt idx="0">
                    <c:v>0.54120873858311003</c:v>
                  </c:pt>
                  <c:pt idx="1">
                    <c:v>0.61380222349878599</c:v>
                  </c:pt>
                  <c:pt idx="2">
                    <c:v>0.71085683574742198</c:v>
                  </c:pt>
                  <c:pt idx="3">
                    <c:v>0.72625982730473404</c:v>
                  </c:pt>
                  <c:pt idx="4">
                    <c:v>0.78837464670281998</c:v>
                  </c:pt>
                  <c:pt idx="5">
                    <c:v>0.84115485612781604</c:v>
                  </c:pt>
                  <c:pt idx="6">
                    <c:v>0.83563914213086798</c:v>
                  </c:pt>
                  <c:pt idx="7">
                    <c:v>0.65697501219058096</c:v>
                  </c:pt>
                </c:numCache>
              </c:numRef>
            </c:plus>
            <c:minus>
              <c:numRef>
                <c:f>'Model 3 Average'!$F$2:$F$9</c:f>
                <c:numCache>
                  <c:formatCode>General</c:formatCode>
                  <c:ptCount val="8"/>
                  <c:pt idx="0">
                    <c:v>0.54120873858311003</c:v>
                  </c:pt>
                  <c:pt idx="1">
                    <c:v>0.61380222349878599</c:v>
                  </c:pt>
                  <c:pt idx="2">
                    <c:v>0.71085683574742198</c:v>
                  </c:pt>
                  <c:pt idx="3">
                    <c:v>0.72625982730473404</c:v>
                  </c:pt>
                  <c:pt idx="4">
                    <c:v>0.78837464670281998</c:v>
                  </c:pt>
                  <c:pt idx="5">
                    <c:v>0.84115485612781604</c:v>
                  </c:pt>
                  <c:pt idx="6">
                    <c:v>0.83563914213086798</c:v>
                  </c:pt>
                  <c:pt idx="7">
                    <c:v>0.65697501219058096</c:v>
                  </c:pt>
                </c:numCache>
              </c:numRef>
            </c:minus>
            <c:spPr>
              <a:noFill/>
              <a:ln w="9525" cap="flat" cmpd="sng" algn="ctr">
                <a:solidFill>
                  <a:schemeClr val="tx1">
                    <a:lumMod val="65000"/>
                    <a:lumOff val="35000"/>
                  </a:schemeClr>
                </a:solidFill>
                <a:round/>
              </a:ln>
              <a:effectLst/>
            </c:spPr>
          </c:errBars>
          <c:xVal>
            <c:numRef>
              <c:f>'Model 3 Average'!$G$2:$G$9</c:f>
              <c:numCache>
                <c:formatCode>General</c:formatCode>
                <c:ptCount val="8"/>
                <c:pt idx="0">
                  <c:v>0</c:v>
                </c:pt>
                <c:pt idx="1">
                  <c:v>0.77648914116812939</c:v>
                </c:pt>
                <c:pt idx="2">
                  <c:v>2.28284602074124</c:v>
                </c:pt>
                <c:pt idx="3">
                  <c:v>3.7228453925289298</c:v>
                </c:pt>
                <c:pt idx="4">
                  <c:v>4.9934270261646896</c:v>
                </c:pt>
                <c:pt idx="5">
                  <c:v>6.1809509935430595</c:v>
                </c:pt>
                <c:pt idx="6">
                  <c:v>7.2274680869848797</c:v>
                </c:pt>
                <c:pt idx="7">
                  <c:v>8.0365695743005592</c:v>
                </c:pt>
              </c:numCache>
            </c:numRef>
          </c:xVal>
          <c:yVal>
            <c:numRef>
              <c:f>'Model 3 Average'!$A$2:$A$9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1197-4DED-B4BF-955D28B0F93A}"/>
            </c:ext>
          </c:extLst>
        </c:ser>
        <c:dLbls>
          <c:showLegendKey val="0"/>
          <c:showVal val="0"/>
          <c:showCatName val="0"/>
          <c:showSerName val="0"/>
          <c:showPercent val="0"/>
          <c:showBubbleSize val="0"/>
        </c:dLbls>
        <c:axId val="746812568"/>
        <c:axId val="746812928"/>
      </c:scatterChart>
      <c:valAx>
        <c:axId val="746812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812928"/>
        <c:crosses val="autoZero"/>
        <c:crossBetween val="midCat"/>
      </c:valAx>
      <c:valAx>
        <c:axId val="746812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8125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6954114165820453E-2"/>
          <c:y val="0.17171296296296296"/>
          <c:w val="0.86297944903470625"/>
          <c:h val="0.72125801983085447"/>
        </c:manualLayout>
      </c:layout>
      <c:scatterChart>
        <c:scatterStyle val="lineMarker"/>
        <c:varyColors val="0"/>
        <c:ser>
          <c:idx val="0"/>
          <c:order val="0"/>
          <c:tx>
            <c:v>FRAME 1</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9.6375487973009669E-2"/>
                  <c:y val="-0.5736654272382618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x"/>
            <c:errBarType val="both"/>
            <c:errValType val="cust"/>
            <c:noEndCap val="0"/>
            <c:plus>
              <c:numRef>
                <c:f>'Model 3 Frame 1'!$F$2:$F$9</c:f>
                <c:numCache>
                  <c:formatCode>General</c:formatCode>
                  <c:ptCount val="8"/>
                  <c:pt idx="0">
                    <c:v>0.13262109107339601</c:v>
                  </c:pt>
                  <c:pt idx="1">
                    <c:v>0.13406266808808401</c:v>
                  </c:pt>
                  <c:pt idx="2">
                    <c:v>0.131254382000703</c:v>
                  </c:pt>
                  <c:pt idx="3">
                    <c:v>0.13269532544243201</c:v>
                  </c:pt>
                  <c:pt idx="4">
                    <c:v>0.139337646622713</c:v>
                  </c:pt>
                  <c:pt idx="5">
                    <c:v>0.139406141354601</c:v>
                  </c:pt>
                  <c:pt idx="6">
                    <c:v>0.136752657175502</c:v>
                  </c:pt>
                  <c:pt idx="7">
                    <c:v>0.15403864841586401</c:v>
                  </c:pt>
                </c:numCache>
              </c:numRef>
            </c:plus>
            <c:minus>
              <c:numRef>
                <c:f>'Model 3 Frame 1'!$F$2:$F$9</c:f>
                <c:numCache>
                  <c:formatCode>General</c:formatCode>
                  <c:ptCount val="8"/>
                  <c:pt idx="0">
                    <c:v>0.13262109107339601</c:v>
                  </c:pt>
                  <c:pt idx="1">
                    <c:v>0.13406266808808401</c:v>
                  </c:pt>
                  <c:pt idx="2">
                    <c:v>0.131254382000703</c:v>
                  </c:pt>
                  <c:pt idx="3">
                    <c:v>0.13269532544243201</c:v>
                  </c:pt>
                  <c:pt idx="4">
                    <c:v>0.139337646622713</c:v>
                  </c:pt>
                  <c:pt idx="5">
                    <c:v>0.139406141354601</c:v>
                  </c:pt>
                  <c:pt idx="6">
                    <c:v>0.136752657175502</c:v>
                  </c:pt>
                  <c:pt idx="7">
                    <c:v>0.15403864841586401</c:v>
                  </c:pt>
                </c:numCache>
              </c:numRef>
            </c:minus>
            <c:spPr>
              <a:noFill/>
              <a:ln w="9525" cap="flat" cmpd="sng" algn="ctr">
                <a:solidFill>
                  <a:schemeClr val="tx1">
                    <a:lumMod val="65000"/>
                    <a:lumOff val="35000"/>
                  </a:schemeClr>
                </a:solidFill>
                <a:round/>
              </a:ln>
              <a:effectLst/>
            </c:spPr>
          </c:errBars>
          <c:xVal>
            <c:numRef>
              <c:f>'Model 3 Frame 1'!$G$2:$G$9</c:f>
              <c:numCache>
                <c:formatCode>General</c:formatCode>
                <c:ptCount val="8"/>
                <c:pt idx="0">
                  <c:v>0</c:v>
                </c:pt>
                <c:pt idx="1">
                  <c:v>-0.67453226931669974</c:v>
                </c:pt>
                <c:pt idx="2">
                  <c:v>-2.0289982022108095</c:v>
                </c:pt>
                <c:pt idx="3">
                  <c:v>-3.4339688686211902</c:v>
                </c:pt>
                <c:pt idx="4">
                  <c:v>-4.5961150639485</c:v>
                </c:pt>
                <c:pt idx="5">
                  <c:v>-5.6948312500109202</c:v>
                </c:pt>
                <c:pt idx="6">
                  <c:v>-6.76083377782507</c:v>
                </c:pt>
                <c:pt idx="7">
                  <c:v>-7.8439830213864195</c:v>
                </c:pt>
              </c:numCache>
            </c:numRef>
          </c:xVal>
          <c:yVal>
            <c:numRef>
              <c:f>'Model 3 Frame 1'!$A$2:$A$9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E032-4122-B1AC-29D9C4869B44}"/>
            </c:ext>
          </c:extLst>
        </c:ser>
        <c:dLbls>
          <c:showLegendKey val="0"/>
          <c:showVal val="0"/>
          <c:showCatName val="0"/>
          <c:showSerName val="0"/>
          <c:showPercent val="0"/>
          <c:showBubbleSize val="0"/>
        </c:dLbls>
        <c:axId val="678320400"/>
        <c:axId val="678311400"/>
      </c:scatterChart>
      <c:valAx>
        <c:axId val="678320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11400"/>
        <c:crosses val="autoZero"/>
        <c:crossBetween val="midCat"/>
      </c:valAx>
      <c:valAx>
        <c:axId val="678311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204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FRAME 2</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1.7284787640607386E-2"/>
                  <c:y val="-0.5829246864975211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3 Frame 2'!$G$2:$G$9</c:f>
              <c:numCache>
                <c:formatCode>General</c:formatCode>
                <c:ptCount val="8"/>
                <c:pt idx="0">
                  <c:v>0</c:v>
                </c:pt>
                <c:pt idx="1">
                  <c:v>-0.94552619127179049</c:v>
                </c:pt>
                <c:pt idx="2">
                  <c:v>-2.5420033670672399</c:v>
                </c:pt>
                <c:pt idx="3">
                  <c:v>-3.9405297302837798</c:v>
                </c:pt>
                <c:pt idx="4">
                  <c:v>-5.2268314728928305</c:v>
                </c:pt>
                <c:pt idx="5">
                  <c:v>-6.4309655311298908</c:v>
                </c:pt>
                <c:pt idx="6">
                  <c:v>-7.4630162708512104</c:v>
                </c:pt>
                <c:pt idx="7">
                  <c:v>-7.9412586490725605</c:v>
                </c:pt>
              </c:numCache>
            </c:numRef>
          </c:xVal>
          <c:yVal>
            <c:numRef>
              <c:f>'Model 3 Frame 2'!$A$2:$A$9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61E0-43EF-AE68-A6B5E53A4B41}"/>
            </c:ext>
          </c:extLst>
        </c:ser>
        <c:dLbls>
          <c:showLegendKey val="0"/>
          <c:showVal val="0"/>
          <c:showCatName val="0"/>
          <c:showSerName val="0"/>
          <c:showPercent val="0"/>
          <c:showBubbleSize val="0"/>
        </c:dLbls>
        <c:axId val="684341368"/>
        <c:axId val="607717912"/>
      </c:scatterChart>
      <c:valAx>
        <c:axId val="68434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717912"/>
        <c:crosses val="autoZero"/>
        <c:crossBetween val="midCat"/>
      </c:valAx>
      <c:valAx>
        <c:axId val="607717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3413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FRAME 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FRAME 3</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6.195980263669138E-3"/>
                  <c:y val="-0.5644061679790026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3 Frame 3'!$G$2:$G$9</c:f>
              <c:numCache>
                <c:formatCode>General</c:formatCode>
                <c:ptCount val="8"/>
                <c:pt idx="0">
                  <c:v>0</c:v>
                </c:pt>
                <c:pt idx="1">
                  <c:v>-0.74032047747551921</c:v>
                </c:pt>
                <c:pt idx="2">
                  <c:v>-2.2829424669908489</c:v>
                </c:pt>
                <c:pt idx="3">
                  <c:v>-3.770973484090919</c:v>
                </c:pt>
                <c:pt idx="4">
                  <c:v>-5.0917143679702992</c:v>
                </c:pt>
                <c:pt idx="5">
                  <c:v>-6.3201229995793096</c:v>
                </c:pt>
                <c:pt idx="6">
                  <c:v>-7.3655095941345596</c:v>
                </c:pt>
                <c:pt idx="7">
                  <c:v>-8.3042152741055197</c:v>
                </c:pt>
              </c:numCache>
            </c:numRef>
          </c:xVal>
          <c:yVal>
            <c:numRef>
              <c:f>'Model 3 Frame 3'!$A$2:$A$9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B177-496D-93DC-1D46095AEE99}"/>
            </c:ext>
          </c:extLst>
        </c:ser>
        <c:dLbls>
          <c:showLegendKey val="0"/>
          <c:showVal val="0"/>
          <c:showCatName val="0"/>
          <c:showSerName val="0"/>
          <c:showPercent val="0"/>
          <c:showBubbleSize val="0"/>
        </c:dLbls>
        <c:axId val="684436768"/>
        <c:axId val="684429928"/>
      </c:scatterChart>
      <c:valAx>
        <c:axId val="684436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429928"/>
        <c:crosses val="autoZero"/>
        <c:crossBetween val="midCat"/>
      </c:valAx>
      <c:valAx>
        <c:axId val="684429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4367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2321315477423654E-2"/>
          <c:y val="0.17171296296296296"/>
          <c:w val="0.8922843054873647"/>
          <c:h val="0.72125801983085447"/>
        </c:manualLayout>
      </c:layout>
      <c:scatterChart>
        <c:scatterStyle val="lineMarker"/>
        <c:varyColors val="0"/>
        <c:ser>
          <c:idx val="0"/>
          <c:order val="0"/>
          <c:tx>
            <c:v>COMBINED</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0.53324653464228022"/>
                  <c:y val="-0.1956048985331981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y"/>
            <c:errBarType val="both"/>
            <c:errValType val="cust"/>
            <c:noEndCap val="0"/>
            <c:plus>
              <c:numRef>
                <c:f>'Model 4 Average'!$F$2:$F$9</c:f>
                <c:numCache>
                  <c:formatCode>General</c:formatCode>
                  <c:ptCount val="8"/>
                  <c:pt idx="0">
                    <c:v>3.99099237036768</c:v>
                  </c:pt>
                  <c:pt idx="1">
                    <c:v>3.8906681970313799</c:v>
                  </c:pt>
                  <c:pt idx="2">
                    <c:v>3.7213064956340398</c:v>
                  </c:pt>
                  <c:pt idx="3">
                    <c:v>3.6000039418993799</c:v>
                  </c:pt>
                  <c:pt idx="4">
                    <c:v>3.5436864407536901</c:v>
                  </c:pt>
                  <c:pt idx="5">
                    <c:v>3.6619242449726599</c:v>
                  </c:pt>
                  <c:pt idx="6">
                    <c:v>3.7706467359353799</c:v>
                  </c:pt>
                  <c:pt idx="7">
                    <c:v>3.8186408220661101</c:v>
                  </c:pt>
                </c:numCache>
              </c:numRef>
            </c:plus>
            <c:minus>
              <c:numRef>
                <c:f>'Model 4 Average'!$F$2:$F$9</c:f>
                <c:numCache>
                  <c:formatCode>General</c:formatCode>
                  <c:ptCount val="8"/>
                  <c:pt idx="0">
                    <c:v>3.99099237036768</c:v>
                  </c:pt>
                  <c:pt idx="1">
                    <c:v>3.8906681970313799</c:v>
                  </c:pt>
                  <c:pt idx="2">
                    <c:v>3.7213064956340398</c:v>
                  </c:pt>
                  <c:pt idx="3">
                    <c:v>3.6000039418993799</c:v>
                  </c:pt>
                  <c:pt idx="4">
                    <c:v>3.5436864407536901</c:v>
                  </c:pt>
                  <c:pt idx="5">
                    <c:v>3.6619242449726599</c:v>
                  </c:pt>
                  <c:pt idx="6">
                    <c:v>3.7706467359353799</c:v>
                  </c:pt>
                  <c:pt idx="7">
                    <c:v>3.8186408220661101</c:v>
                  </c:pt>
                </c:numCache>
              </c:numRef>
            </c:minus>
            <c:spPr>
              <a:noFill/>
              <a:ln w="9525" cap="flat" cmpd="sng" algn="ctr">
                <a:solidFill>
                  <a:schemeClr val="tx1">
                    <a:lumMod val="65000"/>
                    <a:lumOff val="35000"/>
                  </a:schemeClr>
                </a:solidFill>
                <a:round/>
              </a:ln>
              <a:effectLst/>
            </c:spPr>
          </c:errBars>
          <c:xVal>
            <c:numRef>
              <c:f>'Model 4 Average'!$G$2:$G$9</c:f>
              <c:numCache>
                <c:formatCode>General</c:formatCode>
                <c:ptCount val="8"/>
                <c:pt idx="0">
                  <c:v>0</c:v>
                </c:pt>
                <c:pt idx="1">
                  <c:v>1.1935052662159986</c:v>
                </c:pt>
                <c:pt idx="2">
                  <c:v>3.1908863170536996</c:v>
                </c:pt>
                <c:pt idx="3">
                  <c:v>4.7674350644479002</c:v>
                </c:pt>
                <c:pt idx="4">
                  <c:v>6.1746525534304997</c:v>
                </c:pt>
                <c:pt idx="5">
                  <c:v>7.4790721425652098</c:v>
                </c:pt>
                <c:pt idx="6">
                  <c:v>8.5042738977445289</c:v>
                </c:pt>
                <c:pt idx="7">
                  <c:v>9.3251211782284606</c:v>
                </c:pt>
              </c:numCache>
            </c:numRef>
          </c:xVal>
          <c:yVal>
            <c:numRef>
              <c:f>'Model 4 Average'!$A$2:$A$9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193C-4A61-A638-92205DA5C245}"/>
            </c:ext>
          </c:extLst>
        </c:ser>
        <c:dLbls>
          <c:showLegendKey val="0"/>
          <c:showVal val="0"/>
          <c:showCatName val="0"/>
          <c:showSerName val="0"/>
          <c:showPercent val="0"/>
          <c:showBubbleSize val="0"/>
        </c:dLbls>
        <c:axId val="746812568"/>
        <c:axId val="746812928"/>
      </c:scatterChart>
      <c:valAx>
        <c:axId val="746812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812928"/>
        <c:crosses val="autoZero"/>
        <c:crossBetween val="midCat"/>
      </c:valAx>
      <c:valAx>
        <c:axId val="746812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8125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6954114165820453E-2"/>
          <c:y val="0.17171296296296296"/>
          <c:w val="0.86297944903470625"/>
          <c:h val="0.72125801983085447"/>
        </c:manualLayout>
      </c:layout>
      <c:scatterChart>
        <c:scatterStyle val="lineMarker"/>
        <c:varyColors val="0"/>
        <c:ser>
          <c:idx val="0"/>
          <c:order val="0"/>
          <c:tx>
            <c:v>FRAME 1</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9.6375487973009669E-2"/>
                  <c:y val="-0.5736654272382618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x"/>
            <c:errBarType val="both"/>
            <c:errValType val="cust"/>
            <c:noEndCap val="0"/>
            <c:plus>
              <c:numRef>
                <c:f>'Model 4 Frame 1'!$F$2:$F$9</c:f>
                <c:numCache>
                  <c:formatCode>General</c:formatCode>
                  <c:ptCount val="8"/>
                  <c:pt idx="0">
                    <c:v>0.26887838932819802</c:v>
                  </c:pt>
                  <c:pt idx="1">
                    <c:v>0.20965202660544599</c:v>
                  </c:pt>
                  <c:pt idx="2">
                    <c:v>0.14010518869271499</c:v>
                  </c:pt>
                  <c:pt idx="3">
                    <c:v>0.16399280694433899</c:v>
                  </c:pt>
                  <c:pt idx="4">
                    <c:v>0.198076466200623</c:v>
                  </c:pt>
                  <c:pt idx="5">
                    <c:v>0.18009308320356399</c:v>
                  </c:pt>
                  <c:pt idx="6">
                    <c:v>0.15151395522845701</c:v>
                  </c:pt>
                  <c:pt idx="7">
                    <c:v>0.13914677263644001</c:v>
                  </c:pt>
                </c:numCache>
              </c:numRef>
            </c:plus>
            <c:minus>
              <c:numRef>
                <c:f>'Model 4 Frame 1'!$F$2:$F$9</c:f>
                <c:numCache>
                  <c:formatCode>General</c:formatCode>
                  <c:ptCount val="8"/>
                  <c:pt idx="0">
                    <c:v>0.26887838932819802</c:v>
                  </c:pt>
                  <c:pt idx="1">
                    <c:v>0.20965202660544599</c:v>
                  </c:pt>
                  <c:pt idx="2">
                    <c:v>0.14010518869271499</c:v>
                  </c:pt>
                  <c:pt idx="3">
                    <c:v>0.16399280694433899</c:v>
                  </c:pt>
                  <c:pt idx="4">
                    <c:v>0.198076466200623</c:v>
                  </c:pt>
                  <c:pt idx="5">
                    <c:v>0.18009308320356399</c:v>
                  </c:pt>
                  <c:pt idx="6">
                    <c:v>0.15151395522845701</c:v>
                  </c:pt>
                  <c:pt idx="7">
                    <c:v>0.13914677263644001</c:v>
                  </c:pt>
                </c:numCache>
              </c:numRef>
            </c:minus>
            <c:spPr>
              <a:noFill/>
              <a:ln w="9525" cap="flat" cmpd="sng" algn="ctr">
                <a:solidFill>
                  <a:schemeClr val="tx1">
                    <a:lumMod val="65000"/>
                    <a:lumOff val="35000"/>
                  </a:schemeClr>
                </a:solidFill>
                <a:round/>
              </a:ln>
              <a:effectLst/>
            </c:spPr>
          </c:errBars>
          <c:xVal>
            <c:numRef>
              <c:f>'Model 4 Frame 1'!$G$2:$G$9</c:f>
              <c:numCache>
                <c:formatCode>General</c:formatCode>
                <c:ptCount val="8"/>
                <c:pt idx="0">
                  <c:v>0</c:v>
                </c:pt>
                <c:pt idx="1">
                  <c:v>-1.6000210108523003</c:v>
                </c:pt>
                <c:pt idx="2">
                  <c:v>-3.8675446803941007</c:v>
                </c:pt>
                <c:pt idx="3">
                  <c:v>-5.7272259528872009</c:v>
                </c:pt>
                <c:pt idx="4">
                  <c:v>-7.3713702325871111</c:v>
                </c:pt>
                <c:pt idx="5">
                  <c:v>-8.7918197065090204</c:v>
                </c:pt>
                <c:pt idx="6">
                  <c:v>-9.8677409235942015</c:v>
                </c:pt>
                <c:pt idx="7">
                  <c:v>-10.55165437964583</c:v>
                </c:pt>
              </c:numCache>
            </c:numRef>
          </c:xVal>
          <c:yVal>
            <c:numRef>
              <c:f>'Model 4 Frame 1'!$A$2:$A$9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50DD-44DA-A91F-3938C4DA2F3E}"/>
            </c:ext>
          </c:extLst>
        </c:ser>
        <c:dLbls>
          <c:showLegendKey val="0"/>
          <c:showVal val="0"/>
          <c:showCatName val="0"/>
          <c:showSerName val="0"/>
          <c:showPercent val="0"/>
          <c:showBubbleSize val="0"/>
        </c:dLbls>
        <c:axId val="678320400"/>
        <c:axId val="678311400"/>
      </c:scatterChart>
      <c:valAx>
        <c:axId val="678320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11400"/>
        <c:crosses val="autoZero"/>
        <c:crossBetween val="midCat"/>
      </c:valAx>
      <c:valAx>
        <c:axId val="678311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204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65905296506435E-2"/>
          <c:y val="5.2889999600176908E-2"/>
          <c:w val="0.93152855329385964"/>
          <c:h val="0.86859083854925734"/>
        </c:manualLayout>
      </c:layout>
      <c:barChart>
        <c:barDir val="col"/>
        <c:grouping val="clustered"/>
        <c:varyColors val="0"/>
        <c:ser>
          <c:idx val="0"/>
          <c:order val="0"/>
          <c:tx>
            <c:v>Charcot</c:v>
          </c:tx>
          <c:spPr>
            <a:solidFill>
              <a:schemeClr val="accent1"/>
            </a:solidFill>
            <a:ln>
              <a:noFill/>
            </a:ln>
            <a:effectLst/>
          </c:spPr>
          <c:invertIfNegative val="0"/>
          <c:errBars>
            <c:errBarType val="both"/>
            <c:errValType val="cust"/>
            <c:noEndCap val="0"/>
            <c:plus>
              <c:numRef>
                <c:f>'Readme and Comparisons'!$V$19:$V$26</c:f>
                <c:numCache>
                  <c:formatCode>General</c:formatCode>
                  <c:ptCount val="8"/>
                  <c:pt idx="0">
                    <c:v>0.63651913730638299</c:v>
                  </c:pt>
                  <c:pt idx="1">
                    <c:v>0.64449342795497999</c:v>
                  </c:pt>
                  <c:pt idx="2">
                    <c:v>0.60998150730639</c:v>
                  </c:pt>
                  <c:pt idx="3">
                    <c:v>0.562628156310779</c:v>
                  </c:pt>
                  <c:pt idx="4">
                    <c:v>0.54884071461947603</c:v>
                  </c:pt>
                  <c:pt idx="5">
                    <c:v>0.58457958449390002</c:v>
                  </c:pt>
                  <c:pt idx="6">
                    <c:v>0.52737831450152595</c:v>
                  </c:pt>
                  <c:pt idx="7">
                    <c:v>0.42627428269426199</c:v>
                  </c:pt>
                </c:numCache>
              </c:numRef>
            </c:plus>
            <c:minus>
              <c:numRef>
                <c:f>'Readme and Comparisons'!$V$19:$V$26</c:f>
                <c:numCache>
                  <c:formatCode>General</c:formatCode>
                  <c:ptCount val="8"/>
                  <c:pt idx="0">
                    <c:v>0.63651913730638299</c:v>
                  </c:pt>
                  <c:pt idx="1">
                    <c:v>0.64449342795497999</c:v>
                  </c:pt>
                  <c:pt idx="2">
                    <c:v>0.60998150730639</c:v>
                  </c:pt>
                  <c:pt idx="3">
                    <c:v>0.562628156310779</c:v>
                  </c:pt>
                  <c:pt idx="4">
                    <c:v>0.54884071461947603</c:v>
                  </c:pt>
                  <c:pt idx="5">
                    <c:v>0.58457958449390002</c:v>
                  </c:pt>
                  <c:pt idx="6">
                    <c:v>0.52737831450152595</c:v>
                  </c:pt>
                  <c:pt idx="7">
                    <c:v>0.42627428269426199</c:v>
                  </c:pt>
                </c:numCache>
              </c:numRef>
            </c:minus>
            <c:spPr>
              <a:noFill/>
              <a:ln w="9525" cap="flat" cmpd="sng" algn="ctr">
                <a:solidFill>
                  <a:schemeClr val="tx1">
                    <a:lumMod val="65000"/>
                    <a:lumOff val="35000"/>
                  </a:schemeClr>
                </a:solidFill>
                <a:round/>
              </a:ln>
              <a:effectLst/>
            </c:spPr>
          </c:errBars>
          <c:cat>
            <c:numRef>
              <c:f>'Model 1 Average'!$A$2:$A$9</c:f>
              <c:numCache>
                <c:formatCode>General</c:formatCode>
                <c:ptCount val="8"/>
                <c:pt idx="0">
                  <c:v>50</c:v>
                </c:pt>
                <c:pt idx="1">
                  <c:v>100</c:v>
                </c:pt>
                <c:pt idx="2">
                  <c:v>200</c:v>
                </c:pt>
                <c:pt idx="3">
                  <c:v>300</c:v>
                </c:pt>
                <c:pt idx="4">
                  <c:v>400</c:v>
                </c:pt>
                <c:pt idx="5">
                  <c:v>500</c:v>
                </c:pt>
                <c:pt idx="6">
                  <c:v>600</c:v>
                </c:pt>
                <c:pt idx="7">
                  <c:v>700</c:v>
                </c:pt>
              </c:numCache>
            </c:numRef>
          </c:cat>
          <c:val>
            <c:numRef>
              <c:f>'Model 1 Average'!$G$2:$G$9</c:f>
              <c:numCache>
                <c:formatCode>General</c:formatCode>
                <c:ptCount val="8"/>
                <c:pt idx="0">
                  <c:v>0</c:v>
                </c:pt>
                <c:pt idx="1">
                  <c:v>1.2111919058162997</c:v>
                </c:pt>
                <c:pt idx="2">
                  <c:v>3.3520093996253006</c:v>
                </c:pt>
                <c:pt idx="3">
                  <c:v>5.1605845407346198</c:v>
                </c:pt>
                <c:pt idx="4">
                  <c:v>6.7362874156248695</c:v>
                </c:pt>
                <c:pt idx="5">
                  <c:v>8.1388851027362303</c:v>
                </c:pt>
                <c:pt idx="6">
                  <c:v>9.2857973822210003</c:v>
                </c:pt>
                <c:pt idx="7">
                  <c:v>10.23517615155358</c:v>
                </c:pt>
              </c:numCache>
            </c:numRef>
          </c:val>
          <c:extLst>
            <c:ext xmlns:c16="http://schemas.microsoft.com/office/drawing/2014/chart" uri="{C3380CC4-5D6E-409C-BE32-E72D297353CC}">
              <c16:uniqueId val="{00000000-5DA0-4F71-AB96-1D0FC4B25BF9}"/>
            </c:ext>
          </c:extLst>
        </c:ser>
        <c:ser>
          <c:idx val="1"/>
          <c:order val="1"/>
          <c:tx>
            <c:v>Butt</c:v>
          </c:tx>
          <c:spPr>
            <a:solidFill>
              <a:schemeClr val="accent2"/>
            </a:solidFill>
            <a:ln>
              <a:noFill/>
            </a:ln>
            <a:effectLst/>
          </c:spPr>
          <c:invertIfNegative val="0"/>
          <c:errBars>
            <c:errBarType val="both"/>
            <c:errValType val="cust"/>
            <c:noEndCap val="0"/>
            <c:plus>
              <c:numRef>
                <c:f>'Readme and Comparisons'!$W$19:$W$26</c:f>
                <c:numCache>
                  <c:formatCode>General</c:formatCode>
                  <c:ptCount val="8"/>
                  <c:pt idx="0">
                    <c:v>1.1924808121557</c:v>
                  </c:pt>
                  <c:pt idx="1">
                    <c:v>1.09498448796929</c:v>
                  </c:pt>
                  <c:pt idx="2">
                    <c:v>1.0922887539608801</c:v>
                  </c:pt>
                  <c:pt idx="3">
                    <c:v>1.0842139833289199</c:v>
                  </c:pt>
                  <c:pt idx="4">
                    <c:v>1.0821800673439901</c:v>
                  </c:pt>
                  <c:pt idx="5">
                    <c:v>1.0639181054600999</c:v>
                  </c:pt>
                  <c:pt idx="6">
                    <c:v>0.93303230372887203</c:v>
                  </c:pt>
                  <c:pt idx="7">
                    <c:v>0.70467932637132302</c:v>
                  </c:pt>
                </c:numCache>
              </c:numRef>
            </c:plus>
            <c:minus>
              <c:numRef>
                <c:f>'Readme and Comparisons'!$W$19:$W$26</c:f>
                <c:numCache>
                  <c:formatCode>General</c:formatCode>
                  <c:ptCount val="8"/>
                  <c:pt idx="0">
                    <c:v>1.1924808121557</c:v>
                  </c:pt>
                  <c:pt idx="1">
                    <c:v>1.09498448796929</c:v>
                  </c:pt>
                  <c:pt idx="2">
                    <c:v>1.0922887539608801</c:v>
                  </c:pt>
                  <c:pt idx="3">
                    <c:v>1.0842139833289199</c:v>
                  </c:pt>
                  <c:pt idx="4">
                    <c:v>1.0821800673439901</c:v>
                  </c:pt>
                  <c:pt idx="5">
                    <c:v>1.0639181054600999</c:v>
                  </c:pt>
                  <c:pt idx="6">
                    <c:v>0.93303230372887203</c:v>
                  </c:pt>
                  <c:pt idx="7">
                    <c:v>0.70467932637132302</c:v>
                  </c:pt>
                </c:numCache>
              </c:numRef>
            </c:minus>
            <c:spPr>
              <a:noFill/>
              <a:ln w="9525" cap="flat" cmpd="sng" algn="ctr">
                <a:solidFill>
                  <a:schemeClr val="tx1">
                    <a:lumMod val="65000"/>
                    <a:lumOff val="35000"/>
                  </a:schemeClr>
                </a:solidFill>
                <a:round/>
              </a:ln>
              <a:effectLst/>
            </c:spPr>
          </c:errBars>
          <c:val>
            <c:numRef>
              <c:f>'Model 2 Average'!$G$2:$G$9</c:f>
              <c:numCache>
                <c:formatCode>General</c:formatCode>
                <c:ptCount val="8"/>
                <c:pt idx="0">
                  <c:v>0</c:v>
                </c:pt>
                <c:pt idx="1">
                  <c:v>0.54170363704359836</c:v>
                </c:pt>
                <c:pt idx="2">
                  <c:v>1.9322680008161992</c:v>
                </c:pt>
                <c:pt idx="3">
                  <c:v>3.43348514232183</c:v>
                </c:pt>
                <c:pt idx="4">
                  <c:v>4.7585925791627792</c:v>
                </c:pt>
                <c:pt idx="5">
                  <c:v>5.9314775565798188</c:v>
                </c:pt>
                <c:pt idx="6">
                  <c:v>6.6375651057648488</c:v>
                </c:pt>
                <c:pt idx="7">
                  <c:v>7.1192535152952692</c:v>
                </c:pt>
              </c:numCache>
            </c:numRef>
          </c:val>
          <c:extLst>
            <c:ext xmlns:c16="http://schemas.microsoft.com/office/drawing/2014/chart" uri="{C3380CC4-5D6E-409C-BE32-E72D297353CC}">
              <c16:uniqueId val="{00000001-5DA0-4F71-AB96-1D0FC4B25BF9}"/>
            </c:ext>
          </c:extLst>
        </c:ser>
        <c:ser>
          <c:idx val="2"/>
          <c:order val="2"/>
          <c:tx>
            <c:v>Mitre</c:v>
          </c:tx>
          <c:spPr>
            <a:solidFill>
              <a:schemeClr val="accent3"/>
            </a:solidFill>
            <a:ln>
              <a:noFill/>
            </a:ln>
            <a:effectLst/>
          </c:spPr>
          <c:invertIfNegative val="0"/>
          <c:errBars>
            <c:errBarType val="both"/>
            <c:errValType val="cust"/>
            <c:noEndCap val="0"/>
            <c:plus>
              <c:numRef>
                <c:f>'Readme and Comparisons'!$X$19:$X$26</c:f>
                <c:numCache>
                  <c:formatCode>General</c:formatCode>
                  <c:ptCount val="8"/>
                  <c:pt idx="0">
                    <c:v>0.54120873858311003</c:v>
                  </c:pt>
                  <c:pt idx="1">
                    <c:v>0.61380222349878599</c:v>
                  </c:pt>
                  <c:pt idx="2">
                    <c:v>0.71085683574742198</c:v>
                  </c:pt>
                  <c:pt idx="3">
                    <c:v>0.72625982730473404</c:v>
                  </c:pt>
                  <c:pt idx="4">
                    <c:v>0.78837464670281998</c:v>
                  </c:pt>
                  <c:pt idx="5">
                    <c:v>0.84115485612781604</c:v>
                  </c:pt>
                  <c:pt idx="6">
                    <c:v>0.83563914213086798</c:v>
                  </c:pt>
                  <c:pt idx="7">
                    <c:v>0.65697501219058096</c:v>
                  </c:pt>
                </c:numCache>
              </c:numRef>
            </c:plus>
            <c:minus>
              <c:numRef>
                <c:f>'Readme and Comparisons'!$X$19:$X$26</c:f>
                <c:numCache>
                  <c:formatCode>General</c:formatCode>
                  <c:ptCount val="8"/>
                  <c:pt idx="0">
                    <c:v>0.54120873858311003</c:v>
                  </c:pt>
                  <c:pt idx="1">
                    <c:v>0.61380222349878599</c:v>
                  </c:pt>
                  <c:pt idx="2">
                    <c:v>0.71085683574742198</c:v>
                  </c:pt>
                  <c:pt idx="3">
                    <c:v>0.72625982730473404</c:v>
                  </c:pt>
                  <c:pt idx="4">
                    <c:v>0.78837464670281998</c:v>
                  </c:pt>
                  <c:pt idx="5">
                    <c:v>0.84115485612781604</c:v>
                  </c:pt>
                  <c:pt idx="6">
                    <c:v>0.83563914213086798</c:v>
                  </c:pt>
                  <c:pt idx="7">
                    <c:v>0.65697501219058096</c:v>
                  </c:pt>
                </c:numCache>
              </c:numRef>
            </c:minus>
            <c:spPr>
              <a:noFill/>
              <a:ln w="9525" cap="flat" cmpd="sng" algn="ctr">
                <a:solidFill>
                  <a:schemeClr val="tx1">
                    <a:lumMod val="65000"/>
                    <a:lumOff val="35000"/>
                  </a:schemeClr>
                </a:solidFill>
                <a:round/>
              </a:ln>
              <a:effectLst/>
            </c:spPr>
          </c:errBars>
          <c:val>
            <c:numRef>
              <c:f>'Model 3 Average'!$G$2:$G$9</c:f>
              <c:numCache>
                <c:formatCode>General</c:formatCode>
                <c:ptCount val="8"/>
                <c:pt idx="0">
                  <c:v>0</c:v>
                </c:pt>
                <c:pt idx="1">
                  <c:v>0.77648914116812939</c:v>
                </c:pt>
                <c:pt idx="2">
                  <c:v>2.28284602074124</c:v>
                </c:pt>
                <c:pt idx="3">
                  <c:v>3.7228453925289298</c:v>
                </c:pt>
                <c:pt idx="4">
                  <c:v>4.9934270261646896</c:v>
                </c:pt>
                <c:pt idx="5">
                  <c:v>6.1809509935430595</c:v>
                </c:pt>
                <c:pt idx="6">
                  <c:v>7.2274680869848797</c:v>
                </c:pt>
                <c:pt idx="7">
                  <c:v>8.0365695743005592</c:v>
                </c:pt>
              </c:numCache>
            </c:numRef>
          </c:val>
          <c:extLst>
            <c:ext xmlns:c16="http://schemas.microsoft.com/office/drawing/2014/chart" uri="{C3380CC4-5D6E-409C-BE32-E72D297353CC}">
              <c16:uniqueId val="{00000002-5DA0-4F71-AB96-1D0FC4B25BF9}"/>
            </c:ext>
          </c:extLst>
        </c:ser>
        <c:ser>
          <c:idx val="3"/>
          <c:order val="3"/>
          <c:tx>
            <c:v>Mitre Sectioned Foot</c:v>
          </c:tx>
          <c:spPr>
            <a:solidFill>
              <a:schemeClr val="bg1">
                <a:lumMod val="85000"/>
              </a:schemeClr>
            </a:solidFill>
            <a:ln>
              <a:noFill/>
            </a:ln>
            <a:effectLst/>
          </c:spPr>
          <c:invertIfNegative val="0"/>
          <c:errBars>
            <c:errBarType val="both"/>
            <c:errValType val="cust"/>
            <c:noEndCap val="0"/>
            <c:plus>
              <c:numRef>
                <c:f>'Readme and Comparisons'!$Y$19:$Y$26</c:f>
                <c:numCache>
                  <c:formatCode>General</c:formatCode>
                  <c:ptCount val="8"/>
                  <c:pt idx="0">
                    <c:v>3.99099237036768</c:v>
                  </c:pt>
                  <c:pt idx="1">
                    <c:v>3.8906681970313799</c:v>
                  </c:pt>
                  <c:pt idx="2">
                    <c:v>3.7213064956340398</c:v>
                  </c:pt>
                  <c:pt idx="3">
                    <c:v>3.6000039418993799</c:v>
                  </c:pt>
                  <c:pt idx="4">
                    <c:v>3.5436864407536901</c:v>
                  </c:pt>
                  <c:pt idx="5">
                    <c:v>3.6619242449726599</c:v>
                  </c:pt>
                  <c:pt idx="6">
                    <c:v>3.7706467359353799</c:v>
                  </c:pt>
                  <c:pt idx="7">
                    <c:v>3.8186408220661101</c:v>
                  </c:pt>
                </c:numCache>
              </c:numRef>
            </c:plus>
            <c:minus>
              <c:numRef>
                <c:f>'Readme and Comparisons'!$Y$19:$Y$26</c:f>
                <c:numCache>
                  <c:formatCode>General</c:formatCode>
                  <c:ptCount val="8"/>
                  <c:pt idx="0">
                    <c:v>3.99099237036768</c:v>
                  </c:pt>
                  <c:pt idx="1">
                    <c:v>3.8906681970313799</c:v>
                  </c:pt>
                  <c:pt idx="2">
                    <c:v>3.7213064956340398</c:v>
                  </c:pt>
                  <c:pt idx="3">
                    <c:v>3.6000039418993799</c:v>
                  </c:pt>
                  <c:pt idx="4">
                    <c:v>3.5436864407536901</c:v>
                  </c:pt>
                  <c:pt idx="5">
                    <c:v>3.6619242449726599</c:v>
                  </c:pt>
                  <c:pt idx="6">
                    <c:v>3.7706467359353799</c:v>
                  </c:pt>
                  <c:pt idx="7">
                    <c:v>3.8186408220661101</c:v>
                  </c:pt>
                </c:numCache>
              </c:numRef>
            </c:minus>
            <c:spPr>
              <a:noFill/>
              <a:ln w="9525" cap="flat" cmpd="sng" algn="ctr">
                <a:solidFill>
                  <a:schemeClr val="tx1">
                    <a:lumMod val="65000"/>
                    <a:lumOff val="35000"/>
                  </a:schemeClr>
                </a:solidFill>
                <a:round/>
              </a:ln>
              <a:effectLst/>
            </c:spPr>
          </c:errBars>
          <c:val>
            <c:numRef>
              <c:f>'Model 4 Average'!$G$2:$G$9</c:f>
              <c:numCache>
                <c:formatCode>General</c:formatCode>
                <c:ptCount val="8"/>
                <c:pt idx="0">
                  <c:v>0</c:v>
                </c:pt>
                <c:pt idx="1">
                  <c:v>1.1935052662159986</c:v>
                </c:pt>
                <c:pt idx="2">
                  <c:v>3.1908863170536996</c:v>
                </c:pt>
                <c:pt idx="3">
                  <c:v>4.7674350644479002</c:v>
                </c:pt>
                <c:pt idx="4">
                  <c:v>6.1746525534304997</c:v>
                </c:pt>
                <c:pt idx="5">
                  <c:v>7.4790721425652098</c:v>
                </c:pt>
                <c:pt idx="6">
                  <c:v>8.5042738977445289</c:v>
                </c:pt>
                <c:pt idx="7">
                  <c:v>9.3251211782284606</c:v>
                </c:pt>
              </c:numCache>
            </c:numRef>
          </c:val>
          <c:extLst>
            <c:ext xmlns:c16="http://schemas.microsoft.com/office/drawing/2014/chart" uri="{C3380CC4-5D6E-409C-BE32-E72D297353CC}">
              <c16:uniqueId val="{00000003-5DA0-4F71-AB96-1D0FC4B25BF9}"/>
            </c:ext>
          </c:extLst>
        </c:ser>
        <c:dLbls>
          <c:showLegendKey val="0"/>
          <c:showVal val="0"/>
          <c:showCatName val="0"/>
          <c:showSerName val="0"/>
          <c:showPercent val="0"/>
          <c:showBubbleSize val="0"/>
        </c:dLbls>
        <c:gapWidth val="219"/>
        <c:overlap val="-27"/>
        <c:axId val="923754440"/>
        <c:axId val="923755880"/>
      </c:barChart>
      <c:catAx>
        <c:axId val="923754440"/>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Axial</a:t>
                </a:r>
                <a:r>
                  <a:rPr lang="en-GB" sz="1100" baseline="0"/>
                  <a:t> Load (N)</a:t>
                </a:r>
                <a:endParaRPr lang="en-GB" sz="1100"/>
              </a:p>
            </c:rich>
          </c:tx>
          <c:layout>
            <c:manualLayout>
              <c:xMode val="edge"/>
              <c:yMode val="edge"/>
              <c:x val="0.49229110796579728"/>
              <c:y val="0.8612807611312602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23755880"/>
        <c:crosses val="autoZero"/>
        <c:auto val="1"/>
        <c:lblAlgn val="ctr"/>
        <c:lblOffset val="100"/>
        <c:noMultiLvlLbl val="0"/>
      </c:catAx>
      <c:valAx>
        <c:axId val="923755880"/>
        <c:scaling>
          <c:orientation val="minMax"/>
          <c:max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a:t>Axial Displacement (mm)</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23754440"/>
        <c:crosses val="autoZero"/>
        <c:crossBetween val="between"/>
      </c:valAx>
      <c:spPr>
        <a:noFill/>
        <a:ln>
          <a:noFill/>
        </a:ln>
        <a:effectLst/>
      </c:spPr>
    </c:plotArea>
    <c:legend>
      <c:legendPos val="b"/>
      <c:layout>
        <c:manualLayout>
          <c:xMode val="edge"/>
          <c:yMode val="edge"/>
          <c:x val="9.3950898841602778E-2"/>
          <c:y val="0.14818803885950671"/>
          <c:w val="0.84724489253378121"/>
          <c:h val="8.94960703985411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FRAME 2</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1.7284787640607386E-2"/>
                  <c:y val="-0.5829246864975211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4 Frame 2'!$G$2:$G$9</c:f>
              <c:numCache>
                <c:formatCode>General</c:formatCode>
                <c:ptCount val="8"/>
                <c:pt idx="0">
                  <c:v>0</c:v>
                </c:pt>
                <c:pt idx="1">
                  <c:v>-0.77499440238829997</c:v>
                </c:pt>
                <c:pt idx="2">
                  <c:v>-2.1766598065946408</c:v>
                </c:pt>
                <c:pt idx="3">
                  <c:v>-3.3496008212553603</c:v>
                </c:pt>
                <c:pt idx="4">
                  <c:v>-4.4409273139422103</c:v>
                </c:pt>
                <c:pt idx="5">
                  <c:v>-5.6983098790961</c:v>
                </c:pt>
                <c:pt idx="6">
                  <c:v>-6.7455939059264995</c:v>
                </c:pt>
                <c:pt idx="7">
                  <c:v>-7.6708133971998302</c:v>
                </c:pt>
              </c:numCache>
            </c:numRef>
          </c:xVal>
          <c:yVal>
            <c:numRef>
              <c:f>'Model 4 Frame 2'!$A$2:$A$9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04AF-473D-B890-6309DE2076DA}"/>
            </c:ext>
          </c:extLst>
        </c:ser>
        <c:dLbls>
          <c:showLegendKey val="0"/>
          <c:showVal val="0"/>
          <c:showCatName val="0"/>
          <c:showSerName val="0"/>
          <c:showPercent val="0"/>
          <c:showBubbleSize val="0"/>
        </c:dLbls>
        <c:axId val="684341368"/>
        <c:axId val="607717912"/>
      </c:scatterChart>
      <c:valAx>
        <c:axId val="68434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717912"/>
        <c:crosses val="autoZero"/>
        <c:crossBetween val="midCat"/>
      </c:valAx>
      <c:valAx>
        <c:axId val="607717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3413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FRAME 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FRAME 3</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6.195980263669138E-3"/>
                  <c:y val="-0.5644061679790026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4 Frame 3'!$G$2:$G$9</c:f>
              <c:numCache>
                <c:formatCode>General</c:formatCode>
                <c:ptCount val="8"/>
                <c:pt idx="0">
                  <c:v>0</c:v>
                </c:pt>
                <c:pt idx="1">
                  <c:v>-1.0402630391842003</c:v>
                </c:pt>
                <c:pt idx="2">
                  <c:v>-3.0113247906691996</c:v>
                </c:pt>
                <c:pt idx="3">
                  <c:v>-4.578801640176497</c:v>
                </c:pt>
                <c:pt idx="4">
                  <c:v>-5.9272238881096992</c:v>
                </c:pt>
                <c:pt idx="5">
                  <c:v>-7.035003793715898</c:v>
                </c:pt>
                <c:pt idx="6">
                  <c:v>-7.8654528609866983</c:v>
                </c:pt>
                <c:pt idx="7">
                  <c:v>-8.6956029909631987</c:v>
                </c:pt>
              </c:numCache>
            </c:numRef>
          </c:xVal>
          <c:yVal>
            <c:numRef>
              <c:f>'Model 4 Frame 3'!$A$2:$A$9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9B18-4030-960C-F0B1EEAC4E12}"/>
            </c:ext>
          </c:extLst>
        </c:ser>
        <c:dLbls>
          <c:showLegendKey val="0"/>
          <c:showVal val="0"/>
          <c:showCatName val="0"/>
          <c:showSerName val="0"/>
          <c:showPercent val="0"/>
          <c:showBubbleSize val="0"/>
        </c:dLbls>
        <c:axId val="684436768"/>
        <c:axId val="684429928"/>
      </c:scatterChart>
      <c:valAx>
        <c:axId val="684436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429928"/>
        <c:crosses val="autoZero"/>
        <c:crossBetween val="midCat"/>
      </c:valAx>
      <c:valAx>
        <c:axId val="684429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4367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7009383128124E-2"/>
          <c:y val="2.9333339492564722E-2"/>
          <c:w val="0.93152855329385964"/>
          <c:h val="0.86859083854925734"/>
        </c:manualLayout>
      </c:layout>
      <c:barChart>
        <c:barDir val="col"/>
        <c:grouping val="clustered"/>
        <c:varyColors val="0"/>
        <c:ser>
          <c:idx val="0"/>
          <c:order val="0"/>
          <c:tx>
            <c:v>Frame 1</c:v>
          </c:tx>
          <c:spPr>
            <a:solidFill>
              <a:schemeClr val="accent1"/>
            </a:solidFill>
            <a:ln>
              <a:noFill/>
            </a:ln>
            <a:effectLst/>
          </c:spPr>
          <c:invertIfNegative val="0"/>
          <c:errBars>
            <c:errBarType val="both"/>
            <c:errValType val="cust"/>
            <c:noEndCap val="0"/>
            <c:plus>
              <c:numRef>
                <c:f>'Readme and Comparisons'!$V$7:$V$14</c:f>
                <c:numCache>
                  <c:formatCode>General</c:formatCode>
                  <c:ptCount val="8"/>
                  <c:pt idx="0">
                    <c:v>3.8248434960740556</c:v>
                  </c:pt>
                  <c:pt idx="1">
                    <c:v>3.8727610085814752</c:v>
                  </c:pt>
                  <c:pt idx="2">
                    <c:v>3.6653788774040978</c:v>
                  </c:pt>
                  <c:pt idx="3">
                    <c:v>3.3808325912714712</c:v>
                  </c:pt>
                  <c:pt idx="4">
                    <c:v>3.2979838541484319</c:v>
                  </c:pt>
                  <c:pt idx="5">
                    <c:v>3.5127387232238454</c:v>
                  </c:pt>
                  <c:pt idx="6">
                    <c:v>3.1690162918396694</c:v>
                  </c:pt>
                  <c:pt idx="7">
                    <c:v>2.5614821647098203</c:v>
                  </c:pt>
                </c:numCache>
              </c:numRef>
            </c:plus>
            <c:minus>
              <c:numRef>
                <c:f>'Readme and Comparisons'!$V$7:$V$14</c:f>
                <c:numCache>
                  <c:formatCode>General</c:formatCode>
                  <c:ptCount val="8"/>
                  <c:pt idx="0">
                    <c:v>3.8248434960740556</c:v>
                  </c:pt>
                  <c:pt idx="1">
                    <c:v>3.8727610085814752</c:v>
                  </c:pt>
                  <c:pt idx="2">
                    <c:v>3.6653788774040978</c:v>
                  </c:pt>
                  <c:pt idx="3">
                    <c:v>3.3808325912714712</c:v>
                  </c:pt>
                  <c:pt idx="4">
                    <c:v>3.2979838541484319</c:v>
                  </c:pt>
                  <c:pt idx="5">
                    <c:v>3.5127387232238454</c:v>
                  </c:pt>
                  <c:pt idx="6">
                    <c:v>3.1690162918396694</c:v>
                  </c:pt>
                  <c:pt idx="7">
                    <c:v>2.5614821647098203</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1 Average'!$I$9</c:f>
              <c:numCache>
                <c:formatCode>General</c:formatCode>
                <c:ptCount val="1"/>
                <c:pt idx="0">
                  <c:v>92.847173494685464</c:v>
                </c:pt>
              </c:numCache>
            </c:numRef>
          </c:val>
          <c:extLst>
            <c:ext xmlns:c16="http://schemas.microsoft.com/office/drawing/2014/chart" uri="{C3380CC4-5D6E-409C-BE32-E72D297353CC}">
              <c16:uniqueId val="{00000000-C4EF-4DB8-9D70-207B6C6277B2}"/>
            </c:ext>
          </c:extLst>
        </c:ser>
        <c:ser>
          <c:idx val="1"/>
          <c:order val="1"/>
          <c:tx>
            <c:v>Frame 2</c:v>
          </c:tx>
          <c:spPr>
            <a:solidFill>
              <a:schemeClr val="accent2"/>
            </a:solidFill>
            <a:ln>
              <a:noFill/>
            </a:ln>
            <a:effectLst/>
          </c:spPr>
          <c:invertIfNegative val="0"/>
          <c:errBars>
            <c:errBarType val="both"/>
            <c:errValType val="cust"/>
            <c:noEndCap val="0"/>
            <c:plus>
              <c:numRef>
                <c:f>'Readme and Comparisons'!$W$7:$W$14</c:f>
                <c:numCache>
                  <c:formatCode>General</c:formatCode>
                  <c:ptCount val="8"/>
                  <c:pt idx="0">
                    <c:v>12.571848210232684</c:v>
                  </c:pt>
                  <c:pt idx="1">
                    <c:v>11.543983462865038</c:v>
                  </c:pt>
                  <c:pt idx="2">
                    <c:v>11.515563417507975</c:v>
                  </c:pt>
                  <c:pt idx="3">
                    <c:v>11.430434340643471</c:v>
                  </c:pt>
                  <c:pt idx="4">
                    <c:v>11.40899157798075</c:v>
                  </c:pt>
                  <c:pt idx="5">
                    <c:v>11.216463018623649</c:v>
                  </c:pt>
                  <c:pt idx="6">
                    <c:v>9.8365863652920069</c:v>
                  </c:pt>
                  <c:pt idx="7">
                    <c:v>7.4291522662023102</c:v>
                  </c:pt>
                </c:numCache>
              </c:numRef>
            </c:plus>
            <c:minus>
              <c:numRef>
                <c:f>'Readme and Comparisons'!$W$7:$W$14</c:f>
                <c:numCache>
                  <c:formatCode>General</c:formatCode>
                  <c:ptCount val="8"/>
                  <c:pt idx="0">
                    <c:v>12.571848210232684</c:v>
                  </c:pt>
                  <c:pt idx="1">
                    <c:v>11.543983462865038</c:v>
                  </c:pt>
                  <c:pt idx="2">
                    <c:v>11.515563417507975</c:v>
                  </c:pt>
                  <c:pt idx="3">
                    <c:v>11.430434340643471</c:v>
                  </c:pt>
                  <c:pt idx="4">
                    <c:v>11.40899157798075</c:v>
                  </c:pt>
                  <c:pt idx="5">
                    <c:v>11.216463018623649</c:v>
                  </c:pt>
                  <c:pt idx="6">
                    <c:v>9.8365863652920069</c:v>
                  </c:pt>
                  <c:pt idx="7">
                    <c:v>7.4291522662023102</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2 Average'!$I$9</c:f>
              <c:numCache>
                <c:formatCode>General</c:formatCode>
                <c:ptCount val="1"/>
                <c:pt idx="0">
                  <c:v>121.96644211035191</c:v>
                </c:pt>
              </c:numCache>
            </c:numRef>
          </c:val>
          <c:extLst>
            <c:ext xmlns:c16="http://schemas.microsoft.com/office/drawing/2014/chart" uri="{C3380CC4-5D6E-409C-BE32-E72D297353CC}">
              <c16:uniqueId val="{00000001-C4EF-4DB8-9D70-207B6C6277B2}"/>
            </c:ext>
          </c:extLst>
        </c:ser>
        <c:ser>
          <c:idx val="2"/>
          <c:order val="2"/>
          <c:tx>
            <c:v>Frame 3</c:v>
          </c:tx>
          <c:spPr>
            <a:solidFill>
              <a:schemeClr val="accent3"/>
            </a:solidFill>
            <a:ln>
              <a:noFill/>
            </a:ln>
            <a:effectLst/>
          </c:spPr>
          <c:invertIfNegative val="0"/>
          <c:errBars>
            <c:errBarType val="both"/>
            <c:errValType val="cust"/>
            <c:noEndCap val="0"/>
            <c:plus>
              <c:numRef>
                <c:f>'Readme and Comparisons'!$X$7:$X$14</c:f>
                <c:numCache>
                  <c:formatCode>General</c:formatCode>
                  <c:ptCount val="8"/>
                  <c:pt idx="0">
                    <c:v>3.4868996609432612</c:v>
                  </c:pt>
                  <c:pt idx="1">
                    <c:v>3.9546049655579782</c:v>
                  </c:pt>
                  <c:pt idx="2">
                    <c:v>4.5799084213534904</c:v>
                  </c:pt>
                  <c:pt idx="3">
                    <c:v>4.6791468153589406</c:v>
                  </c:pt>
                  <c:pt idx="4">
                    <c:v>5.079340173776929</c:v>
                  </c:pt>
                  <c:pt idx="5">
                    <c:v>5.4193925070602935</c:v>
                  </c:pt>
                  <c:pt idx="6">
                    <c:v>5.383855864920756</c:v>
                  </c:pt>
                  <c:pt idx="7">
                    <c:v>4.2327586085414755</c:v>
                  </c:pt>
                </c:numCache>
              </c:numRef>
            </c:plus>
            <c:minus>
              <c:numRef>
                <c:f>'Readme and Comparisons'!$X$7:$X$14</c:f>
                <c:numCache>
                  <c:formatCode>General</c:formatCode>
                  <c:ptCount val="8"/>
                  <c:pt idx="0">
                    <c:v>3.4868996609432612</c:v>
                  </c:pt>
                  <c:pt idx="1">
                    <c:v>3.9546049655579782</c:v>
                  </c:pt>
                  <c:pt idx="2">
                    <c:v>4.5799084213534904</c:v>
                  </c:pt>
                  <c:pt idx="3">
                    <c:v>4.6791468153589406</c:v>
                  </c:pt>
                  <c:pt idx="4">
                    <c:v>5.079340173776929</c:v>
                  </c:pt>
                  <c:pt idx="5">
                    <c:v>5.4193925070602935</c:v>
                  </c:pt>
                  <c:pt idx="6">
                    <c:v>5.383855864920756</c:v>
                  </c:pt>
                  <c:pt idx="7">
                    <c:v>4.2327586085414755</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3 Average'!$I$9</c:f>
              <c:numCache>
                <c:formatCode>General</c:formatCode>
                <c:ptCount val="1"/>
                <c:pt idx="0">
                  <c:v>104.96201045330363</c:v>
                </c:pt>
              </c:numCache>
            </c:numRef>
          </c:val>
          <c:extLst>
            <c:ext xmlns:c16="http://schemas.microsoft.com/office/drawing/2014/chart" uri="{C3380CC4-5D6E-409C-BE32-E72D297353CC}">
              <c16:uniqueId val="{00000002-C4EF-4DB8-9D70-207B6C6277B2}"/>
            </c:ext>
          </c:extLst>
        </c:ser>
        <c:ser>
          <c:idx val="3"/>
          <c:order val="3"/>
          <c:tx>
            <c:v>Frame 4</c:v>
          </c:tx>
          <c:spPr>
            <a:solidFill>
              <a:schemeClr val="accent4"/>
            </a:solidFill>
            <a:ln>
              <a:noFill/>
            </a:ln>
            <a:effectLst/>
          </c:spPr>
          <c:invertIfNegative val="0"/>
          <c:errBars>
            <c:errBarType val="both"/>
            <c:errValType val="cust"/>
            <c:noEndCap val="0"/>
            <c:plus>
              <c:numRef>
                <c:f>'Readme and Comparisons'!$Y$7:$Y$14</c:f>
                <c:numCache>
                  <c:formatCode>General</c:formatCode>
                  <c:ptCount val="8"/>
                  <c:pt idx="0">
                    <c:v>30.602131297505299</c:v>
                  </c:pt>
                  <c:pt idx="1">
                    <c:v>29.832865601197213</c:v>
                  </c:pt>
                  <c:pt idx="2">
                    <c:v>28.534233947222688</c:v>
                  </c:pt>
                  <c:pt idx="3">
                    <c:v>27.604110225696065</c:v>
                  </c:pt>
                  <c:pt idx="4">
                    <c:v>27.172278890411143</c:v>
                  </c:pt>
                  <c:pt idx="5">
                    <c:v>28.07890272560136</c:v>
                  </c:pt>
                  <c:pt idx="6">
                    <c:v>28.912565041805305</c:v>
                  </c:pt>
                  <c:pt idx="7">
                    <c:v>29.280574095438517</c:v>
                  </c:pt>
                </c:numCache>
              </c:numRef>
            </c:plus>
            <c:minus>
              <c:numRef>
                <c:f>'Readme and Comparisons'!$Y$7:$Y$14</c:f>
                <c:numCache>
                  <c:formatCode>General</c:formatCode>
                  <c:ptCount val="8"/>
                  <c:pt idx="0">
                    <c:v>30.602131297505299</c:v>
                  </c:pt>
                  <c:pt idx="1">
                    <c:v>29.832865601197213</c:v>
                  </c:pt>
                  <c:pt idx="2">
                    <c:v>28.534233947222688</c:v>
                  </c:pt>
                  <c:pt idx="3">
                    <c:v>27.604110225696065</c:v>
                  </c:pt>
                  <c:pt idx="4">
                    <c:v>27.172278890411143</c:v>
                  </c:pt>
                  <c:pt idx="5">
                    <c:v>28.07890272560136</c:v>
                  </c:pt>
                  <c:pt idx="6">
                    <c:v>28.912565041805305</c:v>
                  </c:pt>
                  <c:pt idx="7">
                    <c:v>29.280574095438517</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4 Average'!$I$9</c:f>
              <c:numCache>
                <c:formatCode>General</c:formatCode>
                <c:ptCount val="1"/>
                <c:pt idx="0">
                  <c:v>103.90216417042019</c:v>
                </c:pt>
              </c:numCache>
            </c:numRef>
          </c:val>
          <c:extLst>
            <c:ext xmlns:c16="http://schemas.microsoft.com/office/drawing/2014/chart" uri="{C3380CC4-5D6E-409C-BE32-E72D297353CC}">
              <c16:uniqueId val="{00000003-C4EF-4DB8-9D70-207B6C6277B2}"/>
            </c:ext>
          </c:extLst>
        </c:ser>
        <c:dLbls>
          <c:showLegendKey val="0"/>
          <c:showVal val="0"/>
          <c:showCatName val="0"/>
          <c:showSerName val="0"/>
          <c:showPercent val="0"/>
          <c:showBubbleSize val="0"/>
        </c:dLbls>
        <c:gapWidth val="219"/>
        <c:overlap val="-27"/>
        <c:axId val="923754440"/>
        <c:axId val="923755880"/>
      </c:barChart>
      <c:catAx>
        <c:axId val="9237544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Load (N)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755880"/>
        <c:crosses val="autoZero"/>
        <c:auto val="1"/>
        <c:lblAlgn val="ctr"/>
        <c:lblOffset val="100"/>
        <c:noMultiLvlLbl val="0"/>
      </c:catAx>
      <c:valAx>
        <c:axId val="923755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Stiffnes</a:t>
                </a:r>
                <a:r>
                  <a:rPr lang="en-GB" baseline="0"/>
                  <a:t>s (N/mm)</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754440"/>
        <c:crosses val="autoZero"/>
        <c:crossBetween val="between"/>
      </c:valAx>
      <c:spPr>
        <a:noFill/>
        <a:ln>
          <a:noFill/>
        </a:ln>
        <a:effectLst/>
      </c:spPr>
    </c:plotArea>
    <c:legend>
      <c:legendPos val="b"/>
      <c:layout>
        <c:manualLayout>
          <c:xMode val="edge"/>
          <c:yMode val="edge"/>
          <c:x val="0.14220081847153548"/>
          <c:y val="6.9666156360347786E-2"/>
          <c:w val="0.74454273312618413"/>
          <c:h val="4.500032440951694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7009383128124E-2"/>
          <c:y val="2.9333339492564722E-2"/>
          <c:w val="0.93152855329385964"/>
          <c:h val="0.86859083854925734"/>
        </c:manualLayout>
      </c:layout>
      <c:barChart>
        <c:barDir val="col"/>
        <c:grouping val="clustered"/>
        <c:varyColors val="0"/>
        <c:ser>
          <c:idx val="0"/>
          <c:order val="0"/>
          <c:tx>
            <c:v>Frame 1</c:v>
          </c:tx>
          <c:spPr>
            <a:solidFill>
              <a:schemeClr val="accent1"/>
            </a:solidFill>
            <a:ln>
              <a:noFill/>
            </a:ln>
            <a:effectLst/>
          </c:spPr>
          <c:invertIfNegative val="0"/>
          <c:errBars>
            <c:errBarType val="both"/>
            <c:errValType val="cust"/>
            <c:noEndCap val="0"/>
            <c:plus>
              <c:numRef>
                <c:f>'Readme and Comparisons'!$V$19:$V$26</c:f>
                <c:numCache>
                  <c:formatCode>General</c:formatCode>
                  <c:ptCount val="8"/>
                  <c:pt idx="0">
                    <c:v>0.63651913730638299</c:v>
                  </c:pt>
                  <c:pt idx="1">
                    <c:v>0.64449342795497999</c:v>
                  </c:pt>
                  <c:pt idx="2">
                    <c:v>0.60998150730639</c:v>
                  </c:pt>
                  <c:pt idx="3">
                    <c:v>0.562628156310779</c:v>
                  </c:pt>
                  <c:pt idx="4">
                    <c:v>0.54884071461947603</c:v>
                  </c:pt>
                  <c:pt idx="5">
                    <c:v>0.58457958449390002</c:v>
                  </c:pt>
                  <c:pt idx="6">
                    <c:v>0.52737831450152595</c:v>
                  </c:pt>
                  <c:pt idx="7">
                    <c:v>0.42627428269426199</c:v>
                  </c:pt>
                </c:numCache>
              </c:numRef>
            </c:plus>
            <c:minus>
              <c:numRef>
                <c:f>'Readme and Comparisons'!$V$19:$V$26</c:f>
                <c:numCache>
                  <c:formatCode>General</c:formatCode>
                  <c:ptCount val="8"/>
                  <c:pt idx="0">
                    <c:v>0.63651913730638299</c:v>
                  </c:pt>
                  <c:pt idx="1">
                    <c:v>0.64449342795497999</c:v>
                  </c:pt>
                  <c:pt idx="2">
                    <c:v>0.60998150730639</c:v>
                  </c:pt>
                  <c:pt idx="3">
                    <c:v>0.562628156310779</c:v>
                  </c:pt>
                  <c:pt idx="4">
                    <c:v>0.54884071461947603</c:v>
                  </c:pt>
                  <c:pt idx="5">
                    <c:v>0.58457958449390002</c:v>
                  </c:pt>
                  <c:pt idx="6">
                    <c:v>0.52737831450152595</c:v>
                  </c:pt>
                  <c:pt idx="7">
                    <c:v>0.42627428269426199</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1 Average'!$G$9</c:f>
              <c:numCache>
                <c:formatCode>General</c:formatCode>
                <c:ptCount val="1"/>
                <c:pt idx="0">
                  <c:v>10.23517615155358</c:v>
                </c:pt>
              </c:numCache>
            </c:numRef>
          </c:val>
          <c:extLst>
            <c:ext xmlns:c16="http://schemas.microsoft.com/office/drawing/2014/chart" uri="{C3380CC4-5D6E-409C-BE32-E72D297353CC}">
              <c16:uniqueId val="{00000000-2E8E-4980-8D83-BD85DA93B2C7}"/>
            </c:ext>
          </c:extLst>
        </c:ser>
        <c:ser>
          <c:idx val="1"/>
          <c:order val="1"/>
          <c:tx>
            <c:v>Frame 2</c:v>
          </c:tx>
          <c:spPr>
            <a:solidFill>
              <a:schemeClr val="accent2"/>
            </a:solidFill>
            <a:ln>
              <a:noFill/>
            </a:ln>
            <a:effectLst/>
          </c:spPr>
          <c:invertIfNegative val="0"/>
          <c:errBars>
            <c:errBarType val="both"/>
            <c:errValType val="cust"/>
            <c:noEndCap val="0"/>
            <c:plus>
              <c:numRef>
                <c:f>'Readme and Comparisons'!$W$19:$W$26</c:f>
                <c:numCache>
                  <c:formatCode>General</c:formatCode>
                  <c:ptCount val="8"/>
                  <c:pt idx="0">
                    <c:v>1.1924808121557</c:v>
                  </c:pt>
                  <c:pt idx="1">
                    <c:v>1.09498448796929</c:v>
                  </c:pt>
                  <c:pt idx="2">
                    <c:v>1.0922887539608801</c:v>
                  </c:pt>
                  <c:pt idx="3">
                    <c:v>1.0842139833289199</c:v>
                  </c:pt>
                  <c:pt idx="4">
                    <c:v>1.0821800673439901</c:v>
                  </c:pt>
                  <c:pt idx="5">
                    <c:v>1.0639181054600999</c:v>
                  </c:pt>
                  <c:pt idx="6">
                    <c:v>0.93303230372887203</c:v>
                  </c:pt>
                  <c:pt idx="7">
                    <c:v>0.70467932637132302</c:v>
                  </c:pt>
                </c:numCache>
              </c:numRef>
            </c:plus>
            <c:minus>
              <c:numRef>
                <c:f>'Readme and Comparisons'!$W$19:$W$26</c:f>
                <c:numCache>
                  <c:formatCode>General</c:formatCode>
                  <c:ptCount val="8"/>
                  <c:pt idx="0">
                    <c:v>1.1924808121557</c:v>
                  </c:pt>
                  <c:pt idx="1">
                    <c:v>1.09498448796929</c:v>
                  </c:pt>
                  <c:pt idx="2">
                    <c:v>1.0922887539608801</c:v>
                  </c:pt>
                  <c:pt idx="3">
                    <c:v>1.0842139833289199</c:v>
                  </c:pt>
                  <c:pt idx="4">
                    <c:v>1.0821800673439901</c:v>
                  </c:pt>
                  <c:pt idx="5">
                    <c:v>1.0639181054600999</c:v>
                  </c:pt>
                  <c:pt idx="6">
                    <c:v>0.93303230372887203</c:v>
                  </c:pt>
                  <c:pt idx="7">
                    <c:v>0.70467932637132302</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2 Average'!$G$9</c:f>
              <c:numCache>
                <c:formatCode>General</c:formatCode>
                <c:ptCount val="1"/>
                <c:pt idx="0">
                  <c:v>7.1192535152952692</c:v>
                </c:pt>
              </c:numCache>
            </c:numRef>
          </c:val>
          <c:extLst>
            <c:ext xmlns:c16="http://schemas.microsoft.com/office/drawing/2014/chart" uri="{C3380CC4-5D6E-409C-BE32-E72D297353CC}">
              <c16:uniqueId val="{00000001-2E8E-4980-8D83-BD85DA93B2C7}"/>
            </c:ext>
          </c:extLst>
        </c:ser>
        <c:ser>
          <c:idx val="2"/>
          <c:order val="2"/>
          <c:tx>
            <c:v>Frame 3</c:v>
          </c:tx>
          <c:spPr>
            <a:solidFill>
              <a:schemeClr val="accent3"/>
            </a:solidFill>
            <a:ln>
              <a:noFill/>
            </a:ln>
            <a:effectLst/>
          </c:spPr>
          <c:invertIfNegative val="0"/>
          <c:errBars>
            <c:errBarType val="both"/>
            <c:errValType val="cust"/>
            <c:noEndCap val="0"/>
            <c:plus>
              <c:numRef>
                <c:f>'Readme and Comparisons'!$X$19:$X$26</c:f>
                <c:numCache>
                  <c:formatCode>General</c:formatCode>
                  <c:ptCount val="8"/>
                  <c:pt idx="0">
                    <c:v>0.54120873858311003</c:v>
                  </c:pt>
                  <c:pt idx="1">
                    <c:v>0.61380222349878599</c:v>
                  </c:pt>
                  <c:pt idx="2">
                    <c:v>0.71085683574742198</c:v>
                  </c:pt>
                  <c:pt idx="3">
                    <c:v>0.72625982730473404</c:v>
                  </c:pt>
                  <c:pt idx="4">
                    <c:v>0.78837464670281998</c:v>
                  </c:pt>
                  <c:pt idx="5">
                    <c:v>0.84115485612781604</c:v>
                  </c:pt>
                  <c:pt idx="6">
                    <c:v>0.83563914213086798</c:v>
                  </c:pt>
                  <c:pt idx="7">
                    <c:v>0.65697501219058096</c:v>
                  </c:pt>
                </c:numCache>
              </c:numRef>
            </c:plus>
            <c:minus>
              <c:numRef>
                <c:f>'Readme and Comparisons'!$X$19:$X$26</c:f>
                <c:numCache>
                  <c:formatCode>General</c:formatCode>
                  <c:ptCount val="8"/>
                  <c:pt idx="0">
                    <c:v>0.54120873858311003</c:v>
                  </c:pt>
                  <c:pt idx="1">
                    <c:v>0.61380222349878599</c:v>
                  </c:pt>
                  <c:pt idx="2">
                    <c:v>0.71085683574742198</c:v>
                  </c:pt>
                  <c:pt idx="3">
                    <c:v>0.72625982730473404</c:v>
                  </c:pt>
                  <c:pt idx="4">
                    <c:v>0.78837464670281998</c:v>
                  </c:pt>
                  <c:pt idx="5">
                    <c:v>0.84115485612781604</c:v>
                  </c:pt>
                  <c:pt idx="6">
                    <c:v>0.83563914213086798</c:v>
                  </c:pt>
                  <c:pt idx="7">
                    <c:v>0.65697501219058096</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3 Average'!$G$9</c:f>
              <c:numCache>
                <c:formatCode>General</c:formatCode>
                <c:ptCount val="1"/>
                <c:pt idx="0">
                  <c:v>8.0365695743005592</c:v>
                </c:pt>
              </c:numCache>
            </c:numRef>
          </c:val>
          <c:extLst>
            <c:ext xmlns:c16="http://schemas.microsoft.com/office/drawing/2014/chart" uri="{C3380CC4-5D6E-409C-BE32-E72D297353CC}">
              <c16:uniqueId val="{00000002-2E8E-4980-8D83-BD85DA93B2C7}"/>
            </c:ext>
          </c:extLst>
        </c:ser>
        <c:ser>
          <c:idx val="3"/>
          <c:order val="3"/>
          <c:tx>
            <c:v>Frame 4</c:v>
          </c:tx>
          <c:spPr>
            <a:solidFill>
              <a:schemeClr val="accent4"/>
            </a:solidFill>
            <a:ln>
              <a:noFill/>
            </a:ln>
            <a:effectLst/>
          </c:spPr>
          <c:invertIfNegative val="0"/>
          <c:errBars>
            <c:errBarType val="both"/>
            <c:errValType val="cust"/>
            <c:noEndCap val="0"/>
            <c:plus>
              <c:numRef>
                <c:f>'Readme and Comparisons'!$Y$19:$Y$26</c:f>
                <c:numCache>
                  <c:formatCode>General</c:formatCode>
                  <c:ptCount val="8"/>
                  <c:pt idx="0">
                    <c:v>3.99099237036768</c:v>
                  </c:pt>
                  <c:pt idx="1">
                    <c:v>3.8906681970313799</c:v>
                  </c:pt>
                  <c:pt idx="2">
                    <c:v>3.7213064956340398</c:v>
                  </c:pt>
                  <c:pt idx="3">
                    <c:v>3.6000039418993799</c:v>
                  </c:pt>
                  <c:pt idx="4">
                    <c:v>3.5436864407536901</c:v>
                  </c:pt>
                  <c:pt idx="5">
                    <c:v>3.6619242449726599</c:v>
                  </c:pt>
                  <c:pt idx="6">
                    <c:v>3.7706467359353799</c:v>
                  </c:pt>
                  <c:pt idx="7">
                    <c:v>3.8186408220661101</c:v>
                  </c:pt>
                </c:numCache>
              </c:numRef>
            </c:plus>
            <c:minus>
              <c:numRef>
                <c:f>'Readme and Comparisons'!$Y$19:$Y$26</c:f>
                <c:numCache>
                  <c:formatCode>General</c:formatCode>
                  <c:ptCount val="8"/>
                  <c:pt idx="0">
                    <c:v>3.99099237036768</c:v>
                  </c:pt>
                  <c:pt idx="1">
                    <c:v>3.8906681970313799</c:v>
                  </c:pt>
                  <c:pt idx="2">
                    <c:v>3.7213064956340398</c:v>
                  </c:pt>
                  <c:pt idx="3">
                    <c:v>3.6000039418993799</c:v>
                  </c:pt>
                  <c:pt idx="4">
                    <c:v>3.5436864407536901</c:v>
                  </c:pt>
                  <c:pt idx="5">
                    <c:v>3.6619242449726599</c:v>
                  </c:pt>
                  <c:pt idx="6">
                    <c:v>3.7706467359353799</c:v>
                  </c:pt>
                  <c:pt idx="7">
                    <c:v>3.8186408220661101</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4 Average'!$G$9</c:f>
              <c:numCache>
                <c:formatCode>General</c:formatCode>
                <c:ptCount val="1"/>
                <c:pt idx="0">
                  <c:v>9.3251211782284606</c:v>
                </c:pt>
              </c:numCache>
            </c:numRef>
          </c:val>
          <c:extLst>
            <c:ext xmlns:c16="http://schemas.microsoft.com/office/drawing/2014/chart" uri="{C3380CC4-5D6E-409C-BE32-E72D297353CC}">
              <c16:uniqueId val="{00000003-2E8E-4980-8D83-BD85DA93B2C7}"/>
            </c:ext>
          </c:extLst>
        </c:ser>
        <c:dLbls>
          <c:showLegendKey val="0"/>
          <c:showVal val="0"/>
          <c:showCatName val="0"/>
          <c:showSerName val="0"/>
          <c:showPercent val="0"/>
          <c:showBubbleSize val="0"/>
        </c:dLbls>
        <c:gapWidth val="219"/>
        <c:overlap val="-27"/>
        <c:axId val="923754440"/>
        <c:axId val="923755880"/>
      </c:barChart>
      <c:catAx>
        <c:axId val="9237544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Load (N)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755880"/>
        <c:crosses val="autoZero"/>
        <c:auto val="1"/>
        <c:lblAlgn val="ctr"/>
        <c:lblOffset val="100"/>
        <c:noMultiLvlLbl val="0"/>
      </c:catAx>
      <c:valAx>
        <c:axId val="923755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Axial</a:t>
                </a:r>
                <a:r>
                  <a:rPr lang="en-GB" baseline="0"/>
                  <a:t> Displacement (mm)</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754440"/>
        <c:crosses val="autoZero"/>
        <c:crossBetween val="between"/>
      </c:valAx>
      <c:spPr>
        <a:noFill/>
        <a:ln>
          <a:noFill/>
        </a:ln>
        <a:effectLst/>
      </c:spPr>
    </c:plotArea>
    <c:legend>
      <c:legendPos val="b"/>
      <c:layout>
        <c:manualLayout>
          <c:xMode val="edge"/>
          <c:yMode val="edge"/>
          <c:x val="0.16873647805652398"/>
          <c:y val="0.85899965543299839"/>
          <c:w val="0.70958837508733918"/>
          <c:h val="4.23336571829201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14976069167828E-2"/>
          <c:y val="6.666668066491982E-2"/>
          <c:w val="0.92858364211826461"/>
          <c:h val="0.83125749737690247"/>
        </c:manualLayout>
      </c:layout>
      <c:barChart>
        <c:barDir val="col"/>
        <c:grouping val="clustered"/>
        <c:varyColors val="0"/>
        <c:ser>
          <c:idx val="0"/>
          <c:order val="0"/>
          <c:tx>
            <c:v>Charcot Frame</c:v>
          </c:tx>
          <c:spPr>
            <a:solidFill>
              <a:schemeClr val="accent1"/>
            </a:solidFill>
            <a:ln>
              <a:noFill/>
            </a:ln>
            <a:effectLst/>
          </c:spPr>
          <c:invertIfNegative val="0"/>
          <c:errBars>
            <c:errBarType val="both"/>
            <c:errValType val="cust"/>
            <c:noEndCap val="0"/>
            <c:plus>
              <c:numRef>
                <c:f>'Readme and Comparisons'!$V$19:$V$26</c:f>
                <c:numCache>
                  <c:formatCode>General</c:formatCode>
                  <c:ptCount val="8"/>
                  <c:pt idx="0">
                    <c:v>0.63651913730638299</c:v>
                  </c:pt>
                  <c:pt idx="1">
                    <c:v>0.64449342795497999</c:v>
                  </c:pt>
                  <c:pt idx="2">
                    <c:v>0.60998150730639</c:v>
                  </c:pt>
                  <c:pt idx="3">
                    <c:v>0.562628156310779</c:v>
                  </c:pt>
                  <c:pt idx="4">
                    <c:v>0.54884071461947603</c:v>
                  </c:pt>
                  <c:pt idx="5">
                    <c:v>0.58457958449390002</c:v>
                  </c:pt>
                  <c:pt idx="6">
                    <c:v>0.52737831450152595</c:v>
                  </c:pt>
                  <c:pt idx="7">
                    <c:v>0.42627428269426199</c:v>
                  </c:pt>
                </c:numCache>
              </c:numRef>
            </c:plus>
            <c:minus>
              <c:numRef>
                <c:f>'Readme and Comparisons'!$V$19:$V$26</c:f>
                <c:numCache>
                  <c:formatCode>General</c:formatCode>
                  <c:ptCount val="8"/>
                  <c:pt idx="0">
                    <c:v>0.63651913730638299</c:v>
                  </c:pt>
                  <c:pt idx="1">
                    <c:v>0.64449342795497999</c:v>
                  </c:pt>
                  <c:pt idx="2">
                    <c:v>0.60998150730639</c:v>
                  </c:pt>
                  <c:pt idx="3">
                    <c:v>0.562628156310779</c:v>
                  </c:pt>
                  <c:pt idx="4">
                    <c:v>0.54884071461947603</c:v>
                  </c:pt>
                  <c:pt idx="5">
                    <c:v>0.58457958449390002</c:v>
                  </c:pt>
                  <c:pt idx="6">
                    <c:v>0.52737831450152595</c:v>
                  </c:pt>
                  <c:pt idx="7">
                    <c:v>0.42627428269426199</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1 Average'!$G$9</c:f>
              <c:numCache>
                <c:formatCode>General</c:formatCode>
                <c:ptCount val="1"/>
                <c:pt idx="0">
                  <c:v>10.23517615155358</c:v>
                </c:pt>
              </c:numCache>
            </c:numRef>
          </c:val>
          <c:extLst>
            <c:ext xmlns:c16="http://schemas.microsoft.com/office/drawing/2014/chart" uri="{C3380CC4-5D6E-409C-BE32-E72D297353CC}">
              <c16:uniqueId val="{00000000-6FB6-4D82-AF04-EF93DB1727E9}"/>
            </c:ext>
          </c:extLst>
        </c:ser>
        <c:ser>
          <c:idx val="1"/>
          <c:order val="1"/>
          <c:tx>
            <c:v>Butt Frame</c:v>
          </c:tx>
          <c:spPr>
            <a:solidFill>
              <a:schemeClr val="accent2"/>
            </a:solidFill>
            <a:ln>
              <a:noFill/>
            </a:ln>
            <a:effectLst/>
          </c:spPr>
          <c:invertIfNegative val="0"/>
          <c:errBars>
            <c:errBarType val="both"/>
            <c:errValType val="cust"/>
            <c:noEndCap val="0"/>
            <c:plus>
              <c:numRef>
                <c:f>'Readme and Comparisons'!$W$19:$W$26</c:f>
                <c:numCache>
                  <c:formatCode>General</c:formatCode>
                  <c:ptCount val="8"/>
                  <c:pt idx="0">
                    <c:v>1.1924808121557</c:v>
                  </c:pt>
                  <c:pt idx="1">
                    <c:v>1.09498448796929</c:v>
                  </c:pt>
                  <c:pt idx="2">
                    <c:v>1.0922887539608801</c:v>
                  </c:pt>
                  <c:pt idx="3">
                    <c:v>1.0842139833289199</c:v>
                  </c:pt>
                  <c:pt idx="4">
                    <c:v>1.0821800673439901</c:v>
                  </c:pt>
                  <c:pt idx="5">
                    <c:v>1.0639181054600999</c:v>
                  </c:pt>
                  <c:pt idx="6">
                    <c:v>0.93303230372887203</c:v>
                  </c:pt>
                  <c:pt idx="7">
                    <c:v>0.70467932637132302</c:v>
                  </c:pt>
                </c:numCache>
              </c:numRef>
            </c:plus>
            <c:minus>
              <c:numRef>
                <c:f>'Readme and Comparisons'!$W$19:$W$26</c:f>
                <c:numCache>
                  <c:formatCode>General</c:formatCode>
                  <c:ptCount val="8"/>
                  <c:pt idx="0">
                    <c:v>1.1924808121557</c:v>
                  </c:pt>
                  <c:pt idx="1">
                    <c:v>1.09498448796929</c:v>
                  </c:pt>
                  <c:pt idx="2">
                    <c:v>1.0922887539608801</c:v>
                  </c:pt>
                  <c:pt idx="3">
                    <c:v>1.0842139833289199</c:v>
                  </c:pt>
                  <c:pt idx="4">
                    <c:v>1.0821800673439901</c:v>
                  </c:pt>
                  <c:pt idx="5">
                    <c:v>1.0639181054600999</c:v>
                  </c:pt>
                  <c:pt idx="6">
                    <c:v>0.93303230372887203</c:v>
                  </c:pt>
                  <c:pt idx="7">
                    <c:v>0.70467932637132302</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2 Average'!$G$9</c:f>
              <c:numCache>
                <c:formatCode>General</c:formatCode>
                <c:ptCount val="1"/>
                <c:pt idx="0">
                  <c:v>7.1192535152952692</c:v>
                </c:pt>
              </c:numCache>
            </c:numRef>
          </c:val>
          <c:extLst>
            <c:ext xmlns:c16="http://schemas.microsoft.com/office/drawing/2014/chart" uri="{C3380CC4-5D6E-409C-BE32-E72D297353CC}">
              <c16:uniqueId val="{00000001-6FB6-4D82-AF04-EF93DB1727E9}"/>
            </c:ext>
          </c:extLst>
        </c:ser>
        <c:ser>
          <c:idx val="2"/>
          <c:order val="2"/>
          <c:tx>
            <c:v>Mitre Frame</c:v>
          </c:tx>
          <c:spPr>
            <a:solidFill>
              <a:schemeClr val="accent3"/>
            </a:solidFill>
            <a:ln>
              <a:noFill/>
            </a:ln>
            <a:effectLst/>
          </c:spPr>
          <c:invertIfNegative val="0"/>
          <c:errBars>
            <c:errBarType val="both"/>
            <c:errValType val="cust"/>
            <c:noEndCap val="0"/>
            <c:plus>
              <c:numRef>
                <c:f>'Readme and Comparisons'!$X$19:$X$26</c:f>
                <c:numCache>
                  <c:formatCode>General</c:formatCode>
                  <c:ptCount val="8"/>
                  <c:pt idx="0">
                    <c:v>0.54120873858311003</c:v>
                  </c:pt>
                  <c:pt idx="1">
                    <c:v>0.61380222349878599</c:v>
                  </c:pt>
                  <c:pt idx="2">
                    <c:v>0.71085683574742198</c:v>
                  </c:pt>
                  <c:pt idx="3">
                    <c:v>0.72625982730473404</c:v>
                  </c:pt>
                  <c:pt idx="4">
                    <c:v>0.78837464670281998</c:v>
                  </c:pt>
                  <c:pt idx="5">
                    <c:v>0.84115485612781604</c:v>
                  </c:pt>
                  <c:pt idx="6">
                    <c:v>0.83563914213086798</c:v>
                  </c:pt>
                  <c:pt idx="7">
                    <c:v>0.65697501219058096</c:v>
                  </c:pt>
                </c:numCache>
              </c:numRef>
            </c:plus>
            <c:minus>
              <c:numRef>
                <c:f>'Readme and Comparisons'!$X$19:$X$26</c:f>
                <c:numCache>
                  <c:formatCode>General</c:formatCode>
                  <c:ptCount val="8"/>
                  <c:pt idx="0">
                    <c:v>0.54120873858311003</c:v>
                  </c:pt>
                  <c:pt idx="1">
                    <c:v>0.61380222349878599</c:v>
                  </c:pt>
                  <c:pt idx="2">
                    <c:v>0.71085683574742198</c:v>
                  </c:pt>
                  <c:pt idx="3">
                    <c:v>0.72625982730473404</c:v>
                  </c:pt>
                  <c:pt idx="4">
                    <c:v>0.78837464670281998</c:v>
                  </c:pt>
                  <c:pt idx="5">
                    <c:v>0.84115485612781604</c:v>
                  </c:pt>
                  <c:pt idx="6">
                    <c:v>0.83563914213086798</c:v>
                  </c:pt>
                  <c:pt idx="7">
                    <c:v>0.65697501219058096</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3 Average'!$G$9</c:f>
              <c:numCache>
                <c:formatCode>General</c:formatCode>
                <c:ptCount val="1"/>
                <c:pt idx="0">
                  <c:v>8.0365695743005592</c:v>
                </c:pt>
              </c:numCache>
            </c:numRef>
          </c:val>
          <c:extLst>
            <c:ext xmlns:c16="http://schemas.microsoft.com/office/drawing/2014/chart" uri="{C3380CC4-5D6E-409C-BE32-E72D297353CC}">
              <c16:uniqueId val="{00000002-6FB6-4D82-AF04-EF93DB1727E9}"/>
            </c:ext>
          </c:extLst>
        </c:ser>
        <c:ser>
          <c:idx val="3"/>
          <c:order val="3"/>
          <c:tx>
            <c:v>Mitre Frame with Sectioned Foot</c:v>
          </c:tx>
          <c:spPr>
            <a:pattFill prst="dkUpDiag">
              <a:fgClr>
                <a:schemeClr val="accent3">
                  <a:lumMod val="60000"/>
                  <a:lumOff val="40000"/>
                </a:schemeClr>
              </a:fgClr>
              <a:bgClr>
                <a:schemeClr val="bg1"/>
              </a:bgClr>
            </a:pattFill>
            <a:ln>
              <a:solidFill>
                <a:schemeClr val="accent3"/>
              </a:solidFill>
            </a:ln>
            <a:effectLst/>
          </c:spPr>
          <c:invertIfNegative val="0"/>
          <c:errBars>
            <c:errBarType val="both"/>
            <c:errValType val="cust"/>
            <c:noEndCap val="0"/>
            <c:plus>
              <c:numRef>
                <c:f>'Readme and Comparisons'!$Y$19:$Y$26</c:f>
                <c:numCache>
                  <c:formatCode>General</c:formatCode>
                  <c:ptCount val="8"/>
                  <c:pt idx="0">
                    <c:v>3.99099237036768</c:v>
                  </c:pt>
                  <c:pt idx="1">
                    <c:v>3.8906681970313799</c:v>
                  </c:pt>
                  <c:pt idx="2">
                    <c:v>3.7213064956340398</c:v>
                  </c:pt>
                  <c:pt idx="3">
                    <c:v>3.6000039418993799</c:v>
                  </c:pt>
                  <c:pt idx="4">
                    <c:v>3.5436864407536901</c:v>
                  </c:pt>
                  <c:pt idx="5">
                    <c:v>3.6619242449726599</c:v>
                  </c:pt>
                  <c:pt idx="6">
                    <c:v>3.7706467359353799</c:v>
                  </c:pt>
                  <c:pt idx="7">
                    <c:v>3.8186408220661101</c:v>
                  </c:pt>
                </c:numCache>
              </c:numRef>
            </c:plus>
            <c:minus>
              <c:numRef>
                <c:f>'Readme and Comparisons'!$Y$19:$Y$26</c:f>
                <c:numCache>
                  <c:formatCode>General</c:formatCode>
                  <c:ptCount val="8"/>
                  <c:pt idx="0">
                    <c:v>3.99099237036768</c:v>
                  </c:pt>
                  <c:pt idx="1">
                    <c:v>3.8906681970313799</c:v>
                  </c:pt>
                  <c:pt idx="2">
                    <c:v>3.7213064956340398</c:v>
                  </c:pt>
                  <c:pt idx="3">
                    <c:v>3.6000039418993799</c:v>
                  </c:pt>
                  <c:pt idx="4">
                    <c:v>3.5436864407536901</c:v>
                  </c:pt>
                  <c:pt idx="5">
                    <c:v>3.6619242449726599</c:v>
                  </c:pt>
                  <c:pt idx="6">
                    <c:v>3.7706467359353799</c:v>
                  </c:pt>
                  <c:pt idx="7">
                    <c:v>3.8186408220661101</c:v>
                  </c:pt>
                </c:numCache>
              </c:numRef>
            </c:minus>
            <c:spPr>
              <a:noFill/>
              <a:ln w="9525" cap="flat" cmpd="sng" algn="ctr">
                <a:solidFill>
                  <a:schemeClr val="tx1">
                    <a:lumMod val="65000"/>
                    <a:lumOff val="35000"/>
                  </a:schemeClr>
                </a:solidFill>
                <a:round/>
              </a:ln>
              <a:effectLst/>
            </c:spPr>
          </c:errBars>
          <c:cat>
            <c:numLit>
              <c:formatCode>General</c:formatCode>
              <c:ptCount val="1"/>
              <c:pt idx="0">
                <c:v>700</c:v>
              </c:pt>
            </c:numLit>
          </c:cat>
          <c:val>
            <c:numRef>
              <c:f>'Model 4 Average'!$G$9</c:f>
              <c:numCache>
                <c:formatCode>General</c:formatCode>
                <c:ptCount val="1"/>
                <c:pt idx="0">
                  <c:v>9.3251211782284606</c:v>
                </c:pt>
              </c:numCache>
            </c:numRef>
          </c:val>
          <c:extLst>
            <c:ext xmlns:c16="http://schemas.microsoft.com/office/drawing/2014/chart" uri="{C3380CC4-5D6E-409C-BE32-E72D297353CC}">
              <c16:uniqueId val="{00000003-6FB6-4D82-AF04-EF93DB1727E9}"/>
            </c:ext>
          </c:extLst>
        </c:ser>
        <c:dLbls>
          <c:showLegendKey val="0"/>
          <c:showVal val="0"/>
          <c:showCatName val="0"/>
          <c:showSerName val="0"/>
          <c:showPercent val="0"/>
          <c:showBubbleSize val="0"/>
        </c:dLbls>
        <c:gapWidth val="219"/>
        <c:overlap val="-27"/>
        <c:axId val="923754440"/>
        <c:axId val="923755880"/>
      </c:barChart>
      <c:catAx>
        <c:axId val="923754440"/>
        <c:scaling>
          <c:orientation val="minMax"/>
        </c:scaling>
        <c:delete val="1"/>
        <c:axPos val="b"/>
        <c:numFmt formatCode="General" sourceLinked="1"/>
        <c:majorTickMark val="none"/>
        <c:minorTickMark val="none"/>
        <c:tickLblPos val="low"/>
        <c:crossAx val="923755880"/>
        <c:crosses val="autoZero"/>
        <c:auto val="1"/>
        <c:lblAlgn val="ctr"/>
        <c:lblOffset val="100"/>
        <c:noMultiLvlLbl val="0"/>
      </c:catAx>
      <c:valAx>
        <c:axId val="923755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a:t>Axial</a:t>
                </a:r>
                <a:r>
                  <a:rPr lang="en-GB" sz="1400" baseline="0"/>
                  <a:t> Displacement at 700N Load (mm)</a:t>
                </a:r>
                <a:endParaRPr lang="en-GB" sz="140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23754440"/>
        <c:crosses val="autoZero"/>
        <c:crossBetween val="between"/>
      </c:valAx>
      <c:spPr>
        <a:noFill/>
        <a:ln>
          <a:noFill/>
        </a:ln>
        <a:effectLst/>
      </c:spPr>
    </c:plotArea>
    <c:legend>
      <c:legendPos val="b"/>
      <c:layout>
        <c:manualLayout>
          <c:xMode val="edge"/>
          <c:yMode val="edge"/>
          <c:x val="5.7803477690288714E-2"/>
          <c:y val="0.90699966551174083"/>
          <c:w val="0.94086778215223099"/>
          <c:h val="7.966699835527524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2321315477423654E-2"/>
          <c:y val="0.17171296296296296"/>
          <c:w val="0.8922843054873647"/>
          <c:h val="0.72125801983085447"/>
        </c:manualLayout>
      </c:layout>
      <c:scatterChart>
        <c:scatterStyle val="lineMarker"/>
        <c:varyColors val="0"/>
        <c:ser>
          <c:idx val="0"/>
          <c:order val="0"/>
          <c:tx>
            <c:v>COMBINED</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0.46281482728939788"/>
                  <c:y val="-0.1894590259550889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y"/>
            <c:errBarType val="both"/>
            <c:errValType val="cust"/>
            <c:noEndCap val="0"/>
            <c:plus>
              <c:numRef>
                <c:f>'Model 1 Average'!$F$2:$F$9</c:f>
                <c:numCache>
                  <c:formatCode>General</c:formatCode>
                  <c:ptCount val="8"/>
                  <c:pt idx="0">
                    <c:v>0.63651913730638299</c:v>
                  </c:pt>
                  <c:pt idx="1">
                    <c:v>0.64449342795497999</c:v>
                  </c:pt>
                  <c:pt idx="2">
                    <c:v>0.60998150730639</c:v>
                  </c:pt>
                  <c:pt idx="3">
                    <c:v>0.562628156310779</c:v>
                  </c:pt>
                  <c:pt idx="4">
                    <c:v>0.54884071461947603</c:v>
                  </c:pt>
                  <c:pt idx="5">
                    <c:v>0.58457958449390002</c:v>
                  </c:pt>
                  <c:pt idx="6">
                    <c:v>0.52737831450152595</c:v>
                  </c:pt>
                  <c:pt idx="7">
                    <c:v>0.42627428269426199</c:v>
                  </c:pt>
                </c:numCache>
              </c:numRef>
            </c:plus>
            <c:minus>
              <c:numRef>
                <c:f>'Model 1 Average'!$F$2:$F$9</c:f>
                <c:numCache>
                  <c:formatCode>General</c:formatCode>
                  <c:ptCount val="8"/>
                  <c:pt idx="0">
                    <c:v>0.63651913730638299</c:v>
                  </c:pt>
                  <c:pt idx="1">
                    <c:v>0.64449342795497999</c:v>
                  </c:pt>
                  <c:pt idx="2">
                    <c:v>0.60998150730639</c:v>
                  </c:pt>
                  <c:pt idx="3">
                    <c:v>0.562628156310779</c:v>
                  </c:pt>
                  <c:pt idx="4">
                    <c:v>0.54884071461947603</c:v>
                  </c:pt>
                  <c:pt idx="5">
                    <c:v>0.58457958449390002</c:v>
                  </c:pt>
                  <c:pt idx="6">
                    <c:v>0.52737831450152595</c:v>
                  </c:pt>
                  <c:pt idx="7">
                    <c:v>0.42627428269426199</c:v>
                  </c:pt>
                </c:numCache>
              </c:numRef>
            </c:minus>
            <c:spPr>
              <a:noFill/>
              <a:ln w="9525" cap="flat" cmpd="sng" algn="ctr">
                <a:solidFill>
                  <a:schemeClr val="tx1">
                    <a:lumMod val="65000"/>
                    <a:lumOff val="35000"/>
                  </a:schemeClr>
                </a:solidFill>
                <a:round/>
              </a:ln>
              <a:effectLst/>
            </c:spPr>
          </c:errBars>
          <c:xVal>
            <c:numRef>
              <c:f>'Model 1 Average'!$G$2:$G$9</c:f>
              <c:numCache>
                <c:formatCode>General</c:formatCode>
                <c:ptCount val="8"/>
                <c:pt idx="0">
                  <c:v>0</c:v>
                </c:pt>
                <c:pt idx="1">
                  <c:v>1.2111919058162997</c:v>
                </c:pt>
                <c:pt idx="2">
                  <c:v>3.3520093996253006</c:v>
                </c:pt>
                <c:pt idx="3">
                  <c:v>5.1605845407346198</c:v>
                </c:pt>
                <c:pt idx="4">
                  <c:v>6.7362874156248695</c:v>
                </c:pt>
                <c:pt idx="5">
                  <c:v>8.1388851027362303</c:v>
                </c:pt>
                <c:pt idx="6">
                  <c:v>9.2857973822210003</c:v>
                </c:pt>
                <c:pt idx="7">
                  <c:v>10.23517615155358</c:v>
                </c:pt>
              </c:numCache>
            </c:numRef>
          </c:xVal>
          <c:yVal>
            <c:numRef>
              <c:f>'Model 1 Average'!$A$2:$A$9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3550-49BA-9DE9-7D77A05F75FF}"/>
            </c:ext>
          </c:extLst>
        </c:ser>
        <c:dLbls>
          <c:showLegendKey val="0"/>
          <c:showVal val="0"/>
          <c:showCatName val="0"/>
          <c:showSerName val="0"/>
          <c:showPercent val="0"/>
          <c:showBubbleSize val="0"/>
        </c:dLbls>
        <c:axId val="746812568"/>
        <c:axId val="746812928"/>
      </c:scatterChart>
      <c:valAx>
        <c:axId val="746812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812928"/>
        <c:crosses val="autoZero"/>
        <c:crossBetween val="midCat"/>
      </c:valAx>
      <c:valAx>
        <c:axId val="746812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8125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6954114165820453E-2"/>
          <c:y val="0.17171296296296296"/>
          <c:w val="0.86297944903470625"/>
          <c:h val="0.72125801983085447"/>
        </c:manualLayout>
      </c:layout>
      <c:scatterChart>
        <c:scatterStyle val="lineMarker"/>
        <c:varyColors val="0"/>
        <c:ser>
          <c:idx val="0"/>
          <c:order val="0"/>
          <c:tx>
            <c:v>FRAME 1</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9.6375487973009669E-2"/>
                  <c:y val="-0.5736654272382618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1 Frame 1'!$G$2:$G$9</c:f>
              <c:numCache>
                <c:formatCode>General</c:formatCode>
                <c:ptCount val="8"/>
                <c:pt idx="0">
                  <c:v>0</c:v>
                </c:pt>
                <c:pt idx="1">
                  <c:v>-1.3225387747169997</c:v>
                </c:pt>
                <c:pt idx="2">
                  <c:v>-3.4850248991313002</c:v>
                </c:pt>
                <c:pt idx="3">
                  <c:v>-5.2149751345465596</c:v>
                </c:pt>
                <c:pt idx="4">
                  <c:v>-6.7022731595697893</c:v>
                </c:pt>
                <c:pt idx="5">
                  <c:v>-8.0213300035540591</c:v>
                </c:pt>
                <c:pt idx="6">
                  <c:v>-9.0906460687484802</c:v>
                </c:pt>
                <c:pt idx="7">
                  <c:v>-9.93920469571</c:v>
                </c:pt>
              </c:numCache>
            </c:numRef>
          </c:xVal>
          <c:yVal>
            <c:numRef>
              <c:f>'Model 1 Frame 1'!$A$2:$A$9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92F1-46CC-8A34-3E37B169D2AC}"/>
            </c:ext>
          </c:extLst>
        </c:ser>
        <c:dLbls>
          <c:showLegendKey val="0"/>
          <c:showVal val="0"/>
          <c:showCatName val="0"/>
          <c:showSerName val="0"/>
          <c:showPercent val="0"/>
          <c:showBubbleSize val="0"/>
        </c:dLbls>
        <c:axId val="678320400"/>
        <c:axId val="678311400"/>
      </c:scatterChart>
      <c:valAx>
        <c:axId val="678320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11400"/>
        <c:crosses val="autoZero"/>
        <c:crossBetween val="midCat"/>
      </c:valAx>
      <c:valAx>
        <c:axId val="678311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204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FRAME 2</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1.7284787640607386E-2"/>
                  <c:y val="-0.5829246864975211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1 Frame 2'!$G$2:$G$9</c:f>
              <c:numCache>
                <c:formatCode>General</c:formatCode>
                <c:ptCount val="8"/>
                <c:pt idx="0">
                  <c:v>0</c:v>
                </c:pt>
                <c:pt idx="1">
                  <c:v>-1.0801040344752995</c:v>
                </c:pt>
                <c:pt idx="2">
                  <c:v>-3.0566364117499987</c:v>
                </c:pt>
                <c:pt idx="3">
                  <c:v>-4.7679794894593694</c:v>
                </c:pt>
                <c:pt idx="4">
                  <c:v>-6.2795449987340799</c:v>
                </c:pt>
                <c:pt idx="5">
                  <c:v>-7.6479359827137694</c:v>
                </c:pt>
                <c:pt idx="6">
                  <c:v>-8.9111576746666401</c:v>
                </c:pt>
                <c:pt idx="7">
                  <c:v>-10.113884966888719</c:v>
                </c:pt>
              </c:numCache>
            </c:numRef>
          </c:xVal>
          <c:yVal>
            <c:numRef>
              <c:f>'Model 1 Frame 2'!$A$2:$A$9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492F-4BCE-A733-6BA304809C5A}"/>
            </c:ext>
          </c:extLst>
        </c:ser>
        <c:dLbls>
          <c:showLegendKey val="0"/>
          <c:showVal val="0"/>
          <c:showCatName val="0"/>
          <c:showSerName val="0"/>
          <c:showPercent val="0"/>
          <c:showBubbleSize val="0"/>
        </c:dLbls>
        <c:axId val="684341368"/>
        <c:axId val="607717912"/>
      </c:scatterChart>
      <c:valAx>
        <c:axId val="68434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717912"/>
        <c:crosses val="autoZero"/>
        <c:crossBetween val="midCat"/>
      </c:valAx>
      <c:valAx>
        <c:axId val="607717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3413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FRAME 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FRAME 3</c:v>
          </c:tx>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2"/>
            <c:dispRSqr val="1"/>
            <c:dispEq val="1"/>
            <c:trendlineLbl>
              <c:layout>
                <c:manualLayout>
                  <c:x val="6.195980263669138E-3"/>
                  <c:y val="-0.5644061679790026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'Model 1 Frame 3'!$G$2:$G$9</c:f>
              <c:numCache>
                <c:formatCode>General</c:formatCode>
                <c:ptCount val="8"/>
                <c:pt idx="0">
                  <c:v>0</c:v>
                </c:pt>
                <c:pt idx="1">
                  <c:v>-1.1930031207541987</c:v>
                </c:pt>
                <c:pt idx="2">
                  <c:v>-3.443952000460099</c:v>
                </c:pt>
                <c:pt idx="3">
                  <c:v>-5.4272382493898093</c:v>
                </c:pt>
                <c:pt idx="4">
                  <c:v>-7.1762858284578295</c:v>
                </c:pt>
                <c:pt idx="5">
                  <c:v>-8.7531355033097089</c:v>
                </c:pt>
                <c:pt idx="6">
                  <c:v>-9.865314036164639</c:v>
                </c:pt>
                <c:pt idx="7">
                  <c:v>-10.698179717653789</c:v>
                </c:pt>
              </c:numCache>
            </c:numRef>
          </c:xVal>
          <c:yVal>
            <c:numRef>
              <c:f>'Model 1 Frame 3'!$A$2:$A$9</c:f>
              <c:numCache>
                <c:formatCode>General</c:formatCode>
                <c:ptCount val="8"/>
                <c:pt idx="0">
                  <c:v>50</c:v>
                </c:pt>
                <c:pt idx="1">
                  <c:v>100</c:v>
                </c:pt>
                <c:pt idx="2">
                  <c:v>200</c:v>
                </c:pt>
                <c:pt idx="3">
                  <c:v>300</c:v>
                </c:pt>
                <c:pt idx="4">
                  <c:v>400</c:v>
                </c:pt>
                <c:pt idx="5">
                  <c:v>500</c:v>
                </c:pt>
                <c:pt idx="6">
                  <c:v>600</c:v>
                </c:pt>
                <c:pt idx="7">
                  <c:v>700</c:v>
                </c:pt>
              </c:numCache>
            </c:numRef>
          </c:yVal>
          <c:smooth val="0"/>
          <c:extLst>
            <c:ext xmlns:c16="http://schemas.microsoft.com/office/drawing/2014/chart" uri="{C3380CC4-5D6E-409C-BE32-E72D297353CC}">
              <c16:uniqueId val="{00000001-7394-42DD-BEE0-15E570FDE95A}"/>
            </c:ext>
          </c:extLst>
        </c:ser>
        <c:dLbls>
          <c:showLegendKey val="0"/>
          <c:showVal val="0"/>
          <c:showCatName val="0"/>
          <c:showSerName val="0"/>
          <c:showPercent val="0"/>
          <c:showBubbleSize val="0"/>
        </c:dLbls>
        <c:axId val="684436768"/>
        <c:axId val="684429928"/>
      </c:scatterChart>
      <c:valAx>
        <c:axId val="684436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429928"/>
        <c:crosses val="autoZero"/>
        <c:crossBetween val="midCat"/>
      </c:valAx>
      <c:valAx>
        <c:axId val="684429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4367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xdr:col>
      <xdr:colOff>72869</xdr:colOff>
      <xdr:row>3</xdr:row>
      <xdr:rowOff>36378</xdr:rowOff>
    </xdr:from>
    <xdr:to>
      <xdr:col>20</xdr:col>
      <xdr:colOff>368332</xdr:colOff>
      <xdr:row>28</xdr:row>
      <xdr:rowOff>36377</xdr:rowOff>
    </xdr:to>
    <xdr:graphicFrame macro="">
      <xdr:nvGraphicFramePr>
        <xdr:cNvPr id="8" name="Chart 7">
          <a:extLst>
            <a:ext uri="{FF2B5EF4-FFF2-40B4-BE49-F238E27FC236}">
              <a16:creationId xmlns:a16="http://schemas.microsoft.com/office/drawing/2014/main" id="{3EDE36A1-2D10-4124-A124-4D6792D53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30</xdr:row>
      <xdr:rowOff>0</xdr:rowOff>
    </xdr:from>
    <xdr:to>
      <xdr:col>20</xdr:col>
      <xdr:colOff>292100</xdr:colOff>
      <xdr:row>54</xdr:row>
      <xdr:rowOff>190499</xdr:rowOff>
    </xdr:to>
    <xdr:graphicFrame macro="">
      <xdr:nvGraphicFramePr>
        <xdr:cNvPr id="9" name="Chart 8">
          <a:extLst>
            <a:ext uri="{FF2B5EF4-FFF2-40B4-BE49-F238E27FC236}">
              <a16:creationId xmlns:a16="http://schemas.microsoft.com/office/drawing/2014/main" id="{F024CFA2-292B-4ABD-AE55-EAEED07271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3248</xdr:colOff>
      <xdr:row>79</xdr:row>
      <xdr:rowOff>172098</xdr:rowOff>
    </xdr:from>
    <xdr:to>
      <xdr:col>20</xdr:col>
      <xdr:colOff>296986</xdr:colOff>
      <xdr:row>104</xdr:row>
      <xdr:rowOff>172097</xdr:rowOff>
    </xdr:to>
    <xdr:graphicFrame macro="">
      <xdr:nvGraphicFramePr>
        <xdr:cNvPr id="2" name="Chart 1">
          <a:extLst>
            <a:ext uri="{FF2B5EF4-FFF2-40B4-BE49-F238E27FC236}">
              <a16:creationId xmlns:a16="http://schemas.microsoft.com/office/drawing/2014/main" id="{F6261A13-AA6F-421C-8CA7-EA6456A16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553100</xdr:colOff>
      <xdr:row>55</xdr:row>
      <xdr:rowOff>15154</xdr:rowOff>
    </xdr:from>
    <xdr:to>
      <xdr:col>20</xdr:col>
      <xdr:colOff>237980</xdr:colOff>
      <xdr:row>80</xdr:row>
      <xdr:rowOff>15153</xdr:rowOff>
    </xdr:to>
    <xdr:graphicFrame macro="">
      <xdr:nvGraphicFramePr>
        <xdr:cNvPr id="3" name="Chart 2">
          <a:extLst>
            <a:ext uri="{FF2B5EF4-FFF2-40B4-BE49-F238E27FC236}">
              <a16:creationId xmlns:a16="http://schemas.microsoft.com/office/drawing/2014/main" id="{B1029FA9-7D8F-48A9-B4CF-24EBBF7D85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0</xdr:colOff>
      <xdr:row>52</xdr:row>
      <xdr:rowOff>66675</xdr:rowOff>
    </xdr:from>
    <xdr:to>
      <xdr:col>41</xdr:col>
      <xdr:colOff>0</xdr:colOff>
      <xdr:row>77</xdr:row>
      <xdr:rowOff>66674</xdr:rowOff>
    </xdr:to>
    <xdr:graphicFrame macro="">
      <xdr:nvGraphicFramePr>
        <xdr:cNvPr id="4" name="Chart 3">
          <a:extLst>
            <a:ext uri="{FF2B5EF4-FFF2-40B4-BE49-F238E27FC236}">
              <a16:creationId xmlns:a16="http://schemas.microsoft.com/office/drawing/2014/main" id="{E59AA997-DC0B-4E8E-A689-5877B518E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581025</xdr:colOff>
      <xdr:row>10</xdr:row>
      <xdr:rowOff>14286</xdr:rowOff>
    </xdr:from>
    <xdr:to>
      <xdr:col>13</xdr:col>
      <xdr:colOff>19050</xdr:colOff>
      <xdr:row>41</xdr:row>
      <xdr:rowOff>47625</xdr:rowOff>
    </xdr:to>
    <xdr:graphicFrame macro="">
      <xdr:nvGraphicFramePr>
        <xdr:cNvPr id="2" name="Chart 1">
          <a:extLst>
            <a:ext uri="{FF2B5EF4-FFF2-40B4-BE49-F238E27FC236}">
              <a16:creationId xmlns:a16="http://schemas.microsoft.com/office/drawing/2014/main" id="{66E9D5D5-B165-4949-A212-B560CE1F5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285750</xdr:colOff>
      <xdr:row>10</xdr:row>
      <xdr:rowOff>119062</xdr:rowOff>
    </xdr:from>
    <xdr:to>
      <xdr:col>15</xdr:col>
      <xdr:colOff>463826</xdr:colOff>
      <xdr:row>35</xdr:row>
      <xdr:rowOff>165652</xdr:rowOff>
    </xdr:to>
    <xdr:graphicFrame macro="">
      <xdr:nvGraphicFramePr>
        <xdr:cNvPr id="2" name="Chart 1">
          <a:extLst>
            <a:ext uri="{FF2B5EF4-FFF2-40B4-BE49-F238E27FC236}">
              <a16:creationId xmlns:a16="http://schemas.microsoft.com/office/drawing/2014/main" id="{F215FDE5-BC81-430A-B094-359C1469E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10</xdr:row>
      <xdr:rowOff>80961</xdr:rowOff>
    </xdr:from>
    <xdr:to>
      <xdr:col>13</xdr:col>
      <xdr:colOff>47625</xdr:colOff>
      <xdr:row>32</xdr:row>
      <xdr:rowOff>180974</xdr:rowOff>
    </xdr:to>
    <xdr:graphicFrame macro="">
      <xdr:nvGraphicFramePr>
        <xdr:cNvPr id="2" name="Chart 1">
          <a:extLst>
            <a:ext uri="{FF2B5EF4-FFF2-40B4-BE49-F238E27FC236}">
              <a16:creationId xmlns:a16="http://schemas.microsoft.com/office/drawing/2014/main" id="{385EA03E-7F04-4FDC-9A16-89D020FBB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219074</xdr:colOff>
      <xdr:row>10</xdr:row>
      <xdr:rowOff>80961</xdr:rowOff>
    </xdr:from>
    <xdr:to>
      <xdr:col>12</xdr:col>
      <xdr:colOff>514349</xdr:colOff>
      <xdr:row>34</xdr:row>
      <xdr:rowOff>66674</xdr:rowOff>
    </xdr:to>
    <xdr:graphicFrame macro="">
      <xdr:nvGraphicFramePr>
        <xdr:cNvPr id="2" name="Chart 1">
          <a:extLst>
            <a:ext uri="{FF2B5EF4-FFF2-40B4-BE49-F238E27FC236}">
              <a16:creationId xmlns:a16="http://schemas.microsoft.com/office/drawing/2014/main" id="{696A67C9-0F4D-4F17-B315-74C061905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581025</xdr:colOff>
      <xdr:row>10</xdr:row>
      <xdr:rowOff>14286</xdr:rowOff>
    </xdr:from>
    <xdr:to>
      <xdr:col>13</xdr:col>
      <xdr:colOff>19050</xdr:colOff>
      <xdr:row>41</xdr:row>
      <xdr:rowOff>47625</xdr:rowOff>
    </xdr:to>
    <xdr:graphicFrame macro="">
      <xdr:nvGraphicFramePr>
        <xdr:cNvPr id="2" name="Chart 1">
          <a:extLst>
            <a:ext uri="{FF2B5EF4-FFF2-40B4-BE49-F238E27FC236}">
              <a16:creationId xmlns:a16="http://schemas.microsoft.com/office/drawing/2014/main" id="{C85F6E9C-4BCB-44A5-BB33-48B3B8BD3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285750</xdr:colOff>
      <xdr:row>10</xdr:row>
      <xdr:rowOff>119062</xdr:rowOff>
    </xdr:from>
    <xdr:to>
      <xdr:col>15</xdr:col>
      <xdr:colOff>463826</xdr:colOff>
      <xdr:row>35</xdr:row>
      <xdr:rowOff>165652</xdr:rowOff>
    </xdr:to>
    <xdr:graphicFrame macro="">
      <xdr:nvGraphicFramePr>
        <xdr:cNvPr id="2" name="Chart 1">
          <a:extLst>
            <a:ext uri="{FF2B5EF4-FFF2-40B4-BE49-F238E27FC236}">
              <a16:creationId xmlns:a16="http://schemas.microsoft.com/office/drawing/2014/main" id="{132C57ED-2CFE-4BA9-BDD2-4E2BD82C7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142875</xdr:colOff>
      <xdr:row>10</xdr:row>
      <xdr:rowOff>80961</xdr:rowOff>
    </xdr:from>
    <xdr:to>
      <xdr:col>13</xdr:col>
      <xdr:colOff>47625</xdr:colOff>
      <xdr:row>32</xdr:row>
      <xdr:rowOff>180974</xdr:rowOff>
    </xdr:to>
    <xdr:graphicFrame macro="">
      <xdr:nvGraphicFramePr>
        <xdr:cNvPr id="2" name="Chart 1">
          <a:extLst>
            <a:ext uri="{FF2B5EF4-FFF2-40B4-BE49-F238E27FC236}">
              <a16:creationId xmlns:a16="http://schemas.microsoft.com/office/drawing/2014/main" id="{F53A48FC-ACA9-4A44-8808-891968F3D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219074</xdr:colOff>
      <xdr:row>10</xdr:row>
      <xdr:rowOff>80961</xdr:rowOff>
    </xdr:from>
    <xdr:to>
      <xdr:col>12</xdr:col>
      <xdr:colOff>514349</xdr:colOff>
      <xdr:row>34</xdr:row>
      <xdr:rowOff>66674</xdr:rowOff>
    </xdr:to>
    <xdr:graphicFrame macro="">
      <xdr:nvGraphicFramePr>
        <xdr:cNvPr id="2" name="Chart 1">
          <a:extLst>
            <a:ext uri="{FF2B5EF4-FFF2-40B4-BE49-F238E27FC236}">
              <a16:creationId xmlns:a16="http://schemas.microsoft.com/office/drawing/2014/main" id="{CF32350F-0A90-4B90-86B9-9848B1CAA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581025</xdr:colOff>
      <xdr:row>10</xdr:row>
      <xdr:rowOff>14287</xdr:rowOff>
    </xdr:from>
    <xdr:to>
      <xdr:col>9</xdr:col>
      <xdr:colOff>381000</xdr:colOff>
      <xdr:row>24</xdr:row>
      <xdr:rowOff>90487</xdr:rowOff>
    </xdr:to>
    <xdr:graphicFrame macro="">
      <xdr:nvGraphicFramePr>
        <xdr:cNvPr id="2" name="Chart 1">
          <a:extLst>
            <a:ext uri="{FF2B5EF4-FFF2-40B4-BE49-F238E27FC236}">
              <a16:creationId xmlns:a16="http://schemas.microsoft.com/office/drawing/2014/main" id="{EE181C49-A614-4580-9A63-D6C1BB6A3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285750</xdr:colOff>
      <xdr:row>10</xdr:row>
      <xdr:rowOff>119062</xdr:rowOff>
    </xdr:from>
    <xdr:to>
      <xdr:col>8</xdr:col>
      <xdr:colOff>590550</xdr:colOff>
      <xdr:row>25</xdr:row>
      <xdr:rowOff>4762</xdr:rowOff>
    </xdr:to>
    <xdr:graphicFrame macro="">
      <xdr:nvGraphicFramePr>
        <xdr:cNvPr id="2" name="Chart 1">
          <a:extLst>
            <a:ext uri="{FF2B5EF4-FFF2-40B4-BE49-F238E27FC236}">
              <a16:creationId xmlns:a16="http://schemas.microsoft.com/office/drawing/2014/main" id="{09FC32F1-D383-4C8E-B917-8ED739B43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10</xdr:row>
      <xdr:rowOff>80962</xdr:rowOff>
    </xdr:from>
    <xdr:to>
      <xdr:col>8</xdr:col>
      <xdr:colOff>447675</xdr:colOff>
      <xdr:row>24</xdr:row>
      <xdr:rowOff>157162</xdr:rowOff>
    </xdr:to>
    <xdr:graphicFrame macro="">
      <xdr:nvGraphicFramePr>
        <xdr:cNvPr id="2" name="Chart 1">
          <a:extLst>
            <a:ext uri="{FF2B5EF4-FFF2-40B4-BE49-F238E27FC236}">
              <a16:creationId xmlns:a16="http://schemas.microsoft.com/office/drawing/2014/main" id="{301115EC-92A7-4CA1-A000-F57DA040C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10</xdr:row>
      <xdr:rowOff>80962</xdr:rowOff>
    </xdr:from>
    <xdr:to>
      <xdr:col>8</xdr:col>
      <xdr:colOff>523875</xdr:colOff>
      <xdr:row>24</xdr:row>
      <xdr:rowOff>157162</xdr:rowOff>
    </xdr:to>
    <xdr:graphicFrame macro="">
      <xdr:nvGraphicFramePr>
        <xdr:cNvPr id="2" name="Chart 1">
          <a:extLst>
            <a:ext uri="{FF2B5EF4-FFF2-40B4-BE49-F238E27FC236}">
              <a16:creationId xmlns:a16="http://schemas.microsoft.com/office/drawing/2014/main" id="{F2640D34-B2B0-4193-AEC2-2086D595B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581025</xdr:colOff>
      <xdr:row>10</xdr:row>
      <xdr:rowOff>14286</xdr:rowOff>
    </xdr:from>
    <xdr:to>
      <xdr:col>13</xdr:col>
      <xdr:colOff>19050</xdr:colOff>
      <xdr:row>41</xdr:row>
      <xdr:rowOff>47625</xdr:rowOff>
    </xdr:to>
    <xdr:graphicFrame macro="">
      <xdr:nvGraphicFramePr>
        <xdr:cNvPr id="2" name="Chart 1">
          <a:extLst>
            <a:ext uri="{FF2B5EF4-FFF2-40B4-BE49-F238E27FC236}">
              <a16:creationId xmlns:a16="http://schemas.microsoft.com/office/drawing/2014/main" id="{3303650E-8554-43AB-BCDC-4FC7DEA45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285750</xdr:colOff>
      <xdr:row>10</xdr:row>
      <xdr:rowOff>119062</xdr:rowOff>
    </xdr:from>
    <xdr:to>
      <xdr:col>15</xdr:col>
      <xdr:colOff>463826</xdr:colOff>
      <xdr:row>35</xdr:row>
      <xdr:rowOff>165652</xdr:rowOff>
    </xdr:to>
    <xdr:graphicFrame macro="">
      <xdr:nvGraphicFramePr>
        <xdr:cNvPr id="2" name="Chart 1">
          <a:extLst>
            <a:ext uri="{FF2B5EF4-FFF2-40B4-BE49-F238E27FC236}">
              <a16:creationId xmlns:a16="http://schemas.microsoft.com/office/drawing/2014/main" id="{797A4047-72A7-41EC-B24B-804B2336E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219074</xdr:colOff>
      <xdr:row>10</xdr:row>
      <xdr:rowOff>80961</xdr:rowOff>
    </xdr:from>
    <xdr:to>
      <xdr:col>12</xdr:col>
      <xdr:colOff>514349</xdr:colOff>
      <xdr:row>34</xdr:row>
      <xdr:rowOff>66674</xdr:rowOff>
    </xdr:to>
    <xdr:graphicFrame macro="">
      <xdr:nvGraphicFramePr>
        <xdr:cNvPr id="2" name="Chart 1">
          <a:extLst>
            <a:ext uri="{FF2B5EF4-FFF2-40B4-BE49-F238E27FC236}">
              <a16:creationId xmlns:a16="http://schemas.microsoft.com/office/drawing/2014/main" id="{86A1E64D-F375-44D4-BF43-4E4F46A12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142875</xdr:colOff>
      <xdr:row>10</xdr:row>
      <xdr:rowOff>80961</xdr:rowOff>
    </xdr:from>
    <xdr:to>
      <xdr:col>13</xdr:col>
      <xdr:colOff>47625</xdr:colOff>
      <xdr:row>32</xdr:row>
      <xdr:rowOff>180974</xdr:rowOff>
    </xdr:to>
    <xdr:graphicFrame macro="">
      <xdr:nvGraphicFramePr>
        <xdr:cNvPr id="2" name="Chart 1">
          <a:extLst>
            <a:ext uri="{FF2B5EF4-FFF2-40B4-BE49-F238E27FC236}">
              <a16:creationId xmlns:a16="http://schemas.microsoft.com/office/drawing/2014/main" id="{77BC7E1C-980A-4C27-B0D0-F2FABE499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6"/>
  <sheetViews>
    <sheetView tabSelected="1" zoomScale="85" zoomScaleNormal="85" workbookViewId="0">
      <selection activeCell="AA40" sqref="AA40"/>
    </sheetView>
  </sheetViews>
  <sheetFormatPr defaultColWidth="8.85546875" defaultRowHeight="15" x14ac:dyDescent="0.25"/>
  <sheetData>
    <row r="1" spans="1:25" x14ac:dyDescent="0.25">
      <c r="A1" t="s">
        <v>15</v>
      </c>
    </row>
    <row r="2" spans="1:25" x14ac:dyDescent="0.25">
      <c r="A2" t="s">
        <v>14</v>
      </c>
    </row>
    <row r="3" spans="1:25" x14ac:dyDescent="0.25">
      <c r="A3" t="s">
        <v>13</v>
      </c>
    </row>
    <row r="4" spans="1:25" x14ac:dyDescent="0.25">
      <c r="A4" t="s">
        <v>9</v>
      </c>
      <c r="V4" t="s">
        <v>8</v>
      </c>
    </row>
    <row r="5" spans="1:25" x14ac:dyDescent="0.25">
      <c r="A5" t="s">
        <v>10</v>
      </c>
    </row>
    <row r="6" spans="1:25" x14ac:dyDescent="0.25">
      <c r="A6" t="s">
        <v>11</v>
      </c>
      <c r="V6">
        <v>1</v>
      </c>
      <c r="W6">
        <v>2</v>
      </c>
      <c r="X6">
        <v>3</v>
      </c>
      <c r="Y6">
        <v>4</v>
      </c>
    </row>
    <row r="7" spans="1:25" x14ac:dyDescent="0.25">
      <c r="A7" t="s">
        <v>12</v>
      </c>
      <c r="V7">
        <v>3.8248434960740556</v>
      </c>
      <c r="W7">
        <v>12.571848210232684</v>
      </c>
      <c r="X7">
        <v>3.4868996609432612</v>
      </c>
      <c r="Y7">
        <v>30.602131297505299</v>
      </c>
    </row>
    <row r="8" spans="1:25" x14ac:dyDescent="0.25">
      <c r="V8">
        <v>3.8727610085814752</v>
      </c>
      <c r="W8">
        <v>11.543983462865038</v>
      </c>
      <c r="X8">
        <v>3.9546049655579782</v>
      </c>
      <c r="Y8">
        <v>29.832865601197213</v>
      </c>
    </row>
    <row r="9" spans="1:25" x14ac:dyDescent="0.25">
      <c r="V9">
        <v>3.6653788774040978</v>
      </c>
      <c r="W9">
        <v>11.515563417507975</v>
      </c>
      <c r="X9">
        <v>4.5799084213534904</v>
      </c>
      <c r="Y9">
        <v>28.534233947222688</v>
      </c>
    </row>
    <row r="10" spans="1:25" x14ac:dyDescent="0.25">
      <c r="V10">
        <v>3.3808325912714712</v>
      </c>
      <c r="W10">
        <v>11.430434340643471</v>
      </c>
      <c r="X10">
        <v>4.6791468153589406</v>
      </c>
      <c r="Y10">
        <v>27.604110225696065</v>
      </c>
    </row>
    <row r="11" spans="1:25" x14ac:dyDescent="0.25">
      <c r="V11">
        <v>3.2979838541484319</v>
      </c>
      <c r="W11">
        <v>11.40899157798075</v>
      </c>
      <c r="X11">
        <v>5.079340173776929</v>
      </c>
      <c r="Y11">
        <v>27.172278890411143</v>
      </c>
    </row>
    <row r="12" spans="1:25" x14ac:dyDescent="0.25">
      <c r="V12">
        <v>3.5127387232238454</v>
      </c>
      <c r="W12">
        <v>11.216463018623649</v>
      </c>
      <c r="X12">
        <v>5.4193925070602935</v>
      </c>
      <c r="Y12">
        <v>28.07890272560136</v>
      </c>
    </row>
    <row r="13" spans="1:25" x14ac:dyDescent="0.25">
      <c r="V13">
        <v>3.1690162918396694</v>
      </c>
      <c r="W13">
        <v>9.8365863652920069</v>
      </c>
      <c r="X13">
        <v>5.383855864920756</v>
      </c>
      <c r="Y13">
        <v>28.912565041805305</v>
      </c>
    </row>
    <row r="14" spans="1:25" x14ac:dyDescent="0.25">
      <c r="V14">
        <v>2.5614821647098203</v>
      </c>
      <c r="W14">
        <v>7.4291522662023102</v>
      </c>
      <c r="X14">
        <v>4.2327586085414755</v>
      </c>
      <c r="Y14">
        <v>29.280574095438517</v>
      </c>
    </row>
    <row r="18" spans="22:25" x14ac:dyDescent="0.25">
      <c r="V18">
        <v>1</v>
      </c>
      <c r="W18">
        <v>2</v>
      </c>
      <c r="X18">
        <v>3</v>
      </c>
      <c r="Y18">
        <v>4</v>
      </c>
    </row>
    <row r="19" spans="22:25" x14ac:dyDescent="0.25">
      <c r="V19">
        <v>0.63651913730638299</v>
      </c>
      <c r="W19">
        <v>1.1924808121557</v>
      </c>
      <c r="X19">
        <v>0.54120873858311003</v>
      </c>
      <c r="Y19">
        <v>3.99099237036768</v>
      </c>
    </row>
    <row r="20" spans="22:25" x14ac:dyDescent="0.25">
      <c r="V20">
        <v>0.64449342795497999</v>
      </c>
      <c r="W20">
        <v>1.09498448796929</v>
      </c>
      <c r="X20">
        <v>0.61380222349878599</v>
      </c>
      <c r="Y20">
        <v>3.8906681970313799</v>
      </c>
    </row>
    <row r="21" spans="22:25" x14ac:dyDescent="0.25">
      <c r="V21">
        <v>0.60998150730639</v>
      </c>
      <c r="W21">
        <v>1.0922887539608801</v>
      </c>
      <c r="X21">
        <v>0.71085683574742198</v>
      </c>
      <c r="Y21">
        <v>3.7213064956340398</v>
      </c>
    </row>
    <row r="22" spans="22:25" x14ac:dyDescent="0.25">
      <c r="V22">
        <v>0.562628156310779</v>
      </c>
      <c r="W22">
        <v>1.0842139833289199</v>
      </c>
      <c r="X22">
        <v>0.72625982730473404</v>
      </c>
      <c r="Y22">
        <v>3.6000039418993799</v>
      </c>
    </row>
    <row r="23" spans="22:25" x14ac:dyDescent="0.25">
      <c r="V23">
        <v>0.54884071461947603</v>
      </c>
      <c r="W23">
        <v>1.0821800673439901</v>
      </c>
      <c r="X23">
        <v>0.78837464670281998</v>
      </c>
      <c r="Y23">
        <v>3.5436864407536901</v>
      </c>
    </row>
    <row r="24" spans="22:25" x14ac:dyDescent="0.25">
      <c r="V24">
        <v>0.58457958449390002</v>
      </c>
      <c r="W24">
        <v>1.0639181054600999</v>
      </c>
      <c r="X24">
        <v>0.84115485612781604</v>
      </c>
      <c r="Y24">
        <v>3.6619242449726599</v>
      </c>
    </row>
    <row r="25" spans="22:25" x14ac:dyDescent="0.25">
      <c r="V25">
        <v>0.52737831450152595</v>
      </c>
      <c r="W25">
        <v>0.93303230372887203</v>
      </c>
      <c r="X25">
        <v>0.83563914213086798</v>
      </c>
      <c r="Y25">
        <v>3.7706467359353799</v>
      </c>
    </row>
    <row r="26" spans="22:25" x14ac:dyDescent="0.25">
      <c r="V26">
        <v>0.42627428269426199</v>
      </c>
      <c r="W26">
        <v>0.70467932637132302</v>
      </c>
      <c r="X26">
        <v>0.65697501219058096</v>
      </c>
      <c r="Y26">
        <v>3.8186408220661101</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B648-A7D8-4332-A5FE-B3A8F214B01D}">
  <dimension ref="A1:Q12"/>
  <sheetViews>
    <sheetView zoomScaleNormal="100" workbookViewId="0">
      <selection activeCell="I2" sqref="I2:I9"/>
    </sheetView>
  </sheetViews>
  <sheetFormatPr defaultColWidth="8.85546875" defaultRowHeight="15" x14ac:dyDescent="0.25"/>
  <cols>
    <col min="9" max="9" width="16" bestFit="1" customWidth="1"/>
    <col min="10" max="10" width="17.42578125" customWidth="1"/>
    <col min="11" max="11" width="16" bestFit="1" customWidth="1"/>
  </cols>
  <sheetData>
    <row r="1" spans="1:17" x14ac:dyDescent="0.25">
      <c r="B1" t="s">
        <v>7</v>
      </c>
      <c r="C1" t="s">
        <v>6</v>
      </c>
      <c r="D1" t="s">
        <v>5</v>
      </c>
      <c r="E1" t="s">
        <v>4</v>
      </c>
      <c r="F1" t="s">
        <v>3</v>
      </c>
      <c r="G1" t="s">
        <v>2</v>
      </c>
      <c r="I1" t="s">
        <v>1</v>
      </c>
      <c r="J1" t="s">
        <v>0</v>
      </c>
    </row>
    <row r="2" spans="1:17" x14ac:dyDescent="0.25">
      <c r="A2">
        <v>50</v>
      </c>
      <c r="B2">
        <v>3</v>
      </c>
      <c r="C2">
        <v>-50.0143210393259</v>
      </c>
      <c r="D2">
        <v>0.113719967714804</v>
      </c>
      <c r="E2">
        <v>9.8552041056703796</v>
      </c>
      <c r="F2">
        <v>0.54120873858311003</v>
      </c>
      <c r="G2">
        <f t="shared" ref="G2:G8" si="0">ABS(E2-$E$2)</f>
        <v>0</v>
      </c>
      <c r="I2">
        <f>ABS(6.4428*G2+53.184)</f>
        <v>53.183999999999997</v>
      </c>
      <c r="J2">
        <f t="shared" ref="J2:J9" si="1">6.4428*F2</f>
        <v>3.4868996609432612</v>
      </c>
    </row>
    <row r="3" spans="1:17" x14ac:dyDescent="0.25">
      <c r="A3">
        <v>100</v>
      </c>
      <c r="B3">
        <v>5</v>
      </c>
      <c r="C3">
        <v>-100.049349322708</v>
      </c>
      <c r="D3">
        <v>0.10937148888111201</v>
      </c>
      <c r="E3">
        <v>9.0787149645022502</v>
      </c>
      <c r="F3">
        <v>0.61380222349878599</v>
      </c>
      <c r="G3">
        <f t="shared" si="0"/>
        <v>0.77648914116812939</v>
      </c>
      <c r="I3">
        <f t="shared" ref="I3:I9" si="2">ABS(6.4428*G3+53.184)</f>
        <v>58.18676423871802</v>
      </c>
      <c r="J3">
        <f t="shared" si="1"/>
        <v>3.9546049655579782</v>
      </c>
    </row>
    <row r="4" spans="1:17" x14ac:dyDescent="0.25">
      <c r="A4">
        <f t="shared" ref="A4:A9" si="3">A3+100</f>
        <v>200</v>
      </c>
      <c r="B4">
        <v>7</v>
      </c>
      <c r="C4">
        <v>-200.00726281273299</v>
      </c>
      <c r="D4">
        <v>9.8447593962541102E-2</v>
      </c>
      <c r="E4">
        <v>7.5723580849291396</v>
      </c>
      <c r="F4">
        <v>0.71085683574742198</v>
      </c>
      <c r="G4">
        <f t="shared" si="0"/>
        <v>2.28284602074124</v>
      </c>
      <c r="I4">
        <f t="shared" si="2"/>
        <v>67.891920342431661</v>
      </c>
      <c r="J4">
        <f t="shared" si="1"/>
        <v>4.5799084213534904</v>
      </c>
    </row>
    <row r="5" spans="1:17" x14ac:dyDescent="0.25">
      <c r="A5">
        <f t="shared" si="3"/>
        <v>300</v>
      </c>
      <c r="B5">
        <v>9</v>
      </c>
      <c r="C5">
        <v>-299.99845762084698</v>
      </c>
      <c r="D5">
        <v>9.9578405929792793E-2</v>
      </c>
      <c r="E5">
        <v>6.1323587131414499</v>
      </c>
      <c r="F5">
        <v>0.72625982730473404</v>
      </c>
      <c r="G5">
        <f t="shared" si="0"/>
        <v>3.7228453925289298</v>
      </c>
      <c r="I5">
        <f t="shared" si="2"/>
        <v>77.16954829498539</v>
      </c>
      <c r="J5">
        <f t="shared" si="1"/>
        <v>4.6791468153589406</v>
      </c>
    </row>
    <row r="6" spans="1:17" x14ac:dyDescent="0.25">
      <c r="A6">
        <f t="shared" si="3"/>
        <v>400</v>
      </c>
      <c r="B6">
        <v>11</v>
      </c>
      <c r="C6">
        <v>-400.01571546734601</v>
      </c>
      <c r="D6">
        <v>0.104238732689329</v>
      </c>
      <c r="E6">
        <v>4.86177707950569</v>
      </c>
      <c r="F6">
        <v>0.78837464670281998</v>
      </c>
      <c r="G6">
        <f t="shared" si="0"/>
        <v>4.9934270261646896</v>
      </c>
      <c r="I6">
        <f t="shared" si="2"/>
        <v>85.355651644173861</v>
      </c>
      <c r="J6">
        <f t="shared" si="1"/>
        <v>5.079340173776929</v>
      </c>
    </row>
    <row r="7" spans="1:17" x14ac:dyDescent="0.25">
      <c r="A7">
        <f t="shared" si="3"/>
        <v>500</v>
      </c>
      <c r="B7">
        <v>13</v>
      </c>
      <c r="C7">
        <v>-500.01828756766503</v>
      </c>
      <c r="D7">
        <v>0.10533517258814901</v>
      </c>
      <c r="E7">
        <v>3.6742531121273201</v>
      </c>
      <c r="F7">
        <v>0.84115485612781604</v>
      </c>
      <c r="G7">
        <f t="shared" si="0"/>
        <v>6.1809509935430595</v>
      </c>
      <c r="I7">
        <f t="shared" si="2"/>
        <v>93.006631061199215</v>
      </c>
      <c r="J7">
        <f t="shared" si="1"/>
        <v>5.4193925070602935</v>
      </c>
    </row>
    <row r="8" spans="1:17" x14ac:dyDescent="0.25">
      <c r="A8">
        <f t="shared" si="3"/>
        <v>600</v>
      </c>
      <c r="B8">
        <v>15</v>
      </c>
      <c r="C8">
        <v>-600.02259079567398</v>
      </c>
      <c r="D8">
        <v>0.108414012635212</v>
      </c>
      <c r="E8">
        <v>2.6277360186854999</v>
      </c>
      <c r="F8">
        <v>0.83563914213086798</v>
      </c>
      <c r="G8">
        <f t="shared" si="0"/>
        <v>7.2274680869848797</v>
      </c>
      <c r="I8">
        <f t="shared" si="2"/>
        <v>99.749131390826179</v>
      </c>
      <c r="J8">
        <f t="shared" si="1"/>
        <v>5.383855864920756</v>
      </c>
    </row>
    <row r="9" spans="1:17" x14ac:dyDescent="0.25">
      <c r="A9">
        <f t="shared" si="3"/>
        <v>700</v>
      </c>
      <c r="B9">
        <v>17</v>
      </c>
      <c r="C9">
        <v>-700.01810162453899</v>
      </c>
      <c r="D9">
        <v>0.11743915679179601</v>
      </c>
      <c r="E9">
        <v>1.81863453136982</v>
      </c>
      <c r="F9">
        <v>0.65697501219058096</v>
      </c>
      <c r="G9">
        <f>ABS(E9-$E$2)</f>
        <v>8.0365695743005592</v>
      </c>
      <c r="I9">
        <f t="shared" si="2"/>
        <v>104.96201045330363</v>
      </c>
      <c r="J9">
        <f t="shared" si="1"/>
        <v>4.2327586085414755</v>
      </c>
    </row>
    <row r="12" spans="1:17" x14ac:dyDescent="0.25">
      <c r="P12">
        <f>3.2214*2</f>
        <v>6.4428000000000001</v>
      </c>
      <c r="Q12">
        <v>-53.183999999999997</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449C4-86BF-4153-A25F-A647FBEE181C}">
  <dimension ref="A1:T17"/>
  <sheetViews>
    <sheetView zoomScale="115" zoomScaleNormal="115" workbookViewId="0">
      <selection activeCell="J2" sqref="J2:J9"/>
    </sheetView>
  </sheetViews>
  <sheetFormatPr defaultColWidth="8.85546875" defaultRowHeight="15" x14ac:dyDescent="0.25"/>
  <cols>
    <col min="9" max="9" width="16" bestFit="1" customWidth="1"/>
  </cols>
  <sheetData>
    <row r="1" spans="1:20" x14ac:dyDescent="0.25">
      <c r="B1" t="s">
        <v>7</v>
      </c>
      <c r="C1" t="s">
        <v>6</v>
      </c>
      <c r="D1" t="s">
        <v>5</v>
      </c>
      <c r="E1" t="s">
        <v>4</v>
      </c>
      <c r="F1" t="s">
        <v>3</v>
      </c>
      <c r="G1" t="s">
        <v>2</v>
      </c>
      <c r="I1" t="s">
        <v>1</v>
      </c>
      <c r="J1" t="s">
        <v>0</v>
      </c>
    </row>
    <row r="2" spans="1:20" x14ac:dyDescent="0.25">
      <c r="A2">
        <v>50</v>
      </c>
      <c r="B2">
        <v>3</v>
      </c>
      <c r="C2">
        <v>-50.014277987912998</v>
      </c>
      <c r="D2">
        <v>0.141630555789169</v>
      </c>
      <c r="E2">
        <v>10.7541506324234</v>
      </c>
      <c r="F2">
        <v>0.13262109107339601</v>
      </c>
      <c r="G2">
        <v>0</v>
      </c>
      <c r="I2">
        <f t="shared" ref="I2:I9" si="0">ABS(4.1736*(G2)-66.447)</f>
        <v>66.447000000000003</v>
      </c>
      <c r="J2">
        <f t="shared" ref="J2:J9" si="1">$R$17*F2</f>
        <v>0.55350738570392566</v>
      </c>
      <c r="M2">
        <f t="shared" ref="M2:M9" si="2">-9.4206*(G2^2)-49.708*(G2)-115.46</f>
        <v>-115.46</v>
      </c>
    </row>
    <row r="3" spans="1:20" x14ac:dyDescent="0.25">
      <c r="A3">
        <v>100</v>
      </c>
      <c r="B3">
        <v>5</v>
      </c>
      <c r="C3">
        <v>-100.05834222749201</v>
      </c>
      <c r="D3">
        <v>0.112527224818878</v>
      </c>
      <c r="E3">
        <v>10.0796183631067</v>
      </c>
      <c r="F3">
        <v>0.13406266808808401</v>
      </c>
      <c r="G3">
        <f t="shared" ref="G3:G9" si="3">E3-$E$2</f>
        <v>-0.67453226931669974</v>
      </c>
      <c r="I3">
        <f t="shared" si="0"/>
        <v>69.262227879220177</v>
      </c>
      <c r="J3">
        <f t="shared" si="1"/>
        <v>0.55952395153242751</v>
      </c>
      <c r="M3">
        <f t="shared" si="2"/>
        <v>-86.216664382807537</v>
      </c>
    </row>
    <row r="4" spans="1:20" x14ac:dyDescent="0.25">
      <c r="A4">
        <f t="shared" ref="A4:A9" si="4">A3+100</f>
        <v>200</v>
      </c>
      <c r="B4">
        <v>7</v>
      </c>
      <c r="C4">
        <v>-200.00394801520201</v>
      </c>
      <c r="D4">
        <v>9.7100231800360703E-2</v>
      </c>
      <c r="E4">
        <v>8.7251524302125905</v>
      </c>
      <c r="F4">
        <v>0.131254382000703</v>
      </c>
      <c r="G4">
        <f t="shared" si="3"/>
        <v>-2.0289982022108095</v>
      </c>
      <c r="I4">
        <f t="shared" si="0"/>
        <v>74.915226896747043</v>
      </c>
      <c r="J4">
        <f t="shared" si="1"/>
        <v>0.54780328871813411</v>
      </c>
      <c r="M4">
        <f t="shared" si="2"/>
        <v>-53.385600961821467</v>
      </c>
    </row>
    <row r="5" spans="1:20" x14ac:dyDescent="0.25">
      <c r="A5">
        <f t="shared" si="4"/>
        <v>300</v>
      </c>
      <c r="B5">
        <v>9</v>
      </c>
      <c r="C5">
        <v>-300.00329746436</v>
      </c>
      <c r="D5">
        <v>9.4929474174344497E-2</v>
      </c>
      <c r="E5">
        <v>7.3201817638022098</v>
      </c>
      <c r="F5">
        <v>0.13269532544243201</v>
      </c>
      <c r="G5">
        <f t="shared" si="3"/>
        <v>-3.4339688686211902</v>
      </c>
      <c r="I5">
        <f t="shared" si="0"/>
        <v>80.779012470077404</v>
      </c>
      <c r="J5">
        <f t="shared" si="1"/>
        <v>0.5538172102665343</v>
      </c>
      <c r="M5">
        <f t="shared" si="2"/>
        <v>-55.853330199904747</v>
      </c>
    </row>
    <row r="6" spans="1:20" x14ac:dyDescent="0.25">
      <c r="A6">
        <f t="shared" si="4"/>
        <v>400</v>
      </c>
      <c r="B6">
        <v>11</v>
      </c>
      <c r="C6">
        <v>-400.02191166399302</v>
      </c>
      <c r="D6">
        <v>9.8648944583727097E-2</v>
      </c>
      <c r="E6">
        <v>6.1580355684749</v>
      </c>
      <c r="F6">
        <v>0.139337646622713</v>
      </c>
      <c r="G6">
        <f t="shared" si="3"/>
        <v>-4.5961150639485</v>
      </c>
      <c r="I6">
        <f t="shared" si="0"/>
        <v>85.62934583089546</v>
      </c>
      <c r="J6">
        <f t="shared" si="1"/>
        <v>0.58153960194455501</v>
      </c>
      <c r="M6">
        <f t="shared" si="2"/>
        <v>-85.999645040988341</v>
      </c>
    </row>
    <row r="7" spans="1:20" x14ac:dyDescent="0.25">
      <c r="A7">
        <f t="shared" si="4"/>
        <v>500</v>
      </c>
      <c r="B7">
        <v>13</v>
      </c>
      <c r="C7">
        <v>-500.02132286540802</v>
      </c>
      <c r="D7">
        <v>9.1594654786143703E-2</v>
      </c>
      <c r="E7">
        <v>5.0593193824124798</v>
      </c>
      <c r="F7">
        <v>0.139406141354601</v>
      </c>
      <c r="G7">
        <f t="shared" si="3"/>
        <v>-5.6948312500109202</v>
      </c>
      <c r="I7">
        <f t="shared" si="0"/>
        <v>90.214947705045574</v>
      </c>
      <c r="J7">
        <f t="shared" si="1"/>
        <v>0.58182547155756281</v>
      </c>
      <c r="M7">
        <f t="shared" si="2"/>
        <v>-137.90177682690762</v>
      </c>
    </row>
    <row r="8" spans="1:20" x14ac:dyDescent="0.25">
      <c r="A8">
        <f t="shared" si="4"/>
        <v>600</v>
      </c>
      <c r="B8">
        <v>15</v>
      </c>
      <c r="C8">
        <v>-600.01940155530303</v>
      </c>
      <c r="D8">
        <v>0.107390112693405</v>
      </c>
      <c r="E8">
        <v>3.99331685459833</v>
      </c>
      <c r="F8">
        <v>0.136752657175502</v>
      </c>
      <c r="G8">
        <f t="shared" si="3"/>
        <v>-6.76083377782507</v>
      </c>
      <c r="I8">
        <f t="shared" si="0"/>
        <v>94.664015855130714</v>
      </c>
      <c r="J8">
        <f t="shared" si="1"/>
        <v>0.5707508899876752</v>
      </c>
      <c r="M8">
        <f t="shared" si="2"/>
        <v>-209.99748705429766</v>
      </c>
    </row>
    <row r="9" spans="1:20" x14ac:dyDescent="0.25">
      <c r="A9">
        <f t="shared" si="4"/>
        <v>700</v>
      </c>
      <c r="B9">
        <v>17</v>
      </c>
      <c r="C9">
        <v>-700.016133398031</v>
      </c>
      <c r="D9">
        <v>0.121392357837286</v>
      </c>
      <c r="E9">
        <v>2.9101676110369801</v>
      </c>
      <c r="F9">
        <v>0.15403864841586401</v>
      </c>
      <c r="G9">
        <f t="shared" si="3"/>
        <v>-7.8439830213864195</v>
      </c>
      <c r="I9">
        <f t="shared" si="0"/>
        <v>99.184647538058357</v>
      </c>
      <c r="J9">
        <f t="shared" si="1"/>
        <v>0.64289570302845012</v>
      </c>
      <c r="M9">
        <f t="shared" si="2"/>
        <v>-305.1826248216089</v>
      </c>
    </row>
    <row r="12" spans="1:20" x14ac:dyDescent="0.25">
      <c r="R12">
        <v>2.0868000000000002</v>
      </c>
      <c r="S12">
        <v>-66.447000000000003</v>
      </c>
      <c r="T12">
        <v>52.277999999999999</v>
      </c>
    </row>
    <row r="15" spans="1:20" x14ac:dyDescent="0.25">
      <c r="R15">
        <f>2*R12</f>
        <v>4.1736000000000004</v>
      </c>
      <c r="S15">
        <f>S12</f>
        <v>-66.447000000000003</v>
      </c>
    </row>
    <row r="17" spans="18:18" x14ac:dyDescent="0.25">
      <c r="R17">
        <v>4.1736000000000004</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E406-3F15-450B-90B1-31FB873A5C60}">
  <dimension ref="A1:R16"/>
  <sheetViews>
    <sheetView zoomScale="115" zoomScaleNormal="115" workbookViewId="0">
      <selection activeCell="I2" sqref="I2"/>
    </sheetView>
  </sheetViews>
  <sheetFormatPr defaultColWidth="8.85546875" defaultRowHeight="15" x14ac:dyDescent="0.25"/>
  <cols>
    <col min="9" max="9" width="16" bestFit="1" customWidth="1"/>
  </cols>
  <sheetData>
    <row r="1" spans="1:18" x14ac:dyDescent="0.25">
      <c r="B1" t="s">
        <v>7</v>
      </c>
      <c r="C1" t="s">
        <v>6</v>
      </c>
      <c r="D1" t="s">
        <v>5</v>
      </c>
      <c r="E1" t="s">
        <v>4</v>
      </c>
      <c r="F1" t="s">
        <v>3</v>
      </c>
      <c r="G1" t="s">
        <v>2</v>
      </c>
      <c r="I1" t="s">
        <v>1</v>
      </c>
      <c r="J1" t="s">
        <v>0</v>
      </c>
    </row>
    <row r="2" spans="1:18" x14ac:dyDescent="0.25">
      <c r="A2">
        <v>50</v>
      </c>
      <c r="B2">
        <v>3</v>
      </c>
      <c r="C2">
        <v>-50.006602496338203</v>
      </c>
      <c r="D2">
        <v>9.8299988161209495E-2</v>
      </c>
      <c r="E2">
        <v>9.4460645917610702</v>
      </c>
      <c r="F2">
        <v>8.5063654417822002E-2</v>
      </c>
      <c r="G2">
        <v>0</v>
      </c>
      <c r="I2">
        <f t="shared" ref="I2:I9" si="0">ABS(8.8034*(G2)-43.059)</f>
        <v>43.058999999999997</v>
      </c>
      <c r="J2">
        <f t="shared" ref="J2:J9" si="1">$P$16*F2</f>
        <v>0.74884937530185425</v>
      </c>
    </row>
    <row r="3" spans="1:18" x14ac:dyDescent="0.25">
      <c r="A3">
        <v>100</v>
      </c>
      <c r="B3">
        <v>5</v>
      </c>
      <c r="C3">
        <v>-100.026728846786</v>
      </c>
      <c r="D3">
        <v>9.5020044841086795E-2</v>
      </c>
      <c r="E3">
        <v>8.5005384004892797</v>
      </c>
      <c r="F3">
        <v>9.9502331461347293E-2</v>
      </c>
      <c r="G3">
        <f t="shared" ref="G3:G9" si="2">E3-$E$2</f>
        <v>-0.94552619127179049</v>
      </c>
      <c r="I3">
        <f t="shared" si="0"/>
        <v>51.382845272242079</v>
      </c>
      <c r="J3">
        <f t="shared" si="1"/>
        <v>0.87595882478682474</v>
      </c>
    </row>
    <row r="4" spans="1:18" x14ac:dyDescent="0.25">
      <c r="A4">
        <f t="shared" ref="A4:A9" si="3">A3+100</f>
        <v>200</v>
      </c>
      <c r="B4">
        <v>7</v>
      </c>
      <c r="C4">
        <v>-200.00785848913799</v>
      </c>
      <c r="D4">
        <v>0.100383682502693</v>
      </c>
      <c r="E4">
        <v>6.9040612246938302</v>
      </c>
      <c r="F4">
        <v>9.26507415749762E-2</v>
      </c>
      <c r="G4">
        <f t="shared" si="2"/>
        <v>-2.5420033670672399</v>
      </c>
      <c r="I4">
        <f t="shared" si="0"/>
        <v>65.437272441639735</v>
      </c>
      <c r="J4">
        <f t="shared" si="1"/>
        <v>0.8156415383811455</v>
      </c>
    </row>
    <row r="5" spans="1:18" x14ac:dyDescent="0.25">
      <c r="A5">
        <f t="shared" si="3"/>
        <v>300</v>
      </c>
      <c r="B5">
        <v>9</v>
      </c>
      <c r="C5">
        <v>-299.99164124731499</v>
      </c>
      <c r="D5">
        <v>0.10781741447950299</v>
      </c>
      <c r="E5">
        <v>5.5055348614772903</v>
      </c>
      <c r="F5">
        <v>8.2551678202643003E-2</v>
      </c>
      <c r="G5">
        <f t="shared" si="2"/>
        <v>-3.9405297302837798</v>
      </c>
      <c r="I5">
        <f t="shared" si="0"/>
        <v>77.749059427580221</v>
      </c>
      <c r="J5">
        <f t="shared" si="1"/>
        <v>0.72673544388914735</v>
      </c>
    </row>
    <row r="6" spans="1:18" x14ac:dyDescent="0.25">
      <c r="A6">
        <f t="shared" si="3"/>
        <v>400</v>
      </c>
      <c r="B6">
        <v>11</v>
      </c>
      <c r="C6">
        <v>-400.004278871395</v>
      </c>
      <c r="D6">
        <v>9.9701624390045096E-2</v>
      </c>
      <c r="E6">
        <v>4.2192331188682397</v>
      </c>
      <c r="F6">
        <v>7.2144464538920594E-2</v>
      </c>
      <c r="G6">
        <f t="shared" si="2"/>
        <v>-5.2268314728928305</v>
      </c>
      <c r="I6">
        <f t="shared" si="0"/>
        <v>89.072888188464731</v>
      </c>
      <c r="J6">
        <f t="shared" si="1"/>
        <v>0.63511657912193353</v>
      </c>
    </row>
    <row r="7" spans="1:18" x14ac:dyDescent="0.25">
      <c r="A7">
        <f t="shared" si="3"/>
        <v>500</v>
      </c>
      <c r="B7">
        <v>13</v>
      </c>
      <c r="C7">
        <v>-500.01727847405999</v>
      </c>
      <c r="D7">
        <v>0.106981130420447</v>
      </c>
      <c r="E7">
        <v>3.0150990606311798</v>
      </c>
      <c r="F7">
        <v>6.0660770584088197E-2</v>
      </c>
      <c r="G7">
        <f t="shared" si="2"/>
        <v>-6.4309655311298908</v>
      </c>
      <c r="I7">
        <f t="shared" si="0"/>
        <v>99.673361956748877</v>
      </c>
      <c r="J7">
        <f t="shared" si="1"/>
        <v>0.53402102775996207</v>
      </c>
    </row>
    <row r="8" spans="1:18" x14ac:dyDescent="0.25">
      <c r="A8">
        <f t="shared" si="3"/>
        <v>600</v>
      </c>
      <c r="B8">
        <v>15</v>
      </c>
      <c r="C8">
        <v>-600.02987027641302</v>
      </c>
      <c r="D8">
        <v>0.109864668180102</v>
      </c>
      <c r="E8">
        <v>1.9830483209098599</v>
      </c>
      <c r="F8">
        <v>2.8251383934556298E-2</v>
      </c>
      <c r="G8">
        <f t="shared" si="2"/>
        <v>-7.4630162708512104</v>
      </c>
      <c r="I8">
        <f t="shared" si="0"/>
        <v>108.75891743881154</v>
      </c>
      <c r="J8">
        <f t="shared" si="1"/>
        <v>0.24870823332947292</v>
      </c>
    </row>
    <row r="9" spans="1:18" x14ac:dyDescent="0.25">
      <c r="A9">
        <f t="shared" si="3"/>
        <v>700</v>
      </c>
      <c r="B9">
        <v>17</v>
      </c>
      <c r="C9">
        <v>-700.00592026248603</v>
      </c>
      <c r="D9">
        <v>0.116772778201292</v>
      </c>
      <c r="E9">
        <v>1.5048059426885101</v>
      </c>
      <c r="F9">
        <v>1.2323260855763799E-2</v>
      </c>
      <c r="G9">
        <f t="shared" si="2"/>
        <v>-7.9412586490725605</v>
      </c>
      <c r="I9">
        <f t="shared" si="0"/>
        <v>112.96907639124538</v>
      </c>
      <c r="J9">
        <f t="shared" si="1"/>
        <v>0.10848659461763102</v>
      </c>
    </row>
    <row r="11" spans="1:18" x14ac:dyDescent="0.25">
      <c r="P11">
        <v>4.4016999999999999</v>
      </c>
      <c r="Q11">
        <v>43.058999999999997</v>
      </c>
      <c r="R11">
        <v>54.889000000000003</v>
      </c>
    </row>
    <row r="14" spans="1:18" x14ac:dyDescent="0.25">
      <c r="P14">
        <f>2*P11</f>
        <v>8.8033999999999999</v>
      </c>
      <c r="Q14">
        <f>Q11</f>
        <v>43.058999999999997</v>
      </c>
    </row>
    <row r="16" spans="1:18" x14ac:dyDescent="0.25">
      <c r="P16">
        <f>P14</f>
        <v>8.8033999999999999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669C-16E9-4182-9660-D97E65C36B46}">
  <dimension ref="A1:P17"/>
  <sheetViews>
    <sheetView zoomScale="115" zoomScaleNormal="115" workbookViewId="0">
      <selection activeCell="L3" sqref="L3"/>
    </sheetView>
  </sheetViews>
  <sheetFormatPr defaultColWidth="8.85546875" defaultRowHeight="15" x14ac:dyDescent="0.25"/>
  <cols>
    <col min="9" max="9" width="16" bestFit="1" customWidth="1"/>
  </cols>
  <sheetData>
    <row r="1" spans="1:16" x14ac:dyDescent="0.25">
      <c r="B1" t="s">
        <v>7</v>
      </c>
      <c r="C1" t="s">
        <v>6</v>
      </c>
      <c r="D1" t="s">
        <v>5</v>
      </c>
      <c r="E1" t="s">
        <v>4</v>
      </c>
      <c r="F1" t="s">
        <v>3</v>
      </c>
      <c r="G1" t="s">
        <v>2</v>
      </c>
      <c r="I1" t="s">
        <v>1</v>
      </c>
      <c r="J1" t="s">
        <v>0</v>
      </c>
    </row>
    <row r="2" spans="1:16" x14ac:dyDescent="0.25">
      <c r="A2">
        <v>50</v>
      </c>
      <c r="B2">
        <v>3</v>
      </c>
      <c r="C2">
        <v>-50.021960313358498</v>
      </c>
      <c r="D2">
        <v>0.105126577577192</v>
      </c>
      <c r="E2">
        <v>9.5244089284996392</v>
      </c>
      <c r="F2">
        <v>9.7027314387786903E-2</v>
      </c>
      <c r="G2">
        <v>0</v>
      </c>
      <c r="I2">
        <f t="shared" ref="I2:I9" si="0">ABS($N$15*(G2)+$O$15)</f>
        <v>53.947000000000003</v>
      </c>
      <c r="J2">
        <f t="shared" ref="J2:J9" si="1">$N$17*F2</f>
        <v>0.53553255903195107</v>
      </c>
    </row>
    <row r="3" spans="1:16" x14ac:dyDescent="0.25">
      <c r="A3">
        <v>100</v>
      </c>
      <c r="B3">
        <v>5</v>
      </c>
      <c r="C3">
        <v>-100.065008118487</v>
      </c>
      <c r="D3">
        <v>0.120741886546518</v>
      </c>
      <c r="E3">
        <v>8.7840884510241199</v>
      </c>
      <c r="F3">
        <v>8.6479410488165695E-2</v>
      </c>
      <c r="G3">
        <f t="shared" ref="G3:G9" si="2">E3-$E$2</f>
        <v>-0.74032047747551921</v>
      </c>
      <c r="I3">
        <f t="shared" si="0"/>
        <v>58.033124843378381</v>
      </c>
      <c r="J3">
        <f t="shared" si="1"/>
        <v>0.47731445824838176</v>
      </c>
    </row>
    <row r="4" spans="1:16" x14ac:dyDescent="0.25">
      <c r="A4">
        <f t="shared" ref="A4:A9" si="3">A3+100</f>
        <v>200</v>
      </c>
      <c r="B4">
        <v>7</v>
      </c>
      <c r="C4">
        <v>-200.01005748816399</v>
      </c>
      <c r="D4">
        <v>9.8198695661850896E-2</v>
      </c>
      <c r="E4">
        <v>7.2414664615087903</v>
      </c>
      <c r="F4">
        <v>8.75824866780823E-2</v>
      </c>
      <c r="G4">
        <f t="shared" si="2"/>
        <v>-2.2829424669908489</v>
      </c>
      <c r="I4">
        <f t="shared" si="0"/>
        <v>66.547472652309295</v>
      </c>
      <c r="J4">
        <f t="shared" si="1"/>
        <v>0.48340277697100748</v>
      </c>
    </row>
    <row r="5" spans="1:16" x14ac:dyDescent="0.25">
      <c r="A5">
        <f t="shared" si="3"/>
        <v>300</v>
      </c>
      <c r="B5">
        <v>9</v>
      </c>
      <c r="C5">
        <v>-300.00008072715798</v>
      </c>
      <c r="D5">
        <v>9.6868115253876605E-2</v>
      </c>
      <c r="E5">
        <v>5.7534354444087201</v>
      </c>
      <c r="F5">
        <v>8.9554918102297806E-2</v>
      </c>
      <c r="G5">
        <f t="shared" si="2"/>
        <v>-3.770973484090919</v>
      </c>
      <c r="I5">
        <f t="shared" si="0"/>
        <v>74.760511048091416</v>
      </c>
      <c r="J5">
        <f t="shared" si="1"/>
        <v>0.49428941497382251</v>
      </c>
    </row>
    <row r="6" spans="1:16" x14ac:dyDescent="0.25">
      <c r="A6">
        <f t="shared" si="3"/>
        <v>400</v>
      </c>
      <c r="B6">
        <v>11</v>
      </c>
      <c r="C6">
        <v>-400.02130646081099</v>
      </c>
      <c r="D6">
        <v>0.11447581582656099</v>
      </c>
      <c r="E6">
        <v>4.43269456052934</v>
      </c>
      <c r="F6">
        <v>9.3627549657888401E-2</v>
      </c>
      <c r="G6">
        <f t="shared" si="2"/>
        <v>-5.0917143679702992</v>
      </c>
      <c r="I6">
        <f t="shared" si="0"/>
        <v>82.050208282575269</v>
      </c>
      <c r="J6">
        <f t="shared" si="1"/>
        <v>0.51676789758174924</v>
      </c>
    </row>
    <row r="7" spans="1:16" x14ac:dyDescent="0.25">
      <c r="A7">
        <f t="shared" si="3"/>
        <v>500</v>
      </c>
      <c r="B7">
        <v>13</v>
      </c>
      <c r="C7">
        <v>-500.01624268687198</v>
      </c>
      <c r="D7">
        <v>0.11987048267004</v>
      </c>
      <c r="E7">
        <v>3.20428592892033</v>
      </c>
      <c r="F7">
        <v>8.3891129433390804E-2</v>
      </c>
      <c r="G7">
        <f t="shared" si="2"/>
        <v>-6.3201229995793096</v>
      </c>
      <c r="I7">
        <f t="shared" si="0"/>
        <v>88.830286883878046</v>
      </c>
      <c r="J7">
        <f t="shared" si="1"/>
        <v>0.46302869979465722</v>
      </c>
    </row>
    <row r="8" spans="1:16" x14ac:dyDescent="0.25">
      <c r="A8">
        <f t="shared" si="3"/>
        <v>600</v>
      </c>
      <c r="B8">
        <v>15</v>
      </c>
      <c r="C8">
        <v>-600.01845421602002</v>
      </c>
      <c r="D8">
        <v>0.10800641082765</v>
      </c>
      <c r="E8">
        <v>2.15889933436508</v>
      </c>
      <c r="F8">
        <v>5.5718320289611302E-2</v>
      </c>
      <c r="G8">
        <f t="shared" si="2"/>
        <v>-7.3655095941345596</v>
      </c>
      <c r="I8">
        <f t="shared" si="0"/>
        <v>94.600193653866285</v>
      </c>
      <c r="J8">
        <f t="shared" si="1"/>
        <v>0.30753169700648064</v>
      </c>
    </row>
    <row r="9" spans="1:16" x14ac:dyDescent="0.25">
      <c r="A9">
        <f t="shared" si="3"/>
        <v>700</v>
      </c>
      <c r="B9">
        <v>17</v>
      </c>
      <c r="C9">
        <v>-700.03203970069603</v>
      </c>
      <c r="D9">
        <v>0.11370191882658701</v>
      </c>
      <c r="E9">
        <v>1.2201936543941201</v>
      </c>
      <c r="F9">
        <v>6.3059232009147898E-2</v>
      </c>
      <c r="G9">
        <f t="shared" si="2"/>
        <v>-8.3042152741055197</v>
      </c>
      <c r="I9">
        <f t="shared" si="0"/>
        <v>99.781285783897999</v>
      </c>
      <c r="J9">
        <f t="shared" si="1"/>
        <v>0.34804912515129088</v>
      </c>
    </row>
    <row r="12" spans="1:16" x14ac:dyDescent="0.25">
      <c r="N12">
        <v>2.7597</v>
      </c>
      <c r="O12">
        <v>-53.947000000000003</v>
      </c>
      <c r="P12">
        <v>55.694000000000003</v>
      </c>
    </row>
    <row r="15" spans="1:16" x14ac:dyDescent="0.25">
      <c r="N15">
        <f>2*N12</f>
        <v>5.5194000000000001</v>
      </c>
      <c r="O15">
        <f>O12</f>
        <v>-53.947000000000003</v>
      </c>
    </row>
    <row r="17" spans="14:14" x14ac:dyDescent="0.25">
      <c r="N17">
        <f>N15</f>
        <v>5.5194000000000001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3545-A6AE-45A1-86F9-AFDA575E5D2F}">
  <dimension ref="A1:Q12"/>
  <sheetViews>
    <sheetView zoomScale="120" zoomScaleNormal="120" workbookViewId="0">
      <selection activeCell="I2" sqref="I2"/>
    </sheetView>
  </sheetViews>
  <sheetFormatPr defaultColWidth="8.85546875" defaultRowHeight="15" x14ac:dyDescent="0.25"/>
  <cols>
    <col min="9" max="9" width="16" bestFit="1" customWidth="1"/>
    <col min="10" max="10" width="17.42578125" customWidth="1"/>
    <col min="11" max="11" width="16" bestFit="1" customWidth="1"/>
  </cols>
  <sheetData>
    <row r="1" spans="1:17" x14ac:dyDescent="0.25">
      <c r="B1" t="s">
        <v>7</v>
      </c>
      <c r="C1" t="s">
        <v>6</v>
      </c>
      <c r="D1" t="s">
        <v>5</v>
      </c>
      <c r="E1" t="s">
        <v>4</v>
      </c>
      <c r="F1" t="s">
        <v>3</v>
      </c>
      <c r="G1" t="s">
        <v>2</v>
      </c>
      <c r="I1" t="s">
        <v>1</v>
      </c>
      <c r="J1" t="s">
        <v>0</v>
      </c>
    </row>
    <row r="2" spans="1:17" x14ac:dyDescent="0.25">
      <c r="A2">
        <v>50</v>
      </c>
      <c r="B2">
        <v>3</v>
      </c>
      <c r="C2">
        <v>-50.024746727190802</v>
      </c>
      <c r="D2">
        <v>0.12974857398960901</v>
      </c>
      <c r="E2">
        <v>16.305818290386799</v>
      </c>
      <c r="F2">
        <v>3.99099237036768</v>
      </c>
      <c r="G2">
        <f t="shared" ref="G2:G8" si="0">ABS(E2-$E$2)</f>
        <v>0</v>
      </c>
      <c r="I2">
        <f t="shared" ref="I2:I9" si="1">ABS($P$12*G2+$Q$12)</f>
        <v>32.399000000000001</v>
      </c>
      <c r="J2">
        <f t="shared" ref="J2:J9" si="2">$P$12*F2</f>
        <v>30.602131297505295</v>
      </c>
    </row>
    <row r="3" spans="1:17" x14ac:dyDescent="0.25">
      <c r="A3">
        <v>100</v>
      </c>
      <c r="B3">
        <v>5</v>
      </c>
      <c r="C3">
        <v>-100.018700502027</v>
      </c>
      <c r="D3">
        <v>0.11373901653947301</v>
      </c>
      <c r="E3">
        <v>15.112313024170801</v>
      </c>
      <c r="F3">
        <v>3.8906681970313799</v>
      </c>
      <c r="G3">
        <f t="shared" si="0"/>
        <v>1.1935052662159986</v>
      </c>
      <c r="I3">
        <f t="shared" si="1"/>
        <v>41.55055968029103</v>
      </c>
      <c r="J3">
        <f t="shared" si="2"/>
        <v>29.832865601197213</v>
      </c>
    </row>
    <row r="4" spans="1:17" x14ac:dyDescent="0.25">
      <c r="A4">
        <f t="shared" ref="A4:A9" si="3">A3+100</f>
        <v>200</v>
      </c>
      <c r="B4">
        <v>7</v>
      </c>
      <c r="C4">
        <v>-200.007874700158</v>
      </c>
      <c r="D4">
        <v>9.5567716438589995E-2</v>
      </c>
      <c r="E4">
        <v>13.1149319733331</v>
      </c>
      <c r="F4">
        <v>3.7213064956340398</v>
      </c>
      <c r="G4">
        <f t="shared" si="0"/>
        <v>3.1908863170536996</v>
      </c>
      <c r="I4">
        <f t="shared" si="1"/>
        <v>56.866078101904357</v>
      </c>
      <c r="J4">
        <f t="shared" si="2"/>
        <v>28.534233947222688</v>
      </c>
    </row>
    <row r="5" spans="1:17" x14ac:dyDescent="0.25">
      <c r="A5">
        <f t="shared" si="3"/>
        <v>300</v>
      </c>
      <c r="B5">
        <v>9</v>
      </c>
      <c r="C5">
        <v>-300.01098243039701</v>
      </c>
      <c r="D5">
        <v>9.75869786227513E-2</v>
      </c>
      <c r="E5">
        <v>11.538383225938899</v>
      </c>
      <c r="F5">
        <v>3.6000039418993799</v>
      </c>
      <c r="G5">
        <f t="shared" si="0"/>
        <v>4.7674350644479002</v>
      </c>
      <c r="I5">
        <f t="shared" si="1"/>
        <v>68.954738587173608</v>
      </c>
      <c r="J5">
        <f t="shared" si="2"/>
        <v>27.604110225696065</v>
      </c>
    </row>
    <row r="6" spans="1:17" x14ac:dyDescent="0.25">
      <c r="A6">
        <f t="shared" si="3"/>
        <v>400</v>
      </c>
      <c r="B6">
        <v>11</v>
      </c>
      <c r="C6">
        <v>-400.00270555847402</v>
      </c>
      <c r="D6">
        <v>0.101092481464918</v>
      </c>
      <c r="E6">
        <v>10.1311657369563</v>
      </c>
      <c r="F6">
        <v>3.5436864407536901</v>
      </c>
      <c r="G6">
        <f t="shared" si="0"/>
        <v>6.1746525534304997</v>
      </c>
      <c r="I6">
        <f t="shared" si="1"/>
        <v>79.745000849194383</v>
      </c>
      <c r="J6">
        <f t="shared" si="2"/>
        <v>27.172278890411143</v>
      </c>
    </row>
    <row r="7" spans="1:17" x14ac:dyDescent="0.25">
      <c r="A7">
        <f t="shared" si="3"/>
        <v>500</v>
      </c>
      <c r="B7">
        <v>13</v>
      </c>
      <c r="C7">
        <v>-500.00286719664899</v>
      </c>
      <c r="D7">
        <v>0.111775077914989</v>
      </c>
      <c r="E7">
        <v>8.8267461478215896</v>
      </c>
      <c r="F7">
        <v>3.6619242449726599</v>
      </c>
      <c r="G7">
        <f t="shared" si="0"/>
        <v>7.4790721425652098</v>
      </c>
      <c r="I7">
        <f t="shared" si="1"/>
        <v>89.747029374761524</v>
      </c>
      <c r="J7">
        <f t="shared" si="2"/>
        <v>28.07890272560136</v>
      </c>
    </row>
    <row r="8" spans="1:17" x14ac:dyDescent="0.25">
      <c r="A8">
        <f t="shared" si="3"/>
        <v>600</v>
      </c>
      <c r="B8">
        <v>15</v>
      </c>
      <c r="C8">
        <v>-600.00803330501196</v>
      </c>
      <c r="D8">
        <v>0.102646350614072</v>
      </c>
      <c r="E8">
        <v>7.8015443926422696</v>
      </c>
      <c r="F8">
        <v>3.7706467359353799</v>
      </c>
      <c r="G8">
        <f t="shared" si="0"/>
        <v>8.5042738977445289</v>
      </c>
      <c r="I8">
        <f t="shared" si="1"/>
        <v>97.608071393125499</v>
      </c>
      <c r="J8">
        <f t="shared" si="2"/>
        <v>28.912565041805305</v>
      </c>
    </row>
    <row r="9" spans="1:17" x14ac:dyDescent="0.25">
      <c r="A9">
        <f t="shared" si="3"/>
        <v>700</v>
      </c>
      <c r="B9">
        <v>17</v>
      </c>
      <c r="C9">
        <v>-700.01146865754299</v>
      </c>
      <c r="D9">
        <v>0.117051635339115</v>
      </c>
      <c r="E9">
        <v>6.9806971121583397</v>
      </c>
      <c r="F9">
        <v>3.8186408220661101</v>
      </c>
      <c r="G9">
        <f>ABS(E9-$E$2)</f>
        <v>9.3251211782284606</v>
      </c>
      <c r="I9">
        <f t="shared" si="1"/>
        <v>103.90216417042019</v>
      </c>
      <c r="J9">
        <f t="shared" si="2"/>
        <v>29.280574095438517</v>
      </c>
    </row>
    <row r="12" spans="1:17" x14ac:dyDescent="0.25">
      <c r="P12">
        <f>3.8339*2</f>
        <v>7.6677999999999997</v>
      </c>
      <c r="Q12">
        <v>32.399000000000001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BEAF-BEAA-440D-BFE5-9EEFE4057579}">
  <dimension ref="A1:T17"/>
  <sheetViews>
    <sheetView zoomScale="115" zoomScaleNormal="115" workbookViewId="0">
      <selection activeCell="Q8" sqref="Q8"/>
    </sheetView>
  </sheetViews>
  <sheetFormatPr defaultColWidth="8.85546875" defaultRowHeight="15" x14ac:dyDescent="0.25"/>
  <cols>
    <col min="9" max="9" width="16" bestFit="1" customWidth="1"/>
  </cols>
  <sheetData>
    <row r="1" spans="1:20" x14ac:dyDescent="0.25">
      <c r="B1" t="s">
        <v>7</v>
      </c>
      <c r="C1" t="s">
        <v>6</v>
      </c>
      <c r="D1" t="s">
        <v>5</v>
      </c>
      <c r="E1" t="s">
        <v>4</v>
      </c>
      <c r="F1" t="s">
        <v>3</v>
      </c>
      <c r="G1" t="s">
        <v>2</v>
      </c>
      <c r="I1" t="s">
        <v>1</v>
      </c>
      <c r="J1" t="s">
        <v>0</v>
      </c>
    </row>
    <row r="2" spans="1:20" x14ac:dyDescent="0.25">
      <c r="A2">
        <v>50</v>
      </c>
      <c r="B2">
        <v>3</v>
      </c>
      <c r="C2">
        <v>-50.0660379738462</v>
      </c>
      <c r="D2">
        <v>0.16664256002043601</v>
      </c>
      <c r="E2">
        <v>16.6639908715327</v>
      </c>
      <c r="F2">
        <v>0.26887838932819802</v>
      </c>
      <c r="G2">
        <v>0</v>
      </c>
      <c r="I2">
        <f t="shared" ref="I2:I9" si="0">ABS($R$12*(G2)+$S$12)</f>
        <v>20.641999999999999</v>
      </c>
      <c r="J2">
        <f t="shared" ref="J2:J9" si="1">$R$17*F2</f>
        <v>1.1221908457001675</v>
      </c>
      <c r="M2">
        <f t="shared" ref="M2:M9" si="2">-9.4206*(G2^2)-49.708*(G2)-115.46</f>
        <v>-115.46</v>
      </c>
    </row>
    <row r="3" spans="1:20" x14ac:dyDescent="0.25">
      <c r="A3">
        <v>100</v>
      </c>
      <c r="B3">
        <v>5</v>
      </c>
      <c r="C3">
        <v>-100.001383572816</v>
      </c>
      <c r="D3">
        <v>0.108252639462524</v>
      </c>
      <c r="E3">
        <v>15.0639698606804</v>
      </c>
      <c r="F3">
        <v>0.20965202660544599</v>
      </c>
      <c r="G3">
        <f t="shared" ref="G3:G9" si="3">E3-$E$2</f>
        <v>-1.6000210108523003</v>
      </c>
      <c r="I3">
        <f t="shared" si="0"/>
        <v>32.248552412722589</v>
      </c>
      <c r="J3">
        <f t="shared" si="1"/>
        <v>0.87500369824048951</v>
      </c>
      <c r="M3">
        <f t="shared" si="2"/>
        <v>-60.043524988185212</v>
      </c>
    </row>
    <row r="4" spans="1:20" x14ac:dyDescent="0.25">
      <c r="A4">
        <f t="shared" ref="A4:A9" si="4">A3+100</f>
        <v>200</v>
      </c>
      <c r="B4">
        <v>7</v>
      </c>
      <c r="C4">
        <v>-200.01781911482399</v>
      </c>
      <c r="D4">
        <v>8.38216181675695E-2</v>
      </c>
      <c r="E4">
        <v>12.7964461911386</v>
      </c>
      <c r="F4">
        <v>0.14010518869271499</v>
      </c>
      <c r="G4">
        <f t="shared" si="3"/>
        <v>-3.8675446803941007</v>
      </c>
      <c r="I4">
        <f t="shared" si="0"/>
        <v>48.697169111578802</v>
      </c>
      <c r="J4">
        <f t="shared" si="1"/>
        <v>0.5847430155279153</v>
      </c>
      <c r="M4">
        <f t="shared" si="2"/>
        <v>-64.124499240720084</v>
      </c>
    </row>
    <row r="5" spans="1:20" x14ac:dyDescent="0.25">
      <c r="A5">
        <f t="shared" si="4"/>
        <v>300</v>
      </c>
      <c r="B5">
        <v>9</v>
      </c>
      <c r="C5">
        <v>-300.027020363453</v>
      </c>
      <c r="D5">
        <v>8.9596686077434595E-2</v>
      </c>
      <c r="E5">
        <v>10.936764918645499</v>
      </c>
      <c r="F5">
        <v>0.16399280694433899</v>
      </c>
      <c r="G5">
        <f t="shared" si="3"/>
        <v>-5.7272259528872009</v>
      </c>
      <c r="I5">
        <f t="shared" si="0"/>
        <v>62.187297062243758</v>
      </c>
      <c r="J5">
        <f t="shared" si="1"/>
        <v>0.68444037906289323</v>
      </c>
      <c r="M5">
        <f t="shared" si="2"/>
        <v>-139.77725623145301</v>
      </c>
    </row>
    <row r="6" spans="1:20" x14ac:dyDescent="0.25">
      <c r="A6">
        <f t="shared" si="4"/>
        <v>400</v>
      </c>
      <c r="B6">
        <v>11</v>
      </c>
      <c r="C6">
        <v>-400.00069448524602</v>
      </c>
      <c r="D6">
        <v>9.3674367332836406E-2</v>
      </c>
      <c r="E6">
        <v>9.2926206389455892</v>
      </c>
      <c r="F6">
        <v>0.198076466200623</v>
      </c>
      <c r="G6">
        <f t="shared" si="3"/>
        <v>-7.3713702325871111</v>
      </c>
      <c r="I6">
        <f t="shared" si="0"/>
        <v>74.113919667186906</v>
      </c>
      <c r="J6">
        <f t="shared" si="1"/>
        <v>0.82669193933492024</v>
      </c>
      <c r="M6">
        <f t="shared" si="2"/>
        <v>-260.9320043153316</v>
      </c>
    </row>
    <row r="7" spans="1:20" x14ac:dyDescent="0.25">
      <c r="A7">
        <f t="shared" si="4"/>
        <v>500</v>
      </c>
      <c r="B7">
        <v>13</v>
      </c>
      <c r="C7">
        <v>-499.99579271352599</v>
      </c>
      <c r="D7">
        <v>9.4457221232693206E-2</v>
      </c>
      <c r="E7">
        <v>7.8721711650236799</v>
      </c>
      <c r="F7">
        <v>0.18009308320356399</v>
      </c>
      <c r="G7">
        <f t="shared" si="3"/>
        <v>-8.7918197065090204</v>
      </c>
      <c r="I7">
        <f t="shared" si="0"/>
        <v>84.417860151016427</v>
      </c>
      <c r="J7">
        <f t="shared" si="1"/>
        <v>0.75163649205839478</v>
      </c>
      <c r="M7">
        <f t="shared" si="2"/>
        <v>-406.61180682668322</v>
      </c>
    </row>
    <row r="8" spans="1:20" x14ac:dyDescent="0.25">
      <c r="A8">
        <f t="shared" si="4"/>
        <v>600</v>
      </c>
      <c r="B8">
        <v>15</v>
      </c>
      <c r="C8">
        <v>-600.00914039244503</v>
      </c>
      <c r="D8">
        <v>9.4314079680350604E-2</v>
      </c>
      <c r="E8">
        <v>6.7962499479384997</v>
      </c>
      <c r="F8">
        <v>0.15151395522845701</v>
      </c>
      <c r="G8">
        <f t="shared" si="3"/>
        <v>-9.8677409235942015</v>
      </c>
      <c r="I8">
        <f t="shared" si="0"/>
        <v>92.222592659752323</v>
      </c>
      <c r="J8">
        <f t="shared" si="1"/>
        <v>0.63235864354148819</v>
      </c>
      <c r="M8">
        <f t="shared" si="2"/>
        <v>-542.25992656589608</v>
      </c>
    </row>
    <row r="9" spans="1:20" x14ac:dyDescent="0.25">
      <c r="A9">
        <f t="shared" si="4"/>
        <v>700</v>
      </c>
      <c r="B9">
        <v>17</v>
      </c>
      <c r="C9">
        <v>-700.015709104557</v>
      </c>
      <c r="D9">
        <v>0.106782912666523</v>
      </c>
      <c r="E9">
        <v>6.1123364918868699</v>
      </c>
      <c r="F9">
        <v>0.13914677263644001</v>
      </c>
      <c r="G9">
        <f t="shared" si="3"/>
        <v>-10.55165437964583</v>
      </c>
      <c r="I9">
        <f t="shared" si="0"/>
        <v>97.18370086995084</v>
      </c>
      <c r="J9">
        <f t="shared" si="1"/>
        <v>0.58074297027544608</v>
      </c>
      <c r="M9">
        <f t="shared" si="2"/>
        <v>-639.82357013209446</v>
      </c>
    </row>
    <row r="12" spans="1:20" x14ac:dyDescent="0.25">
      <c r="R12">
        <f>3.627*2</f>
        <v>7.2539999999999996</v>
      </c>
      <c r="S12">
        <v>-20.641999999999999</v>
      </c>
      <c r="T12">
        <v>52.277999999999999</v>
      </c>
    </row>
    <row r="15" spans="1:20" x14ac:dyDescent="0.25">
      <c r="R15">
        <f>2*R12</f>
        <v>14.507999999999999</v>
      </c>
      <c r="S15">
        <f>S12</f>
        <v>-20.641999999999999</v>
      </c>
    </row>
    <row r="17" spans="18:18" x14ac:dyDescent="0.25">
      <c r="R17">
        <v>4.1736000000000004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FE6A-5EAC-42C8-BE5A-3B056A5414EC}">
  <dimension ref="A1:R16"/>
  <sheetViews>
    <sheetView zoomScale="115" zoomScaleNormal="115" workbookViewId="0">
      <selection activeCell="M6" sqref="M6"/>
    </sheetView>
  </sheetViews>
  <sheetFormatPr defaultColWidth="8.85546875" defaultRowHeight="15" x14ac:dyDescent="0.25"/>
  <cols>
    <col min="9" max="9" width="16" bestFit="1" customWidth="1"/>
  </cols>
  <sheetData>
    <row r="1" spans="1:18" x14ac:dyDescent="0.25">
      <c r="B1" t="s">
        <v>7</v>
      </c>
      <c r="C1" t="s">
        <v>6</v>
      </c>
      <c r="D1" t="s">
        <v>5</v>
      </c>
      <c r="E1" t="s">
        <v>4</v>
      </c>
      <c r="F1" t="s">
        <v>3</v>
      </c>
      <c r="G1" t="s">
        <v>2</v>
      </c>
      <c r="I1" t="s">
        <v>1</v>
      </c>
      <c r="J1" t="s">
        <v>0</v>
      </c>
    </row>
    <row r="2" spans="1:18" x14ac:dyDescent="0.25">
      <c r="A2">
        <v>50</v>
      </c>
      <c r="B2">
        <v>3</v>
      </c>
      <c r="C2">
        <v>-50.001980826599997</v>
      </c>
      <c r="D2">
        <v>8.8345892943845095E-2</v>
      </c>
      <c r="E2">
        <v>10.3197020207802</v>
      </c>
      <c r="F2">
        <v>1.4488648109434501</v>
      </c>
      <c r="G2">
        <v>0</v>
      </c>
      <c r="I2">
        <f t="shared" ref="I2:I9" si="0">ABS($P$11*(G2)+$Q$11)</f>
        <v>67.260999999999996</v>
      </c>
      <c r="J2">
        <f t="shared" ref="J2:J9" si="1">$P$16*F2</f>
        <v>13.095419707231278</v>
      </c>
    </row>
    <row r="3" spans="1:18" x14ac:dyDescent="0.25">
      <c r="A3">
        <v>100</v>
      </c>
      <c r="B3">
        <v>5</v>
      </c>
      <c r="C3">
        <v>-100.013220004743</v>
      </c>
      <c r="D3">
        <v>9.6064375228662305E-2</v>
      </c>
      <c r="E3">
        <v>9.5447076183919002</v>
      </c>
      <c r="F3">
        <v>1.1906413559120299</v>
      </c>
      <c r="G3">
        <f t="shared" ref="G3:G9" si="2">E3-$E$2</f>
        <v>-0.77499440238829997</v>
      </c>
      <c r="I3">
        <f t="shared" si="0"/>
        <v>70.763354703273194</v>
      </c>
      <c r="J3">
        <f t="shared" si="1"/>
        <v>10.761492831275291</v>
      </c>
    </row>
    <row r="4" spans="1:18" x14ac:dyDescent="0.25">
      <c r="A4">
        <f t="shared" ref="A4:A9" si="3">A3+100</f>
        <v>200</v>
      </c>
      <c r="B4">
        <v>7</v>
      </c>
      <c r="C4">
        <v>-200.00465374749101</v>
      </c>
      <c r="D4">
        <v>9.5363037726755695E-2</v>
      </c>
      <c r="E4">
        <v>8.1430422141855594</v>
      </c>
      <c r="F4">
        <v>0.67238463396436299</v>
      </c>
      <c r="G4">
        <f t="shared" si="2"/>
        <v>-2.1766598065946408</v>
      </c>
      <c r="I4">
        <f t="shared" si="0"/>
        <v>77.097760997962496</v>
      </c>
      <c r="J4">
        <f t="shared" si="1"/>
        <v>6.0772812756234984</v>
      </c>
    </row>
    <row r="5" spans="1:18" x14ac:dyDescent="0.25">
      <c r="A5">
        <f t="shared" si="3"/>
        <v>300</v>
      </c>
      <c r="B5">
        <v>9</v>
      </c>
      <c r="C5">
        <v>-299.99644095777501</v>
      </c>
      <c r="D5">
        <v>0.10507494671088299</v>
      </c>
      <c r="E5">
        <v>6.9701011995248399</v>
      </c>
      <c r="F5">
        <v>0.63828505996386597</v>
      </c>
      <c r="G5">
        <f t="shared" si="2"/>
        <v>-3.3496008212553603</v>
      </c>
      <c r="I5">
        <f t="shared" si="0"/>
        <v>82.398516031417216</v>
      </c>
      <c r="J5">
        <f t="shared" si="1"/>
        <v>5.7690756859774055</v>
      </c>
    </row>
    <row r="6" spans="1:18" x14ac:dyDescent="0.25">
      <c r="A6">
        <f t="shared" si="3"/>
        <v>400</v>
      </c>
      <c r="B6">
        <v>11</v>
      </c>
      <c r="C6">
        <v>-399.99551508898202</v>
      </c>
      <c r="D6">
        <v>0.118050367431485</v>
      </c>
      <c r="E6">
        <v>5.8787747068379899</v>
      </c>
      <c r="F6">
        <v>0.60198074995172901</v>
      </c>
      <c r="G6">
        <f t="shared" si="2"/>
        <v>-4.4409273139422103</v>
      </c>
      <c r="I6">
        <f t="shared" si="0"/>
        <v>87.330438717167624</v>
      </c>
      <c r="J6">
        <f t="shared" si="1"/>
        <v>5.4409428103637074</v>
      </c>
    </row>
    <row r="7" spans="1:18" x14ac:dyDescent="0.25">
      <c r="A7">
        <f t="shared" si="3"/>
        <v>500</v>
      </c>
      <c r="B7">
        <v>13</v>
      </c>
      <c r="C7">
        <v>-499.99087164215399</v>
      </c>
      <c r="D7">
        <v>0.15547078256401001</v>
      </c>
      <c r="E7">
        <v>4.6213921416841002</v>
      </c>
      <c r="F7">
        <v>0.40574982171509899</v>
      </c>
      <c r="G7">
        <f t="shared" si="2"/>
        <v>-5.6983098790961</v>
      </c>
      <c r="I7">
        <f t="shared" si="0"/>
        <v>93.012802005611093</v>
      </c>
      <c r="J7">
        <f t="shared" si="1"/>
        <v>3.6673291885897505</v>
      </c>
    </row>
    <row r="8" spans="1:18" x14ac:dyDescent="0.25">
      <c r="A8">
        <f t="shared" si="3"/>
        <v>600</v>
      </c>
      <c r="B8">
        <v>15</v>
      </c>
      <c r="C8">
        <v>-600.01895847376397</v>
      </c>
      <c r="D8">
        <v>0.120956098574901</v>
      </c>
      <c r="E8">
        <v>3.5741081148537002</v>
      </c>
      <c r="F8">
        <v>0.26535299354130698</v>
      </c>
      <c r="G8">
        <f t="shared" si="2"/>
        <v>-6.7455939059264995</v>
      </c>
      <c r="I8">
        <f t="shared" si="0"/>
        <v>97.745687979663032</v>
      </c>
      <c r="J8">
        <f t="shared" si="1"/>
        <v>2.398366496823749</v>
      </c>
    </row>
    <row r="9" spans="1:18" x14ac:dyDescent="0.25">
      <c r="A9">
        <f t="shared" si="3"/>
        <v>700</v>
      </c>
      <c r="B9">
        <v>17</v>
      </c>
      <c r="C9">
        <v>-700.02311501185602</v>
      </c>
      <c r="D9">
        <v>0.144376331807723</v>
      </c>
      <c r="E9">
        <v>2.6488886235803699</v>
      </c>
      <c r="F9">
        <v>0.220473747041767</v>
      </c>
      <c r="G9">
        <f t="shared" si="2"/>
        <v>-7.6708133971998302</v>
      </c>
      <c r="I9">
        <f t="shared" si="0"/>
        <v>101.92693990462547</v>
      </c>
      <c r="J9">
        <f t="shared" si="1"/>
        <v>1.9927299152623068</v>
      </c>
    </row>
    <row r="11" spans="1:18" x14ac:dyDescent="0.25">
      <c r="P11">
        <f>2.2596*2</f>
        <v>4.5191999999999997</v>
      </c>
      <c r="Q11">
        <v>-67.260999999999996</v>
      </c>
      <c r="R11">
        <v>54.889000000000003</v>
      </c>
    </row>
    <row r="14" spans="1:18" x14ac:dyDescent="0.25">
      <c r="P14">
        <f>2*P11</f>
        <v>9.0383999999999993</v>
      </c>
      <c r="Q14">
        <f>Q11</f>
        <v>-67.260999999999996</v>
      </c>
    </row>
    <row r="16" spans="1:18" x14ac:dyDescent="0.25">
      <c r="P16">
        <f>P14</f>
        <v>9.0383999999999993</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373D3-D2EA-4845-A6A7-DADF2348CB7A}">
  <dimension ref="A1:P17"/>
  <sheetViews>
    <sheetView topLeftCell="A7" zoomScale="115" zoomScaleNormal="115" workbookViewId="0">
      <selection activeCell="Q23" sqref="Q23"/>
    </sheetView>
  </sheetViews>
  <sheetFormatPr defaultColWidth="8.85546875" defaultRowHeight="15" x14ac:dyDescent="0.25"/>
  <cols>
    <col min="9" max="9" width="16" bestFit="1" customWidth="1"/>
  </cols>
  <sheetData>
    <row r="1" spans="1:16" x14ac:dyDescent="0.25">
      <c r="B1" t="s">
        <v>7</v>
      </c>
      <c r="C1" t="s">
        <v>6</v>
      </c>
      <c r="D1" t="s">
        <v>5</v>
      </c>
      <c r="E1" t="s">
        <v>4</v>
      </c>
      <c r="F1" t="s">
        <v>3</v>
      </c>
      <c r="G1" t="s">
        <v>2</v>
      </c>
      <c r="I1" t="s">
        <v>1</v>
      </c>
      <c r="J1" t="s">
        <v>0</v>
      </c>
    </row>
    <row r="2" spans="1:16" x14ac:dyDescent="0.25">
      <c r="A2">
        <v>50</v>
      </c>
      <c r="B2">
        <v>3</v>
      </c>
      <c r="C2">
        <v>-50.016282257332797</v>
      </c>
      <c r="D2">
        <v>0.168656636605648</v>
      </c>
      <c r="E2">
        <v>21.263244729381999</v>
      </c>
      <c r="F2">
        <v>0.13396325344857801</v>
      </c>
      <c r="G2">
        <v>0</v>
      </c>
      <c r="I2">
        <f t="shared" ref="I2:I9" si="0">ABS($N$15*(G2)+$O$15)</f>
        <v>29.16</v>
      </c>
      <c r="J2">
        <f t="shared" ref="J2:J9" si="1">$N$17*F2</f>
        <v>2.6948583916729745</v>
      </c>
    </row>
    <row r="3" spans="1:16" x14ac:dyDescent="0.25">
      <c r="A3">
        <v>100</v>
      </c>
      <c r="B3">
        <v>5</v>
      </c>
      <c r="C3">
        <v>-100.04770961926</v>
      </c>
      <c r="D3">
        <v>0.14272999529531399</v>
      </c>
      <c r="E3">
        <v>20.222981690197798</v>
      </c>
      <c r="F3">
        <v>0.121712572285655</v>
      </c>
      <c r="G3">
        <f t="shared" ref="G3:G9" si="2">E3-$E$2</f>
        <v>-1.0402630391842003</v>
      </c>
      <c r="I3">
        <f t="shared" si="0"/>
        <v>50.086347401445046</v>
      </c>
      <c r="J3">
        <f t="shared" si="1"/>
        <v>2.4484187891271501</v>
      </c>
    </row>
    <row r="4" spans="1:16" x14ac:dyDescent="0.25">
      <c r="A4">
        <f t="shared" ref="A4:A9" si="3">A3+100</f>
        <v>200</v>
      </c>
      <c r="B4">
        <v>7</v>
      </c>
      <c r="C4">
        <v>-199.99914977095801</v>
      </c>
      <c r="D4">
        <v>0.11148483701624901</v>
      </c>
      <c r="E4">
        <v>18.251919938712799</v>
      </c>
      <c r="F4">
        <v>0.13430175239464701</v>
      </c>
      <c r="G4">
        <f t="shared" si="2"/>
        <v>-3.0113247906691996</v>
      </c>
      <c r="I4">
        <f t="shared" si="0"/>
        <v>89.737014019017877</v>
      </c>
      <c r="J4">
        <f t="shared" si="1"/>
        <v>2.7016677718716768</v>
      </c>
    </row>
    <row r="5" spans="1:16" x14ac:dyDescent="0.25">
      <c r="A5">
        <f t="shared" si="3"/>
        <v>300</v>
      </c>
      <c r="B5">
        <v>9</v>
      </c>
      <c r="C5">
        <v>-300.008012861834</v>
      </c>
      <c r="D5">
        <v>9.8785565018261107E-2</v>
      </c>
      <c r="E5">
        <v>16.684443089205502</v>
      </c>
      <c r="F5">
        <v>0.14698929956837001</v>
      </c>
      <c r="G5">
        <f t="shared" si="2"/>
        <v>-4.578801640176497</v>
      </c>
      <c r="I5">
        <f t="shared" si="0"/>
        <v>121.26900531444647</v>
      </c>
      <c r="J5">
        <f t="shared" si="1"/>
        <v>2.9568955458371584</v>
      </c>
    </row>
    <row r="6" spans="1:16" x14ac:dyDescent="0.25">
      <c r="A6">
        <f t="shared" si="3"/>
        <v>400</v>
      </c>
      <c r="B6">
        <v>11</v>
      </c>
      <c r="C6">
        <v>-400.01067859194501</v>
      </c>
      <c r="D6">
        <v>9.4662423980899996E-2</v>
      </c>
      <c r="E6">
        <v>15.336020841272299</v>
      </c>
      <c r="F6">
        <v>0.14059469948814499</v>
      </c>
      <c r="G6">
        <f t="shared" si="2"/>
        <v>-5.9272238881096992</v>
      </c>
      <c r="I6">
        <f t="shared" si="0"/>
        <v>148.39440662276996</v>
      </c>
      <c r="J6">
        <f t="shared" si="1"/>
        <v>2.8282592127833195</v>
      </c>
    </row>
    <row r="7" spans="1:16" x14ac:dyDescent="0.25">
      <c r="A7">
        <f t="shared" si="3"/>
        <v>500</v>
      </c>
      <c r="B7">
        <v>13</v>
      </c>
      <c r="C7">
        <v>-500.01955910452699</v>
      </c>
      <c r="D7">
        <v>9.9099357841409899E-2</v>
      </c>
      <c r="E7">
        <v>14.228240935666101</v>
      </c>
      <c r="F7">
        <v>0.14980562409540199</v>
      </c>
      <c r="G7">
        <f t="shared" si="2"/>
        <v>-7.035003793715898</v>
      </c>
      <c r="I7">
        <f t="shared" si="0"/>
        <v>170.67895031590649</v>
      </c>
      <c r="J7">
        <f t="shared" si="1"/>
        <v>3.0135498565527445</v>
      </c>
    </row>
    <row r="8" spans="1:16" x14ac:dyDescent="0.25">
      <c r="A8">
        <f t="shared" si="3"/>
        <v>600</v>
      </c>
      <c r="B8">
        <v>15</v>
      </c>
      <c r="C8">
        <v>-599.99719430782</v>
      </c>
      <c r="D8">
        <v>9.5616398533008004E-2</v>
      </c>
      <c r="E8">
        <v>13.3977918683953</v>
      </c>
      <c r="F8">
        <v>0.14258717363116599</v>
      </c>
      <c r="G8">
        <f t="shared" si="2"/>
        <v>-7.8654528609866983</v>
      </c>
      <c r="I8">
        <f t="shared" si="0"/>
        <v>187.3845959327528</v>
      </c>
      <c r="J8">
        <f t="shared" si="1"/>
        <v>2.8683406196339876</v>
      </c>
    </row>
    <row r="9" spans="1:16" x14ac:dyDescent="0.25">
      <c r="A9">
        <f t="shared" si="3"/>
        <v>700</v>
      </c>
      <c r="B9">
        <v>17</v>
      </c>
      <c r="C9">
        <v>-699.99792896600104</v>
      </c>
      <c r="D9">
        <v>0.10513711413295999</v>
      </c>
      <c r="E9">
        <v>12.5676417384188</v>
      </c>
      <c r="F9">
        <v>6.6558378751643693E-2</v>
      </c>
      <c r="G9">
        <f t="shared" si="2"/>
        <v>-8.6956029909631987</v>
      </c>
      <c r="I9">
        <f t="shared" si="0"/>
        <v>204.08422800741207</v>
      </c>
      <c r="J9">
        <f t="shared" si="1"/>
        <v>1.3389149703195651</v>
      </c>
    </row>
    <row r="12" spans="1:16" x14ac:dyDescent="0.25">
      <c r="N12">
        <f>5.0291*2</f>
        <v>10.058199999999999</v>
      </c>
      <c r="O12">
        <v>-29.16</v>
      </c>
      <c r="P12">
        <v>55.694000000000003</v>
      </c>
    </row>
    <row r="15" spans="1:16" x14ac:dyDescent="0.25">
      <c r="N15">
        <f>2*N12</f>
        <v>20.116399999999999</v>
      </c>
      <c r="O15">
        <f>O12</f>
        <v>-29.16</v>
      </c>
    </row>
    <row r="17" spans="14:14" x14ac:dyDescent="0.25">
      <c r="N17">
        <f>N15</f>
        <v>20.116399999999999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58BE-6FF0-4043-93F3-11168E84A861}">
  <dimension ref="A1:J9"/>
  <sheetViews>
    <sheetView zoomScale="115" zoomScaleNormal="115" workbookViewId="0">
      <selection activeCell="K19" sqref="K19"/>
    </sheetView>
  </sheetViews>
  <sheetFormatPr defaultColWidth="8.85546875" defaultRowHeight="15" x14ac:dyDescent="0.25"/>
  <cols>
    <col min="9" max="9" width="16" bestFit="1" customWidth="1"/>
    <col min="10" max="10" width="17.42578125" customWidth="1"/>
    <col min="11" max="11" width="16" bestFit="1" customWidth="1"/>
  </cols>
  <sheetData>
    <row r="1" spans="1:10" x14ac:dyDescent="0.25">
      <c r="B1" t="s">
        <v>7</v>
      </c>
      <c r="C1" t="s">
        <v>6</v>
      </c>
      <c r="D1" t="s">
        <v>5</v>
      </c>
      <c r="E1" t="s">
        <v>4</v>
      </c>
      <c r="F1" t="s">
        <v>3</v>
      </c>
      <c r="G1" t="s">
        <v>2</v>
      </c>
      <c r="I1" t="s">
        <v>1</v>
      </c>
      <c r="J1" t="s">
        <v>0</v>
      </c>
    </row>
    <row r="2" spans="1:10" x14ac:dyDescent="0.25">
      <c r="A2">
        <v>50</v>
      </c>
      <c r="B2">
        <v>3</v>
      </c>
      <c r="C2">
        <v>-50.067872886578201</v>
      </c>
      <c r="D2">
        <v>0.140276483344703</v>
      </c>
      <c r="E2">
        <v>13.7969254697925</v>
      </c>
      <c r="F2">
        <v>0.63651913730638299</v>
      </c>
      <c r="G2">
        <v>0</v>
      </c>
      <c r="I2">
        <f>ABS((6.009*G2)+31.344)</f>
        <v>31.344000000000001</v>
      </c>
      <c r="J2">
        <f t="shared" ref="J2:J9" si="0">6.009*F2</f>
        <v>3.8248434960740556</v>
      </c>
    </row>
    <row r="3" spans="1:10" x14ac:dyDescent="0.25">
      <c r="A3">
        <v>100</v>
      </c>
      <c r="B3">
        <v>5</v>
      </c>
      <c r="C3">
        <v>-100.064242155447</v>
      </c>
      <c r="D3">
        <v>0.16687425853721299</v>
      </c>
      <c r="E3">
        <v>12.5857335639762</v>
      </c>
      <c r="F3">
        <v>0.64449342795497999</v>
      </c>
      <c r="G3">
        <f t="shared" ref="G3:G8" si="1">ABS(E3-$E$2)</f>
        <v>1.2111919058162997</v>
      </c>
      <c r="I3">
        <f t="shared" ref="I3:I9" si="2">ABS((6.009*G3)+31.344)</f>
        <v>38.622052162050146</v>
      </c>
      <c r="J3">
        <f t="shared" si="0"/>
        <v>3.8727610085814752</v>
      </c>
    </row>
    <row r="4" spans="1:10" x14ac:dyDescent="0.25">
      <c r="A4">
        <f t="shared" ref="A4:A9" si="3">A3+100</f>
        <v>200</v>
      </c>
      <c r="B4">
        <v>7</v>
      </c>
      <c r="C4">
        <v>-199.993641861849</v>
      </c>
      <c r="D4">
        <v>0.149908382779778</v>
      </c>
      <c r="E4">
        <v>10.444916070167199</v>
      </c>
      <c r="F4">
        <v>0.60998150730639</v>
      </c>
      <c r="G4">
        <f t="shared" si="1"/>
        <v>3.3520093996253006</v>
      </c>
      <c r="I4">
        <f t="shared" si="2"/>
        <v>51.486224482348433</v>
      </c>
      <c r="J4">
        <f t="shared" si="0"/>
        <v>3.6653788774040978</v>
      </c>
    </row>
    <row r="5" spans="1:10" x14ac:dyDescent="0.25">
      <c r="A5">
        <f t="shared" si="3"/>
        <v>300</v>
      </c>
      <c r="B5">
        <v>9</v>
      </c>
      <c r="C5">
        <v>-300.00613880677099</v>
      </c>
      <c r="D5">
        <v>0.14533589276921799</v>
      </c>
      <c r="E5">
        <v>8.6363409290578801</v>
      </c>
      <c r="F5">
        <v>0.562628156310779</v>
      </c>
      <c r="G5">
        <f t="shared" si="1"/>
        <v>5.1605845407346198</v>
      </c>
      <c r="I5">
        <f t="shared" si="2"/>
        <v>62.353952505274336</v>
      </c>
      <c r="J5">
        <f t="shared" si="0"/>
        <v>3.3808325912714712</v>
      </c>
    </row>
    <row r="6" spans="1:10" x14ac:dyDescent="0.25">
      <c r="A6">
        <f t="shared" si="3"/>
        <v>400</v>
      </c>
      <c r="B6">
        <v>11</v>
      </c>
      <c r="C6">
        <v>-400.01016330203902</v>
      </c>
      <c r="D6">
        <v>0.15768359256638401</v>
      </c>
      <c r="E6">
        <v>7.0606380541676304</v>
      </c>
      <c r="F6">
        <v>0.54884071461947603</v>
      </c>
      <c r="G6">
        <f t="shared" si="1"/>
        <v>6.7362874156248695</v>
      </c>
      <c r="I6">
        <f t="shared" si="2"/>
        <v>71.822351080489852</v>
      </c>
      <c r="J6">
        <f t="shared" si="0"/>
        <v>3.2979838541484319</v>
      </c>
    </row>
    <row r="7" spans="1:10" x14ac:dyDescent="0.25">
      <c r="A7">
        <f t="shared" si="3"/>
        <v>500</v>
      </c>
      <c r="B7">
        <v>13</v>
      </c>
      <c r="C7">
        <v>-500.01093573955001</v>
      </c>
      <c r="D7">
        <v>0.18327936318726401</v>
      </c>
      <c r="E7">
        <v>5.6580403670562696</v>
      </c>
      <c r="F7">
        <v>0.58457958449390002</v>
      </c>
      <c r="G7">
        <f t="shared" si="1"/>
        <v>8.1388851027362303</v>
      </c>
      <c r="I7">
        <f t="shared" si="2"/>
        <v>80.250560582342018</v>
      </c>
      <c r="J7">
        <f t="shared" si="0"/>
        <v>3.5127387232238454</v>
      </c>
    </row>
    <row r="8" spans="1:10" x14ac:dyDescent="0.25">
      <c r="A8">
        <f t="shared" si="3"/>
        <v>600</v>
      </c>
      <c r="B8">
        <v>15</v>
      </c>
      <c r="C8">
        <v>-600.01685236628703</v>
      </c>
      <c r="D8">
        <v>0.140121896847794</v>
      </c>
      <c r="E8">
        <v>4.5111280875714996</v>
      </c>
      <c r="F8">
        <v>0.52737831450152595</v>
      </c>
      <c r="G8">
        <f t="shared" si="1"/>
        <v>9.2857973822210003</v>
      </c>
      <c r="I8">
        <f t="shared" si="2"/>
        <v>87.142356469765986</v>
      </c>
      <c r="J8">
        <f t="shared" si="0"/>
        <v>3.1690162918396694</v>
      </c>
    </row>
    <row r="9" spans="1:10" x14ac:dyDescent="0.25">
      <c r="A9">
        <f t="shared" si="3"/>
        <v>700</v>
      </c>
      <c r="B9">
        <v>17</v>
      </c>
      <c r="C9">
        <v>-700.01143145088804</v>
      </c>
      <c r="D9">
        <v>0.127881811788366</v>
      </c>
      <c r="E9">
        <v>3.5617493182389199</v>
      </c>
      <c r="F9">
        <v>0.42627428269426199</v>
      </c>
      <c r="G9">
        <f>ABS(E9-$E$2)</f>
        <v>10.23517615155358</v>
      </c>
      <c r="I9">
        <f t="shared" si="2"/>
        <v>92.847173494685464</v>
      </c>
      <c r="J9">
        <f t="shared" si="0"/>
        <v>2.5614821647098203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FD5-78F7-4DA3-80D9-3E2B177F162E}">
  <dimension ref="A1:J9"/>
  <sheetViews>
    <sheetView zoomScale="145" zoomScaleNormal="145" workbookViewId="0">
      <selection activeCell="I1" sqref="I1:I1048576"/>
    </sheetView>
  </sheetViews>
  <sheetFormatPr defaultColWidth="8.85546875" defaultRowHeight="15" x14ac:dyDescent="0.25"/>
  <cols>
    <col min="9" max="9" width="16" bestFit="1" customWidth="1"/>
  </cols>
  <sheetData>
    <row r="1" spans="1:10" x14ac:dyDescent="0.25">
      <c r="B1" t="s">
        <v>7</v>
      </c>
      <c r="C1" t="s">
        <v>6</v>
      </c>
      <c r="D1" t="s">
        <v>5</v>
      </c>
      <c r="E1" t="s">
        <v>4</v>
      </c>
      <c r="F1" t="s">
        <v>3</v>
      </c>
      <c r="G1" t="s">
        <v>2</v>
      </c>
      <c r="I1" t="s">
        <v>1</v>
      </c>
      <c r="J1" t="s">
        <v>0</v>
      </c>
    </row>
    <row r="2" spans="1:10" x14ac:dyDescent="0.25">
      <c r="A2">
        <v>50</v>
      </c>
      <c r="B2">
        <v>3</v>
      </c>
      <c r="C2">
        <v>-50.057460469145497</v>
      </c>
      <c r="D2">
        <v>0.14500536526376701</v>
      </c>
      <c r="E2">
        <v>13.5064206008696</v>
      </c>
      <c r="F2">
        <v>0.28797236534433601</v>
      </c>
      <c r="G2">
        <v>0</v>
      </c>
      <c r="I2">
        <f t="shared" ref="I2:I9" si="0">ABS((7.3846*G2)-27.108)</f>
        <v>27.108000000000001</v>
      </c>
      <c r="J2">
        <f t="shared" ref="J2:J9" si="1">7.3846*F2</f>
        <v>2.1265607291217838</v>
      </c>
    </row>
    <row r="3" spans="1:10" x14ac:dyDescent="0.25">
      <c r="A3">
        <v>100</v>
      </c>
      <c r="B3">
        <v>5</v>
      </c>
      <c r="C3">
        <v>-100.08507600838</v>
      </c>
      <c r="D3">
        <v>0.159408715505861</v>
      </c>
      <c r="E3">
        <v>12.1838818261526</v>
      </c>
      <c r="F3">
        <v>0.19001943592090401</v>
      </c>
      <c r="G3">
        <f t="shared" ref="G3:G9" si="2">E3-$E$2</f>
        <v>-1.3225387747169997</v>
      </c>
      <c r="I3">
        <f t="shared" si="0"/>
        <v>36.874419835775157</v>
      </c>
      <c r="J3">
        <f t="shared" si="1"/>
        <v>1.4032175265015077</v>
      </c>
    </row>
    <row r="4" spans="1:10" x14ac:dyDescent="0.25">
      <c r="A4">
        <f t="shared" ref="A4:A9" si="3">A3+100</f>
        <v>200</v>
      </c>
      <c r="B4">
        <v>7</v>
      </c>
      <c r="C4">
        <v>-200.00823643765801</v>
      </c>
      <c r="D4">
        <v>0.16469804113918801</v>
      </c>
      <c r="E4">
        <v>10.0213957017383</v>
      </c>
      <c r="F4">
        <v>0.15392418470269001</v>
      </c>
      <c r="G4">
        <f t="shared" si="2"/>
        <v>-3.4850248991313002</v>
      </c>
      <c r="I4">
        <f t="shared" si="0"/>
        <v>52.843514870124999</v>
      </c>
      <c r="J4">
        <f t="shared" si="1"/>
        <v>1.1366685343554845</v>
      </c>
    </row>
    <row r="5" spans="1:10" x14ac:dyDescent="0.25">
      <c r="A5">
        <f t="shared" si="3"/>
        <v>300</v>
      </c>
      <c r="B5">
        <v>9</v>
      </c>
      <c r="C5">
        <v>-300.02787292533702</v>
      </c>
      <c r="D5">
        <v>0.16356156059702101</v>
      </c>
      <c r="E5">
        <v>8.2914454663230401</v>
      </c>
      <c r="F5">
        <v>0.124442140065322</v>
      </c>
      <c r="G5">
        <f t="shared" si="2"/>
        <v>-5.2149751345465596</v>
      </c>
      <c r="I5">
        <f t="shared" si="0"/>
        <v>65.618505378572522</v>
      </c>
      <c r="J5">
        <f t="shared" si="1"/>
        <v>0.91895542752637682</v>
      </c>
    </row>
    <row r="6" spans="1:10" x14ac:dyDescent="0.25">
      <c r="A6">
        <f t="shared" si="3"/>
        <v>400</v>
      </c>
      <c r="B6">
        <v>11</v>
      </c>
      <c r="C6">
        <v>-400.01247743410698</v>
      </c>
      <c r="D6">
        <v>0.147865168129062</v>
      </c>
      <c r="E6">
        <v>6.8041474412998104</v>
      </c>
      <c r="F6">
        <v>0.101821438729115</v>
      </c>
      <c r="G6">
        <f t="shared" si="2"/>
        <v>-6.7022731595697893</v>
      </c>
      <c r="I6">
        <f t="shared" si="0"/>
        <v>76.601606374159061</v>
      </c>
      <c r="J6">
        <f t="shared" si="1"/>
        <v>0.75191059643902269</v>
      </c>
    </row>
    <row r="7" spans="1:10" x14ac:dyDescent="0.25">
      <c r="A7">
        <f t="shared" si="3"/>
        <v>500</v>
      </c>
      <c r="B7">
        <v>13</v>
      </c>
      <c r="C7">
        <v>-500.01803313259398</v>
      </c>
      <c r="D7">
        <v>0.228715011085911</v>
      </c>
      <c r="E7">
        <v>5.4850905973155397</v>
      </c>
      <c r="F7">
        <v>7.8399535350361399E-2</v>
      </c>
      <c r="G7">
        <f t="shared" si="2"/>
        <v>-8.0213300035540591</v>
      </c>
      <c r="I7">
        <f t="shared" si="0"/>
        <v>86.3423135442453</v>
      </c>
      <c r="J7">
        <f t="shared" si="1"/>
        <v>0.57894920874827882</v>
      </c>
    </row>
    <row r="8" spans="1:10" x14ac:dyDescent="0.25">
      <c r="A8">
        <f t="shared" si="3"/>
        <v>600</v>
      </c>
      <c r="B8">
        <v>15</v>
      </c>
      <c r="C8">
        <v>-600.01981018108097</v>
      </c>
      <c r="D8">
        <v>0.11917148381407799</v>
      </c>
      <c r="E8">
        <v>4.4157745321211204</v>
      </c>
      <c r="F8">
        <v>8.3677006205732596E-2</v>
      </c>
      <c r="G8">
        <f t="shared" si="2"/>
        <v>-9.0906460687484802</v>
      </c>
      <c r="I8">
        <f t="shared" si="0"/>
        <v>94.238784959280025</v>
      </c>
      <c r="J8">
        <f t="shared" si="1"/>
        <v>0.6179212200268529</v>
      </c>
    </row>
    <row r="9" spans="1:10" x14ac:dyDescent="0.25">
      <c r="A9">
        <f t="shared" si="3"/>
        <v>700</v>
      </c>
      <c r="B9">
        <v>17</v>
      </c>
      <c r="C9">
        <v>-700.01707706874095</v>
      </c>
      <c r="D9">
        <v>0.11609209906125501</v>
      </c>
      <c r="E9">
        <v>3.5672159051596002</v>
      </c>
      <c r="F9">
        <v>7.2476021163469295E-2</v>
      </c>
      <c r="G9">
        <f t="shared" si="2"/>
        <v>-9.93920469571</v>
      </c>
      <c r="I9">
        <f t="shared" si="0"/>
        <v>100.50505099594007</v>
      </c>
      <c r="J9">
        <f t="shared" si="1"/>
        <v>0.53520642588375533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18C1-3053-4BD8-A492-1A8D49D7A873}">
  <dimension ref="A1:J9"/>
  <sheetViews>
    <sheetView zoomScale="145" zoomScaleNormal="145" workbookViewId="0">
      <selection activeCell="I1" sqref="I1:I1048576"/>
    </sheetView>
  </sheetViews>
  <sheetFormatPr defaultColWidth="8.85546875" defaultRowHeight="15" x14ac:dyDescent="0.25"/>
  <cols>
    <col min="9" max="9" width="16" bestFit="1" customWidth="1"/>
  </cols>
  <sheetData>
    <row r="1" spans="1:10" x14ac:dyDescent="0.25">
      <c r="B1" t="s">
        <v>7</v>
      </c>
      <c r="C1" t="s">
        <v>6</v>
      </c>
      <c r="D1" t="s">
        <v>5</v>
      </c>
      <c r="E1" t="s">
        <v>4</v>
      </c>
      <c r="F1" t="s">
        <v>3</v>
      </c>
      <c r="G1" t="s">
        <v>2</v>
      </c>
      <c r="I1" t="s">
        <v>1</v>
      </c>
      <c r="J1" t="s">
        <v>0</v>
      </c>
    </row>
    <row r="2" spans="1:10" x14ac:dyDescent="0.25">
      <c r="A2">
        <v>50</v>
      </c>
      <c r="B2">
        <v>3</v>
      </c>
      <c r="C2">
        <v>-50.069010244804197</v>
      </c>
      <c r="D2">
        <v>0.120966114410925</v>
      </c>
      <c r="E2">
        <v>14.2593200668633</v>
      </c>
      <c r="F2">
        <v>0.60801856972183299</v>
      </c>
      <c r="G2">
        <v>0</v>
      </c>
      <c r="I2">
        <f t="shared" ref="I2:I9" si="0">ABS((4.434*G2)-41.759)</f>
        <v>41.759</v>
      </c>
      <c r="J2">
        <f t="shared" ref="J2:J9" si="1">4.434*F2</f>
        <v>2.6959543381466076</v>
      </c>
    </row>
    <row r="3" spans="1:10" x14ac:dyDescent="0.25">
      <c r="A3">
        <v>100</v>
      </c>
      <c r="B3">
        <v>5</v>
      </c>
      <c r="C3">
        <v>-100.055491572257</v>
      </c>
      <c r="D3">
        <v>0.172618124149546</v>
      </c>
      <c r="E3">
        <v>13.179216032388</v>
      </c>
      <c r="F3">
        <v>0.568803217831097</v>
      </c>
      <c r="G3">
        <f t="shared" ref="G3:G9" si="2">E3-$E$2</f>
        <v>-1.0801040344752995</v>
      </c>
      <c r="I3">
        <f t="shared" si="0"/>
        <v>46.548181288863475</v>
      </c>
      <c r="J3">
        <f t="shared" si="1"/>
        <v>2.5220734678630841</v>
      </c>
    </row>
    <row r="4" spans="1:10" x14ac:dyDescent="0.25">
      <c r="A4">
        <f t="shared" ref="A4:A9" si="3">A3+100</f>
        <v>200</v>
      </c>
      <c r="B4">
        <v>7</v>
      </c>
      <c r="C4">
        <v>-199.97624670117099</v>
      </c>
      <c r="D4">
        <v>0.13896341434467299</v>
      </c>
      <c r="E4">
        <v>11.202683655113301</v>
      </c>
      <c r="F4">
        <v>0.52265090561623795</v>
      </c>
      <c r="G4">
        <f t="shared" si="2"/>
        <v>-3.0566364117499987</v>
      </c>
      <c r="I4">
        <f t="shared" si="0"/>
        <v>55.312125849699498</v>
      </c>
      <c r="J4">
        <f t="shared" si="1"/>
        <v>2.3174341155023992</v>
      </c>
    </row>
    <row r="5" spans="1:10" x14ac:dyDescent="0.25">
      <c r="A5">
        <f t="shared" si="3"/>
        <v>300</v>
      </c>
      <c r="B5">
        <v>9</v>
      </c>
      <c r="C5">
        <v>-299.99117857570297</v>
      </c>
      <c r="D5">
        <v>0.136967799260866</v>
      </c>
      <c r="E5">
        <v>9.4913405774039301</v>
      </c>
      <c r="F5">
        <v>0.46760494523238799</v>
      </c>
      <c r="G5">
        <f t="shared" si="2"/>
        <v>-4.7679794894593694</v>
      </c>
      <c r="I5">
        <f t="shared" si="0"/>
        <v>62.900221056262851</v>
      </c>
      <c r="J5">
        <f t="shared" si="1"/>
        <v>2.0733603271604086</v>
      </c>
    </row>
    <row r="6" spans="1:10" x14ac:dyDescent="0.25">
      <c r="A6">
        <f t="shared" si="3"/>
        <v>400</v>
      </c>
      <c r="B6">
        <v>11</v>
      </c>
      <c r="C6">
        <v>-400.00537772229899</v>
      </c>
      <c r="D6">
        <v>0.190108942230198</v>
      </c>
      <c r="E6">
        <v>7.9797750681292197</v>
      </c>
      <c r="F6">
        <v>0.396151254068417</v>
      </c>
      <c r="G6">
        <f t="shared" si="2"/>
        <v>-6.2795449987340799</v>
      </c>
      <c r="I6">
        <f t="shared" si="0"/>
        <v>69.602502524386907</v>
      </c>
      <c r="J6">
        <f t="shared" si="1"/>
        <v>1.756534660539361</v>
      </c>
    </row>
    <row r="7" spans="1:10" x14ac:dyDescent="0.25">
      <c r="A7">
        <f t="shared" si="3"/>
        <v>500</v>
      </c>
      <c r="B7">
        <v>13</v>
      </c>
      <c r="C7">
        <v>-500.01471900855501</v>
      </c>
      <c r="D7">
        <v>0.15141410092435401</v>
      </c>
      <c r="E7">
        <v>6.6113840841495302</v>
      </c>
      <c r="F7">
        <v>0.31082134294886998</v>
      </c>
      <c r="G7">
        <f t="shared" si="2"/>
        <v>-7.6479359827137694</v>
      </c>
      <c r="I7">
        <f t="shared" si="0"/>
        <v>75.669948147352855</v>
      </c>
      <c r="J7">
        <f t="shared" si="1"/>
        <v>1.3781818346352896</v>
      </c>
    </row>
    <row r="8" spans="1:10" x14ac:dyDescent="0.25">
      <c r="A8">
        <f t="shared" si="3"/>
        <v>600</v>
      </c>
      <c r="B8">
        <v>15</v>
      </c>
      <c r="C8">
        <v>-599.99560254167295</v>
      </c>
      <c r="D8">
        <v>0.20038905531835599</v>
      </c>
      <c r="E8">
        <v>5.3481623921966603</v>
      </c>
      <c r="F8">
        <v>0.21627095563986501</v>
      </c>
      <c r="G8">
        <f t="shared" si="2"/>
        <v>-8.9111576746666401</v>
      </c>
      <c r="I8">
        <f t="shared" si="0"/>
        <v>81.271073129471887</v>
      </c>
      <c r="J8">
        <f t="shared" si="1"/>
        <v>0.95894541730716154</v>
      </c>
    </row>
    <row r="9" spans="1:10" x14ac:dyDescent="0.25">
      <c r="A9">
        <f t="shared" si="3"/>
        <v>700</v>
      </c>
      <c r="B9">
        <v>17</v>
      </c>
      <c r="C9">
        <v>-700.00159188465398</v>
      </c>
      <c r="D9">
        <v>0.14530795950053699</v>
      </c>
      <c r="E9">
        <v>4.1454350999745797</v>
      </c>
      <c r="F9">
        <v>7.2470836963806406E-2</v>
      </c>
      <c r="G9">
        <f t="shared" si="2"/>
        <v>-10.113884966888719</v>
      </c>
      <c r="I9">
        <f t="shared" si="0"/>
        <v>86.603965943184591</v>
      </c>
      <c r="J9">
        <f t="shared" si="1"/>
        <v>0.32133569109751764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4E0F-FD49-41FC-931D-F560A4B79CDB}">
  <dimension ref="A1:J9"/>
  <sheetViews>
    <sheetView zoomScale="145" zoomScaleNormal="145" workbookViewId="0">
      <selection activeCell="I1" sqref="I1:I1048576"/>
    </sheetView>
  </sheetViews>
  <sheetFormatPr defaultColWidth="8.85546875" defaultRowHeight="15" x14ac:dyDescent="0.25"/>
  <cols>
    <col min="9" max="9" width="16" bestFit="1" customWidth="1"/>
  </cols>
  <sheetData>
    <row r="1" spans="1:10" x14ac:dyDescent="0.25">
      <c r="B1" t="s">
        <v>7</v>
      </c>
      <c r="C1" t="s">
        <v>6</v>
      </c>
      <c r="D1" t="s">
        <v>5</v>
      </c>
      <c r="E1" t="s">
        <v>4</v>
      </c>
      <c r="F1" t="s">
        <v>3</v>
      </c>
      <c r="G1" t="s">
        <v>2</v>
      </c>
      <c r="I1" t="s">
        <v>1</v>
      </c>
      <c r="J1" t="s">
        <v>0</v>
      </c>
    </row>
    <row r="2" spans="1:10" x14ac:dyDescent="0.25">
      <c r="A2">
        <v>50</v>
      </c>
      <c r="B2">
        <v>3</v>
      </c>
      <c r="C2">
        <v>-50.076641937489498</v>
      </c>
      <c r="D2">
        <v>0.15463053515645001</v>
      </c>
      <c r="E2">
        <v>13.654514399356099</v>
      </c>
      <c r="F2">
        <v>0.92865028728046894</v>
      </c>
      <c r="G2">
        <v>0</v>
      </c>
      <c r="I2">
        <f t="shared" ref="I2:I9" si="0">ABS((5.6342*G2)-27.968)</f>
        <v>27.968</v>
      </c>
      <c r="J2">
        <f t="shared" ref="J2:J9" si="1">5.6342*F2</f>
        <v>5.2322014485956183</v>
      </c>
    </row>
    <row r="3" spans="1:10" x14ac:dyDescent="0.25">
      <c r="A3">
        <v>100</v>
      </c>
      <c r="B3">
        <v>5</v>
      </c>
      <c r="C3">
        <v>-100.051653504691</v>
      </c>
      <c r="D3">
        <v>0.16746552740877901</v>
      </c>
      <c r="E3">
        <v>12.4615112786019</v>
      </c>
      <c r="F3">
        <v>0.90417816898168901</v>
      </c>
      <c r="G3">
        <f t="shared" ref="G3:G9" si="2">E3-$E$2</f>
        <v>-1.1930031207541987</v>
      </c>
      <c r="I3">
        <f t="shared" si="0"/>
        <v>34.689618182953303</v>
      </c>
      <c r="J3">
        <f t="shared" si="1"/>
        <v>5.0943206396766323</v>
      </c>
    </row>
    <row r="4" spans="1:10" x14ac:dyDescent="0.25">
      <c r="A4">
        <f t="shared" ref="A4:A9" si="3">A3+100</f>
        <v>200</v>
      </c>
      <c r="B4">
        <v>7</v>
      </c>
      <c r="C4">
        <v>-199.99687539898099</v>
      </c>
      <c r="D4">
        <v>0.144593509533366</v>
      </c>
      <c r="E4">
        <v>10.210562398896</v>
      </c>
      <c r="F4">
        <v>0.79003846294686497</v>
      </c>
      <c r="G4">
        <f t="shared" si="2"/>
        <v>-3.443952000460099</v>
      </c>
      <c r="I4">
        <f t="shared" si="0"/>
        <v>47.371914360992292</v>
      </c>
      <c r="J4">
        <f t="shared" si="1"/>
        <v>4.4512347079352264</v>
      </c>
    </row>
    <row r="5" spans="1:10" x14ac:dyDescent="0.25">
      <c r="A5">
        <f t="shared" si="3"/>
        <v>300</v>
      </c>
      <c r="B5">
        <v>9</v>
      </c>
      <c r="C5">
        <v>-299.99981845577298</v>
      </c>
      <c r="D5">
        <v>0.13410666737931601</v>
      </c>
      <c r="E5">
        <v>8.2272761499662899</v>
      </c>
      <c r="F5">
        <v>0.66465309352064605</v>
      </c>
      <c r="G5">
        <f t="shared" si="2"/>
        <v>-5.4272382493898093</v>
      </c>
      <c r="I5">
        <f t="shared" si="0"/>
        <v>58.546145744712064</v>
      </c>
      <c r="J5">
        <f t="shared" si="1"/>
        <v>3.7447884595140239</v>
      </c>
    </row>
    <row r="6" spans="1:10" x14ac:dyDescent="0.25">
      <c r="A6">
        <f t="shared" si="3"/>
        <v>400</v>
      </c>
      <c r="B6">
        <v>11</v>
      </c>
      <c r="C6">
        <v>-400.01265406490501</v>
      </c>
      <c r="D6">
        <v>0.13785207804393099</v>
      </c>
      <c r="E6">
        <v>6.4782285708982696</v>
      </c>
      <c r="F6">
        <v>0.52197587854970695</v>
      </c>
      <c r="G6">
        <f t="shared" si="2"/>
        <v>-7.1762858284578295</v>
      </c>
      <c r="I6">
        <f t="shared" si="0"/>
        <v>68.400629614697095</v>
      </c>
      <c r="J6">
        <f t="shared" si="1"/>
        <v>2.940916494924759</v>
      </c>
    </row>
    <row r="7" spans="1:10" x14ac:dyDescent="0.25">
      <c r="A7">
        <f t="shared" si="3"/>
        <v>500</v>
      </c>
      <c r="B7">
        <v>13</v>
      </c>
      <c r="C7">
        <v>-499.99774590503199</v>
      </c>
      <c r="D7">
        <v>0.17975764368272701</v>
      </c>
      <c r="E7">
        <v>4.9013788960463902</v>
      </c>
      <c r="F7">
        <v>0.42227462984061798</v>
      </c>
      <c r="G7">
        <f t="shared" si="2"/>
        <v>-8.7531355033097089</v>
      </c>
      <c r="I7">
        <f t="shared" si="0"/>
        <v>77.284916052747562</v>
      </c>
      <c r="J7">
        <f t="shared" si="1"/>
        <v>2.3791797194480098</v>
      </c>
    </row>
    <row r="8" spans="1:10" x14ac:dyDescent="0.25">
      <c r="A8">
        <f t="shared" si="3"/>
        <v>600</v>
      </c>
      <c r="B8">
        <v>15</v>
      </c>
      <c r="C8">
        <v>-600.02766127131599</v>
      </c>
      <c r="D8">
        <v>0.120673688712589</v>
      </c>
      <c r="E8">
        <v>3.7892003631914601</v>
      </c>
      <c r="F8">
        <v>0.29034031928190301</v>
      </c>
      <c r="G8">
        <f t="shared" si="2"/>
        <v>-9.865314036164639</v>
      </c>
      <c r="I8">
        <f t="shared" si="0"/>
        <v>83.551152342558808</v>
      </c>
      <c r="J8">
        <f t="shared" si="1"/>
        <v>1.6358354268980979</v>
      </c>
    </row>
    <row r="9" spans="1:10" x14ac:dyDescent="0.25">
      <c r="A9">
        <f t="shared" si="3"/>
        <v>700</v>
      </c>
      <c r="B9">
        <v>17</v>
      </c>
      <c r="C9">
        <v>-700.01516122479995</v>
      </c>
      <c r="D9">
        <v>0.12551047044472699</v>
      </c>
      <c r="E9">
        <v>2.9563346817023102</v>
      </c>
      <c r="F9">
        <v>9.0131992828971802E-2</v>
      </c>
      <c r="G9">
        <f t="shared" si="2"/>
        <v>-10.698179717653789</v>
      </c>
      <c r="I9">
        <f t="shared" si="0"/>
        <v>88.243684165204968</v>
      </c>
      <c r="J9">
        <f t="shared" si="1"/>
        <v>0.50782167399699296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6D99A-934A-4AEC-91B3-26873C2CC786}">
  <dimension ref="A1:R14"/>
  <sheetViews>
    <sheetView zoomScaleNormal="100" workbookViewId="0">
      <selection activeCell="I2" sqref="I2:I9"/>
    </sheetView>
  </sheetViews>
  <sheetFormatPr defaultColWidth="8.85546875" defaultRowHeight="15" x14ac:dyDescent="0.25"/>
  <cols>
    <col min="9" max="9" width="16" bestFit="1" customWidth="1"/>
    <col min="10" max="10" width="17.42578125" customWidth="1"/>
    <col min="11" max="11" width="16" bestFit="1" customWidth="1"/>
  </cols>
  <sheetData>
    <row r="1" spans="1:18" x14ac:dyDescent="0.25">
      <c r="B1" t="s">
        <v>7</v>
      </c>
      <c r="C1" t="s">
        <v>6</v>
      </c>
      <c r="D1" t="s">
        <v>5</v>
      </c>
      <c r="E1" t="s">
        <v>4</v>
      </c>
      <c r="F1" t="s">
        <v>3</v>
      </c>
      <c r="G1" t="s">
        <v>2</v>
      </c>
      <c r="I1" t="s">
        <v>1</v>
      </c>
      <c r="J1" t="s">
        <v>0</v>
      </c>
    </row>
    <row r="2" spans="1:18" x14ac:dyDescent="0.25">
      <c r="A2">
        <v>50</v>
      </c>
      <c r="B2">
        <v>3</v>
      </c>
      <c r="C2">
        <v>-50.025468240119302</v>
      </c>
      <c r="D2">
        <v>0.106838493641026</v>
      </c>
      <c r="E2">
        <v>12.055950029364899</v>
      </c>
      <c r="F2">
        <v>1.1924808121557</v>
      </c>
      <c r="G2">
        <v>0</v>
      </c>
      <c r="I2">
        <f>ABS(10.5426*G2+46.911)</f>
        <v>46.911000000000001</v>
      </c>
      <c r="J2">
        <f t="shared" ref="J2:J9" si="0">10.5426*F2</f>
        <v>12.571848210232684</v>
      </c>
    </row>
    <row r="3" spans="1:18" x14ac:dyDescent="0.25">
      <c r="A3">
        <v>100</v>
      </c>
      <c r="B3">
        <v>5</v>
      </c>
      <c r="C3">
        <v>-100.029512763765</v>
      </c>
      <c r="D3">
        <v>0.13052526675289899</v>
      </c>
      <c r="E3">
        <v>11.514246392321301</v>
      </c>
      <c r="F3">
        <v>1.09498448796929</v>
      </c>
      <c r="G3">
        <f t="shared" ref="G3:G8" si="1">ABS(E3-$E$2)</f>
        <v>0.54170363704359836</v>
      </c>
      <c r="I3">
        <f t="shared" ref="I3:I9" si="2">ABS(10.5426*G3+46.911)</f>
        <v>52.621964763895839</v>
      </c>
      <c r="J3">
        <f t="shared" si="0"/>
        <v>11.543983462865038</v>
      </c>
    </row>
    <row r="4" spans="1:18" x14ac:dyDescent="0.25">
      <c r="A4">
        <f t="shared" ref="A4:A9" si="3">A3+100</f>
        <v>200</v>
      </c>
      <c r="B4">
        <v>7</v>
      </c>
      <c r="C4">
        <v>-199.998647598963</v>
      </c>
      <c r="D4">
        <v>9.9304203784431694E-2</v>
      </c>
      <c r="E4">
        <v>10.1236820285487</v>
      </c>
      <c r="F4">
        <v>1.0922887539608801</v>
      </c>
      <c r="G4">
        <f t="shared" si="1"/>
        <v>1.9322680008161992</v>
      </c>
      <c r="I4">
        <f t="shared" si="2"/>
        <v>67.282128625404866</v>
      </c>
      <c r="J4">
        <f t="shared" si="0"/>
        <v>11.515563417507975</v>
      </c>
    </row>
    <row r="5" spans="1:18" x14ac:dyDescent="0.25">
      <c r="A5">
        <f t="shared" si="3"/>
        <v>300</v>
      </c>
      <c r="B5">
        <v>9</v>
      </c>
      <c r="C5">
        <v>-299.99787131034299</v>
      </c>
      <c r="D5">
        <v>9.9339448163680399E-2</v>
      </c>
      <c r="E5">
        <v>8.6224648870430691</v>
      </c>
      <c r="F5">
        <v>1.0842139833289199</v>
      </c>
      <c r="G5">
        <f t="shared" si="1"/>
        <v>3.43348514232183</v>
      </c>
      <c r="I5">
        <f t="shared" si="2"/>
        <v>83.108860461442134</v>
      </c>
      <c r="J5">
        <f t="shared" si="0"/>
        <v>11.430434340643471</v>
      </c>
    </row>
    <row r="6" spans="1:18" x14ac:dyDescent="0.25">
      <c r="A6">
        <f t="shared" si="3"/>
        <v>400</v>
      </c>
      <c r="B6">
        <v>11</v>
      </c>
      <c r="C6">
        <v>-400.011740348393</v>
      </c>
      <c r="D6">
        <v>9.8717733516594797E-2</v>
      </c>
      <c r="E6">
        <v>7.2973574502021199</v>
      </c>
      <c r="F6">
        <v>1.0821800673439901</v>
      </c>
      <c r="G6">
        <f t="shared" si="1"/>
        <v>4.7585925791627792</v>
      </c>
      <c r="I6">
        <f t="shared" si="2"/>
        <v>97.078938125081521</v>
      </c>
      <c r="J6">
        <f t="shared" si="0"/>
        <v>11.40899157798075</v>
      </c>
    </row>
    <row r="7" spans="1:18" x14ac:dyDescent="0.25">
      <c r="A7">
        <f t="shared" si="3"/>
        <v>500</v>
      </c>
      <c r="B7">
        <v>13</v>
      </c>
      <c r="C7">
        <v>-500.01695026763002</v>
      </c>
      <c r="D7">
        <v>0.110757731595079</v>
      </c>
      <c r="E7">
        <v>6.1244724727850803</v>
      </c>
      <c r="F7">
        <v>1.0639181054600999</v>
      </c>
      <c r="G7">
        <f t="shared" si="1"/>
        <v>5.9314775565798188</v>
      </c>
      <c r="I7">
        <f t="shared" si="2"/>
        <v>109.4441952879984</v>
      </c>
      <c r="J7">
        <f t="shared" si="0"/>
        <v>11.216463018623649</v>
      </c>
    </row>
    <row r="8" spans="1:18" x14ac:dyDescent="0.25">
      <c r="A8">
        <f t="shared" si="3"/>
        <v>600</v>
      </c>
      <c r="B8">
        <v>15</v>
      </c>
      <c r="C8">
        <v>-600.01344937022202</v>
      </c>
      <c r="D8">
        <v>0.123563434596211</v>
      </c>
      <c r="E8">
        <v>5.4183849236000503</v>
      </c>
      <c r="F8">
        <v>0.93303230372887203</v>
      </c>
      <c r="G8">
        <f t="shared" si="1"/>
        <v>6.6375651057648488</v>
      </c>
      <c r="I8">
        <f t="shared" si="2"/>
        <v>116.8881938840365</v>
      </c>
      <c r="J8">
        <f t="shared" si="0"/>
        <v>9.8365863652920069</v>
      </c>
    </row>
    <row r="9" spans="1:18" x14ac:dyDescent="0.25">
      <c r="A9">
        <f t="shared" si="3"/>
        <v>700</v>
      </c>
      <c r="B9">
        <v>17</v>
      </c>
      <c r="C9">
        <v>-700.02784634461</v>
      </c>
      <c r="D9">
        <v>0.11844420469054499</v>
      </c>
      <c r="E9">
        <v>4.9366965140696299</v>
      </c>
      <c r="F9">
        <v>0.70467932637132302</v>
      </c>
      <c r="G9">
        <f>ABS(E9-$E$2)</f>
        <v>7.1192535152952692</v>
      </c>
      <c r="I9">
        <f t="shared" si="2"/>
        <v>121.96644211035191</v>
      </c>
      <c r="J9">
        <f t="shared" si="0"/>
        <v>7.4291522662023102</v>
      </c>
    </row>
    <row r="12" spans="1:18" x14ac:dyDescent="0.25">
      <c r="P12">
        <f>3*-2.212</f>
        <v>-6.636000000000001</v>
      </c>
      <c r="Q12">
        <f>2*-18.481</f>
        <v>-36.962000000000003</v>
      </c>
      <c r="R12">
        <f>-109.83</f>
        <v>-109.83</v>
      </c>
    </row>
    <row r="14" spans="1:18" x14ac:dyDescent="0.25">
      <c r="P14">
        <f>2*5.2713</f>
        <v>10.5426</v>
      </c>
      <c r="Q14">
        <v>-46.911000000000001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ED49-163F-4F76-910A-7E90D607F95E}">
  <dimension ref="A1:T15"/>
  <sheetViews>
    <sheetView topLeftCell="A10" zoomScale="115" zoomScaleNormal="115" workbookViewId="0">
      <selection activeCell="U26" sqref="U26"/>
    </sheetView>
  </sheetViews>
  <sheetFormatPr defaultColWidth="8.85546875" defaultRowHeight="15" x14ac:dyDescent="0.25"/>
  <cols>
    <col min="9" max="9" width="16" bestFit="1" customWidth="1"/>
  </cols>
  <sheetData>
    <row r="1" spans="1:20" x14ac:dyDescent="0.25">
      <c r="B1" t="s">
        <v>7</v>
      </c>
      <c r="C1" t="s">
        <v>6</v>
      </c>
      <c r="D1" t="s">
        <v>5</v>
      </c>
      <c r="E1" t="s">
        <v>4</v>
      </c>
      <c r="F1" t="s">
        <v>3</v>
      </c>
      <c r="G1" t="s">
        <v>2</v>
      </c>
      <c r="I1" t="s">
        <v>1</v>
      </c>
      <c r="J1" t="s">
        <v>0</v>
      </c>
    </row>
    <row r="2" spans="1:20" x14ac:dyDescent="0.25">
      <c r="A2">
        <v>50</v>
      </c>
      <c r="B2">
        <v>3</v>
      </c>
      <c r="C2">
        <v>-50.000999374001204</v>
      </c>
      <c r="D2">
        <v>9.2787880087001298E-2</v>
      </c>
      <c r="E2">
        <v>12.0124353937553</v>
      </c>
      <c r="F2">
        <v>0.86611667691279204</v>
      </c>
      <c r="G2">
        <v>0</v>
      </c>
      <c r="I2">
        <f t="shared" ref="I2:I9" si="0">ABS(15.4024*(G2)-32.472)</f>
        <v>32.472000000000001</v>
      </c>
      <c r="J2">
        <f t="shared" ref="J2:J9" si="1">15.4024*F2</f>
        <v>13.340275504481589</v>
      </c>
      <c r="M2">
        <f t="shared" ref="M2:M9" si="2">-9.4206*(G2^2)-49.708*(G2)-115.46</f>
        <v>-115.46</v>
      </c>
    </row>
    <row r="3" spans="1:20" x14ac:dyDescent="0.25">
      <c r="A3">
        <v>100</v>
      </c>
      <c r="B3">
        <v>5</v>
      </c>
      <c r="C3">
        <v>-100.025752497018</v>
      </c>
      <c r="D3">
        <v>0.13514633765949</v>
      </c>
      <c r="E3">
        <v>11.376383712783801</v>
      </c>
      <c r="F3">
        <v>0.56397415553980101</v>
      </c>
      <c r="G3">
        <f t="shared" ref="G3:G9" si="3">E3-$E$2</f>
        <v>-0.63605168097149978</v>
      </c>
      <c r="I3">
        <f t="shared" si="0"/>
        <v>42.26872241099543</v>
      </c>
      <c r="J3">
        <f t="shared" si="1"/>
        <v>8.6865555332862314</v>
      </c>
      <c r="M3">
        <f t="shared" si="2"/>
        <v>-87.65435737827724</v>
      </c>
    </row>
    <row r="4" spans="1:20" x14ac:dyDescent="0.25">
      <c r="A4">
        <f t="shared" ref="A4:A9" si="4">A3+100</f>
        <v>200</v>
      </c>
      <c r="B4">
        <v>7</v>
      </c>
      <c r="C4">
        <v>-200.00327991458499</v>
      </c>
      <c r="D4">
        <v>9.4425719804500194E-2</v>
      </c>
      <c r="E4">
        <v>9.81455337100072</v>
      </c>
      <c r="F4">
        <v>0.40164082140610202</v>
      </c>
      <c r="G4">
        <f t="shared" si="3"/>
        <v>-2.1978820227545803</v>
      </c>
      <c r="I4">
        <f t="shared" si="0"/>
        <v>66.324658067275152</v>
      </c>
      <c r="J4">
        <f t="shared" si="1"/>
        <v>6.1862325876253461</v>
      </c>
      <c r="M4">
        <f t="shared" si="2"/>
        <v>-51.715635159774841</v>
      </c>
    </row>
    <row r="5" spans="1:20" x14ac:dyDescent="0.25">
      <c r="A5">
        <f t="shared" si="4"/>
        <v>300</v>
      </c>
      <c r="B5">
        <v>9</v>
      </c>
      <c r="C5">
        <v>-300.00242640989597</v>
      </c>
      <c r="D5">
        <v>8.6604522037136603E-2</v>
      </c>
      <c r="E5">
        <v>8.3485022579335908</v>
      </c>
      <c r="F5">
        <v>0.30137488659308098</v>
      </c>
      <c r="G5">
        <f t="shared" si="3"/>
        <v>-3.6639331358217095</v>
      </c>
      <c r="I5">
        <f t="shared" si="0"/>
        <v>88.905363731180302</v>
      </c>
      <c r="J5">
        <f t="shared" si="1"/>
        <v>4.6418965532612706</v>
      </c>
      <c r="M5">
        <f t="shared" si="2"/>
        <v>-59.799171072123855</v>
      </c>
    </row>
    <row r="6" spans="1:20" x14ac:dyDescent="0.25">
      <c r="A6">
        <f t="shared" si="4"/>
        <v>400</v>
      </c>
      <c r="B6">
        <v>11</v>
      </c>
      <c r="C6">
        <v>-400.01358786062599</v>
      </c>
      <c r="D6">
        <v>9.1870154916047095E-2</v>
      </c>
      <c r="E6">
        <v>7.0895056488451997</v>
      </c>
      <c r="F6">
        <v>0.18253158822843299</v>
      </c>
      <c r="G6">
        <f t="shared" si="3"/>
        <v>-4.9229297449101006</v>
      </c>
      <c r="I6">
        <f t="shared" si="0"/>
        <v>108.29693310300334</v>
      </c>
      <c r="J6">
        <f t="shared" si="1"/>
        <v>2.8114245345296163</v>
      </c>
      <c r="M6">
        <f t="shared" si="2"/>
        <v>-99.06148449705303</v>
      </c>
    </row>
    <row r="7" spans="1:20" x14ac:dyDescent="0.25">
      <c r="A7">
        <f t="shared" si="4"/>
        <v>500</v>
      </c>
      <c r="B7">
        <v>13</v>
      </c>
      <c r="C7">
        <v>-500.01826447496597</v>
      </c>
      <c r="D7">
        <v>0.11095539756504599</v>
      </c>
      <c r="E7">
        <v>5.92962162225255</v>
      </c>
      <c r="F7">
        <v>9.0521396291823999E-2</v>
      </c>
      <c r="G7">
        <f t="shared" si="3"/>
        <v>-6.0828137715027504</v>
      </c>
      <c r="I7">
        <f t="shared" si="0"/>
        <v>126.16193083419395</v>
      </c>
      <c r="J7">
        <f t="shared" si="1"/>
        <v>1.39424675424519</v>
      </c>
      <c r="M7">
        <f t="shared" si="2"/>
        <v>-161.66356564830926</v>
      </c>
    </row>
    <row r="8" spans="1:20" x14ac:dyDescent="0.25">
      <c r="A8">
        <f t="shared" si="4"/>
        <v>600</v>
      </c>
      <c r="B8">
        <v>15</v>
      </c>
      <c r="C8">
        <v>-600.02475301791105</v>
      </c>
      <c r="D8">
        <v>0.13012613801662101</v>
      </c>
      <c r="E8">
        <v>5.4802061506136299</v>
      </c>
      <c r="F8">
        <v>2.25549468896185E-2</v>
      </c>
      <c r="G8">
        <f t="shared" si="3"/>
        <v>-6.5322292431416704</v>
      </c>
      <c r="I8">
        <f t="shared" si="0"/>
        <v>133.08400769456526</v>
      </c>
      <c r="J8">
        <f t="shared" si="1"/>
        <v>0.34740031397265997</v>
      </c>
      <c r="M8">
        <f t="shared" si="2"/>
        <v>-192.7331286895228</v>
      </c>
    </row>
    <row r="9" spans="1:20" x14ac:dyDescent="0.25">
      <c r="A9">
        <f t="shared" si="4"/>
        <v>700</v>
      </c>
      <c r="B9">
        <v>17</v>
      </c>
      <c r="C9">
        <v>-700.02691171477295</v>
      </c>
      <c r="D9">
        <v>0.11935711223180601</v>
      </c>
      <c r="E9">
        <v>5.1753495836010002</v>
      </c>
      <c r="F9">
        <v>8.3745689482594803E-3</v>
      </c>
      <c r="G9">
        <f t="shared" si="3"/>
        <v>-6.8370858101543002</v>
      </c>
      <c r="I9">
        <f t="shared" si="0"/>
        <v>137.77953048232058</v>
      </c>
      <c r="J9">
        <f t="shared" si="1"/>
        <v>0.12898846076867182</v>
      </c>
      <c r="M9">
        <f t="shared" si="2"/>
        <v>-215.97507917066849</v>
      </c>
    </row>
    <row r="12" spans="1:20" x14ac:dyDescent="0.25">
      <c r="R12">
        <f>3*-3.1402</f>
        <v>-9.4206000000000003</v>
      </c>
      <c r="S12">
        <f>2*-24.854</f>
        <v>-49.707999999999998</v>
      </c>
      <c r="T12">
        <f>-115.46</f>
        <v>-115.46</v>
      </c>
    </row>
    <row r="15" spans="1:20" x14ac:dyDescent="0.25">
      <c r="R15">
        <f>2*7.7012</f>
        <v>15.4024</v>
      </c>
      <c r="S15">
        <v>-32.472000000000001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76E1E-E494-4A7E-92A5-D6FA075BFF33}">
  <dimension ref="A1:P14"/>
  <sheetViews>
    <sheetView zoomScale="115" zoomScaleNormal="115" workbookViewId="0">
      <selection activeCell="N6" sqref="N6"/>
    </sheetView>
  </sheetViews>
  <sheetFormatPr defaultColWidth="8.85546875" defaultRowHeight="15" x14ac:dyDescent="0.25"/>
  <cols>
    <col min="9" max="9" width="16" bestFit="1" customWidth="1"/>
  </cols>
  <sheetData>
    <row r="1" spans="1:16" x14ac:dyDescent="0.25">
      <c r="B1" t="s">
        <v>7</v>
      </c>
      <c r="C1" t="s">
        <v>6</v>
      </c>
      <c r="D1" t="s">
        <v>5</v>
      </c>
      <c r="E1" t="s">
        <v>4</v>
      </c>
      <c r="F1" t="s">
        <v>3</v>
      </c>
      <c r="G1" t="s">
        <v>2</v>
      </c>
      <c r="I1" t="s">
        <v>1</v>
      </c>
      <c r="J1" t="s">
        <v>0</v>
      </c>
    </row>
    <row r="2" spans="1:16" x14ac:dyDescent="0.25">
      <c r="A2">
        <v>50</v>
      </c>
      <c r="B2">
        <v>3</v>
      </c>
      <c r="C2">
        <v>-50.017123918924</v>
      </c>
      <c r="D2">
        <v>0.100831113196953</v>
      </c>
      <c r="E2">
        <v>13.812256536427</v>
      </c>
      <c r="F2">
        <v>1.16458684602467</v>
      </c>
      <c r="G2">
        <v>0</v>
      </c>
      <c r="I2">
        <f t="shared" ref="I2:I9" si="0">ABS(3.3236*(G2)-65.344)</f>
        <v>65.343999999999994</v>
      </c>
      <c r="J2">
        <f t="shared" ref="J2:J9" si="1">3.3236*F2</f>
        <v>3.8706208414475931</v>
      </c>
    </row>
    <row r="3" spans="1:16" x14ac:dyDescent="0.25">
      <c r="A3">
        <v>100</v>
      </c>
      <c r="B3">
        <v>5</v>
      </c>
      <c r="C3">
        <v>-100.027433612786</v>
      </c>
      <c r="D3">
        <v>0.14077721459287201</v>
      </c>
      <c r="E3">
        <v>13.223530815309701</v>
      </c>
      <c r="F3">
        <v>0.89833400050382095</v>
      </c>
      <c r="G3">
        <f t="shared" ref="G3:G9" si="2">E3-$E$2</f>
        <v>-0.58872572111729937</v>
      </c>
      <c r="I3">
        <f t="shared" si="0"/>
        <v>67.300688806705452</v>
      </c>
      <c r="J3">
        <f t="shared" si="1"/>
        <v>2.9857028840744992</v>
      </c>
    </row>
    <row r="4" spans="1:16" x14ac:dyDescent="0.25">
      <c r="A4">
        <f t="shared" ref="A4:A9" si="3">A3+100</f>
        <v>200</v>
      </c>
      <c r="B4">
        <v>7</v>
      </c>
      <c r="C4">
        <v>-200.015924390858</v>
      </c>
      <c r="D4">
        <v>8.5662229070372894E-2</v>
      </c>
      <c r="E4">
        <v>11.9334074374912</v>
      </c>
      <c r="F4">
        <v>0.56171689413128001</v>
      </c>
      <c r="G4">
        <f t="shared" si="2"/>
        <v>-1.8788490989358007</v>
      </c>
      <c r="I4">
        <f t="shared" si="0"/>
        <v>71.588542865223019</v>
      </c>
      <c r="J4">
        <f t="shared" si="1"/>
        <v>1.8669222693347223</v>
      </c>
    </row>
    <row r="5" spans="1:16" x14ac:dyDescent="0.25">
      <c r="A5">
        <f t="shared" si="3"/>
        <v>300</v>
      </c>
      <c r="B5">
        <v>9</v>
      </c>
      <c r="C5">
        <v>-300.017608821392</v>
      </c>
      <c r="D5">
        <v>9.2878647814225002E-2</v>
      </c>
      <c r="E5">
        <v>10.4451427375708</v>
      </c>
      <c r="F5">
        <v>0.54197296300063003</v>
      </c>
      <c r="G5">
        <f t="shared" si="2"/>
        <v>-3.3671137988562005</v>
      </c>
      <c r="I5">
        <f t="shared" si="0"/>
        <v>76.534939421878462</v>
      </c>
      <c r="J5">
        <f t="shared" si="1"/>
        <v>1.801301339828894</v>
      </c>
    </row>
    <row r="6" spans="1:16" x14ac:dyDescent="0.25">
      <c r="A6">
        <f t="shared" si="3"/>
        <v>400</v>
      </c>
      <c r="B6">
        <v>11</v>
      </c>
      <c r="C6">
        <v>-400.01436904725801</v>
      </c>
      <c r="D6">
        <v>0.10016230547928701</v>
      </c>
      <c r="E6">
        <v>9.0799375287608708</v>
      </c>
      <c r="F6">
        <v>0.47231636047890102</v>
      </c>
      <c r="G6">
        <f t="shared" si="2"/>
        <v>-4.7323190076661295</v>
      </c>
      <c r="I6">
        <f t="shared" si="0"/>
        <v>81.072335453879134</v>
      </c>
      <c r="J6">
        <f t="shared" si="1"/>
        <v>1.5697906556876753</v>
      </c>
    </row>
    <row r="7" spans="1:16" x14ac:dyDescent="0.25">
      <c r="A7">
        <f t="shared" si="3"/>
        <v>500</v>
      </c>
      <c r="B7">
        <v>13</v>
      </c>
      <c r="C7">
        <v>-500.006158843565</v>
      </c>
      <c r="D7">
        <v>9.2384845598381393E-2</v>
      </c>
      <c r="E7">
        <v>7.8116093575154499</v>
      </c>
      <c r="F7">
        <v>0.34600440393962001</v>
      </c>
      <c r="G7">
        <f t="shared" si="2"/>
        <v>-6.0006471789115503</v>
      </c>
      <c r="I7">
        <f t="shared" si="0"/>
        <v>85.287750963830419</v>
      </c>
      <c r="J7">
        <f t="shared" si="1"/>
        <v>1.1499802369337211</v>
      </c>
    </row>
    <row r="8" spans="1:16" x14ac:dyDescent="0.25">
      <c r="A8">
        <f t="shared" si="3"/>
        <v>600</v>
      </c>
      <c r="B8">
        <v>15</v>
      </c>
      <c r="C8">
        <v>-600.00366272323095</v>
      </c>
      <c r="D8">
        <v>9.4876138555285802E-2</v>
      </c>
      <c r="E8">
        <v>6.7212705513817399</v>
      </c>
      <c r="F8">
        <v>0.21527673275236001</v>
      </c>
      <c r="G8">
        <f t="shared" si="2"/>
        <v>-7.0909859850452603</v>
      </c>
      <c r="I8">
        <f t="shared" si="0"/>
        <v>88.911601019896423</v>
      </c>
      <c r="J8">
        <f t="shared" si="1"/>
        <v>0.71549374897574369</v>
      </c>
    </row>
    <row r="9" spans="1:16" x14ac:dyDescent="0.25">
      <c r="A9">
        <f t="shared" si="3"/>
        <v>700</v>
      </c>
      <c r="B9">
        <v>17</v>
      </c>
      <c r="C9">
        <v>-700.03534799814202</v>
      </c>
      <c r="D9">
        <v>0.10912132400805299</v>
      </c>
      <c r="E9">
        <v>5.7301596737398901</v>
      </c>
      <c r="F9">
        <v>0.13762690075023401</v>
      </c>
      <c r="G9">
        <f t="shared" si="2"/>
        <v>-8.0820968626871093</v>
      </c>
      <c r="I9">
        <f t="shared" si="0"/>
        <v>92.205657132826872</v>
      </c>
      <c r="J9">
        <f t="shared" si="1"/>
        <v>0.45741676733347775</v>
      </c>
    </row>
    <row r="12" spans="1:16" x14ac:dyDescent="0.25">
      <c r="N12">
        <f>3*-0.5618</f>
        <v>-1.6854</v>
      </c>
      <c r="O12">
        <f>2*-5.2205</f>
        <v>-10.441000000000001</v>
      </c>
      <c r="P12">
        <f>-85.953</f>
        <v>-85.953000000000003</v>
      </c>
    </row>
    <row r="14" spans="1:16" x14ac:dyDescent="0.25">
      <c r="N14">
        <f>2*1.6618</f>
        <v>3.3235999999999999</v>
      </c>
      <c r="O14">
        <v>-65.343999999999994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114A8-CB44-45C5-BCEA-36F5C680D860}">
  <dimension ref="A1:R12"/>
  <sheetViews>
    <sheetView zoomScale="115" zoomScaleNormal="115" workbookViewId="0">
      <selection activeCell="N7" sqref="N7"/>
    </sheetView>
  </sheetViews>
  <sheetFormatPr defaultColWidth="8.85546875" defaultRowHeight="15" x14ac:dyDescent="0.25"/>
  <cols>
    <col min="9" max="9" width="16" bestFit="1" customWidth="1"/>
  </cols>
  <sheetData>
    <row r="1" spans="1:18" x14ac:dyDescent="0.25">
      <c r="B1" t="s">
        <v>7</v>
      </c>
      <c r="C1" t="s">
        <v>6</v>
      </c>
      <c r="D1" t="s">
        <v>5</v>
      </c>
      <c r="E1" t="s">
        <v>4</v>
      </c>
      <c r="F1" t="s">
        <v>3</v>
      </c>
      <c r="G1" t="s">
        <v>2</v>
      </c>
      <c r="I1" t="s">
        <v>1</v>
      </c>
      <c r="J1" t="s">
        <v>0</v>
      </c>
    </row>
    <row r="2" spans="1:18" x14ac:dyDescent="0.25">
      <c r="A2">
        <v>50</v>
      </c>
      <c r="B2">
        <v>3</v>
      </c>
      <c r="C2">
        <v>-50.0614606020157</v>
      </c>
      <c r="D2">
        <v>0.12323416989371901</v>
      </c>
      <c r="E2">
        <v>10.551463066513</v>
      </c>
      <c r="F2">
        <v>0.84697428880552295</v>
      </c>
      <c r="G2">
        <v>0</v>
      </c>
      <c r="I2">
        <f t="shared" ref="I2:I9" si="0">ABS(11.344*(G2)-49.436)</f>
        <v>49.436</v>
      </c>
      <c r="J2">
        <f t="shared" ref="J2:J9" si="1">11.344*F2</f>
        <v>9.6080763322098512</v>
      </c>
    </row>
    <row r="3" spans="1:18" x14ac:dyDescent="0.25">
      <c r="A3">
        <v>100</v>
      </c>
      <c r="B3">
        <v>5</v>
      </c>
      <c r="C3">
        <v>-100.037224394397</v>
      </c>
      <c r="D3">
        <v>0.120260534185763</v>
      </c>
      <c r="E3">
        <v>10.067556148172599</v>
      </c>
      <c r="F3">
        <v>0.75694691818602</v>
      </c>
      <c r="G3">
        <f t="shared" ref="G3:G9" si="2">E3-$E$2</f>
        <v>-0.48390691834040034</v>
      </c>
      <c r="I3">
        <f t="shared" si="0"/>
        <v>54.925440081653498</v>
      </c>
      <c r="J3">
        <f t="shared" si="1"/>
        <v>8.58680583990221</v>
      </c>
    </row>
    <row r="4" spans="1:18" x14ac:dyDescent="0.25">
      <c r="A4">
        <f t="shared" ref="A4:A9" si="3">A3+100</f>
        <v>200</v>
      </c>
      <c r="B4">
        <v>7</v>
      </c>
      <c r="C4">
        <v>-199.972944627782</v>
      </c>
      <c r="D4">
        <v>0.119278684876828</v>
      </c>
      <c r="E4">
        <v>8.8337184771895103</v>
      </c>
      <c r="F4">
        <v>0.38751525176125301</v>
      </c>
      <c r="G4">
        <f t="shared" si="2"/>
        <v>-1.7177445893234893</v>
      </c>
      <c r="I4">
        <f t="shared" si="0"/>
        <v>68.922094621285666</v>
      </c>
      <c r="J4">
        <f t="shared" si="1"/>
        <v>4.3959730159796537</v>
      </c>
    </row>
    <row r="5" spans="1:18" x14ac:dyDescent="0.25">
      <c r="A5">
        <f t="shared" si="3"/>
        <v>300</v>
      </c>
      <c r="B5">
        <v>9</v>
      </c>
      <c r="C5">
        <v>-299.96861665135901</v>
      </c>
      <c r="D5">
        <v>0.12175939447456401</v>
      </c>
      <c r="E5">
        <v>7.3349546073309702</v>
      </c>
      <c r="F5">
        <v>0.26973198319284097</v>
      </c>
      <c r="G5">
        <f t="shared" si="2"/>
        <v>-3.2165084591820294</v>
      </c>
      <c r="I5">
        <f t="shared" si="0"/>
        <v>85.92407196096093</v>
      </c>
      <c r="J5">
        <f t="shared" si="1"/>
        <v>3.0598396173395876</v>
      </c>
    </row>
    <row r="6" spans="1:18" x14ac:dyDescent="0.25">
      <c r="A6">
        <f t="shared" si="3"/>
        <v>400</v>
      </c>
      <c r="B6">
        <v>11</v>
      </c>
      <c r="C6">
        <v>-400.006767615417</v>
      </c>
      <c r="D6">
        <v>0.10546812830913101</v>
      </c>
      <c r="E6">
        <v>5.9828745254734601</v>
      </c>
      <c r="F6">
        <v>0.17912964362144199</v>
      </c>
      <c r="G6">
        <f t="shared" si="2"/>
        <v>-4.5685885410395395</v>
      </c>
      <c r="I6">
        <f t="shared" si="0"/>
        <v>101.26206840955254</v>
      </c>
      <c r="J6">
        <f t="shared" si="1"/>
        <v>2.0320466772416377</v>
      </c>
    </row>
    <row r="7" spans="1:18" x14ac:dyDescent="0.25">
      <c r="A7">
        <f t="shared" si="3"/>
        <v>500</v>
      </c>
      <c r="B7">
        <v>13</v>
      </c>
      <c r="C7">
        <v>-500.03061943229199</v>
      </c>
      <c r="D7">
        <v>0.134761442639631</v>
      </c>
      <c r="E7">
        <v>4.8197416053008304</v>
      </c>
      <c r="F7">
        <v>0.130581677915283</v>
      </c>
      <c r="G7">
        <f t="shared" si="2"/>
        <v>-5.7317214612121692</v>
      </c>
      <c r="I7">
        <f t="shared" si="0"/>
        <v>114.45664825599084</v>
      </c>
      <c r="J7">
        <f t="shared" si="1"/>
        <v>1.4813185542709701</v>
      </c>
    </row>
    <row r="8" spans="1:18" x14ac:dyDescent="0.25">
      <c r="A8">
        <f t="shared" si="3"/>
        <v>600</v>
      </c>
      <c r="B8">
        <v>15</v>
      </c>
      <c r="C8">
        <v>-600.01422233926496</v>
      </c>
      <c r="D8">
        <v>0.15410193347137899</v>
      </c>
      <c r="E8">
        <v>4.1636379495942499</v>
      </c>
      <c r="F8">
        <v>9.3168323581972901E-3</v>
      </c>
      <c r="G8">
        <f t="shared" si="2"/>
        <v>-6.3878251169187497</v>
      </c>
      <c r="I8">
        <f t="shared" si="0"/>
        <v>121.8994881263263</v>
      </c>
      <c r="J8">
        <f t="shared" si="1"/>
        <v>0.10569014627139005</v>
      </c>
    </row>
    <row r="9" spans="1:18" x14ac:dyDescent="0.25">
      <c r="A9">
        <f t="shared" si="3"/>
        <v>700</v>
      </c>
      <c r="B9">
        <v>17</v>
      </c>
      <c r="C9">
        <v>-700.02050918825501</v>
      </c>
      <c r="D9">
        <v>0.12778745412874801</v>
      </c>
      <c r="E9">
        <v>3.8821093317075999</v>
      </c>
      <c r="F9">
        <v>8.3948860094989995E-3</v>
      </c>
      <c r="G9">
        <f t="shared" si="2"/>
        <v>-6.6693537348053997</v>
      </c>
      <c r="I9">
        <f t="shared" si="0"/>
        <v>125.09314876763244</v>
      </c>
      <c r="J9">
        <f t="shared" si="1"/>
        <v>9.5231586891756648E-2</v>
      </c>
    </row>
    <row r="11" spans="1:18" x14ac:dyDescent="0.25">
      <c r="P11">
        <f>3*-3.4058</f>
        <v>-10.217400000000001</v>
      </c>
      <c r="Q11">
        <f>2*-28.683</f>
        <v>-57.366</v>
      </c>
      <c r="R11">
        <f>-134.54</f>
        <v>-134.54</v>
      </c>
    </row>
    <row r="12" spans="1:18" x14ac:dyDescent="0.25">
      <c r="P12">
        <f>2*5.672</f>
        <v>11.343999999999999</v>
      </c>
      <c r="Q12">
        <v>-49.436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Readme and Comparisons</vt:lpstr>
      <vt:lpstr>Model 1 Average</vt:lpstr>
      <vt:lpstr>Model 1 Frame 1</vt:lpstr>
      <vt:lpstr>Model 1 Frame 2</vt:lpstr>
      <vt:lpstr>Model 1 Frame 3</vt:lpstr>
      <vt:lpstr>Model 2 Average</vt:lpstr>
      <vt:lpstr>Model 2 Frame 1</vt:lpstr>
      <vt:lpstr>Model 2 Frame 3</vt:lpstr>
      <vt:lpstr>Model 2 Frame 2</vt:lpstr>
      <vt:lpstr>Model 3 Average</vt:lpstr>
      <vt:lpstr>Model 3 Frame 1</vt:lpstr>
      <vt:lpstr>Model 3 Frame 2</vt:lpstr>
      <vt:lpstr>Model 3 Frame 3</vt:lpstr>
      <vt:lpstr>Model 4 Average</vt:lpstr>
      <vt:lpstr>Model 4 Frame 1</vt:lpstr>
      <vt:lpstr>Model 4 Frame 2</vt:lpstr>
      <vt:lpstr>Model 4 Frame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Irish</dc:creator>
  <cp:keywords/>
  <dc:description/>
  <cp:lastModifiedBy>Todd Stewart</cp:lastModifiedBy>
  <cp:revision/>
  <dcterms:created xsi:type="dcterms:W3CDTF">2015-06-05T18:17:20Z</dcterms:created>
  <dcterms:modified xsi:type="dcterms:W3CDTF">2026-01-06T13:57:24Z</dcterms:modified>
  <cp:category/>
  <cp:contentStatus/>
</cp:coreProperties>
</file>