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Sarit\MRC\Manuscript\BMC\"/>
    </mc:Choice>
  </mc:AlternateContent>
  <bookViews>
    <workbookView xWindow="0" yWindow="0" windowWidth="19200" windowHeight="7050"/>
  </bookViews>
  <sheets>
    <sheet name="HR" sheetId="1" r:id="rId1"/>
    <sheet name="HR +Moni Dist." sheetId="2" r:id="rId2"/>
    <sheet name="Training" sheetId="3" r:id="rId3"/>
    <sheet name="Meeting " sheetId="4" r:id="rId4"/>
    <sheet name="Calculation 2020-21" sheetId="22" r:id="rId5"/>
    <sheet name="Incentive" sheetId="14" r:id="rId6"/>
    <sheet name="BCM" sheetId="21" r:id="rId7"/>
    <sheet name=" Calculation 2019-20" sheetId="15" r:id="rId8"/>
    <sheet name="ANM" sheetId="11" r:id="rId9"/>
    <sheet name="ANM2" sheetId="19" r:id="rId10"/>
    <sheet name="ANM FINAL" sheetId="18" r:id="rId11"/>
    <sheet name="AF" sheetId="9" r:id="rId12"/>
    <sheet name="Sheet3" sheetId="17" r:id="rId13"/>
    <sheet name="Docs Sal" sheetId="2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22" l="1"/>
  <c r="Q9" i="22"/>
  <c r="Q8" i="22"/>
  <c r="Q7" i="22"/>
  <c r="Q5" i="22"/>
  <c r="E23" i="22"/>
  <c r="C17" i="22"/>
  <c r="J9" i="22"/>
  <c r="B23" i="22"/>
  <c r="E17" i="22"/>
  <c r="D17" i="22"/>
  <c r="B17" i="22"/>
  <c r="L3" i="20"/>
  <c r="J4" i="20"/>
  <c r="J3" i="20"/>
  <c r="B10" i="14"/>
  <c r="N4" i="14"/>
  <c r="M4" i="14"/>
  <c r="K4" i="14"/>
  <c r="N6" i="14" l="1"/>
  <c r="O6" i="14" s="1"/>
  <c r="L5" i="14"/>
  <c r="C10" i="22"/>
  <c r="D10" i="22"/>
  <c r="E10" i="22"/>
  <c r="B10" i="22"/>
  <c r="T7" i="2"/>
  <c r="N9" i="22" l="1"/>
  <c r="N8" i="22"/>
  <c r="N7" i="22"/>
  <c r="N6" i="22"/>
  <c r="N5" i="22"/>
  <c r="L9" i="22"/>
  <c r="L8" i="22"/>
  <c r="L7" i="22"/>
  <c r="L6" i="22"/>
  <c r="L5" i="22"/>
  <c r="J8" i="22"/>
  <c r="P8" i="22" s="1"/>
  <c r="J7" i="22"/>
  <c r="J6" i="22"/>
  <c r="J5" i="22"/>
  <c r="H9" i="22"/>
  <c r="H7" i="22"/>
  <c r="H6" i="22"/>
  <c r="H5" i="22"/>
  <c r="X17" i="3"/>
  <c r="Y17" i="3"/>
  <c r="C23" i="22"/>
  <c r="D23" i="22"/>
  <c r="N18" i="22"/>
  <c r="L18" i="22"/>
  <c r="J18" i="22"/>
  <c r="H18" i="22"/>
  <c r="T44" i="19"/>
  <c r="S44" i="19"/>
  <c r="H5" i="15"/>
  <c r="P7" i="15"/>
  <c r="P8" i="15"/>
  <c r="P9" i="15"/>
  <c r="J6" i="15"/>
  <c r="K6" i="15" s="1"/>
  <c r="J5" i="15"/>
  <c r="K5" i="15" s="1"/>
  <c r="C4" i="14"/>
  <c r="L4" i="14" s="1"/>
  <c r="K5" i="14" s="1"/>
  <c r="J10" i="15"/>
  <c r="N6" i="15"/>
  <c r="N5" i="15"/>
  <c r="N10" i="15" s="1"/>
  <c r="L6" i="15"/>
  <c r="M6" i="15" s="1"/>
  <c r="L5" i="15"/>
  <c r="L10" i="15" s="1"/>
  <c r="H6" i="15"/>
  <c r="P6" i="15" s="1"/>
  <c r="C17" i="15"/>
  <c r="D17" i="15"/>
  <c r="E17" i="15"/>
  <c r="B17" i="15"/>
  <c r="D23" i="15"/>
  <c r="C23" i="15"/>
  <c r="B23" i="15"/>
  <c r="O8" i="15" l="1"/>
  <c r="O6" i="15"/>
  <c r="N13" i="15"/>
  <c r="N12" i="15"/>
  <c r="O5" i="15"/>
  <c r="I5" i="15"/>
  <c r="M9" i="15"/>
  <c r="M7" i="15"/>
  <c r="L13" i="15"/>
  <c r="L12" i="15"/>
  <c r="P5" i="15"/>
  <c r="H10" i="15"/>
  <c r="J12" i="15"/>
  <c r="I5" i="22"/>
  <c r="J13" i="15"/>
  <c r="K7" i="15"/>
  <c r="P6" i="22"/>
  <c r="I6" i="22"/>
  <c r="K9" i="15"/>
  <c r="I6" i="15"/>
  <c r="M5" i="15"/>
  <c r="P7" i="22"/>
  <c r="I7" i="22"/>
  <c r="I9" i="22"/>
  <c r="J10" i="22"/>
  <c r="P9" i="22"/>
  <c r="N10" i="22"/>
  <c r="L10" i="22"/>
  <c r="P5" i="22"/>
  <c r="H10" i="22"/>
  <c r="E23" i="15"/>
  <c r="Z6" i="21"/>
  <c r="Z7" i="21"/>
  <c r="Z8" i="21"/>
  <c r="W8" i="21"/>
  <c r="W7" i="21"/>
  <c r="X7" i="21" s="1"/>
  <c r="W6" i="21"/>
  <c r="W5" i="21"/>
  <c r="Z5" i="21" s="1"/>
  <c r="G5" i="21"/>
  <c r="T7" i="21"/>
  <c r="U7" i="21" s="1"/>
  <c r="W13" i="21" s="1"/>
  <c r="T8" i="21"/>
  <c r="U8" i="21" s="1"/>
  <c r="X13" i="21" s="1"/>
  <c r="T5" i="21"/>
  <c r="U5" i="21" s="1"/>
  <c r="U13" i="21" s="1"/>
  <c r="S6" i="21"/>
  <c r="T6" i="21" s="1"/>
  <c r="L12" i="21"/>
  <c r="L13" i="21" s="1"/>
  <c r="I6" i="21"/>
  <c r="L6" i="21" s="1"/>
  <c r="I5" i="21"/>
  <c r="L5" i="21" s="1"/>
  <c r="F5" i="21"/>
  <c r="F8" i="21"/>
  <c r="G8" i="21" s="1"/>
  <c r="F7" i="21"/>
  <c r="G7" i="21" s="1"/>
  <c r="AA7" i="21" l="1"/>
  <c r="W15" i="21" s="1"/>
  <c r="X6" i="21"/>
  <c r="AA6" i="21" s="1"/>
  <c r="V15" i="21" s="1"/>
  <c r="U6" i="21"/>
  <c r="V13" i="21" s="1"/>
  <c r="J5" i="21"/>
  <c r="X5" i="21"/>
  <c r="AA5" i="21" s="1"/>
  <c r="U15" i="21" s="1"/>
  <c r="X8" i="21"/>
  <c r="AA8" i="21" s="1"/>
  <c r="X15" i="21" s="1"/>
  <c r="L13" i="22"/>
  <c r="L12" i="22"/>
  <c r="L11" i="22"/>
  <c r="N11" i="22"/>
  <c r="N13" i="22"/>
  <c r="N12" i="22"/>
  <c r="M9" i="22"/>
  <c r="J11" i="22"/>
  <c r="J12" i="22"/>
  <c r="I8" i="15"/>
  <c r="H12" i="15"/>
  <c r="P12" i="15" s="1"/>
  <c r="P10" i="15"/>
  <c r="H13" i="15"/>
  <c r="P13" i="15" s="1"/>
  <c r="Q5" i="15"/>
  <c r="H12" i="22"/>
  <c r="H11" i="22"/>
  <c r="P10" i="22"/>
  <c r="O5" i="22"/>
  <c r="O7" i="22"/>
  <c r="O6" i="22"/>
  <c r="O9" i="22"/>
  <c r="M7" i="22"/>
  <c r="M6" i="22"/>
  <c r="M5" i="22"/>
  <c r="M8" i="22"/>
  <c r="J13" i="22"/>
  <c r="P13" i="22" s="1"/>
  <c r="K7" i="22"/>
  <c r="K6" i="22"/>
  <c r="K5" i="22"/>
  <c r="K8" i="22"/>
  <c r="K9" i="22"/>
  <c r="H13" i="22"/>
  <c r="M5" i="21"/>
  <c r="I8" i="21"/>
  <c r="L8" i="21" s="1"/>
  <c r="I7" i="21"/>
  <c r="L7" i="21" s="1"/>
  <c r="E6" i="21"/>
  <c r="F6" i="21" s="1"/>
  <c r="J8" i="4"/>
  <c r="AQ7" i="2"/>
  <c r="Q9" i="15" l="1"/>
  <c r="Q8" i="15"/>
  <c r="Q7" i="15"/>
  <c r="Q6" i="15"/>
  <c r="P12" i="22"/>
  <c r="P11" i="22"/>
  <c r="J7" i="21"/>
  <c r="M7" i="21" s="1"/>
  <c r="J8" i="21"/>
  <c r="M8" i="21" s="1"/>
  <c r="G6" i="21"/>
  <c r="J6" i="21"/>
  <c r="M6" i="21" s="1"/>
  <c r="AC7" i="2"/>
  <c r="AD7" i="2" s="1"/>
  <c r="AD5" i="2"/>
  <c r="AK5" i="2" s="1"/>
  <c r="AL5" i="2" s="1"/>
  <c r="AR5" i="2" s="1"/>
  <c r="AD6" i="2"/>
  <c r="AK6" i="2" s="1"/>
  <c r="AL6" i="2" s="1"/>
  <c r="AR6" i="2" s="1"/>
  <c r="AC5" i="2"/>
  <c r="AC6" i="2"/>
  <c r="AC4" i="2"/>
  <c r="AD4" i="2" s="1"/>
  <c r="D7" i="2"/>
  <c r="Y12" i="2"/>
  <c r="Z12" i="2" s="1"/>
  <c r="S28" i="1"/>
  <c r="X12" i="1" s="1"/>
  <c r="S36" i="1"/>
  <c r="Y12" i="1" s="1"/>
  <c r="S20" i="1"/>
  <c r="W12" i="1" s="1"/>
  <c r="S12" i="1"/>
  <c r="V12" i="1" s="1"/>
  <c r="P18" i="20"/>
  <c r="N4" i="20"/>
  <c r="N5" i="20"/>
  <c r="N3" i="20"/>
  <c r="N7" i="20" s="1"/>
  <c r="L4" i="20"/>
  <c r="L7" i="20" s="1"/>
  <c r="L5" i="20"/>
  <c r="L6" i="20"/>
  <c r="P4" i="20"/>
  <c r="P3" i="20"/>
  <c r="P7" i="20" s="1"/>
  <c r="P14" i="20"/>
  <c r="P13" i="20"/>
  <c r="N14" i="20"/>
  <c r="N15" i="20"/>
  <c r="N16" i="20"/>
  <c r="N13" i="20"/>
  <c r="N18" i="20" s="1"/>
  <c r="L14" i="20"/>
  <c r="L18" i="20" s="1"/>
  <c r="L15" i="20"/>
  <c r="L16" i="20"/>
  <c r="L13" i="20"/>
  <c r="J13" i="20"/>
  <c r="J18" i="20" s="1"/>
  <c r="J14" i="20"/>
  <c r="J15" i="20"/>
  <c r="J16" i="20"/>
  <c r="J5" i="20"/>
  <c r="J6" i="20"/>
  <c r="L2" i="20"/>
  <c r="N2" i="20" s="1"/>
  <c r="P2" i="20" s="1"/>
  <c r="C72" i="11"/>
  <c r="AS3" i="18"/>
  <c r="AS4" i="18"/>
  <c r="AS5" i="18"/>
  <c r="AS6" i="18"/>
  <c r="AS7" i="18"/>
  <c r="AS8" i="18"/>
  <c r="AS2" i="18"/>
  <c r="AS18" i="18" s="1"/>
  <c r="AQ3" i="18"/>
  <c r="AQ4" i="18"/>
  <c r="AQ5" i="18"/>
  <c r="AQ6" i="18"/>
  <c r="AQ7" i="18"/>
  <c r="AQ8" i="18"/>
  <c r="AQ9" i="18"/>
  <c r="AQ10" i="18"/>
  <c r="AQ2" i="18"/>
  <c r="AQ18" i="18" s="1"/>
  <c r="AO3" i="18"/>
  <c r="AO4" i="18"/>
  <c r="AO5" i="18"/>
  <c r="AO6" i="18"/>
  <c r="AO7" i="18"/>
  <c r="AO8" i="18"/>
  <c r="AO2" i="18"/>
  <c r="AO18" i="18" s="1"/>
  <c r="AM5" i="18"/>
  <c r="AM3" i="18"/>
  <c r="AM4" i="18"/>
  <c r="AM6" i="18"/>
  <c r="AM7" i="18"/>
  <c r="AM8" i="18"/>
  <c r="AM9" i="18"/>
  <c r="AM10" i="18"/>
  <c r="AM2" i="18"/>
  <c r="AM18" i="18" s="1"/>
  <c r="AI3" i="18"/>
  <c r="AI4" i="18"/>
  <c r="AI5" i="18"/>
  <c r="AI6" i="18"/>
  <c r="AI7" i="18"/>
  <c r="AI8" i="18"/>
  <c r="AI2" i="18"/>
  <c r="AI18" i="18" s="1"/>
  <c r="AG3" i="18"/>
  <c r="AG4" i="18"/>
  <c r="AG5" i="18"/>
  <c r="AG2" i="18"/>
  <c r="AG18" i="18" s="1"/>
  <c r="AD3" i="18"/>
  <c r="AD4" i="18"/>
  <c r="AD5" i="18"/>
  <c r="AD6" i="18"/>
  <c r="AD7" i="18"/>
  <c r="AD8" i="18"/>
  <c r="AD9" i="18"/>
  <c r="AD10" i="18"/>
  <c r="AD11" i="18"/>
  <c r="AD2" i="18"/>
  <c r="AD18" i="18" s="1"/>
  <c r="AB3" i="18"/>
  <c r="AB18" i="18" s="1"/>
  <c r="AB4" i="18"/>
  <c r="AB5" i="18"/>
  <c r="AB6" i="18"/>
  <c r="AB2" i="18"/>
  <c r="X3" i="18"/>
  <c r="X4" i="18"/>
  <c r="X5" i="18"/>
  <c r="X6" i="18"/>
  <c r="X7" i="18"/>
  <c r="X8" i="18"/>
  <c r="X9" i="18"/>
  <c r="X10" i="18"/>
  <c r="X11" i="18"/>
  <c r="X2" i="18"/>
  <c r="X18" i="18" s="1"/>
  <c r="V3" i="18"/>
  <c r="V4" i="18"/>
  <c r="V5" i="18"/>
  <c r="V6" i="18"/>
  <c r="V7" i="18"/>
  <c r="V8" i="18"/>
  <c r="V9" i="18"/>
  <c r="V10" i="18"/>
  <c r="V11" i="18"/>
  <c r="V12" i="18"/>
  <c r="V13" i="18"/>
  <c r="V14" i="18"/>
  <c r="V18" i="18" s="1"/>
  <c r="V15" i="18"/>
  <c r="V16" i="18"/>
  <c r="V2" i="18"/>
  <c r="R3" i="18"/>
  <c r="R4" i="18"/>
  <c r="R5" i="18"/>
  <c r="R6" i="18"/>
  <c r="R7" i="18"/>
  <c r="R8" i="18"/>
  <c r="R9" i="18"/>
  <c r="R19" i="18" s="1"/>
  <c r="R10" i="18"/>
  <c r="R11" i="18"/>
  <c r="R2" i="18"/>
  <c r="P3" i="18"/>
  <c r="P4" i="18"/>
  <c r="P5" i="18"/>
  <c r="P6" i="18"/>
  <c r="P7" i="18"/>
  <c r="P8" i="18"/>
  <c r="P9" i="18"/>
  <c r="P10" i="18"/>
  <c r="P19" i="18" s="1"/>
  <c r="P11" i="18"/>
  <c r="P12" i="18"/>
  <c r="P13" i="18"/>
  <c r="P14" i="18"/>
  <c r="P15" i="18"/>
  <c r="P16" i="18"/>
  <c r="P17" i="18"/>
  <c r="P2" i="18"/>
  <c r="L5" i="18"/>
  <c r="L6" i="18"/>
  <c r="L7" i="18"/>
  <c r="J2" i="18"/>
  <c r="J14" i="18" s="1"/>
  <c r="K2" i="18"/>
  <c r="L2" i="18" s="1"/>
  <c r="L14" i="18" s="1"/>
  <c r="J3" i="18"/>
  <c r="J5" i="18"/>
  <c r="J6" i="18"/>
  <c r="J7" i="18"/>
  <c r="J8" i="18"/>
  <c r="J9" i="18"/>
  <c r="J10" i="18"/>
  <c r="J11" i="18"/>
  <c r="J12" i="18"/>
  <c r="C3" i="18"/>
  <c r="C13" i="18" s="1"/>
  <c r="C4" i="18"/>
  <c r="C5" i="18"/>
  <c r="C6" i="18"/>
  <c r="C7" i="18"/>
  <c r="C8" i="18"/>
  <c r="C9" i="18"/>
  <c r="C10" i="18"/>
  <c r="C11" i="18"/>
  <c r="C2" i="18"/>
  <c r="F5" i="18"/>
  <c r="F6" i="18"/>
  <c r="F7" i="18"/>
  <c r="K4" i="18"/>
  <c r="L4" i="18" s="1"/>
  <c r="I4" i="18"/>
  <c r="J4" i="18" s="1"/>
  <c r="E4" i="18"/>
  <c r="F4" i="18" s="1"/>
  <c r="K3" i="18"/>
  <c r="L3" i="18" s="1"/>
  <c r="E3" i="18"/>
  <c r="F3" i="18" s="1"/>
  <c r="E2" i="18"/>
  <c r="F2" i="18" s="1"/>
  <c r="F13" i="18" s="1"/>
  <c r="W44" i="19"/>
  <c r="V44" i="19"/>
  <c r="S32" i="1"/>
  <c r="S24" i="1"/>
  <c r="S16" i="1"/>
  <c r="S8" i="1"/>
  <c r="X20" i="11"/>
  <c r="AD11" i="11"/>
  <c r="AD12" i="11"/>
  <c r="AD13" i="11"/>
  <c r="AD14" i="11"/>
  <c r="AD15" i="11"/>
  <c r="AD16" i="11"/>
  <c r="AD17" i="11"/>
  <c r="AD18" i="11"/>
  <c r="AD19" i="11"/>
  <c r="AD20" i="11"/>
  <c r="AD21" i="11"/>
  <c r="AD24" i="11" s="1"/>
  <c r="AD22" i="11"/>
  <c r="AD10" i="11"/>
  <c r="AB10" i="11"/>
  <c r="AB24" i="11" s="1"/>
  <c r="AB16" i="11"/>
  <c r="AB11" i="11"/>
  <c r="AB12" i="11"/>
  <c r="AB13" i="11"/>
  <c r="AB14" i="11"/>
  <c r="AB15" i="11"/>
  <c r="AB17" i="11"/>
  <c r="AB18" i="11"/>
  <c r="AB19" i="11"/>
  <c r="AB20" i="11"/>
  <c r="AB21" i="11"/>
  <c r="AB22" i="11"/>
  <c r="M60" i="11"/>
  <c r="O60" i="11" s="1"/>
  <c r="X10" i="11"/>
  <c r="U10" i="11"/>
  <c r="X11" i="11"/>
  <c r="X12" i="11"/>
  <c r="X13" i="11"/>
  <c r="X14" i="11"/>
  <c r="X15" i="11"/>
  <c r="X16" i="11"/>
  <c r="X17" i="11"/>
  <c r="X18" i="11"/>
  <c r="U13" i="11"/>
  <c r="U11" i="11"/>
  <c r="U14" i="11"/>
  <c r="U15" i="11"/>
  <c r="U16" i="11"/>
  <c r="U17" i="11"/>
  <c r="U18" i="11"/>
  <c r="S12" i="11"/>
  <c r="U12" i="11" s="1"/>
  <c r="S11" i="11"/>
  <c r="O11" i="11"/>
  <c r="N11" i="11"/>
  <c r="I68" i="11"/>
  <c r="I69" i="11"/>
  <c r="G70" i="11"/>
  <c r="I70" i="11" s="1"/>
  <c r="G69" i="11"/>
  <c r="G68" i="11"/>
  <c r="G67" i="11"/>
  <c r="I67" i="11" s="1"/>
  <c r="K67" i="11"/>
  <c r="C64" i="11"/>
  <c r="N5" i="14"/>
  <c r="N18" i="15"/>
  <c r="N11" i="15" s="1"/>
  <c r="L11" i="2"/>
  <c r="M11" i="2" s="1"/>
  <c r="G4" i="14"/>
  <c r="F4" i="2"/>
  <c r="P12" i="2"/>
  <c r="P11" i="2"/>
  <c r="R11" i="2" s="1"/>
  <c r="S11" i="2" s="1"/>
  <c r="N11" i="2"/>
  <c r="J18" i="15"/>
  <c r="J11" i="15" s="1"/>
  <c r="L18" i="15"/>
  <c r="L11" i="15" s="1"/>
  <c r="H18" i="15"/>
  <c r="H11" i="15" s="1"/>
  <c r="P11" i="15" s="1"/>
  <c r="AE7" i="2" l="1"/>
  <c r="AF7" i="2" s="1"/>
  <c r="AK7" i="2"/>
  <c r="AL7" i="2" s="1"/>
  <c r="AR7" i="2" s="1"/>
  <c r="U20" i="11"/>
  <c r="W21" i="11" s="1"/>
  <c r="I7" i="2"/>
  <c r="AK4" i="2"/>
  <c r="AL4" i="2" s="1"/>
  <c r="AR4" i="2" s="1"/>
  <c r="AE4" i="2"/>
  <c r="AF4" i="2" s="1"/>
  <c r="AG4" i="2" s="1"/>
  <c r="AE5" i="2"/>
  <c r="AF5" i="2" s="1"/>
  <c r="AG5" i="2" s="1"/>
  <c r="J7" i="20"/>
  <c r="AE6" i="2"/>
  <c r="AF6" i="2" s="1"/>
  <c r="AG6" i="2" s="1"/>
  <c r="H60" i="11"/>
  <c r="H59" i="11"/>
  <c r="I59" i="11" s="1"/>
  <c r="H58" i="11"/>
  <c r="H57" i="11"/>
  <c r="G59" i="11"/>
  <c r="K59" i="11" s="1"/>
  <c r="F58" i="11"/>
  <c r="F57" i="11"/>
  <c r="D60" i="11"/>
  <c r="G60" i="11" s="1"/>
  <c r="E58" i="11"/>
  <c r="D58" i="11"/>
  <c r="M59" i="11" s="1"/>
  <c r="O59" i="11" s="1"/>
  <c r="E57" i="11"/>
  <c r="D57" i="11"/>
  <c r="M58" i="11" s="1"/>
  <c r="O58" i="11" s="1"/>
  <c r="C57" i="11"/>
  <c r="M57" i="11" s="1"/>
  <c r="O57" i="11" s="1"/>
  <c r="O61" i="11" s="1"/>
  <c r="F5" i="2"/>
  <c r="G5" i="2" s="1"/>
  <c r="F6" i="2"/>
  <c r="G6" i="2" s="1"/>
  <c r="F7" i="2"/>
  <c r="G7" i="2" s="1"/>
  <c r="K60" i="11" l="1"/>
  <c r="I60" i="11"/>
  <c r="N7" i="2"/>
  <c r="AG8" i="2"/>
  <c r="AG11" i="2" s="1"/>
  <c r="G57" i="11"/>
  <c r="G58" i="11"/>
  <c r="AR8" i="2"/>
  <c r="AR11" i="2" s="1"/>
  <c r="AG7" i="2"/>
  <c r="H6" i="2"/>
  <c r="I6" i="2" s="1"/>
  <c r="J6" i="2" s="1"/>
  <c r="L5" i="2"/>
  <c r="R5" i="2" s="1"/>
  <c r="L6" i="2"/>
  <c r="Q6" i="2" s="1"/>
  <c r="L7" i="2"/>
  <c r="Q7" i="2" s="1"/>
  <c r="L4" i="2"/>
  <c r="Q4" i="2" s="1"/>
  <c r="E10" i="14"/>
  <c r="G10" i="14"/>
  <c r="D12" i="14"/>
  <c r="D11" i="14"/>
  <c r="E11" i="14"/>
  <c r="C11" i="14"/>
  <c r="B11" i="14"/>
  <c r="D10" i="14"/>
  <c r="C10" i="14"/>
  <c r="F16" i="1"/>
  <c r="G16" i="1" s="1"/>
  <c r="H16" i="1" s="1"/>
  <c r="I16" i="1" s="1"/>
  <c r="I20" i="1" s="1"/>
  <c r="I32" i="1"/>
  <c r="I36" i="1" s="1"/>
  <c r="F24" i="1"/>
  <c r="G24" i="1" s="1"/>
  <c r="H24" i="1" s="1"/>
  <c r="I24" i="1" s="1"/>
  <c r="I28" i="1" s="1"/>
  <c r="F8" i="1"/>
  <c r="G8" i="1" s="1"/>
  <c r="H8" i="1" s="1"/>
  <c r="I8" i="1" s="1"/>
  <c r="I12" i="1" s="1"/>
  <c r="K58" i="11" l="1"/>
  <c r="I58" i="11"/>
  <c r="N6" i="2"/>
  <c r="O6" i="2" s="1"/>
  <c r="I57" i="11"/>
  <c r="K57" i="11"/>
  <c r="R4" i="2"/>
  <c r="S4" i="2" s="1"/>
  <c r="T4" i="2" s="1"/>
  <c r="O7" i="2"/>
  <c r="R6" i="2"/>
  <c r="S6" i="2" s="1"/>
  <c r="T6" i="2" s="1"/>
  <c r="U6" i="2" s="1"/>
  <c r="Q5" i="2"/>
  <c r="U7" i="2" l="1"/>
  <c r="J7" i="2"/>
  <c r="S5" i="2"/>
  <c r="T5" i="2" s="1"/>
  <c r="H5" i="2"/>
  <c r="I5" i="2" s="1"/>
  <c r="J5" i="2" s="1"/>
  <c r="N5" i="2"/>
  <c r="O5" i="2" s="1"/>
  <c r="J10" i="4"/>
  <c r="J13" i="4"/>
  <c r="V12" i="4"/>
  <c r="R15" i="4" s="1"/>
  <c r="V10" i="4"/>
  <c r="Q15" i="4" s="1"/>
  <c r="V8" i="4"/>
  <c r="P15" i="4" s="1"/>
  <c r="V6" i="4"/>
  <c r="V14" i="4" l="1"/>
  <c r="O15" i="4"/>
  <c r="U5" i="2"/>
  <c r="E3" i="9"/>
  <c r="G4" i="2"/>
  <c r="N4" i="2" s="1"/>
  <c r="H4" i="2" l="1"/>
  <c r="I4" i="2" s="1"/>
  <c r="J4" i="2" s="1"/>
  <c r="J8" i="2" s="1"/>
  <c r="O4" i="2"/>
  <c r="U4" i="2" l="1"/>
  <c r="U8" i="2" s="1"/>
</calcChain>
</file>

<file path=xl/sharedStrings.xml><?xml version="1.0" encoding="utf-8"?>
<sst xmlns="http://schemas.openxmlformats.org/spreadsheetml/2006/main" count="873" uniqueCount="291">
  <si>
    <t>Per day's salary</t>
  </si>
  <si>
    <t>Per hour's salary</t>
  </si>
  <si>
    <t>Apportioned salary for a month</t>
  </si>
  <si>
    <t>S. No</t>
  </si>
  <si>
    <t>A. Personnel</t>
  </si>
  <si>
    <t xml:space="preserve">B. No. of personnel </t>
  </si>
  <si>
    <t>G. Gross salary per month (INR)</t>
  </si>
  <si>
    <t>MO</t>
  </si>
  <si>
    <t>Asha F.</t>
  </si>
  <si>
    <t>TOTAL</t>
  </si>
  <si>
    <t>Remarks</t>
  </si>
  <si>
    <t>D. Total no of hours contributed in a month for RKSK</t>
  </si>
  <si>
    <t>Total cost for a year</t>
  </si>
  <si>
    <t>DPM</t>
  </si>
  <si>
    <t>RKSK Coordinator</t>
  </si>
  <si>
    <t xml:space="preserve">Total </t>
  </si>
  <si>
    <t>Level of training</t>
  </si>
  <si>
    <t>Duration of training (in hrs.)</t>
  </si>
  <si>
    <t>No of trainees trained</t>
  </si>
  <si>
    <t>Type of Trainer - (Hired/ department personnel)</t>
  </si>
  <si>
    <t>Expenditure incurred in Training Activities.</t>
  </si>
  <si>
    <t xml:space="preserve"> (State level/District level/Block level/ any other training)  </t>
  </si>
  <si>
    <t>Trainer (TA/DA, Accomodation etc.)</t>
  </si>
  <si>
    <t xml:space="preserve">Trainees (TA/DA, Accomodation etc.)  </t>
  </si>
  <si>
    <t xml:space="preserve"> Development of training materials </t>
  </si>
  <si>
    <t>Printing of training material</t>
  </si>
  <si>
    <t>Venue cost</t>
  </si>
  <si>
    <t>Any other cost (Food expenses etc.)</t>
  </si>
  <si>
    <t>Total Cost</t>
  </si>
  <si>
    <t>Meeting Cost for 2020-21</t>
  </si>
  <si>
    <t xml:space="preserve"> Level (District/Block/Sub centre)</t>
  </si>
  <si>
    <t xml:space="preserve"> No of meetings in a year</t>
  </si>
  <si>
    <t xml:space="preserve"> No. of participants in the meeting</t>
  </si>
  <si>
    <t>Duration of meeting in hrs.</t>
  </si>
  <si>
    <t>Expenditure (incurred during meetings)</t>
  </si>
  <si>
    <t>Venue Cost</t>
  </si>
  <si>
    <t>Accommodation Cost (If any)</t>
  </si>
  <si>
    <t>Transport</t>
  </si>
  <si>
    <t>Apportioned cost</t>
  </si>
  <si>
    <t>cost (if any)</t>
  </si>
  <si>
    <t>Total cost for the year</t>
  </si>
  <si>
    <t>Number of  Training (PE TRAINING)</t>
  </si>
  <si>
    <t>Total Cost (it also includes the Administrative cost borne by the NGO)</t>
  </si>
  <si>
    <t>AFC meeting</t>
  </si>
  <si>
    <t>Name of the meeting</t>
  </si>
  <si>
    <t>Time contribution for  PE programme programme in a month</t>
  </si>
  <si>
    <t>Total cost for an year</t>
  </si>
  <si>
    <r>
      <t xml:space="preserve"> </t>
    </r>
    <r>
      <rPr>
        <b/>
        <sz val="11"/>
        <color rgb="FF000000"/>
        <rFont val="Times New Roman"/>
        <family val="1"/>
      </rPr>
      <t>BLOCK 1 : Babhulgaon</t>
    </r>
  </si>
  <si>
    <t xml:space="preserve">ASHA incentive  </t>
  </si>
  <si>
    <t>Human Resource Cost for the year 2019-20 :  Yavatmal</t>
  </si>
  <si>
    <r>
      <t xml:space="preserve"> </t>
    </r>
    <r>
      <rPr>
        <b/>
        <sz val="11"/>
        <color rgb="FF000000"/>
        <rFont val="Times New Roman"/>
        <family val="1"/>
      </rPr>
      <t>BLOCK 2 : Pusad</t>
    </r>
  </si>
  <si>
    <r>
      <t xml:space="preserve"> </t>
    </r>
    <r>
      <rPr>
        <b/>
        <sz val="11"/>
        <color rgb="FF000000"/>
        <rFont val="Times New Roman"/>
        <family val="1"/>
      </rPr>
      <t>BLOCK 3 : Yavatal</t>
    </r>
  </si>
  <si>
    <r>
      <t xml:space="preserve"> </t>
    </r>
    <r>
      <rPr>
        <b/>
        <sz val="11"/>
        <color rgb="FF000000"/>
        <rFont val="Times New Roman"/>
        <family val="1"/>
      </rPr>
      <t>BLOCK 4 : Zari Zamini</t>
    </r>
  </si>
  <si>
    <t>Human Resource Cost for the year 2020-21 :  Yavatmal</t>
  </si>
  <si>
    <t>DHO</t>
  </si>
  <si>
    <t>Human Resource Cost for the year 2019-20</t>
  </si>
  <si>
    <t>Human Resource Cost for the year 2020-21</t>
  </si>
  <si>
    <t>Training Cost for 2019-20 : Yavatmal</t>
  </si>
  <si>
    <t>Babhulgaon</t>
  </si>
  <si>
    <t>Pusad</t>
  </si>
  <si>
    <t>Zari Zamini</t>
  </si>
  <si>
    <t>Yavatmal</t>
  </si>
  <si>
    <t>Block 1</t>
  </si>
  <si>
    <t>Block 2</t>
  </si>
  <si>
    <t>Block 3</t>
  </si>
  <si>
    <t>Block 4</t>
  </si>
  <si>
    <t>Training Cost for 2020-21 : Yavatmal</t>
  </si>
  <si>
    <t>Meeting Cost for 2019-20</t>
  </si>
  <si>
    <t>SC</t>
  </si>
  <si>
    <t>o</t>
  </si>
  <si>
    <t>RkSK Nodal officer</t>
  </si>
  <si>
    <t>Madni</t>
  </si>
  <si>
    <t>Pahur</t>
  </si>
  <si>
    <t>Mukutband</t>
  </si>
  <si>
    <t>Shibla</t>
  </si>
  <si>
    <t xml:space="preserve">Belura </t>
  </si>
  <si>
    <t>Akola Bazar</t>
  </si>
  <si>
    <t>Hiwari</t>
  </si>
  <si>
    <t>B</t>
  </si>
  <si>
    <t>P</t>
  </si>
  <si>
    <t>Z</t>
  </si>
  <si>
    <t>Y</t>
  </si>
  <si>
    <t>Jambazar</t>
  </si>
  <si>
    <t>PHC</t>
  </si>
  <si>
    <t>NA</t>
  </si>
  <si>
    <t>Mobility support</t>
  </si>
  <si>
    <t>Name of PHC</t>
  </si>
  <si>
    <t xml:space="preserve">Name of Subcenter </t>
  </si>
  <si>
    <t>PHC Belura</t>
  </si>
  <si>
    <t>SC Belura Kh</t>
  </si>
  <si>
    <t>SC Lakhi</t>
  </si>
  <si>
    <t>SC Marwadi Bk</t>
  </si>
  <si>
    <t>SC Marwadi Khu</t>
  </si>
  <si>
    <t>SC Pandhurna B</t>
  </si>
  <si>
    <t>SC Rohada</t>
  </si>
  <si>
    <t>PHC Jamb Bazar(24X7)</t>
  </si>
  <si>
    <t>SC Bhojla</t>
  </si>
  <si>
    <t>SC Brhamangaon</t>
  </si>
  <si>
    <t>SC Dhansal</t>
  </si>
  <si>
    <t>SC Pardi Lamb Bazar</t>
  </si>
  <si>
    <t>SC Parwa Jamb</t>
  </si>
  <si>
    <t>SC Rajna</t>
  </si>
  <si>
    <t>SC Waltur (R)</t>
  </si>
  <si>
    <t>SC Wanwarla</t>
  </si>
  <si>
    <t>PHC Akola Bazar(24X7)</t>
  </si>
  <si>
    <t>SC Borisinh</t>
  </si>
  <si>
    <t>SC Ghodkhind</t>
  </si>
  <si>
    <t>PHC Hiwari</t>
  </si>
  <si>
    <t>SC Borjai</t>
  </si>
  <si>
    <t>SC Bothbodan</t>
  </si>
  <si>
    <t>SC Hiwari</t>
  </si>
  <si>
    <t>SC Mahsola</t>
  </si>
  <si>
    <t>SC Manpur</t>
  </si>
  <si>
    <t>SC Tiwsa</t>
  </si>
  <si>
    <t>SC Umarsara 1</t>
  </si>
  <si>
    <t>SC Umarsara 2</t>
  </si>
  <si>
    <t>SC Arjuna</t>
  </si>
  <si>
    <t>PHC Madani(24X7)</t>
  </si>
  <si>
    <t>Madani</t>
  </si>
  <si>
    <t>Naigaon</t>
  </si>
  <si>
    <t>Veni</t>
  </si>
  <si>
    <t>Sukali</t>
  </si>
  <si>
    <t>karalgaon</t>
  </si>
  <si>
    <t>umari</t>
  </si>
  <si>
    <t>Galva</t>
  </si>
  <si>
    <t>PHC Pahur(24X7)</t>
  </si>
  <si>
    <t>Dehani</t>
  </si>
  <si>
    <t>Dabha</t>
  </si>
  <si>
    <t>Aasegaon</t>
  </si>
  <si>
    <t>savar</t>
  </si>
  <si>
    <t>Rani Amravti</t>
  </si>
  <si>
    <t>Falegaon</t>
  </si>
  <si>
    <t>Kotha</t>
  </si>
  <si>
    <t>Dighi</t>
  </si>
  <si>
    <t>Chikhaldhoh</t>
  </si>
  <si>
    <t>Susri</t>
  </si>
  <si>
    <t>Bopapur</t>
  </si>
  <si>
    <t>Dhanora</t>
  </si>
  <si>
    <t>Durbha</t>
  </si>
  <si>
    <t>Pandharkada</t>
  </si>
  <si>
    <t>Khadki</t>
  </si>
  <si>
    <t>Ligti</t>
  </si>
  <si>
    <t>PHC Shibala</t>
  </si>
  <si>
    <t>Hiwarabarsa</t>
  </si>
  <si>
    <t>District</t>
  </si>
  <si>
    <t>Name of Block</t>
  </si>
  <si>
    <t xml:space="preserve">Yeotmal </t>
  </si>
  <si>
    <t>Pusad Block</t>
  </si>
  <si>
    <t>yavatmal</t>
  </si>
  <si>
    <t>2 ANM</t>
  </si>
  <si>
    <t>No. of ANM</t>
  </si>
  <si>
    <t>Permanent</t>
  </si>
  <si>
    <t>Contractual</t>
  </si>
  <si>
    <t>Salaries 2019-2020 (P)</t>
  </si>
  <si>
    <t>Salary 2020-21 (C)</t>
  </si>
  <si>
    <t>above 50000</t>
  </si>
  <si>
    <t>1 AMN in each year</t>
  </si>
  <si>
    <t>mukutband</t>
  </si>
  <si>
    <t>The data recorded as per the BCM. In Dhansal both years the post was vacant and from 20-21 the anm from Rajna is working in both of these PHC</t>
  </si>
  <si>
    <t>ANM ( P)</t>
  </si>
  <si>
    <t>ANM (C)</t>
  </si>
  <si>
    <t>Total</t>
  </si>
  <si>
    <t>D. Total no of hours contributed in a month for PE programme apart from Monitoring(hrs)</t>
  </si>
  <si>
    <t>5 hrs</t>
  </si>
  <si>
    <t>RKSK nodal Officer</t>
  </si>
  <si>
    <t>2 hrs</t>
  </si>
  <si>
    <t xml:space="preserve">2 hrs </t>
  </si>
  <si>
    <t xml:space="preserve">1hrs </t>
  </si>
  <si>
    <t>85000, 56000*2</t>
  </si>
  <si>
    <t xml:space="preserve">72000*2, </t>
  </si>
  <si>
    <t>65000*1</t>
  </si>
  <si>
    <t>Block Facili.</t>
  </si>
  <si>
    <t xml:space="preserve">Indicators </t>
  </si>
  <si>
    <t>FY 2019-20</t>
  </si>
  <si>
    <t>FY 2020-21</t>
  </si>
  <si>
    <t>Total number of Adolescent Brigade members active in each block</t>
  </si>
  <si>
    <t>Total number of Peer educators active in each financial year.</t>
  </si>
  <si>
    <t>Cost of IEC related  exclusively for Peer Educator strategy.</t>
  </si>
  <si>
    <t>Incentive</t>
  </si>
  <si>
    <t>(Durbha's ANM is on charge here)</t>
  </si>
  <si>
    <t>1 ANM in 2019-20, 1 ANM in 2020-21</t>
  </si>
  <si>
    <t>Mangli</t>
  </si>
  <si>
    <t>Adegaon</t>
  </si>
  <si>
    <t>1 in each year</t>
  </si>
  <si>
    <t>Bab.</t>
  </si>
  <si>
    <t>Zari</t>
  </si>
  <si>
    <t>Salary MO1</t>
  </si>
  <si>
    <t>MO2</t>
  </si>
  <si>
    <t>MO3</t>
  </si>
  <si>
    <t>MO4</t>
  </si>
  <si>
    <t>Total number of visits for monitoring in a month</t>
  </si>
  <si>
    <t>15min</t>
  </si>
  <si>
    <t>15 min</t>
  </si>
  <si>
    <t>15 min.</t>
  </si>
  <si>
    <t>90 min</t>
  </si>
  <si>
    <t>Total HR cost per block</t>
  </si>
  <si>
    <t>Total number of visits for monitoring in a Year</t>
  </si>
  <si>
    <t>Total time contributed for monitorin PE prog in in a year</t>
  </si>
  <si>
    <t>Cost apportioned for monitoring from m obility support</t>
  </si>
  <si>
    <t>Total Cost apportioned for monitoring from mobility support per block</t>
  </si>
  <si>
    <t>Total time contributed for monitoring in all visits  in a year</t>
  </si>
  <si>
    <t>TC in each monitoring visit (in min)</t>
  </si>
  <si>
    <t>Total cost for monitoring apportioned from salary in a year</t>
  </si>
  <si>
    <t>Total cost from apprtioned from salary for monitoring per block</t>
  </si>
  <si>
    <t>Av</t>
  </si>
  <si>
    <t>Total cost apportioned for PE prog in a year</t>
  </si>
  <si>
    <t>Total Salary</t>
  </si>
  <si>
    <t>BLOCKS</t>
  </si>
  <si>
    <t>Programme Activity</t>
  </si>
  <si>
    <t xml:space="preserve"> (%)</t>
  </si>
  <si>
    <t>(%)</t>
  </si>
  <si>
    <t>Human Resource Cost</t>
  </si>
  <si>
    <t>Monitoring</t>
  </si>
  <si>
    <t xml:space="preserve">Meetings </t>
  </si>
  <si>
    <t>Training</t>
  </si>
  <si>
    <t>PE Incentive cost</t>
  </si>
  <si>
    <t>PE Incentives cost</t>
  </si>
  <si>
    <t>HR</t>
  </si>
  <si>
    <t>Community Level</t>
  </si>
  <si>
    <t>B level</t>
  </si>
  <si>
    <t>D level</t>
  </si>
  <si>
    <t>Total HR</t>
  </si>
  <si>
    <t>Meetings</t>
  </si>
  <si>
    <t>Zari zamini</t>
  </si>
  <si>
    <t>Total no. of PE</t>
  </si>
  <si>
    <t>Total no AEP</t>
  </si>
  <si>
    <t>Total PE +AEP</t>
  </si>
  <si>
    <t>Total Programme cost for Yavatmal (2019-2020)</t>
  </si>
  <si>
    <t>Total monitoring costs per block</t>
  </si>
  <si>
    <t>Total time contribution by  by all in a month (2019-20)</t>
  </si>
  <si>
    <t>TC (2020-21)</t>
  </si>
  <si>
    <t>Av.</t>
  </si>
  <si>
    <t>2019-20</t>
  </si>
  <si>
    <t>C</t>
  </si>
  <si>
    <t>2020-21</t>
  </si>
  <si>
    <t>tc</t>
  </si>
  <si>
    <t>sum</t>
  </si>
  <si>
    <t>TC</t>
  </si>
  <si>
    <t>4 hrs</t>
  </si>
  <si>
    <t>P (9)</t>
  </si>
  <si>
    <t>C (7)</t>
  </si>
  <si>
    <t>Apportioned (P)</t>
  </si>
  <si>
    <t>App ©</t>
  </si>
  <si>
    <t>Perma Pusad</t>
  </si>
  <si>
    <t>contrac</t>
  </si>
  <si>
    <t>Babu</t>
  </si>
  <si>
    <t>Yavat</t>
  </si>
  <si>
    <t>P (10)</t>
  </si>
  <si>
    <t>c(6)</t>
  </si>
  <si>
    <t>P (11)</t>
  </si>
  <si>
    <t>Bab</t>
  </si>
  <si>
    <t>Za</t>
  </si>
  <si>
    <t>C (6)</t>
  </si>
  <si>
    <t>P (16)</t>
  </si>
  <si>
    <t>c(10)</t>
  </si>
  <si>
    <t>P (15)</t>
  </si>
  <si>
    <t>C (10)</t>
  </si>
  <si>
    <t>P (5)</t>
  </si>
  <si>
    <t>P (4)</t>
  </si>
  <si>
    <t>Prmanent</t>
  </si>
  <si>
    <t>Cont</t>
  </si>
  <si>
    <t>Apportioned</t>
  </si>
  <si>
    <t>App</t>
  </si>
  <si>
    <t>app</t>
  </si>
  <si>
    <t>Total time contribution by  by all in a month (2020-21)</t>
  </si>
  <si>
    <t>Av salary</t>
  </si>
  <si>
    <t>Av. salary</t>
  </si>
  <si>
    <t>Yav</t>
  </si>
  <si>
    <t>20-21</t>
  </si>
  <si>
    <t>Docs</t>
  </si>
  <si>
    <t>BCM</t>
  </si>
  <si>
    <t>Total number of visits for PE prog in a year</t>
  </si>
  <si>
    <t>TA/DA per  visit</t>
  </si>
  <si>
    <t>TC moni in 1 visit for PE prog (in min)</t>
  </si>
  <si>
    <t>Time contribution for  PE programme programme in a month apart from  moni (hr)</t>
  </si>
  <si>
    <t>HR COST for an year</t>
  </si>
  <si>
    <t>Apportioned salary for an year</t>
  </si>
  <si>
    <t>Cost apportioned from TA/DA</t>
  </si>
  <si>
    <t>8 hrs</t>
  </si>
  <si>
    <t>1 hr</t>
  </si>
  <si>
    <t>45min</t>
  </si>
  <si>
    <t>Total  moni cost for an year</t>
  </si>
  <si>
    <t>Per Unit cost (PE +AEP)</t>
  </si>
  <si>
    <t>Per Unit cost (AEP)</t>
  </si>
  <si>
    <t>Per Unit cost (PE)</t>
  </si>
  <si>
    <t>Average Cost</t>
  </si>
  <si>
    <t>In  Pusad , the peer educators had made just that only group.</t>
  </si>
  <si>
    <t>Moni</t>
  </si>
  <si>
    <t>Total Programme cost for Yavatmal (2020-2021)</t>
  </si>
  <si>
    <t>%  share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</si>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</sst>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23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3" fontId="3" fillId="0" borderId="2" xfId="0" applyNumberFormat="1" applyFont="1" applyBorder="1"/>
    <xf numFmtId="0" fontId="3" fillId="0" borderId="2" xfId="0" applyFont="1" applyBorder="1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4" fillId="0" borderId="2" xfId="0" applyFont="1" applyBorder="1"/>
    <xf numFmtId="0" fontId="3" fillId="0" borderId="2" xfId="0" applyFont="1" applyBorder="1" applyAlignment="1">
      <alignment wrapText="1"/>
    </xf>
    <xf numFmtId="0" fontId="6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7" fillId="0" borderId="2" xfId="0" applyFont="1" applyBorder="1"/>
    <xf numFmtId="0" fontId="2" fillId="2" borderId="13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vertical="center"/>
    </xf>
    <xf numFmtId="0" fontId="3" fillId="4" borderId="2" xfId="0" applyFont="1" applyFill="1" applyBorder="1"/>
    <xf numFmtId="0" fontId="1" fillId="0" borderId="2" xfId="0" applyFont="1" applyBorder="1" applyAlignment="1">
      <alignment horizontal="center"/>
    </xf>
    <xf numFmtId="0" fontId="9" fillId="3" borderId="2" xfId="0" applyFont="1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3" fontId="6" fillId="0" borderId="2" xfId="0" applyNumberFormat="1" applyFont="1" applyBorder="1"/>
    <xf numFmtId="0" fontId="3" fillId="4" borderId="2" xfId="0" applyFont="1" applyFill="1" applyBorder="1" applyAlignment="1">
      <alignment wrapText="1"/>
    </xf>
    <xf numFmtId="0" fontId="4" fillId="4" borderId="3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0" fillId="0" borderId="0" xfId="0" applyAlignment="1">
      <alignment horizontal="center"/>
    </xf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0" fillId="9" borderId="2" xfId="0" applyFill="1" applyBorder="1"/>
    <xf numFmtId="0" fontId="0" fillId="0" borderId="2" xfId="0" applyBorder="1" applyAlignment="1">
      <alignment horizontal="center"/>
    </xf>
    <xf numFmtId="0" fontId="0" fillId="8" borderId="2" xfId="0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9" borderId="2" xfId="0" applyFill="1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5" borderId="0" xfId="0" applyFill="1"/>
    <xf numFmtId="2" fontId="3" fillId="4" borderId="2" xfId="0" applyNumberFormat="1" applyFont="1" applyFill="1" applyBorder="1"/>
    <xf numFmtId="0" fontId="13" fillId="0" borderId="2" xfId="1" applyFont="1" applyBorder="1" applyAlignment="1">
      <alignment horizontal="center" vertical="center" wrapText="1"/>
    </xf>
    <xf numFmtId="0" fontId="14" fillId="10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0" xfId="0" applyFont="1"/>
    <xf numFmtId="0" fontId="16" fillId="0" borderId="0" xfId="1" applyFont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3" fontId="0" fillId="0" borderId="2" xfId="0" applyNumberFormat="1" applyBorder="1"/>
    <xf numFmtId="0" fontId="4" fillId="0" borderId="0" xfId="0" applyFont="1"/>
    <xf numFmtId="0" fontId="1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6" fillId="0" borderId="7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0" fillId="0" borderId="0" xfId="0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0" fillId="5" borderId="2" xfId="0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15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11" borderId="2" xfId="0" applyFont="1" applyFill="1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/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0" fillId="0" borderId="0" xfId="0" applyNumberFormat="1"/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9" fillId="0" borderId="0" xfId="0" applyFont="1" applyAlignment="1">
      <alignment horizontal="right"/>
    </xf>
    <xf numFmtId="9" fontId="0" fillId="0" borderId="0" xfId="0" applyNumberFormat="1"/>
    <xf numFmtId="0" fontId="0" fillId="4" borderId="2" xfId="0" applyFill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0" fillId="0" borderId="0" xfId="0" applyNumberFormat="1"/>
    <xf numFmtId="0" fontId="3" fillId="0" borderId="17" xfId="0" applyFont="1" applyBorder="1"/>
    <xf numFmtId="0" fontId="0" fillId="11" borderId="0" xfId="0" applyFill="1"/>
    <xf numFmtId="0" fontId="0" fillId="9" borderId="0" xfId="0" applyFill="1"/>
    <xf numFmtId="0" fontId="0" fillId="9" borderId="2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8" xfId="0" applyBorder="1"/>
    <xf numFmtId="0" fontId="4" fillId="9" borderId="3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0" fillId="9" borderId="3" xfId="0" applyFill="1" applyBorder="1"/>
    <xf numFmtId="0" fontId="4" fillId="9" borderId="8" xfId="0" applyFont="1" applyFill="1" applyBorder="1" applyAlignment="1">
      <alignment horizontal="center"/>
    </xf>
    <xf numFmtId="0" fontId="9" fillId="0" borderId="0" xfId="0" applyFont="1"/>
    <xf numFmtId="0" fontId="1" fillId="2" borderId="3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11" borderId="2" xfId="0" applyFill="1" applyBorder="1"/>
    <xf numFmtId="0" fontId="0" fillId="12" borderId="2" xfId="0" applyFill="1" applyBorder="1"/>
    <xf numFmtId="0" fontId="4" fillId="4" borderId="2" xfId="0" applyFont="1" applyFill="1" applyBorder="1"/>
    <xf numFmtId="0" fontId="0" fillId="12" borderId="0" xfId="0" applyFill="1"/>
    <xf numFmtId="0" fontId="3" fillId="11" borderId="0" xfId="0" applyFont="1" applyFill="1"/>
    <xf numFmtId="2" fontId="0" fillId="11" borderId="0" xfId="0" applyNumberFormat="1" applyFill="1"/>
    <xf numFmtId="0" fontId="4" fillId="11" borderId="0" xfId="0" applyFont="1" applyFill="1"/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2" fontId="3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164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2" fontId="19" fillId="0" borderId="2" xfId="0" applyNumberFormat="1" applyFont="1" applyBorder="1"/>
    <xf numFmtId="2" fontId="0" fillId="0" borderId="2" xfId="0" applyNumberFormat="1" applyBorder="1"/>
    <xf numFmtId="2" fontId="0" fillId="4" borderId="2" xfId="0" applyNumberFormat="1" applyFill="1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right"/>
    </xf>
    <xf numFmtId="2" fontId="4" fillId="0" borderId="2" xfId="0" applyNumberFormat="1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="71" zoomScaleNormal="71" workbookViewId="0">
      <selection activeCell="A20" sqref="A20:H20"/>
    </sheetView>
  </sheetViews>
  <sheetFormatPr defaultRowHeight="14.5" x14ac:dyDescent="0.35"/>
  <cols>
    <col min="2" max="2" width="21.7265625" customWidth="1"/>
    <col min="3" max="3" width="17" customWidth="1"/>
    <col min="4" max="4" width="15.7265625" customWidth="1"/>
    <col min="5" max="5" width="13.81640625" customWidth="1"/>
    <col min="6" max="6" width="16.81640625" customWidth="1"/>
    <col min="7" max="7" width="13.26953125" customWidth="1"/>
    <col min="8" max="8" width="18.1796875" customWidth="1"/>
    <col min="9" max="9" width="15.26953125" customWidth="1"/>
    <col min="11" max="11" width="11.81640625" customWidth="1"/>
    <col min="12" max="12" width="24.26953125" customWidth="1"/>
    <col min="13" max="13" width="13.54296875" customWidth="1"/>
    <col min="14" max="14" width="14.54296875" customWidth="1"/>
    <col min="15" max="15" width="13.7265625" customWidth="1"/>
    <col min="16" max="16" width="11.7265625" customWidth="1"/>
    <col min="18" max="18" width="12.54296875" customWidth="1"/>
    <col min="19" max="19" width="11.54296875" customWidth="1"/>
  </cols>
  <sheetData>
    <row r="1" spans="1:25" x14ac:dyDescent="0.35">
      <c r="A1" s="147" t="s">
        <v>49</v>
      </c>
      <c r="B1" s="148"/>
      <c r="C1" s="148"/>
      <c r="D1" s="148"/>
      <c r="E1" s="148"/>
      <c r="F1" s="148"/>
      <c r="G1" s="148"/>
      <c r="H1" s="148"/>
      <c r="I1" s="149"/>
      <c r="K1" s="147" t="s">
        <v>53</v>
      </c>
      <c r="L1" s="148"/>
      <c r="M1" s="148"/>
      <c r="N1" s="148"/>
      <c r="O1" s="148"/>
      <c r="P1" s="148"/>
      <c r="Q1" s="148"/>
      <c r="R1" s="148"/>
      <c r="S1" s="149"/>
    </row>
    <row r="2" spans="1:25" ht="15" customHeight="1" x14ac:dyDescent="0.35">
      <c r="A2" s="150" t="s">
        <v>3</v>
      </c>
      <c r="B2" s="150" t="s">
        <v>4</v>
      </c>
      <c r="C2" s="153" t="s">
        <v>5</v>
      </c>
      <c r="D2" s="153" t="s">
        <v>45</v>
      </c>
      <c r="E2" s="153" t="s">
        <v>6</v>
      </c>
      <c r="F2" s="150" t="s">
        <v>0</v>
      </c>
      <c r="G2" s="153" t="s">
        <v>1</v>
      </c>
      <c r="H2" s="156" t="s">
        <v>2</v>
      </c>
      <c r="I2" s="156" t="s">
        <v>46</v>
      </c>
      <c r="K2" s="150" t="s">
        <v>3</v>
      </c>
      <c r="L2" s="150" t="s">
        <v>4</v>
      </c>
      <c r="M2" s="153" t="s">
        <v>5</v>
      </c>
      <c r="N2" s="153" t="s">
        <v>45</v>
      </c>
      <c r="O2" s="153" t="s">
        <v>6</v>
      </c>
      <c r="P2" s="153" t="s">
        <v>0</v>
      </c>
      <c r="Q2" s="153" t="s">
        <v>1</v>
      </c>
      <c r="R2" s="156" t="s">
        <v>2</v>
      </c>
      <c r="S2" s="156" t="s">
        <v>46</v>
      </c>
    </row>
    <row r="3" spans="1:25" ht="36" customHeight="1" x14ac:dyDescent="0.35">
      <c r="A3" s="151"/>
      <c r="B3" s="151"/>
      <c r="C3" s="154"/>
      <c r="D3" s="154"/>
      <c r="E3" s="154"/>
      <c r="F3" s="151"/>
      <c r="G3" s="154"/>
      <c r="H3" s="157"/>
      <c r="I3" s="157"/>
      <c r="K3" s="151"/>
      <c r="L3" s="151"/>
      <c r="M3" s="154"/>
      <c r="N3" s="154"/>
      <c r="O3" s="154"/>
      <c r="P3" s="154"/>
      <c r="Q3" s="154"/>
      <c r="R3" s="157"/>
      <c r="S3" s="157"/>
    </row>
    <row r="4" spans="1:25" ht="49.5" customHeight="1" x14ac:dyDescent="0.35">
      <c r="A4" s="152"/>
      <c r="B4" s="152"/>
      <c r="C4" s="155"/>
      <c r="D4" s="155"/>
      <c r="E4" s="155"/>
      <c r="F4" s="152"/>
      <c r="G4" s="155"/>
      <c r="H4" s="158"/>
      <c r="I4" s="158"/>
      <c r="K4" s="152"/>
      <c r="L4" s="152"/>
      <c r="M4" s="155"/>
      <c r="N4" s="155"/>
      <c r="O4" s="155"/>
      <c r="P4" s="155"/>
      <c r="Q4" s="155"/>
      <c r="R4" s="158"/>
      <c r="S4" s="158"/>
    </row>
    <row r="5" spans="1:25" x14ac:dyDescent="0.35">
      <c r="A5" s="161" t="s">
        <v>47</v>
      </c>
      <c r="B5" s="162"/>
      <c r="C5" s="162"/>
      <c r="D5" s="162"/>
      <c r="E5" s="162"/>
      <c r="F5" s="162"/>
      <c r="G5" s="162"/>
      <c r="H5" s="162"/>
      <c r="I5" s="163"/>
      <c r="K5" s="161" t="s">
        <v>47</v>
      </c>
      <c r="L5" s="162"/>
      <c r="M5" s="162"/>
      <c r="N5" s="162"/>
      <c r="O5" s="162"/>
      <c r="P5" s="162"/>
      <c r="Q5" s="162"/>
      <c r="R5" s="162"/>
      <c r="S5" s="163"/>
    </row>
    <row r="6" spans="1:25" ht="17.25" customHeight="1" x14ac:dyDescent="0.35">
      <c r="A6" s="26">
        <v>1</v>
      </c>
      <c r="B6" s="13" t="s">
        <v>7</v>
      </c>
      <c r="C6" s="13">
        <v>4</v>
      </c>
      <c r="D6" s="11" t="s">
        <v>167</v>
      </c>
      <c r="E6" s="34"/>
      <c r="F6" s="5"/>
      <c r="G6" s="5"/>
      <c r="H6" s="5"/>
      <c r="I6">
        <v>12880</v>
      </c>
      <c r="K6" s="26">
        <v>1</v>
      </c>
      <c r="L6" s="13" t="s">
        <v>7</v>
      </c>
      <c r="M6" s="13">
        <v>4</v>
      </c>
      <c r="N6" s="11">
        <v>4</v>
      </c>
      <c r="O6" s="34"/>
      <c r="P6" s="5"/>
      <c r="Q6" s="5"/>
      <c r="R6" s="5"/>
      <c r="S6" s="5">
        <v>55160</v>
      </c>
    </row>
    <row r="7" spans="1:25" x14ac:dyDescent="0.35">
      <c r="A7" s="6">
        <v>2</v>
      </c>
      <c r="B7" s="2" t="s">
        <v>48</v>
      </c>
      <c r="C7" s="167" t="s">
        <v>84</v>
      </c>
      <c r="D7" s="168"/>
      <c r="E7" s="168"/>
      <c r="F7" s="168"/>
      <c r="G7" s="168"/>
      <c r="H7" s="169"/>
      <c r="I7" s="5">
        <v>20400</v>
      </c>
      <c r="K7" s="6">
        <v>2</v>
      </c>
      <c r="L7" s="2" t="s">
        <v>48</v>
      </c>
      <c r="M7" s="2"/>
      <c r="N7" s="3"/>
      <c r="O7" s="5"/>
      <c r="P7" s="5"/>
      <c r="Q7" s="5"/>
      <c r="R7" s="5"/>
      <c r="S7" s="5">
        <v>0</v>
      </c>
    </row>
    <row r="8" spans="1:25" x14ac:dyDescent="0.35">
      <c r="A8" s="6">
        <v>3</v>
      </c>
      <c r="B8" s="2" t="s">
        <v>8</v>
      </c>
      <c r="C8" s="2">
        <v>4</v>
      </c>
      <c r="D8" s="3" t="s">
        <v>163</v>
      </c>
      <c r="E8" s="2">
        <v>7850</v>
      </c>
      <c r="F8" s="5">
        <f>E8/30</f>
        <v>261.66666666666669</v>
      </c>
      <c r="G8" s="5">
        <f>F8/8</f>
        <v>32.708333333333336</v>
      </c>
      <c r="H8" s="5">
        <f>G8*5</f>
        <v>163.54166666666669</v>
      </c>
      <c r="I8" s="5">
        <f>H8*C8*12</f>
        <v>7850.0000000000009</v>
      </c>
      <c r="K8" s="6">
        <v>3</v>
      </c>
      <c r="L8" s="2" t="s">
        <v>8</v>
      </c>
      <c r="M8" s="2">
        <v>4</v>
      </c>
      <c r="N8" s="3">
        <v>9</v>
      </c>
      <c r="O8" s="2">
        <v>8475</v>
      </c>
      <c r="P8" s="5"/>
      <c r="Q8" s="5"/>
      <c r="R8" s="5"/>
      <c r="S8" s="5">
        <f>O8/30/8*9*4*12</f>
        <v>15255</v>
      </c>
    </row>
    <row r="9" spans="1:25" x14ac:dyDescent="0.35">
      <c r="A9" s="6">
        <v>4</v>
      </c>
      <c r="B9" s="2" t="s">
        <v>159</v>
      </c>
      <c r="C9" s="2">
        <v>16</v>
      </c>
      <c r="D9" s="3"/>
      <c r="E9" s="2"/>
      <c r="F9" s="5"/>
      <c r="G9" s="5"/>
      <c r="H9" s="5"/>
      <c r="I9" s="5">
        <v>0</v>
      </c>
      <c r="K9" s="6">
        <v>4</v>
      </c>
      <c r="L9" s="2" t="s">
        <v>159</v>
      </c>
      <c r="M9" s="2">
        <v>15</v>
      </c>
      <c r="N9" s="3">
        <v>5</v>
      </c>
      <c r="O9" s="2"/>
      <c r="P9" s="5"/>
      <c r="Q9" s="5"/>
      <c r="R9" s="5"/>
      <c r="S9" s="5">
        <v>141990</v>
      </c>
    </row>
    <row r="10" spans="1:25" x14ac:dyDescent="0.35">
      <c r="A10" s="6">
        <v>5</v>
      </c>
      <c r="B10" s="2" t="s">
        <v>160</v>
      </c>
      <c r="C10" s="2">
        <v>10</v>
      </c>
      <c r="D10" s="3"/>
      <c r="E10" s="2"/>
      <c r="F10" s="5"/>
      <c r="G10" s="5"/>
      <c r="H10" s="5"/>
      <c r="I10" s="5">
        <v>0</v>
      </c>
      <c r="K10" s="62">
        <v>5</v>
      </c>
      <c r="L10" s="63" t="s">
        <v>160</v>
      </c>
      <c r="M10" s="2">
        <v>10</v>
      </c>
      <c r="N10" s="3">
        <v>5</v>
      </c>
      <c r="O10" s="2"/>
      <c r="P10" s="5"/>
      <c r="Q10" s="5"/>
      <c r="R10" s="5"/>
      <c r="S10" s="5">
        <v>36600</v>
      </c>
    </row>
    <row r="11" spans="1:25" x14ac:dyDescent="0.35">
      <c r="A11" s="62"/>
      <c r="B11" s="63"/>
      <c r="C11" s="2"/>
      <c r="D11" s="3"/>
      <c r="E11" s="2"/>
      <c r="F11" s="5"/>
      <c r="G11" s="5"/>
      <c r="H11" s="5"/>
      <c r="I11" s="5"/>
      <c r="K11" s="62"/>
      <c r="L11" s="63"/>
      <c r="M11" s="2"/>
      <c r="N11" s="3"/>
      <c r="O11" s="2"/>
      <c r="P11" s="5"/>
      <c r="Q11" s="5"/>
      <c r="R11" s="5"/>
      <c r="S11" s="5"/>
    </row>
    <row r="12" spans="1:25" ht="15" customHeight="1" x14ac:dyDescent="0.35">
      <c r="A12" s="159" t="s">
        <v>9</v>
      </c>
      <c r="B12" s="160"/>
      <c r="C12" s="5"/>
      <c r="D12" s="5"/>
      <c r="E12" s="5"/>
      <c r="F12" s="5"/>
      <c r="G12" s="5"/>
      <c r="H12" s="5"/>
      <c r="I12" s="9">
        <f>SUM(I6:I11)</f>
        <v>41130</v>
      </c>
      <c r="K12" s="159" t="s">
        <v>9</v>
      </c>
      <c r="L12" s="160"/>
      <c r="M12" s="5"/>
      <c r="N12" s="5"/>
      <c r="O12" s="5"/>
      <c r="P12" s="5"/>
      <c r="Q12" s="5"/>
      <c r="R12" s="5"/>
      <c r="S12" s="9">
        <f>SUM(S6:S11)</f>
        <v>249005</v>
      </c>
      <c r="V12">
        <f>S12</f>
        <v>249005</v>
      </c>
      <c r="W12">
        <f>S20</f>
        <v>190850.25</v>
      </c>
      <c r="X12">
        <f>S28</f>
        <v>190219.5</v>
      </c>
      <c r="Y12">
        <f>S36</f>
        <v>109658.75</v>
      </c>
    </row>
    <row r="13" spans="1:25" ht="15" customHeight="1" x14ac:dyDescent="0.35">
      <c r="A13" s="31" t="s">
        <v>50</v>
      </c>
      <c r="B13" s="32"/>
      <c r="C13" s="32"/>
      <c r="D13" s="32"/>
      <c r="E13" s="32"/>
      <c r="F13" s="32"/>
      <c r="G13" s="32"/>
      <c r="H13" s="32"/>
      <c r="I13" s="33"/>
      <c r="K13" s="31" t="s">
        <v>50</v>
      </c>
      <c r="L13" s="32"/>
      <c r="M13" s="32"/>
      <c r="N13" s="32"/>
      <c r="O13" s="32"/>
      <c r="P13" s="32"/>
      <c r="Q13" s="32"/>
      <c r="R13" s="32"/>
      <c r="S13" s="33"/>
    </row>
    <row r="14" spans="1:25" x14ac:dyDescent="0.35">
      <c r="A14" s="26">
        <v>1</v>
      </c>
      <c r="B14" s="13" t="s">
        <v>7</v>
      </c>
      <c r="C14" s="7">
        <v>4</v>
      </c>
      <c r="D14" s="2">
        <v>1</v>
      </c>
      <c r="E14" s="2">
        <v>60000</v>
      </c>
      <c r="F14" s="5"/>
      <c r="G14" s="5"/>
      <c r="H14" s="5"/>
      <c r="I14" s="5">
        <v>50640</v>
      </c>
      <c r="K14" s="26">
        <v>1</v>
      </c>
      <c r="L14" s="13" t="s">
        <v>7</v>
      </c>
      <c r="M14" s="7">
        <v>4</v>
      </c>
      <c r="N14" s="2">
        <v>4</v>
      </c>
      <c r="O14" s="2"/>
      <c r="P14" s="5"/>
      <c r="Q14" s="5"/>
      <c r="R14" s="5"/>
      <c r="S14" s="5">
        <v>53730</v>
      </c>
    </row>
    <row r="15" spans="1:25" x14ac:dyDescent="0.35">
      <c r="A15" s="6">
        <v>2</v>
      </c>
      <c r="B15" s="2" t="s">
        <v>48</v>
      </c>
      <c r="C15" s="170" t="s">
        <v>84</v>
      </c>
      <c r="D15" s="171"/>
      <c r="E15" s="171"/>
      <c r="F15" s="171"/>
      <c r="G15" s="171"/>
      <c r="H15" s="172"/>
      <c r="I15" s="5">
        <v>37800</v>
      </c>
      <c r="K15" s="6">
        <v>2</v>
      </c>
      <c r="L15" s="2" t="s">
        <v>48</v>
      </c>
      <c r="M15" s="7"/>
      <c r="N15" s="2"/>
      <c r="O15" s="2"/>
      <c r="P15" s="5"/>
      <c r="Q15" s="5"/>
      <c r="R15" s="5"/>
      <c r="S15" s="5">
        <v>0</v>
      </c>
    </row>
    <row r="16" spans="1:25" x14ac:dyDescent="0.35">
      <c r="A16" s="6">
        <v>3</v>
      </c>
      <c r="B16" s="2" t="s">
        <v>8</v>
      </c>
      <c r="C16" s="7">
        <v>3</v>
      </c>
      <c r="D16" s="2">
        <v>9</v>
      </c>
      <c r="E16" s="2">
        <v>7850</v>
      </c>
      <c r="F16" s="5">
        <f>E16/30</f>
        <v>261.66666666666669</v>
      </c>
      <c r="G16" s="5">
        <f>F16/8</f>
        <v>32.708333333333336</v>
      </c>
      <c r="H16" s="5">
        <f>G16*9</f>
        <v>294.375</v>
      </c>
      <c r="I16" s="5">
        <f>H16*3*12</f>
        <v>10597.5</v>
      </c>
      <c r="K16" s="6">
        <v>3</v>
      </c>
      <c r="L16" s="2" t="s">
        <v>8</v>
      </c>
      <c r="M16" s="7">
        <v>3</v>
      </c>
      <c r="N16" s="2">
        <v>9</v>
      </c>
      <c r="O16" s="2">
        <v>8475</v>
      </c>
      <c r="P16" s="5"/>
      <c r="Q16" s="5"/>
      <c r="R16" s="5"/>
      <c r="S16" s="5">
        <f>O16/30/8*9*3*12</f>
        <v>11441.25</v>
      </c>
    </row>
    <row r="17" spans="1:19" x14ac:dyDescent="0.35">
      <c r="A17" s="6">
        <v>4</v>
      </c>
      <c r="B17" s="2" t="s">
        <v>159</v>
      </c>
      <c r="C17" s="7">
        <v>9</v>
      </c>
      <c r="D17" s="2">
        <v>5</v>
      </c>
      <c r="E17" s="2"/>
      <c r="F17" s="5"/>
      <c r="G17" s="5"/>
      <c r="H17" s="5"/>
      <c r="I17" s="5">
        <v>94200</v>
      </c>
      <c r="K17" s="6">
        <v>4</v>
      </c>
      <c r="L17" s="2" t="s">
        <v>159</v>
      </c>
      <c r="M17" s="7">
        <v>9</v>
      </c>
      <c r="N17" s="2">
        <v>5</v>
      </c>
      <c r="O17" s="2"/>
      <c r="P17" s="5"/>
      <c r="Q17" s="5"/>
      <c r="R17" s="5"/>
      <c r="S17" s="5">
        <v>97679</v>
      </c>
    </row>
    <row r="18" spans="1:19" x14ac:dyDescent="0.35">
      <c r="A18" s="6">
        <v>5</v>
      </c>
      <c r="B18" s="2" t="s">
        <v>160</v>
      </c>
      <c r="C18" s="7">
        <v>7</v>
      </c>
      <c r="D18" s="2">
        <v>5</v>
      </c>
      <c r="E18" s="2"/>
      <c r="F18" s="5"/>
      <c r="G18" s="5"/>
      <c r="H18" s="5"/>
      <c r="I18" s="105">
        <v>22400</v>
      </c>
      <c r="K18" s="62">
        <v>5</v>
      </c>
      <c r="L18" s="64" t="s">
        <v>160</v>
      </c>
      <c r="M18" s="65">
        <v>7</v>
      </c>
      <c r="N18" s="64">
        <v>5</v>
      </c>
      <c r="O18" s="64"/>
      <c r="P18" s="66"/>
      <c r="Q18" s="66"/>
      <c r="R18" s="67"/>
      <c r="S18" s="5">
        <v>28000</v>
      </c>
    </row>
    <row r="19" spans="1:19" x14ac:dyDescent="0.35">
      <c r="A19" s="62"/>
      <c r="B19" s="64"/>
      <c r="C19" s="65"/>
      <c r="D19" s="64"/>
      <c r="E19" s="64"/>
      <c r="F19" s="66"/>
      <c r="G19" s="66"/>
      <c r="H19" s="67"/>
      <c r="I19" s="5"/>
      <c r="K19" s="62"/>
      <c r="L19" s="64"/>
      <c r="M19" s="65"/>
      <c r="N19" s="64"/>
      <c r="O19" s="64"/>
      <c r="P19" s="66"/>
      <c r="Q19" s="66"/>
      <c r="R19" s="67"/>
      <c r="S19" s="5"/>
    </row>
    <row r="20" spans="1:19" x14ac:dyDescent="0.35">
      <c r="A20" s="164" t="s">
        <v>9</v>
      </c>
      <c r="B20" s="165"/>
      <c r="C20" s="165"/>
      <c r="D20" s="165"/>
      <c r="E20" s="165"/>
      <c r="F20" s="165"/>
      <c r="G20" s="165"/>
      <c r="H20" s="166"/>
      <c r="I20" s="9">
        <f>SUM(I14:I19)</f>
        <v>215637.5</v>
      </c>
      <c r="K20" s="164" t="s">
        <v>9</v>
      </c>
      <c r="L20" s="165"/>
      <c r="M20" s="165"/>
      <c r="N20" s="165"/>
      <c r="O20" s="165"/>
      <c r="P20" s="165"/>
      <c r="Q20" s="165"/>
      <c r="R20" s="166"/>
      <c r="S20" s="9">
        <f>SUM(S14:S19)</f>
        <v>190850.25</v>
      </c>
    </row>
    <row r="21" spans="1:19" x14ac:dyDescent="0.35">
      <c r="A21" s="31" t="s">
        <v>51</v>
      </c>
      <c r="B21" s="32"/>
      <c r="C21" s="32"/>
      <c r="D21" s="32"/>
      <c r="E21" s="32"/>
      <c r="F21" s="32"/>
      <c r="G21" s="32"/>
      <c r="H21" s="32"/>
      <c r="I21" s="33"/>
      <c r="K21" s="31" t="s">
        <v>51</v>
      </c>
      <c r="L21" s="32"/>
      <c r="M21" s="32"/>
      <c r="N21" s="32"/>
      <c r="O21" s="32"/>
      <c r="P21" s="32"/>
      <c r="Q21" s="32"/>
      <c r="R21" s="32"/>
      <c r="S21" s="33"/>
    </row>
    <row r="22" spans="1:19" x14ac:dyDescent="0.35">
      <c r="A22" s="26">
        <v>1</v>
      </c>
      <c r="B22" s="13" t="s">
        <v>7</v>
      </c>
      <c r="C22" s="7">
        <v>3</v>
      </c>
      <c r="D22" s="2">
        <v>1</v>
      </c>
      <c r="E22" s="23" t="s">
        <v>168</v>
      </c>
      <c r="F22" s="5"/>
      <c r="G22" s="5"/>
      <c r="H22" s="5"/>
      <c r="I22" s="5">
        <v>39400</v>
      </c>
      <c r="K22" s="26">
        <v>1</v>
      </c>
      <c r="L22" s="13" t="s">
        <v>7</v>
      </c>
      <c r="M22" s="7">
        <v>4</v>
      </c>
      <c r="N22" s="2">
        <v>4</v>
      </c>
      <c r="O22" s="23" t="s">
        <v>169</v>
      </c>
      <c r="P22" s="5"/>
      <c r="Q22" s="5"/>
      <c r="R22" s="5"/>
      <c r="S22" s="5">
        <v>56380</v>
      </c>
    </row>
    <row r="23" spans="1:19" x14ac:dyDescent="0.35">
      <c r="A23" s="6">
        <v>2</v>
      </c>
      <c r="B23" s="2" t="s">
        <v>48</v>
      </c>
      <c r="C23" s="170" t="s">
        <v>84</v>
      </c>
      <c r="D23" s="171"/>
      <c r="E23" s="171"/>
      <c r="F23" s="171"/>
      <c r="G23" s="171"/>
      <c r="H23" s="172"/>
      <c r="I23" s="5">
        <v>16200</v>
      </c>
      <c r="K23" s="6">
        <v>2</v>
      </c>
      <c r="L23" s="2" t="s">
        <v>48</v>
      </c>
      <c r="M23" s="7"/>
      <c r="N23" s="2"/>
      <c r="O23" s="24"/>
      <c r="P23" s="5"/>
      <c r="Q23" s="5"/>
      <c r="R23" s="5"/>
      <c r="S23" s="5">
        <v>0</v>
      </c>
    </row>
    <row r="24" spans="1:19" x14ac:dyDescent="0.35">
      <c r="A24" s="6">
        <v>3</v>
      </c>
      <c r="B24" s="2" t="s">
        <v>8</v>
      </c>
      <c r="C24" s="7">
        <v>2</v>
      </c>
      <c r="D24" s="2">
        <v>9</v>
      </c>
      <c r="E24" s="2">
        <v>7850</v>
      </c>
      <c r="F24" s="5">
        <f>E24/30</f>
        <v>261.66666666666669</v>
      </c>
      <c r="G24" s="5">
        <f>F24/8</f>
        <v>32.708333333333336</v>
      </c>
      <c r="H24" s="5">
        <f>G24*9</f>
        <v>294.375</v>
      </c>
      <c r="I24" s="5">
        <f>H24*2*12</f>
        <v>7065</v>
      </c>
      <c r="K24" s="6">
        <v>3</v>
      </c>
      <c r="L24" s="2" t="s">
        <v>8</v>
      </c>
      <c r="M24" s="7">
        <v>2</v>
      </c>
      <c r="N24" s="2">
        <v>9</v>
      </c>
      <c r="O24" s="2">
        <v>8475</v>
      </c>
      <c r="P24" s="5"/>
      <c r="Q24" s="5"/>
      <c r="R24" s="5"/>
      <c r="S24" s="5">
        <f>O24/30/8*12*N24*M24</f>
        <v>7627.5</v>
      </c>
    </row>
    <row r="25" spans="1:19" x14ac:dyDescent="0.35">
      <c r="A25" s="6">
        <v>4</v>
      </c>
      <c r="B25" s="2" t="s">
        <v>159</v>
      </c>
      <c r="C25" s="7">
        <v>10</v>
      </c>
      <c r="D25" s="3">
        <v>5</v>
      </c>
      <c r="E25" s="2"/>
      <c r="F25" s="5"/>
      <c r="G25" s="5"/>
      <c r="H25" s="5"/>
      <c r="I25" s="5">
        <v>91800</v>
      </c>
      <c r="K25" s="6">
        <v>4</v>
      </c>
      <c r="L25" s="2" t="s">
        <v>159</v>
      </c>
      <c r="M25" s="7">
        <v>11</v>
      </c>
      <c r="N25" s="3">
        <v>5</v>
      </c>
      <c r="O25" s="2"/>
      <c r="P25" s="5"/>
      <c r="Q25" s="5"/>
      <c r="R25" s="5"/>
      <c r="S25" s="5">
        <v>105812</v>
      </c>
    </row>
    <row r="26" spans="1:19" x14ac:dyDescent="0.35">
      <c r="A26" s="62">
        <v>5</v>
      </c>
      <c r="B26" s="64" t="s">
        <v>160</v>
      </c>
      <c r="C26" s="65">
        <v>6</v>
      </c>
      <c r="D26" s="68">
        <v>5</v>
      </c>
      <c r="E26" s="64"/>
      <c r="F26" s="66"/>
      <c r="G26" s="66"/>
      <c r="H26" s="67"/>
      <c r="I26" s="5">
        <v>15860</v>
      </c>
      <c r="K26" s="62">
        <v>5</v>
      </c>
      <c r="L26" s="64" t="s">
        <v>160</v>
      </c>
      <c r="M26" s="65">
        <v>6</v>
      </c>
      <c r="N26" s="68">
        <v>5</v>
      </c>
      <c r="O26" s="64"/>
      <c r="P26" s="66"/>
      <c r="Q26" s="66"/>
      <c r="R26" s="67"/>
      <c r="S26" s="5">
        <v>20400</v>
      </c>
    </row>
    <row r="27" spans="1:19" x14ac:dyDescent="0.35">
      <c r="A27" s="62"/>
      <c r="B27" s="64"/>
      <c r="C27" s="65"/>
      <c r="D27" s="68"/>
      <c r="E27" s="64"/>
      <c r="F27" s="66"/>
      <c r="G27" s="66"/>
      <c r="H27" s="67"/>
      <c r="I27" s="5"/>
      <c r="K27" s="62"/>
      <c r="L27" s="64"/>
      <c r="M27" s="65"/>
      <c r="N27" s="68"/>
      <c r="O27" s="64"/>
      <c r="P27" s="66"/>
      <c r="Q27" s="66"/>
      <c r="R27" s="67"/>
      <c r="S27" s="5"/>
    </row>
    <row r="28" spans="1:19" x14ac:dyDescent="0.35">
      <c r="A28" s="164" t="s">
        <v>9</v>
      </c>
      <c r="B28" s="165"/>
      <c r="C28" s="165"/>
      <c r="D28" s="165"/>
      <c r="E28" s="165"/>
      <c r="F28" s="165"/>
      <c r="G28" s="165"/>
      <c r="H28" s="166"/>
      <c r="I28" s="9">
        <f>SUM(I22:I27)</f>
        <v>170325</v>
      </c>
      <c r="K28" s="164" t="s">
        <v>9</v>
      </c>
      <c r="L28" s="165"/>
      <c r="M28" s="165"/>
      <c r="N28" s="165"/>
      <c r="O28" s="165"/>
      <c r="P28" s="165"/>
      <c r="Q28" s="165"/>
      <c r="R28" s="166"/>
      <c r="S28" s="9">
        <f>SUM(S22:S27)</f>
        <v>190219.5</v>
      </c>
    </row>
    <row r="29" spans="1:19" x14ac:dyDescent="0.35">
      <c r="A29" s="31" t="s">
        <v>52</v>
      </c>
      <c r="B29" s="32"/>
      <c r="C29" s="32"/>
      <c r="D29" s="32"/>
      <c r="E29" s="32"/>
      <c r="F29" s="32"/>
      <c r="G29" s="32"/>
      <c r="H29" s="32"/>
      <c r="I29" s="33"/>
      <c r="K29" s="31" t="s">
        <v>52</v>
      </c>
      <c r="L29" s="32"/>
      <c r="M29" s="32"/>
      <c r="N29" s="32"/>
      <c r="O29" s="32"/>
      <c r="P29" s="32"/>
      <c r="Q29" s="32"/>
      <c r="R29" s="32"/>
      <c r="S29" s="33"/>
    </row>
    <row r="30" spans="1:19" x14ac:dyDescent="0.35">
      <c r="A30" s="26">
        <v>1</v>
      </c>
      <c r="B30" s="13" t="s">
        <v>7</v>
      </c>
      <c r="C30" s="7">
        <v>2</v>
      </c>
      <c r="D30" s="2">
        <v>1</v>
      </c>
      <c r="E30" s="3" t="s">
        <v>170</v>
      </c>
      <c r="F30" s="5"/>
      <c r="G30" s="5"/>
      <c r="H30" s="5"/>
      <c r="I30" s="5">
        <v>6470</v>
      </c>
      <c r="K30" s="26">
        <v>1</v>
      </c>
      <c r="L30" s="13" t="s">
        <v>7</v>
      </c>
      <c r="M30" s="7">
        <v>2</v>
      </c>
      <c r="N30" s="2">
        <v>4</v>
      </c>
      <c r="O30" s="3" t="s">
        <v>170</v>
      </c>
      <c r="P30" s="5"/>
      <c r="Q30" s="5"/>
      <c r="R30" s="5"/>
      <c r="S30" s="5">
        <v>27790</v>
      </c>
    </row>
    <row r="31" spans="1:19" x14ac:dyDescent="0.35">
      <c r="A31" s="6">
        <v>2</v>
      </c>
      <c r="B31" s="2" t="s">
        <v>48</v>
      </c>
      <c r="C31" s="170" t="s">
        <v>84</v>
      </c>
      <c r="D31" s="171"/>
      <c r="E31" s="171"/>
      <c r="F31" s="171"/>
      <c r="G31" s="171"/>
      <c r="H31" s="172"/>
      <c r="I31" s="5">
        <v>15600</v>
      </c>
      <c r="K31" s="6">
        <v>2</v>
      </c>
      <c r="L31" s="2" t="s">
        <v>48</v>
      </c>
      <c r="M31" s="7"/>
      <c r="N31" s="2"/>
      <c r="O31" s="2"/>
      <c r="P31" s="5"/>
      <c r="Q31" s="5"/>
      <c r="R31" s="5"/>
      <c r="S31" s="5">
        <v>0</v>
      </c>
    </row>
    <row r="32" spans="1:19" x14ac:dyDescent="0.35">
      <c r="A32" s="6">
        <v>3</v>
      </c>
      <c r="B32" s="2" t="s">
        <v>8</v>
      </c>
      <c r="C32" s="7">
        <v>5</v>
      </c>
      <c r="D32" s="2">
        <v>5</v>
      </c>
      <c r="E32" s="2">
        <v>7850</v>
      </c>
      <c r="F32" s="5"/>
      <c r="G32" s="5"/>
      <c r="H32" s="5">
        <v>163.54</v>
      </c>
      <c r="I32" s="5">
        <f>H32*5*12</f>
        <v>9812.4</v>
      </c>
      <c r="K32" s="6">
        <v>3</v>
      </c>
      <c r="L32" s="2" t="s">
        <v>8</v>
      </c>
      <c r="M32" s="7">
        <v>5</v>
      </c>
      <c r="N32" s="2">
        <v>9</v>
      </c>
      <c r="O32" s="2">
        <v>8475</v>
      </c>
      <c r="P32" s="5"/>
      <c r="Q32" s="5"/>
      <c r="R32" s="5"/>
      <c r="S32" s="5">
        <f>O32/30/8*M32*N32*12</f>
        <v>19068.75</v>
      </c>
    </row>
    <row r="33" spans="1:19" x14ac:dyDescent="0.35">
      <c r="A33" s="62">
        <v>4</v>
      </c>
      <c r="B33" s="2" t="s">
        <v>159</v>
      </c>
      <c r="C33" s="7">
        <v>5</v>
      </c>
      <c r="D33" s="2"/>
      <c r="E33" s="2"/>
      <c r="F33" s="5"/>
      <c r="G33" s="5"/>
      <c r="H33" s="5"/>
      <c r="I33" s="5">
        <v>0</v>
      </c>
      <c r="K33" s="6">
        <v>4</v>
      </c>
      <c r="L33" s="2" t="s">
        <v>159</v>
      </c>
      <c r="M33" s="7">
        <v>4</v>
      </c>
      <c r="N33" s="2">
        <v>5</v>
      </c>
      <c r="O33" s="2"/>
      <c r="P33" s="5"/>
      <c r="Q33" s="5"/>
      <c r="R33" s="5"/>
      <c r="S33" s="5">
        <v>39800</v>
      </c>
    </row>
    <row r="34" spans="1:19" x14ac:dyDescent="0.35">
      <c r="A34" s="62">
        <v>5</v>
      </c>
      <c r="B34" s="2" t="s">
        <v>160</v>
      </c>
      <c r="C34" s="7">
        <v>10</v>
      </c>
      <c r="D34" s="2"/>
      <c r="E34" s="2"/>
      <c r="F34" s="5"/>
      <c r="G34" s="5"/>
      <c r="H34" s="5"/>
      <c r="I34" s="5">
        <v>0</v>
      </c>
      <c r="K34" s="62">
        <v>5</v>
      </c>
      <c r="L34" s="64" t="s">
        <v>160</v>
      </c>
      <c r="M34" s="65">
        <v>7</v>
      </c>
      <c r="N34" s="64">
        <v>5</v>
      </c>
      <c r="O34" s="64"/>
      <c r="P34" s="66"/>
      <c r="Q34" s="66"/>
      <c r="R34" s="67"/>
      <c r="S34" s="5">
        <v>23000</v>
      </c>
    </row>
    <row r="35" spans="1:19" x14ac:dyDescent="0.35">
      <c r="A35" s="62"/>
      <c r="B35" s="64"/>
      <c r="C35" s="65"/>
      <c r="D35" s="64"/>
      <c r="E35" s="64"/>
      <c r="F35" s="66"/>
      <c r="G35" s="66"/>
      <c r="H35" s="67"/>
      <c r="I35" s="5"/>
      <c r="K35" s="62"/>
      <c r="L35" s="64"/>
      <c r="M35" s="65"/>
      <c r="N35" s="64"/>
      <c r="O35" s="64"/>
      <c r="P35" s="66"/>
      <c r="Q35" s="66"/>
      <c r="R35" s="67"/>
      <c r="S35" s="5"/>
    </row>
    <row r="36" spans="1:19" x14ac:dyDescent="0.35">
      <c r="A36" s="164" t="s">
        <v>9</v>
      </c>
      <c r="B36" s="165"/>
      <c r="C36" s="165"/>
      <c r="D36" s="165"/>
      <c r="E36" s="165"/>
      <c r="F36" s="165"/>
      <c r="G36" s="165"/>
      <c r="H36" s="166"/>
      <c r="I36" s="9">
        <f>SUM(I30:I35)</f>
        <v>31882.400000000001</v>
      </c>
      <c r="K36" s="164" t="s">
        <v>9</v>
      </c>
      <c r="L36" s="165"/>
      <c r="M36" s="165"/>
      <c r="N36" s="165"/>
      <c r="O36" s="165"/>
      <c r="P36" s="165"/>
      <c r="Q36" s="165"/>
      <c r="R36" s="166"/>
      <c r="S36" s="9">
        <f>SUM(S30:S35)</f>
        <v>109658.75</v>
      </c>
    </row>
    <row r="40" spans="1:19" x14ac:dyDescent="0.35">
      <c r="B40" t="s">
        <v>232</v>
      </c>
      <c r="E40" t="s">
        <v>234</v>
      </c>
    </row>
    <row r="41" spans="1:19" x14ac:dyDescent="0.35">
      <c r="B41" t="s">
        <v>78</v>
      </c>
      <c r="C41">
        <v>141600</v>
      </c>
      <c r="E41" t="s">
        <v>78</v>
      </c>
      <c r="F41">
        <v>141990</v>
      </c>
    </row>
    <row r="42" spans="1:19" x14ac:dyDescent="0.35">
      <c r="C42">
        <v>29080</v>
      </c>
      <c r="F42">
        <v>36600</v>
      </c>
    </row>
    <row r="43" spans="1:19" x14ac:dyDescent="0.35">
      <c r="B43" t="s">
        <v>79</v>
      </c>
      <c r="C43">
        <v>94200</v>
      </c>
      <c r="E43" t="s">
        <v>79</v>
      </c>
      <c r="F43">
        <v>97679</v>
      </c>
    </row>
    <row r="44" spans="1:19" x14ac:dyDescent="0.35">
      <c r="C44">
        <v>22400</v>
      </c>
      <c r="F44">
        <v>28000</v>
      </c>
    </row>
    <row r="45" spans="1:19" x14ac:dyDescent="0.35">
      <c r="B45" t="s">
        <v>81</v>
      </c>
      <c r="C45">
        <v>91800</v>
      </c>
      <c r="E45" t="s">
        <v>81</v>
      </c>
      <c r="F45">
        <v>105812</v>
      </c>
    </row>
    <row r="46" spans="1:19" x14ac:dyDescent="0.35">
      <c r="C46">
        <v>15860</v>
      </c>
      <c r="F46">
        <v>20400</v>
      </c>
    </row>
    <row r="47" spans="1:19" x14ac:dyDescent="0.35">
      <c r="B47" t="s">
        <v>80</v>
      </c>
      <c r="C47">
        <v>50200</v>
      </c>
      <c r="E47" t="s">
        <v>80</v>
      </c>
      <c r="F47">
        <v>39800</v>
      </c>
    </row>
    <row r="48" spans="1:19" x14ac:dyDescent="0.35">
      <c r="C48">
        <v>25720</v>
      </c>
      <c r="F48">
        <v>23000</v>
      </c>
    </row>
    <row r="50" spans="1:10" x14ac:dyDescent="0.35">
      <c r="D50" t="s">
        <v>78</v>
      </c>
      <c r="F50" t="s">
        <v>79</v>
      </c>
      <c r="H50" t="s">
        <v>81</v>
      </c>
      <c r="J50" t="s">
        <v>80</v>
      </c>
    </row>
    <row r="51" spans="1:10" x14ac:dyDescent="0.35">
      <c r="A51" t="s">
        <v>269</v>
      </c>
    </row>
    <row r="52" spans="1:10" x14ac:dyDescent="0.35">
      <c r="A52" t="s">
        <v>232</v>
      </c>
      <c r="B52" t="s">
        <v>9</v>
      </c>
      <c r="D52">
        <v>12880</v>
      </c>
      <c r="F52">
        <v>50640</v>
      </c>
      <c r="H52">
        <v>39400</v>
      </c>
      <c r="J52">
        <v>6470</v>
      </c>
    </row>
    <row r="54" spans="1:10" x14ac:dyDescent="0.35">
      <c r="A54" t="s">
        <v>269</v>
      </c>
    </row>
    <row r="55" spans="1:10" x14ac:dyDescent="0.35">
      <c r="A55" t="s">
        <v>234</v>
      </c>
      <c r="B55" t="s">
        <v>9</v>
      </c>
      <c r="D55">
        <v>55160</v>
      </c>
      <c r="F55">
        <v>53730</v>
      </c>
      <c r="H55">
        <v>56380</v>
      </c>
      <c r="J55">
        <v>27790</v>
      </c>
    </row>
  </sheetData>
  <mergeCells count="34">
    <mergeCell ref="C31:H31"/>
    <mergeCell ref="A36:H36"/>
    <mergeCell ref="K1:S1"/>
    <mergeCell ref="N2:N4"/>
    <mergeCell ref="O2:O4"/>
    <mergeCell ref="P2:P4"/>
    <mergeCell ref="Q2:Q4"/>
    <mergeCell ref="K5:S5"/>
    <mergeCell ref="K20:R20"/>
    <mergeCell ref="K28:R28"/>
    <mergeCell ref="K36:R36"/>
    <mergeCell ref="K12:L12"/>
    <mergeCell ref="K2:K4"/>
    <mergeCell ref="L2:L4"/>
    <mergeCell ref="M2:M4"/>
    <mergeCell ref="R2:R4"/>
    <mergeCell ref="S2:S4"/>
    <mergeCell ref="A12:B12"/>
    <mergeCell ref="A5:I5"/>
    <mergeCell ref="A20:H20"/>
    <mergeCell ref="A28:H28"/>
    <mergeCell ref="C7:H7"/>
    <mergeCell ref="C15:H15"/>
    <mergeCell ref="C23:H23"/>
    <mergeCell ref="A1:I1"/>
    <mergeCell ref="A2:A4"/>
    <mergeCell ref="B2:B4"/>
    <mergeCell ref="C2:C4"/>
    <mergeCell ref="F2:F4"/>
    <mergeCell ref="G2:G4"/>
    <mergeCell ref="H2:H4"/>
    <mergeCell ref="D2:D4"/>
    <mergeCell ref="E2:E4"/>
    <mergeCell ref="I2:I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opLeftCell="A16" zoomScale="69" zoomScaleNormal="69" workbookViewId="0">
      <selection activeCell="T44" sqref="T44"/>
    </sheetView>
  </sheetViews>
  <sheetFormatPr defaultRowHeight="14.5" x14ac:dyDescent="0.35"/>
  <cols>
    <col min="19" max="19" width="13.7265625" customWidth="1"/>
    <col min="23" max="23" width="12.26953125" customWidth="1"/>
    <col min="37" max="37" width="9.1796875"/>
    <col min="41" max="41" width="9.1796875"/>
  </cols>
  <sheetData>
    <row r="1" spans="1:11" ht="15.5" x14ac:dyDescent="0.35">
      <c r="A1" s="53"/>
      <c r="B1" s="218" t="s">
        <v>148</v>
      </c>
      <c r="C1" s="218" t="s">
        <v>104</v>
      </c>
      <c r="D1" s="54" t="s">
        <v>105</v>
      </c>
      <c r="E1" s="8" t="s">
        <v>149</v>
      </c>
      <c r="F1" s="8">
        <v>1</v>
      </c>
      <c r="G1" s="8">
        <v>1</v>
      </c>
      <c r="H1" s="101">
        <v>40000</v>
      </c>
      <c r="I1" s="101">
        <v>40000</v>
      </c>
      <c r="J1" s="8">
        <v>11000</v>
      </c>
      <c r="K1" s="8">
        <v>13000</v>
      </c>
    </row>
    <row r="2" spans="1:11" ht="24.75" customHeight="1" x14ac:dyDescent="0.35">
      <c r="A2" s="53"/>
      <c r="B2" s="219"/>
      <c r="C2" s="219"/>
      <c r="D2" s="54" t="s">
        <v>106</v>
      </c>
      <c r="E2" s="8" t="s">
        <v>149</v>
      </c>
      <c r="F2" s="8">
        <v>1</v>
      </c>
      <c r="G2" s="8">
        <v>1</v>
      </c>
      <c r="H2" s="101">
        <v>40000</v>
      </c>
      <c r="I2" s="101">
        <v>40000</v>
      </c>
      <c r="J2" s="8">
        <v>13000</v>
      </c>
      <c r="K2" s="8">
        <v>15000</v>
      </c>
    </row>
    <row r="3" spans="1:11" ht="31" x14ac:dyDescent="0.35">
      <c r="A3" s="53" t="s">
        <v>146</v>
      </c>
      <c r="B3" s="219"/>
      <c r="C3" s="218" t="s">
        <v>107</v>
      </c>
      <c r="D3" s="55" t="s">
        <v>108</v>
      </c>
      <c r="E3" s="8"/>
      <c r="F3" s="8">
        <v>1</v>
      </c>
      <c r="G3" s="8"/>
      <c r="H3" s="8"/>
      <c r="I3" s="8"/>
      <c r="J3" s="8"/>
      <c r="K3" s="8"/>
    </row>
    <row r="4" spans="1:11" ht="46.5" x14ac:dyDescent="0.35">
      <c r="A4" s="53" t="s">
        <v>146</v>
      </c>
      <c r="B4" s="219"/>
      <c r="C4" s="219"/>
      <c r="D4" s="55" t="s">
        <v>109</v>
      </c>
      <c r="E4" s="8"/>
      <c r="F4" s="8">
        <v>1</v>
      </c>
      <c r="G4" s="8"/>
      <c r="H4" s="8"/>
      <c r="I4" s="8"/>
      <c r="J4" s="8"/>
      <c r="K4" s="8"/>
    </row>
    <row r="5" spans="1:11" ht="31" x14ac:dyDescent="0.35">
      <c r="A5" s="53" t="s">
        <v>146</v>
      </c>
      <c r="B5" s="219"/>
      <c r="C5" s="219"/>
      <c r="D5" s="55" t="s">
        <v>110</v>
      </c>
      <c r="E5" s="8"/>
      <c r="F5" s="8">
        <v>1</v>
      </c>
      <c r="G5" s="8"/>
      <c r="H5" s="8"/>
      <c r="I5" s="8"/>
      <c r="J5" s="8"/>
      <c r="K5" s="8"/>
    </row>
    <row r="6" spans="1:11" ht="31" x14ac:dyDescent="0.35">
      <c r="A6" s="53" t="s">
        <v>146</v>
      </c>
      <c r="B6" s="219"/>
      <c r="C6" s="219"/>
      <c r="D6" s="55" t="s">
        <v>111</v>
      </c>
      <c r="E6" s="8"/>
      <c r="F6" s="8">
        <v>1</v>
      </c>
      <c r="G6" s="8">
        <v>1</v>
      </c>
      <c r="H6" s="8"/>
      <c r="I6" s="8"/>
      <c r="J6" s="8"/>
      <c r="K6" s="8"/>
    </row>
    <row r="7" spans="1:11" ht="31" x14ac:dyDescent="0.35">
      <c r="A7" s="53" t="s">
        <v>146</v>
      </c>
      <c r="B7" s="219"/>
      <c r="C7" s="219"/>
      <c r="D7" s="55" t="s">
        <v>112</v>
      </c>
      <c r="E7" s="8"/>
      <c r="F7" s="8">
        <v>1</v>
      </c>
      <c r="G7" s="8"/>
      <c r="H7" s="8"/>
      <c r="I7" s="8"/>
      <c r="J7" s="8"/>
      <c r="K7" s="8"/>
    </row>
    <row r="8" spans="1:11" ht="31" x14ac:dyDescent="0.35">
      <c r="A8" s="53" t="s">
        <v>146</v>
      </c>
      <c r="B8" s="219"/>
      <c r="C8" s="219"/>
      <c r="D8" s="53" t="s">
        <v>113</v>
      </c>
      <c r="E8" s="8"/>
      <c r="F8" s="8">
        <v>1</v>
      </c>
      <c r="G8" s="8">
        <v>1</v>
      </c>
      <c r="H8" s="8"/>
      <c r="I8" s="8"/>
      <c r="J8" s="8"/>
      <c r="K8" s="8"/>
    </row>
    <row r="9" spans="1:11" ht="46.5" x14ac:dyDescent="0.35">
      <c r="A9" s="53" t="s">
        <v>146</v>
      </c>
      <c r="B9" s="219"/>
      <c r="C9" s="219"/>
      <c r="D9" s="83" t="s">
        <v>114</v>
      </c>
      <c r="E9" s="40">
        <v>1</v>
      </c>
      <c r="F9" s="40"/>
      <c r="G9" s="40">
        <v>1</v>
      </c>
      <c r="H9" s="8"/>
      <c r="I9" s="8"/>
      <c r="J9" s="8">
        <v>13000</v>
      </c>
      <c r="K9" s="8">
        <v>20000</v>
      </c>
    </row>
    <row r="10" spans="1:11" ht="46.5" x14ac:dyDescent="0.35">
      <c r="A10" s="53" t="s">
        <v>146</v>
      </c>
      <c r="B10" s="219"/>
      <c r="C10" s="219"/>
      <c r="D10" s="55" t="s">
        <v>115</v>
      </c>
      <c r="E10" s="8" t="s">
        <v>156</v>
      </c>
      <c r="F10" s="8"/>
      <c r="G10" s="8"/>
      <c r="H10" s="215" t="s">
        <v>155</v>
      </c>
      <c r="I10" s="216"/>
      <c r="J10" s="215">
        <v>18000</v>
      </c>
      <c r="K10" s="216"/>
    </row>
    <row r="11" spans="1:11" ht="31" x14ac:dyDescent="0.35">
      <c r="A11" s="53" t="s">
        <v>146</v>
      </c>
      <c r="B11" s="220"/>
      <c r="C11" s="220"/>
      <c r="D11" s="55" t="s">
        <v>116</v>
      </c>
      <c r="E11" s="8">
        <v>1</v>
      </c>
      <c r="F11" s="8">
        <v>1</v>
      </c>
      <c r="G11" s="8"/>
      <c r="H11" s="8"/>
      <c r="I11" s="8"/>
      <c r="J11" s="8"/>
      <c r="K11" s="8"/>
    </row>
    <row r="12" spans="1:11" ht="15.5" x14ac:dyDescent="0.35">
      <c r="A12" s="53" t="s">
        <v>146</v>
      </c>
      <c r="B12" s="225" t="s">
        <v>58</v>
      </c>
      <c r="C12" s="227" t="s">
        <v>117</v>
      </c>
      <c r="D12" s="56" t="s">
        <v>118</v>
      </c>
      <c r="E12" s="8"/>
      <c r="F12" s="8"/>
      <c r="G12" s="8"/>
      <c r="H12" s="8"/>
      <c r="I12" s="8"/>
      <c r="J12" s="8"/>
      <c r="K12" s="8"/>
    </row>
    <row r="13" spans="1:11" ht="15.5" x14ac:dyDescent="0.35">
      <c r="A13" s="53" t="s">
        <v>146</v>
      </c>
      <c r="B13" s="226"/>
      <c r="C13" s="228"/>
      <c r="D13" s="56" t="s">
        <v>119</v>
      </c>
      <c r="E13" s="8"/>
      <c r="F13" s="8"/>
      <c r="G13" s="8"/>
      <c r="H13" s="8"/>
      <c r="I13" s="8"/>
      <c r="J13" s="8"/>
      <c r="K13" s="8"/>
    </row>
    <row r="14" spans="1:11" ht="15.5" x14ac:dyDescent="0.35">
      <c r="A14" s="53" t="s">
        <v>146</v>
      </c>
      <c r="B14" s="226"/>
      <c r="C14" s="228"/>
      <c r="D14" s="56" t="s">
        <v>120</v>
      </c>
      <c r="E14" s="8"/>
      <c r="F14" s="8"/>
      <c r="G14" s="8"/>
      <c r="H14" s="8"/>
      <c r="I14" s="8"/>
      <c r="J14" s="8"/>
      <c r="K14" s="8"/>
    </row>
    <row r="15" spans="1:11" ht="15.5" x14ac:dyDescent="0.35">
      <c r="A15" s="53" t="s">
        <v>146</v>
      </c>
      <c r="B15" s="226"/>
      <c r="C15" s="228"/>
      <c r="D15" s="56" t="s">
        <v>121</v>
      </c>
      <c r="E15" s="8"/>
      <c r="F15" s="8"/>
      <c r="G15" s="8"/>
      <c r="H15" s="8"/>
      <c r="I15" s="8"/>
      <c r="J15" s="8"/>
      <c r="K15" s="8"/>
    </row>
    <row r="16" spans="1:11" ht="15.5" x14ac:dyDescent="0.35">
      <c r="A16" s="53" t="s">
        <v>146</v>
      </c>
      <c r="B16" s="226"/>
      <c r="C16" s="228"/>
      <c r="D16" s="56" t="s">
        <v>122</v>
      </c>
      <c r="E16" s="8"/>
      <c r="F16" s="8"/>
      <c r="G16" s="8"/>
      <c r="H16" s="8"/>
      <c r="I16" s="8"/>
      <c r="J16" s="8"/>
      <c r="K16" s="8"/>
    </row>
    <row r="17" spans="1:23" ht="15.5" x14ac:dyDescent="0.35">
      <c r="A17" s="53" t="s">
        <v>146</v>
      </c>
      <c r="B17" s="226"/>
      <c r="C17" s="228"/>
      <c r="D17" s="56" t="s">
        <v>123</v>
      </c>
      <c r="E17" s="8"/>
      <c r="F17" s="8"/>
      <c r="G17" s="8"/>
      <c r="H17" s="8"/>
      <c r="I17" s="8"/>
      <c r="J17" s="8"/>
      <c r="K17" s="8"/>
    </row>
    <row r="18" spans="1:23" ht="15.5" x14ac:dyDescent="0.35">
      <c r="A18" s="53" t="s">
        <v>146</v>
      </c>
      <c r="B18" s="226"/>
      <c r="C18" s="229"/>
      <c r="D18" s="56" t="s">
        <v>124</v>
      </c>
      <c r="E18" s="8"/>
      <c r="F18" s="8"/>
      <c r="G18" s="8"/>
      <c r="H18" s="8"/>
      <c r="I18" s="8"/>
      <c r="J18" s="8"/>
      <c r="K18" s="8"/>
    </row>
    <row r="19" spans="1:23" ht="15.5" x14ac:dyDescent="0.35">
      <c r="A19" s="53" t="s">
        <v>146</v>
      </c>
      <c r="B19" s="226"/>
      <c r="C19" s="228" t="s">
        <v>125</v>
      </c>
      <c r="D19" s="56" t="s">
        <v>126</v>
      </c>
      <c r="E19" s="8"/>
      <c r="F19" s="8">
        <v>1</v>
      </c>
      <c r="G19" s="8"/>
      <c r="H19" s="8">
        <v>45000</v>
      </c>
      <c r="I19" s="8">
        <v>47000</v>
      </c>
      <c r="J19" s="8"/>
      <c r="K19" s="8"/>
      <c r="S19" s="221" t="s">
        <v>232</v>
      </c>
      <c r="T19" s="221"/>
      <c r="V19" s="221" t="s">
        <v>234</v>
      </c>
      <c r="W19" s="221"/>
    </row>
    <row r="20" spans="1:23" ht="15.5" x14ac:dyDescent="0.35">
      <c r="A20" s="53" t="s">
        <v>146</v>
      </c>
      <c r="B20" s="226"/>
      <c r="C20" s="228"/>
      <c r="D20" s="56" t="s">
        <v>127</v>
      </c>
      <c r="E20" s="8"/>
      <c r="F20" s="8">
        <v>1</v>
      </c>
      <c r="G20" s="8">
        <v>1</v>
      </c>
      <c r="H20" s="8">
        <v>45000</v>
      </c>
      <c r="I20" s="8"/>
      <c r="J20" s="8"/>
      <c r="K20" s="8"/>
      <c r="M20" t="s">
        <v>235</v>
      </c>
      <c r="N20">
        <v>1</v>
      </c>
      <c r="O20">
        <v>4</v>
      </c>
      <c r="P20">
        <v>4</v>
      </c>
      <c r="Q20">
        <v>1</v>
      </c>
      <c r="S20" t="s">
        <v>259</v>
      </c>
      <c r="V20" t="s">
        <v>260</v>
      </c>
    </row>
    <row r="21" spans="1:23" ht="15.5" x14ac:dyDescent="0.35">
      <c r="A21" s="53" t="s">
        <v>146</v>
      </c>
      <c r="B21" s="226"/>
      <c r="C21" s="228"/>
      <c r="D21" s="56" t="s">
        <v>128</v>
      </c>
      <c r="E21" s="8"/>
      <c r="F21" s="8">
        <v>1</v>
      </c>
      <c r="G21" s="8"/>
      <c r="H21" s="8">
        <v>45000</v>
      </c>
      <c r="I21" s="8">
        <v>47000</v>
      </c>
      <c r="J21" s="8"/>
      <c r="K21" s="8"/>
      <c r="N21" t="s">
        <v>78</v>
      </c>
      <c r="O21" t="s">
        <v>79</v>
      </c>
      <c r="P21" t="s">
        <v>81</v>
      </c>
      <c r="Q21" t="s">
        <v>80</v>
      </c>
      <c r="S21">
        <v>40000</v>
      </c>
      <c r="T21">
        <v>41200</v>
      </c>
      <c r="V21">
        <v>11000</v>
      </c>
      <c r="W21">
        <v>13000</v>
      </c>
    </row>
    <row r="22" spans="1:23" ht="15.5" x14ac:dyDescent="0.35">
      <c r="A22" s="53" t="s">
        <v>146</v>
      </c>
      <c r="B22" s="226"/>
      <c r="C22" s="228"/>
      <c r="D22" s="56" t="s">
        <v>129</v>
      </c>
      <c r="E22" s="8"/>
      <c r="F22" s="8">
        <v>1</v>
      </c>
      <c r="G22" s="8">
        <v>1</v>
      </c>
      <c r="H22" s="8">
        <v>40000</v>
      </c>
      <c r="I22" s="8">
        <v>42000</v>
      </c>
      <c r="J22" s="8"/>
      <c r="K22" s="8"/>
      <c r="M22" t="s">
        <v>232</v>
      </c>
      <c r="S22">
        <v>40000</v>
      </c>
      <c r="T22">
        <v>41200</v>
      </c>
      <c r="V22">
        <v>13000</v>
      </c>
      <c r="W22">
        <v>15000</v>
      </c>
    </row>
    <row r="23" spans="1:23" ht="15.5" x14ac:dyDescent="0.35">
      <c r="A23" s="53" t="s">
        <v>146</v>
      </c>
      <c r="B23" s="226"/>
      <c r="C23" s="228"/>
      <c r="D23" s="56" t="s">
        <v>130</v>
      </c>
      <c r="E23" s="8"/>
      <c r="F23" s="8">
        <v>1</v>
      </c>
      <c r="G23" s="8">
        <v>1</v>
      </c>
      <c r="H23" s="8">
        <v>33000</v>
      </c>
      <c r="I23" s="8">
        <v>35000</v>
      </c>
      <c r="J23" s="8">
        <v>18500</v>
      </c>
      <c r="K23" s="8">
        <v>21000</v>
      </c>
      <c r="M23" t="s">
        <v>79</v>
      </c>
      <c r="N23">
        <v>16</v>
      </c>
      <c r="O23">
        <v>9</v>
      </c>
      <c r="P23">
        <v>10</v>
      </c>
      <c r="Q23">
        <v>5</v>
      </c>
      <c r="S23">
        <v>50000</v>
      </c>
      <c r="T23">
        <v>51500</v>
      </c>
      <c r="V23">
        <v>13000</v>
      </c>
      <c r="W23">
        <v>18000</v>
      </c>
    </row>
    <row r="24" spans="1:23" ht="15.5" x14ac:dyDescent="0.35">
      <c r="A24" s="53" t="s">
        <v>146</v>
      </c>
      <c r="B24" s="226"/>
      <c r="C24" s="228"/>
      <c r="D24" s="56" t="s">
        <v>131</v>
      </c>
      <c r="E24" s="8"/>
      <c r="F24" s="8">
        <v>1</v>
      </c>
      <c r="G24" s="8">
        <v>1</v>
      </c>
      <c r="H24" s="8">
        <v>43000</v>
      </c>
      <c r="I24" s="8">
        <v>45000</v>
      </c>
      <c r="J24" s="8"/>
      <c r="K24" s="8"/>
      <c r="M24" t="s">
        <v>233</v>
      </c>
      <c r="N24">
        <v>10</v>
      </c>
      <c r="O24">
        <v>7</v>
      </c>
      <c r="P24">
        <v>6</v>
      </c>
      <c r="Q24">
        <v>10</v>
      </c>
      <c r="S24" s="8">
        <v>45000</v>
      </c>
      <c r="T24" s="8">
        <v>47000</v>
      </c>
      <c r="V24">
        <v>18500</v>
      </c>
      <c r="W24">
        <v>20000</v>
      </c>
    </row>
    <row r="25" spans="1:23" ht="15.5" x14ac:dyDescent="0.35">
      <c r="A25" s="53" t="s">
        <v>146</v>
      </c>
      <c r="B25" s="226"/>
      <c r="C25" s="228"/>
      <c r="D25" s="56" t="s">
        <v>132</v>
      </c>
      <c r="E25" s="8"/>
      <c r="F25" s="8">
        <v>1</v>
      </c>
      <c r="G25" s="8"/>
      <c r="H25" s="8">
        <v>38000</v>
      </c>
      <c r="I25" s="8"/>
      <c r="J25" s="8"/>
      <c r="K25" s="8"/>
      <c r="S25" s="8">
        <v>45000</v>
      </c>
      <c r="T25" s="8">
        <v>47000</v>
      </c>
      <c r="V25" s="44">
        <v>11000</v>
      </c>
      <c r="W25">
        <v>21000</v>
      </c>
    </row>
    <row r="26" spans="1:23" ht="15.5" x14ac:dyDescent="0.35">
      <c r="A26" s="53" t="s">
        <v>146</v>
      </c>
      <c r="B26" s="226"/>
      <c r="C26" s="229"/>
      <c r="D26" s="56" t="s">
        <v>133</v>
      </c>
      <c r="E26" s="8"/>
      <c r="F26" s="8">
        <v>1</v>
      </c>
      <c r="G26" s="8">
        <v>1</v>
      </c>
      <c r="H26" s="8">
        <v>43000</v>
      </c>
      <c r="I26" s="8"/>
      <c r="J26" s="8"/>
      <c r="K26" s="8"/>
      <c r="S26" s="8">
        <v>45000</v>
      </c>
      <c r="T26" s="8">
        <v>42000</v>
      </c>
      <c r="V26" s="44">
        <v>11000</v>
      </c>
      <c r="W26" s="44">
        <v>13000</v>
      </c>
    </row>
    <row r="27" spans="1:23" ht="15.5" x14ac:dyDescent="0.35">
      <c r="A27" s="53" t="s">
        <v>146</v>
      </c>
      <c r="B27" s="223"/>
      <c r="C27" s="224" t="s">
        <v>60</v>
      </c>
      <c r="D27" s="82" t="s">
        <v>136</v>
      </c>
      <c r="E27" s="8">
        <v>2</v>
      </c>
      <c r="F27" s="8">
        <v>1</v>
      </c>
      <c r="G27" s="8">
        <v>1</v>
      </c>
      <c r="H27" s="8"/>
      <c r="I27" s="8">
        <v>40000</v>
      </c>
      <c r="J27" s="8"/>
      <c r="K27" s="8"/>
      <c r="S27" s="8">
        <v>40000</v>
      </c>
      <c r="T27" s="8">
        <v>35000</v>
      </c>
      <c r="V27" s="44">
        <v>11000</v>
      </c>
      <c r="W27" s="44">
        <v>12000</v>
      </c>
    </row>
    <row r="28" spans="1:23" ht="15.5" x14ac:dyDescent="0.35">
      <c r="A28" s="53" t="s">
        <v>146</v>
      </c>
      <c r="B28" s="223"/>
      <c r="C28" s="224"/>
      <c r="D28" s="82" t="s">
        <v>137</v>
      </c>
      <c r="E28" s="8">
        <v>2</v>
      </c>
      <c r="F28" s="8">
        <v>1</v>
      </c>
      <c r="G28" s="8">
        <v>1</v>
      </c>
      <c r="H28" s="8"/>
      <c r="I28" s="8"/>
      <c r="J28" s="8"/>
      <c r="K28" s="8"/>
      <c r="S28" s="8">
        <v>33000</v>
      </c>
      <c r="T28" s="8">
        <v>45000</v>
      </c>
      <c r="V28" s="108">
        <v>11000</v>
      </c>
      <c r="W28" s="44">
        <v>12000</v>
      </c>
    </row>
    <row r="29" spans="1:23" ht="15.5" x14ac:dyDescent="0.35">
      <c r="A29" s="53" t="s">
        <v>146</v>
      </c>
      <c r="B29" s="223"/>
      <c r="C29" s="224"/>
      <c r="D29" s="82" t="s">
        <v>182</v>
      </c>
      <c r="E29" s="8">
        <v>2</v>
      </c>
      <c r="F29" s="8">
        <v>1</v>
      </c>
      <c r="G29" s="8">
        <v>1</v>
      </c>
      <c r="H29" s="8">
        <v>45000</v>
      </c>
      <c r="I29" s="8">
        <v>47000</v>
      </c>
      <c r="J29" s="8">
        <v>11000</v>
      </c>
      <c r="K29" s="8">
        <v>13000</v>
      </c>
      <c r="S29" s="8">
        <v>43000</v>
      </c>
      <c r="T29" s="44">
        <v>40000</v>
      </c>
      <c r="V29" s="60">
        <v>11000</v>
      </c>
      <c r="W29" s="44">
        <v>20000</v>
      </c>
    </row>
    <row r="30" spans="1:23" ht="15.5" x14ac:dyDescent="0.35">
      <c r="A30" s="53" t="s">
        <v>146</v>
      </c>
      <c r="B30" s="223"/>
      <c r="C30" s="224"/>
      <c r="D30" s="56" t="s">
        <v>138</v>
      </c>
      <c r="E30" s="8">
        <v>1</v>
      </c>
      <c r="F30" s="8"/>
      <c r="G30" s="8">
        <v>1</v>
      </c>
      <c r="H30" s="8"/>
      <c r="I30" s="8"/>
      <c r="J30" s="8"/>
      <c r="K30" s="8">
        <v>12000</v>
      </c>
      <c r="N30" t="s">
        <v>78</v>
      </c>
      <c r="O30" t="s">
        <v>79</v>
      </c>
      <c r="P30" t="s">
        <v>81</v>
      </c>
      <c r="Q30" t="s">
        <v>80</v>
      </c>
      <c r="S30" s="8">
        <v>38000</v>
      </c>
      <c r="T30" s="44">
        <v>45000</v>
      </c>
      <c r="V30" s="8">
        <v>11000</v>
      </c>
      <c r="W30" s="44">
        <v>20000</v>
      </c>
    </row>
    <row r="31" spans="1:23" ht="15.5" x14ac:dyDescent="0.35">
      <c r="A31" s="53" t="s">
        <v>146</v>
      </c>
      <c r="B31" s="223"/>
      <c r="C31" s="224"/>
      <c r="D31" s="56" t="s">
        <v>181</v>
      </c>
      <c r="E31" s="8">
        <v>1</v>
      </c>
      <c r="F31" s="8"/>
      <c r="G31" s="8">
        <v>1</v>
      </c>
      <c r="H31" s="8"/>
      <c r="I31" s="8"/>
      <c r="J31" s="8"/>
      <c r="K31" s="8">
        <v>12000</v>
      </c>
      <c r="M31" t="s">
        <v>234</v>
      </c>
      <c r="S31" s="8">
        <v>43000</v>
      </c>
      <c r="T31" s="44">
        <v>47000</v>
      </c>
      <c r="V31" s="8"/>
      <c r="W31" s="44">
        <v>20000</v>
      </c>
    </row>
    <row r="32" spans="1:23" ht="15.5" x14ac:dyDescent="0.35">
      <c r="A32" s="53" t="s">
        <v>146</v>
      </c>
      <c r="B32" s="223"/>
      <c r="C32" s="224"/>
      <c r="D32" s="56" t="s">
        <v>139</v>
      </c>
      <c r="E32" s="8">
        <v>1</v>
      </c>
      <c r="F32" s="8"/>
      <c r="G32" s="8">
        <v>1</v>
      </c>
      <c r="H32" s="8"/>
      <c r="I32" s="8"/>
      <c r="J32" s="8"/>
      <c r="K32" s="8"/>
      <c r="M32" t="s">
        <v>79</v>
      </c>
      <c r="P32">
        <v>11</v>
      </c>
      <c r="S32">
        <v>45000</v>
      </c>
      <c r="T32" s="44">
        <v>67000</v>
      </c>
      <c r="V32" s="8">
        <v>18000</v>
      </c>
      <c r="W32" s="8">
        <v>20000</v>
      </c>
    </row>
    <row r="33" spans="1:24" ht="15.5" x14ac:dyDescent="0.35">
      <c r="A33" s="53" t="s">
        <v>146</v>
      </c>
      <c r="B33" s="223"/>
      <c r="C33" s="224"/>
      <c r="D33" s="56" t="s">
        <v>140</v>
      </c>
      <c r="E33" s="8" t="s">
        <v>179</v>
      </c>
      <c r="F33" s="8"/>
      <c r="G33" s="8"/>
      <c r="H33" s="8"/>
      <c r="I33" s="8"/>
      <c r="J33" s="8"/>
      <c r="K33" s="8"/>
      <c r="M33" t="s">
        <v>233</v>
      </c>
      <c r="P33">
        <v>6</v>
      </c>
      <c r="S33">
        <v>65000</v>
      </c>
      <c r="T33" s="8">
        <v>62000</v>
      </c>
      <c r="V33" s="8">
        <v>18000</v>
      </c>
      <c r="W33" s="8">
        <v>20000</v>
      </c>
    </row>
    <row r="34" spans="1:24" ht="15.5" x14ac:dyDescent="0.35">
      <c r="A34" s="53" t="s">
        <v>146</v>
      </c>
      <c r="B34" s="223"/>
      <c r="C34" s="224"/>
      <c r="D34" s="56" t="s">
        <v>141</v>
      </c>
      <c r="E34" s="8">
        <v>1</v>
      </c>
      <c r="F34" s="8"/>
      <c r="G34" s="8">
        <v>1</v>
      </c>
      <c r="H34" s="8"/>
      <c r="I34" s="8"/>
      <c r="J34" s="8"/>
      <c r="K34" s="8"/>
      <c r="S34" s="8">
        <v>60000</v>
      </c>
      <c r="T34" s="8">
        <v>62000</v>
      </c>
      <c r="V34" s="8">
        <v>18000</v>
      </c>
      <c r="W34" s="8">
        <v>20000</v>
      </c>
      <c r="X34" s="8"/>
    </row>
    <row r="35" spans="1:24" ht="31" x14ac:dyDescent="0.35">
      <c r="A35" s="53" t="s">
        <v>146</v>
      </c>
      <c r="B35" s="223"/>
      <c r="C35" s="224"/>
      <c r="D35" s="82" t="s">
        <v>157</v>
      </c>
      <c r="E35" s="8" t="s">
        <v>183</v>
      </c>
      <c r="F35" s="8">
        <v>1</v>
      </c>
      <c r="G35" s="8"/>
      <c r="H35" s="8"/>
      <c r="I35" s="8">
        <v>45000</v>
      </c>
      <c r="J35" s="8"/>
      <c r="K35" s="8"/>
      <c r="L35" t="s">
        <v>180</v>
      </c>
      <c r="S35" s="8">
        <v>60000</v>
      </c>
      <c r="T35" s="8">
        <v>62000</v>
      </c>
      <c r="V35" s="8">
        <v>18000</v>
      </c>
      <c r="W35" s="8">
        <v>20000</v>
      </c>
    </row>
    <row r="36" spans="1:24" ht="15.5" x14ac:dyDescent="0.35">
      <c r="A36" s="53" t="s">
        <v>146</v>
      </c>
      <c r="B36" s="223"/>
      <c r="C36" s="224" t="s">
        <v>142</v>
      </c>
      <c r="D36" s="82" t="s">
        <v>74</v>
      </c>
      <c r="E36" s="8">
        <v>1</v>
      </c>
      <c r="F36" s="8"/>
      <c r="G36" s="8">
        <v>1</v>
      </c>
      <c r="H36" s="8"/>
      <c r="I36" s="8"/>
      <c r="J36" s="8">
        <v>11000</v>
      </c>
      <c r="K36" s="8">
        <v>20000</v>
      </c>
      <c r="S36" s="8">
        <v>60000</v>
      </c>
      <c r="T36" s="8">
        <v>42000</v>
      </c>
      <c r="V36" s="8">
        <v>18000</v>
      </c>
      <c r="W36" s="8">
        <v>20000</v>
      </c>
    </row>
    <row r="37" spans="1:24" ht="31" x14ac:dyDescent="0.35">
      <c r="A37" s="53" t="s">
        <v>146</v>
      </c>
      <c r="B37" s="223"/>
      <c r="C37" s="224"/>
      <c r="D37" s="82" t="s">
        <v>143</v>
      </c>
      <c r="E37" s="8">
        <v>1</v>
      </c>
      <c r="F37" s="8">
        <v>1</v>
      </c>
      <c r="G37" s="8"/>
      <c r="H37" s="8">
        <v>65000</v>
      </c>
      <c r="I37" s="8">
        <v>67000</v>
      </c>
      <c r="J37" s="8">
        <v>11000</v>
      </c>
      <c r="K37" s="8">
        <v>20000</v>
      </c>
      <c r="S37" s="8">
        <v>50000</v>
      </c>
      <c r="T37" s="8">
        <v>52000</v>
      </c>
      <c r="V37" s="8"/>
      <c r="W37" s="8">
        <v>20000</v>
      </c>
    </row>
    <row r="38" spans="1:24" ht="31" x14ac:dyDescent="0.35">
      <c r="A38" s="53" t="s">
        <v>146</v>
      </c>
      <c r="B38" s="223"/>
      <c r="C38" s="224"/>
      <c r="D38" s="82" t="s">
        <v>134</v>
      </c>
      <c r="E38" s="8">
        <v>1</v>
      </c>
      <c r="F38" s="8"/>
      <c r="G38" s="8">
        <v>1</v>
      </c>
      <c r="H38" s="8"/>
      <c r="I38" s="8"/>
      <c r="J38" s="8">
        <v>11000</v>
      </c>
      <c r="K38" s="8">
        <v>20000</v>
      </c>
      <c r="S38" s="8">
        <v>40000</v>
      </c>
      <c r="T38" s="8">
        <v>52000</v>
      </c>
      <c r="V38" s="8"/>
      <c r="W38" s="8">
        <v>20000</v>
      </c>
    </row>
    <row r="39" spans="1:24" ht="15.5" x14ac:dyDescent="0.35">
      <c r="A39" s="53" t="s">
        <v>146</v>
      </c>
      <c r="B39" s="223"/>
      <c r="C39" s="224"/>
      <c r="D39" s="82" t="s">
        <v>135</v>
      </c>
      <c r="E39" s="8">
        <v>1</v>
      </c>
      <c r="F39" s="8"/>
      <c r="G39" s="8">
        <v>1</v>
      </c>
      <c r="H39" s="8"/>
      <c r="I39" s="8"/>
      <c r="J39" s="8"/>
      <c r="K39" s="8"/>
      <c r="S39" s="8">
        <v>50000</v>
      </c>
      <c r="T39" s="8">
        <v>47000</v>
      </c>
      <c r="V39" s="8"/>
      <c r="W39" s="8"/>
    </row>
    <row r="40" spans="1:24" x14ac:dyDescent="0.35">
      <c r="S40" s="8">
        <v>50000</v>
      </c>
      <c r="T40" s="8">
        <v>60000</v>
      </c>
      <c r="W40" s="8"/>
    </row>
    <row r="41" spans="1:24" x14ac:dyDescent="0.35">
      <c r="S41" s="8">
        <v>45000</v>
      </c>
      <c r="T41" s="8"/>
      <c r="W41" s="8"/>
    </row>
    <row r="42" spans="1:24" x14ac:dyDescent="0.35">
      <c r="S42" s="8"/>
      <c r="W42" s="8"/>
    </row>
    <row r="44" spans="1:24" x14ac:dyDescent="0.35">
      <c r="S44" s="107">
        <f>AVERAGE(S21:S41)</f>
        <v>47000</v>
      </c>
      <c r="T44" s="107">
        <f>AVERAGE(T21:T40)</f>
        <v>49395</v>
      </c>
      <c r="U44" s="107"/>
      <c r="V44" s="107">
        <f>AVERAGE(V21:V36)</f>
        <v>14100</v>
      </c>
      <c r="W44" s="107">
        <f>AVERAGE(W21:W38)</f>
        <v>18000</v>
      </c>
    </row>
  </sheetData>
  <mergeCells count="13">
    <mergeCell ref="S19:T19"/>
    <mergeCell ref="V19:W19"/>
    <mergeCell ref="B27:B39"/>
    <mergeCell ref="C27:C35"/>
    <mergeCell ref="C36:C39"/>
    <mergeCell ref="B12:B26"/>
    <mergeCell ref="C12:C18"/>
    <mergeCell ref="C19:C26"/>
    <mergeCell ref="B1:B11"/>
    <mergeCell ref="C1:C2"/>
    <mergeCell ref="C3:C11"/>
    <mergeCell ref="H10:I10"/>
    <mergeCell ref="J10:K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"/>
  <sheetViews>
    <sheetView workbookViewId="0">
      <selection activeCell="D17" sqref="D17"/>
    </sheetView>
  </sheetViews>
  <sheetFormatPr defaultRowHeight="14.5" x14ac:dyDescent="0.35"/>
  <cols>
    <col min="3" max="4" width="9.1796875"/>
    <col min="6" max="6" width="9.1796875"/>
    <col min="10" max="10" width="9.1796875"/>
    <col min="16" max="16" width="9.1796875"/>
    <col min="18" max="18" width="9.1796875"/>
    <col min="22" max="22" width="9.1796875"/>
    <col min="24" max="24" width="9.1796875"/>
    <col min="28" max="28" width="9.1796875"/>
    <col min="33" max="33" width="9.1796875"/>
    <col min="36" max="36" width="9.1796875"/>
    <col min="39" max="39" width="9.1796875"/>
    <col min="43" max="43" width="9.1796875"/>
  </cols>
  <sheetData>
    <row r="1" spans="1:45" x14ac:dyDescent="0.35">
      <c r="A1" t="s">
        <v>61</v>
      </c>
      <c r="B1" t="s">
        <v>247</v>
      </c>
      <c r="C1" s="107" t="s">
        <v>261</v>
      </c>
      <c r="E1" t="s">
        <v>248</v>
      </c>
      <c r="F1" s="107" t="s">
        <v>262</v>
      </c>
      <c r="H1" t="s">
        <v>246</v>
      </c>
      <c r="I1" t="s">
        <v>249</v>
      </c>
      <c r="J1" s="107" t="s">
        <v>262</v>
      </c>
      <c r="K1" s="8" t="s">
        <v>252</v>
      </c>
      <c r="L1" s="107" t="s">
        <v>262</v>
      </c>
      <c r="N1" t="s">
        <v>250</v>
      </c>
      <c r="O1" t="s">
        <v>253</v>
      </c>
      <c r="P1" s="107" t="s">
        <v>262</v>
      </c>
      <c r="Q1" t="s">
        <v>254</v>
      </c>
      <c r="R1" s="107" t="s">
        <v>262</v>
      </c>
      <c r="T1" t="s">
        <v>250</v>
      </c>
      <c r="U1" t="s">
        <v>255</v>
      </c>
      <c r="V1" s="107" t="s">
        <v>263</v>
      </c>
      <c r="W1" s="8" t="s">
        <v>256</v>
      </c>
      <c r="X1" s="107" t="s">
        <v>262</v>
      </c>
      <c r="Z1" t="s">
        <v>251</v>
      </c>
      <c r="AA1" t="s">
        <v>257</v>
      </c>
      <c r="AB1" s="107" t="s">
        <v>262</v>
      </c>
      <c r="AC1" t="s">
        <v>254</v>
      </c>
      <c r="AD1" s="107" t="s">
        <v>262</v>
      </c>
      <c r="AE1" t="s">
        <v>185</v>
      </c>
      <c r="AF1" t="s">
        <v>258</v>
      </c>
      <c r="AG1" s="107" t="s">
        <v>262</v>
      </c>
      <c r="AH1" s="8" t="s">
        <v>240</v>
      </c>
      <c r="AI1" s="107" t="s">
        <v>262</v>
      </c>
      <c r="AK1" t="s">
        <v>59</v>
      </c>
      <c r="AL1" s="102">
        <v>9</v>
      </c>
      <c r="AM1" s="118" t="s">
        <v>262</v>
      </c>
      <c r="AN1" s="102">
        <v>7</v>
      </c>
      <c r="AO1" s="119" t="s">
        <v>262</v>
      </c>
      <c r="AP1" s="103">
        <v>9</v>
      </c>
      <c r="AQ1" s="121" t="s">
        <v>262</v>
      </c>
      <c r="AR1" s="103">
        <v>7</v>
      </c>
      <c r="AS1" s="107" t="s">
        <v>262</v>
      </c>
    </row>
    <row r="2" spans="1:45" x14ac:dyDescent="0.35">
      <c r="A2" t="s">
        <v>232</v>
      </c>
      <c r="B2" s="8">
        <v>40000</v>
      </c>
      <c r="C2" s="44">
        <f>B2/30/8*4*12</f>
        <v>8000</v>
      </c>
      <c r="D2" s="8"/>
      <c r="E2" s="8">
        <f>'ANM2'!J1</f>
        <v>11000</v>
      </c>
      <c r="F2" s="107">
        <f t="shared" ref="F2:F7" si="0">E2/30/8*4*12</f>
        <v>2200</v>
      </c>
      <c r="H2" t="s">
        <v>234</v>
      </c>
      <c r="I2" s="8">
        <v>41200</v>
      </c>
      <c r="J2" s="44">
        <f>I2/30/8*4*12</f>
        <v>8240</v>
      </c>
      <c r="K2" s="8">
        <f>'ANM2'!K1</f>
        <v>13000</v>
      </c>
      <c r="L2" s="107">
        <f t="shared" ref="L2:L7" si="1">K2/30/8*4*12</f>
        <v>2600</v>
      </c>
      <c r="O2" s="8">
        <v>45000</v>
      </c>
      <c r="P2" s="44">
        <f>O2/30/8*4*12</f>
        <v>9000</v>
      </c>
      <c r="Q2" s="8">
        <v>18500</v>
      </c>
      <c r="R2" s="107">
        <f>Q2/30/8*4*12</f>
        <v>3700</v>
      </c>
      <c r="U2" s="8">
        <v>47000</v>
      </c>
      <c r="V2" s="44">
        <f>U2/30/8*4*12</f>
        <v>9400</v>
      </c>
      <c r="W2" s="8">
        <v>21000</v>
      </c>
      <c r="X2" s="107">
        <f>W2/30/8*4*12</f>
        <v>4200</v>
      </c>
      <c r="AA2" s="8">
        <v>45000</v>
      </c>
      <c r="AB2" s="44">
        <f>AA2/30/8*4*12</f>
        <v>9000</v>
      </c>
      <c r="AC2" s="8">
        <v>11000</v>
      </c>
      <c r="AD2" s="107">
        <f>AC2/30/8*4*12</f>
        <v>2200</v>
      </c>
      <c r="AF2" s="8">
        <v>40000</v>
      </c>
      <c r="AG2" s="44">
        <f>AF2/30/8*4*12</f>
        <v>8000</v>
      </c>
      <c r="AH2" s="8">
        <v>13000</v>
      </c>
      <c r="AI2" s="107">
        <f>AH2/30/8*4*12</f>
        <v>2600</v>
      </c>
      <c r="AL2" s="8">
        <v>60000</v>
      </c>
      <c r="AM2" s="44">
        <f>AL2/30/8*4*12</f>
        <v>12000</v>
      </c>
      <c r="AN2" s="8">
        <v>18000</v>
      </c>
      <c r="AO2" s="44">
        <f>AN2/30/8*4*12</f>
        <v>3600</v>
      </c>
      <c r="AP2" s="8">
        <v>62000</v>
      </c>
      <c r="AQ2" s="44">
        <f>AP2/30/8*4*12</f>
        <v>12400</v>
      </c>
      <c r="AR2" s="8">
        <v>20000</v>
      </c>
      <c r="AS2" s="107">
        <f>AR2/30/8*4*12</f>
        <v>4000</v>
      </c>
    </row>
    <row r="3" spans="1:45" x14ac:dyDescent="0.35">
      <c r="B3" s="8">
        <v>40000</v>
      </c>
      <c r="C3" s="44">
        <f t="shared" ref="C3:C11" si="2">B3/30/8*4*12</f>
        <v>8000</v>
      </c>
      <c r="D3" s="8"/>
      <c r="E3" s="8">
        <f>'ANM2'!J2</f>
        <v>13000</v>
      </c>
      <c r="F3" s="107">
        <f t="shared" si="0"/>
        <v>2600</v>
      </c>
      <c r="I3" s="8">
        <v>41200</v>
      </c>
      <c r="J3" s="44">
        <f t="shared" ref="J3:J12" si="3">I3/30/8*4*12</f>
        <v>8240</v>
      </c>
      <c r="K3" s="8">
        <f>'ANM2'!K2</f>
        <v>15000</v>
      </c>
      <c r="L3" s="107">
        <f t="shared" si="1"/>
        <v>3000</v>
      </c>
      <c r="O3" s="8">
        <v>45000</v>
      </c>
      <c r="P3" s="44">
        <f t="shared" ref="P3:P17" si="4">O3/30/8*4*12</f>
        <v>9000</v>
      </c>
      <c r="Q3" s="8">
        <v>14100</v>
      </c>
      <c r="R3" s="107">
        <f t="shared" ref="R3:R11" si="5">Q3/30/8*4*12</f>
        <v>2820</v>
      </c>
      <c r="U3" s="8">
        <v>49395</v>
      </c>
      <c r="V3" s="44">
        <f t="shared" ref="V3:V16" si="6">U3/30/8*4*12</f>
        <v>9879</v>
      </c>
      <c r="W3" s="8">
        <v>18000</v>
      </c>
      <c r="X3" s="107">
        <f t="shared" ref="X3:X11" si="7">W3/30/8*4*12</f>
        <v>3600</v>
      </c>
      <c r="AA3" s="8">
        <v>65000</v>
      </c>
      <c r="AB3" s="44">
        <f>AA3/30/8*4*12</f>
        <v>13000</v>
      </c>
      <c r="AC3" s="8">
        <v>11000</v>
      </c>
      <c r="AD3" s="107">
        <f t="shared" ref="AD3:AD11" si="8">AC3/30/8*4*12</f>
        <v>2200</v>
      </c>
      <c r="AF3" s="8">
        <v>45000</v>
      </c>
      <c r="AG3" s="44">
        <f>AF3/30/8*4*12</f>
        <v>9000</v>
      </c>
      <c r="AH3" s="8">
        <v>12000</v>
      </c>
      <c r="AI3" s="107">
        <f t="shared" ref="AI3:AI8" si="9">AH3/30/8*4*12</f>
        <v>2400</v>
      </c>
      <c r="AL3" s="8">
        <v>60000</v>
      </c>
      <c r="AM3" s="44">
        <f t="shared" ref="AM3:AM10" si="10">AL3/30/8*4*12</f>
        <v>12000</v>
      </c>
      <c r="AN3" s="60">
        <v>11000</v>
      </c>
      <c r="AO3" s="44">
        <f t="shared" ref="AO3:AO8" si="11">AN3/30/8*4*12</f>
        <v>2200</v>
      </c>
      <c r="AP3" s="8">
        <v>62000</v>
      </c>
      <c r="AQ3" s="44">
        <f t="shared" ref="AQ3:AQ10" si="12">AP3/30/8*4*12</f>
        <v>12400</v>
      </c>
      <c r="AR3" s="8">
        <v>20000</v>
      </c>
      <c r="AS3" s="107">
        <f t="shared" ref="AS3:AS8" si="13">AR3/30/8*4*12</f>
        <v>4000</v>
      </c>
    </row>
    <row r="4" spans="1:45" x14ac:dyDescent="0.35">
      <c r="B4" s="8">
        <v>50000</v>
      </c>
      <c r="C4" s="44">
        <f t="shared" si="2"/>
        <v>10000</v>
      </c>
      <c r="D4" s="8"/>
      <c r="E4" s="8">
        <f>'ANM2'!J9</f>
        <v>13000</v>
      </c>
      <c r="F4" s="107">
        <f t="shared" si="0"/>
        <v>2600</v>
      </c>
      <c r="I4" s="8">
        <f>1500+B4</f>
        <v>51500</v>
      </c>
      <c r="J4" s="44">
        <f t="shared" si="3"/>
        <v>10300</v>
      </c>
      <c r="K4" s="8">
        <f>'ANM2'!J10</f>
        <v>18000</v>
      </c>
      <c r="L4" s="107">
        <f t="shared" si="1"/>
        <v>3600</v>
      </c>
      <c r="O4" s="8">
        <v>45000</v>
      </c>
      <c r="P4" s="44">
        <f t="shared" si="4"/>
        <v>9000</v>
      </c>
      <c r="Q4" s="8">
        <v>14100</v>
      </c>
      <c r="R4" s="107">
        <f t="shared" si="5"/>
        <v>2820</v>
      </c>
      <c r="U4" s="8">
        <v>47000</v>
      </c>
      <c r="V4" s="44">
        <f t="shared" si="6"/>
        <v>9400</v>
      </c>
      <c r="W4" s="8">
        <v>18000</v>
      </c>
      <c r="X4" s="107">
        <f t="shared" si="7"/>
        <v>3600</v>
      </c>
      <c r="AA4" s="8">
        <v>47000</v>
      </c>
      <c r="AB4" s="44">
        <f>AA4/30/8*4*12</f>
        <v>9400</v>
      </c>
      <c r="AC4" s="8">
        <v>11000</v>
      </c>
      <c r="AD4" s="107">
        <f t="shared" si="8"/>
        <v>2200</v>
      </c>
      <c r="AF4" s="8">
        <v>47000</v>
      </c>
      <c r="AG4" s="44">
        <f>AF4/30/8*4*12</f>
        <v>9400</v>
      </c>
      <c r="AH4" s="8">
        <v>12000</v>
      </c>
      <c r="AI4" s="107">
        <f t="shared" si="9"/>
        <v>2400</v>
      </c>
      <c r="AL4" s="8">
        <v>60000</v>
      </c>
      <c r="AM4" s="44">
        <f t="shared" si="10"/>
        <v>12000</v>
      </c>
      <c r="AN4" s="8">
        <v>11000</v>
      </c>
      <c r="AO4" s="44">
        <f t="shared" si="11"/>
        <v>2200</v>
      </c>
      <c r="AP4" s="8">
        <v>62000</v>
      </c>
      <c r="AQ4" s="44">
        <f t="shared" si="12"/>
        <v>12400</v>
      </c>
      <c r="AR4" s="8">
        <v>20000</v>
      </c>
      <c r="AS4" s="107">
        <f t="shared" si="13"/>
        <v>4000</v>
      </c>
    </row>
    <row r="5" spans="1:45" x14ac:dyDescent="0.35">
      <c r="B5" s="8">
        <v>47000</v>
      </c>
      <c r="C5" s="44">
        <f t="shared" si="2"/>
        <v>9400</v>
      </c>
      <c r="D5" s="8"/>
      <c r="E5" s="8">
        <v>14100</v>
      </c>
      <c r="F5" s="107">
        <f t="shared" si="0"/>
        <v>2820</v>
      </c>
      <c r="I5" s="8">
        <v>49395</v>
      </c>
      <c r="J5" s="44">
        <f t="shared" si="3"/>
        <v>9879</v>
      </c>
      <c r="K5" s="8">
        <v>20000</v>
      </c>
      <c r="L5" s="107">
        <f t="shared" si="1"/>
        <v>4000</v>
      </c>
      <c r="O5" s="8">
        <v>40000</v>
      </c>
      <c r="P5" s="44">
        <f t="shared" si="4"/>
        <v>8000</v>
      </c>
      <c r="Q5" s="8">
        <v>14100</v>
      </c>
      <c r="R5" s="107">
        <f t="shared" si="5"/>
        <v>2820</v>
      </c>
      <c r="U5" s="8">
        <v>42000</v>
      </c>
      <c r="V5" s="44">
        <f t="shared" si="6"/>
        <v>8400</v>
      </c>
      <c r="W5" s="8">
        <v>18000</v>
      </c>
      <c r="X5" s="107">
        <f t="shared" si="7"/>
        <v>3600</v>
      </c>
      <c r="AA5" s="8">
        <v>47000</v>
      </c>
      <c r="AB5" s="44">
        <f>AA5/30/8*4*12</f>
        <v>9400</v>
      </c>
      <c r="AC5" s="45">
        <v>11000</v>
      </c>
      <c r="AD5" s="107">
        <f t="shared" si="8"/>
        <v>2200</v>
      </c>
      <c r="AF5" s="8">
        <v>67000</v>
      </c>
      <c r="AG5" s="44">
        <f>AF5/30/8*4*12</f>
        <v>13400</v>
      </c>
      <c r="AH5" s="8">
        <v>20000</v>
      </c>
      <c r="AI5" s="107">
        <f t="shared" si="9"/>
        <v>4000</v>
      </c>
      <c r="AL5" s="8">
        <v>50000</v>
      </c>
      <c r="AM5" s="44">
        <f>AL5/30/8*4*12</f>
        <v>10000</v>
      </c>
      <c r="AN5" s="8">
        <v>18000</v>
      </c>
      <c r="AO5" s="44">
        <f t="shared" si="11"/>
        <v>3600</v>
      </c>
      <c r="AP5" s="8">
        <v>42000</v>
      </c>
      <c r="AQ5" s="44">
        <f t="shared" si="12"/>
        <v>8400</v>
      </c>
      <c r="AR5" s="8">
        <v>20000</v>
      </c>
      <c r="AS5" s="107">
        <f t="shared" si="13"/>
        <v>4000</v>
      </c>
    </row>
    <row r="6" spans="1:45" x14ac:dyDescent="0.35">
      <c r="B6" s="8">
        <v>47000</v>
      </c>
      <c r="C6" s="44">
        <f t="shared" si="2"/>
        <v>9400</v>
      </c>
      <c r="D6" s="8"/>
      <c r="E6" s="8">
        <v>14100</v>
      </c>
      <c r="F6" s="107">
        <f t="shared" si="0"/>
        <v>2820</v>
      </c>
      <c r="I6" s="8">
        <v>49395</v>
      </c>
      <c r="J6" s="44">
        <f t="shared" si="3"/>
        <v>9879</v>
      </c>
      <c r="K6" s="8">
        <v>18000</v>
      </c>
      <c r="L6" s="107">
        <f t="shared" si="1"/>
        <v>3600</v>
      </c>
      <c r="O6" s="8">
        <v>33000</v>
      </c>
      <c r="P6" s="44">
        <f t="shared" si="4"/>
        <v>6600</v>
      </c>
      <c r="Q6" s="8">
        <v>14100</v>
      </c>
      <c r="R6" s="107">
        <f t="shared" si="5"/>
        <v>2820</v>
      </c>
      <c r="U6" s="8">
        <v>35000</v>
      </c>
      <c r="V6" s="44">
        <f t="shared" si="6"/>
        <v>7000</v>
      </c>
      <c r="W6" s="8">
        <v>18000</v>
      </c>
      <c r="X6" s="107">
        <f t="shared" si="7"/>
        <v>3600</v>
      </c>
      <c r="AA6" s="8">
        <v>47000</v>
      </c>
      <c r="AB6" s="44">
        <f>AA6/30/8*4*12</f>
        <v>9400</v>
      </c>
      <c r="AC6" s="8">
        <v>14100</v>
      </c>
      <c r="AD6" s="107">
        <f t="shared" si="8"/>
        <v>2820</v>
      </c>
      <c r="AH6" s="117">
        <v>20000</v>
      </c>
      <c r="AI6" s="107">
        <f t="shared" si="9"/>
        <v>4000</v>
      </c>
      <c r="AL6" s="8">
        <v>40000</v>
      </c>
      <c r="AM6" s="44">
        <f t="shared" si="10"/>
        <v>8000</v>
      </c>
      <c r="AN6" s="8">
        <v>18000</v>
      </c>
      <c r="AO6" s="44">
        <f t="shared" si="11"/>
        <v>3600</v>
      </c>
      <c r="AP6" s="8">
        <v>52000</v>
      </c>
      <c r="AQ6" s="44">
        <f t="shared" si="12"/>
        <v>10400</v>
      </c>
      <c r="AR6" s="8">
        <v>20000</v>
      </c>
      <c r="AS6" s="107">
        <f t="shared" si="13"/>
        <v>4000</v>
      </c>
    </row>
    <row r="7" spans="1:45" x14ac:dyDescent="0.35">
      <c r="B7" s="8">
        <v>47000</v>
      </c>
      <c r="C7" s="44">
        <f t="shared" si="2"/>
        <v>9400</v>
      </c>
      <c r="D7" s="8"/>
      <c r="E7" s="8">
        <v>14100</v>
      </c>
      <c r="F7" s="107">
        <f t="shared" si="0"/>
        <v>2820</v>
      </c>
      <c r="I7" s="8">
        <v>49395</v>
      </c>
      <c r="J7" s="44">
        <f t="shared" si="3"/>
        <v>9879</v>
      </c>
      <c r="K7" s="8">
        <v>18000</v>
      </c>
      <c r="L7" s="107">
        <f t="shared" si="1"/>
        <v>3600</v>
      </c>
      <c r="O7" s="8">
        <v>43000</v>
      </c>
      <c r="P7" s="44">
        <f t="shared" si="4"/>
        <v>8600</v>
      </c>
      <c r="Q7" s="8">
        <v>14100</v>
      </c>
      <c r="R7" s="107">
        <f t="shared" si="5"/>
        <v>2820</v>
      </c>
      <c r="U7" s="8">
        <v>45000</v>
      </c>
      <c r="V7" s="44">
        <f t="shared" si="6"/>
        <v>9000</v>
      </c>
      <c r="W7" s="8">
        <v>18000</v>
      </c>
      <c r="X7" s="107">
        <f t="shared" si="7"/>
        <v>3600</v>
      </c>
      <c r="AC7" s="8">
        <v>14100</v>
      </c>
      <c r="AD7" s="107">
        <f t="shared" si="8"/>
        <v>2820</v>
      </c>
      <c r="AH7" s="117">
        <v>20000</v>
      </c>
      <c r="AI7" s="107">
        <f t="shared" si="9"/>
        <v>4000</v>
      </c>
      <c r="AL7" s="8">
        <v>50000</v>
      </c>
      <c r="AM7" s="44">
        <f t="shared" si="10"/>
        <v>10000</v>
      </c>
      <c r="AN7" s="8">
        <v>18000</v>
      </c>
      <c r="AO7" s="44">
        <f t="shared" si="11"/>
        <v>3600</v>
      </c>
      <c r="AP7" s="8">
        <v>52000</v>
      </c>
      <c r="AQ7" s="44">
        <f t="shared" si="12"/>
        <v>10400</v>
      </c>
      <c r="AR7" s="8">
        <v>20000</v>
      </c>
      <c r="AS7" s="107">
        <f t="shared" si="13"/>
        <v>4000</v>
      </c>
    </row>
    <row r="8" spans="1:45" x14ac:dyDescent="0.35">
      <c r="B8" s="8">
        <v>47000</v>
      </c>
      <c r="C8" s="44">
        <f t="shared" si="2"/>
        <v>9400</v>
      </c>
      <c r="I8" s="8">
        <v>49395</v>
      </c>
      <c r="J8" s="44">
        <f t="shared" si="3"/>
        <v>9879</v>
      </c>
      <c r="O8" s="8">
        <v>38000</v>
      </c>
      <c r="P8" s="44">
        <f t="shared" si="4"/>
        <v>7600</v>
      </c>
      <c r="Q8" s="8">
        <v>14100</v>
      </c>
      <c r="R8" s="107">
        <f t="shared" si="5"/>
        <v>2820</v>
      </c>
      <c r="U8" s="8">
        <v>49395</v>
      </c>
      <c r="V8" s="44">
        <f t="shared" si="6"/>
        <v>9879</v>
      </c>
      <c r="W8" s="8">
        <v>18000</v>
      </c>
      <c r="X8" s="107">
        <f t="shared" si="7"/>
        <v>3600</v>
      </c>
      <c r="AC8" s="8">
        <v>14100</v>
      </c>
      <c r="AD8" s="107">
        <f t="shared" si="8"/>
        <v>2820</v>
      </c>
      <c r="AH8" s="117">
        <v>18000</v>
      </c>
      <c r="AI8" s="107">
        <f t="shared" si="9"/>
        <v>3600</v>
      </c>
      <c r="AL8" s="8">
        <v>50000</v>
      </c>
      <c r="AM8" s="44">
        <f t="shared" si="10"/>
        <v>10000</v>
      </c>
      <c r="AN8" s="8">
        <v>18000</v>
      </c>
      <c r="AO8" s="44">
        <f t="shared" si="11"/>
        <v>3600</v>
      </c>
      <c r="AP8" s="8">
        <v>47000</v>
      </c>
      <c r="AQ8" s="44">
        <f t="shared" si="12"/>
        <v>9400</v>
      </c>
      <c r="AR8" s="8">
        <v>20000</v>
      </c>
      <c r="AS8" s="107">
        <f t="shared" si="13"/>
        <v>4000</v>
      </c>
    </row>
    <row r="9" spans="1:45" x14ac:dyDescent="0.35">
      <c r="B9" s="8">
        <v>47000</v>
      </c>
      <c r="C9" s="44">
        <f t="shared" si="2"/>
        <v>9400</v>
      </c>
      <c r="F9" s="107"/>
      <c r="I9" s="8">
        <v>49395</v>
      </c>
      <c r="J9" s="44">
        <f t="shared" si="3"/>
        <v>9879</v>
      </c>
      <c r="O9" s="8">
        <v>43000</v>
      </c>
      <c r="P9" s="44">
        <f t="shared" si="4"/>
        <v>8600</v>
      </c>
      <c r="Q9" s="8">
        <v>14100</v>
      </c>
      <c r="R9" s="107">
        <f t="shared" si="5"/>
        <v>2820</v>
      </c>
      <c r="U9" s="8">
        <v>49395</v>
      </c>
      <c r="V9" s="44">
        <f t="shared" si="6"/>
        <v>9879</v>
      </c>
      <c r="W9" s="8">
        <v>18000</v>
      </c>
      <c r="X9" s="107">
        <f t="shared" si="7"/>
        <v>3600</v>
      </c>
      <c r="AC9" s="8">
        <v>14100</v>
      </c>
      <c r="AD9" s="107">
        <f t="shared" si="8"/>
        <v>2820</v>
      </c>
      <c r="AL9" s="8">
        <v>45000</v>
      </c>
      <c r="AM9" s="44">
        <f t="shared" si="10"/>
        <v>9000</v>
      </c>
      <c r="AO9" s="8"/>
      <c r="AP9" s="8">
        <v>60000</v>
      </c>
      <c r="AQ9" s="44">
        <f t="shared" si="12"/>
        <v>12000</v>
      </c>
    </row>
    <row r="10" spans="1:45" x14ac:dyDescent="0.35">
      <c r="B10" s="8">
        <v>47000</v>
      </c>
      <c r="C10" s="44">
        <f t="shared" si="2"/>
        <v>9400</v>
      </c>
      <c r="I10" s="8">
        <v>49395</v>
      </c>
      <c r="J10" s="44">
        <f t="shared" si="3"/>
        <v>9879</v>
      </c>
      <c r="O10" s="8">
        <v>47000</v>
      </c>
      <c r="P10" s="44">
        <f t="shared" si="4"/>
        <v>9400</v>
      </c>
      <c r="Q10" s="8">
        <v>14100</v>
      </c>
      <c r="R10" s="107">
        <f t="shared" si="5"/>
        <v>2820</v>
      </c>
      <c r="U10" s="8">
        <v>49395</v>
      </c>
      <c r="V10" s="44">
        <f t="shared" si="6"/>
        <v>9879</v>
      </c>
      <c r="W10" s="8">
        <v>18000</v>
      </c>
      <c r="X10" s="107">
        <f t="shared" si="7"/>
        <v>3600</v>
      </c>
      <c r="AC10" s="8">
        <v>14100</v>
      </c>
      <c r="AD10" s="107">
        <f t="shared" si="8"/>
        <v>2820</v>
      </c>
      <c r="AL10" s="8">
        <v>56000</v>
      </c>
      <c r="AM10" s="44">
        <f t="shared" si="10"/>
        <v>11200</v>
      </c>
      <c r="AN10" s="8"/>
      <c r="AO10" s="8"/>
      <c r="AP10" s="8">
        <v>49395</v>
      </c>
      <c r="AQ10" s="120">
        <f t="shared" si="12"/>
        <v>9879</v>
      </c>
    </row>
    <row r="11" spans="1:45" x14ac:dyDescent="0.35">
      <c r="B11" s="8">
        <v>47000</v>
      </c>
      <c r="C11" s="44">
        <f t="shared" si="2"/>
        <v>9400</v>
      </c>
      <c r="I11" s="8">
        <v>49395</v>
      </c>
      <c r="J11" s="44">
        <f t="shared" si="3"/>
        <v>9879</v>
      </c>
      <c r="O11" s="8">
        <v>47000</v>
      </c>
      <c r="P11" s="44">
        <f t="shared" si="4"/>
        <v>9400</v>
      </c>
      <c r="Q11" s="8">
        <v>14100</v>
      </c>
      <c r="R11" s="107">
        <f t="shared" si="5"/>
        <v>2820</v>
      </c>
      <c r="U11" s="8">
        <v>49395</v>
      </c>
      <c r="V11" s="44">
        <f t="shared" si="6"/>
        <v>9879</v>
      </c>
      <c r="W11" s="8">
        <v>18000</v>
      </c>
      <c r="X11" s="107">
        <f t="shared" si="7"/>
        <v>3600</v>
      </c>
      <c r="AC11" s="8">
        <v>14100</v>
      </c>
      <c r="AD11" s="107">
        <f t="shared" si="8"/>
        <v>2820</v>
      </c>
    </row>
    <row r="12" spans="1:45" x14ac:dyDescent="0.35">
      <c r="I12" s="8">
        <v>49395</v>
      </c>
      <c r="J12" s="44">
        <f t="shared" si="3"/>
        <v>9879</v>
      </c>
      <c r="O12" s="8">
        <v>47000</v>
      </c>
      <c r="P12" s="44">
        <f t="shared" si="4"/>
        <v>9400</v>
      </c>
      <c r="U12" s="8">
        <v>49395</v>
      </c>
      <c r="V12" s="44">
        <f t="shared" si="6"/>
        <v>9879</v>
      </c>
    </row>
    <row r="13" spans="1:45" x14ac:dyDescent="0.35">
      <c r="C13" s="107">
        <f>SUM(C2:C11)</f>
        <v>91800</v>
      </c>
      <c r="F13" s="107">
        <f>SUM(F2:F7)</f>
        <v>15860</v>
      </c>
      <c r="O13" s="8">
        <v>47000</v>
      </c>
      <c r="P13" s="44">
        <f t="shared" si="4"/>
        <v>9400</v>
      </c>
      <c r="U13" s="8">
        <v>49395</v>
      </c>
      <c r="V13" s="44">
        <f t="shared" si="6"/>
        <v>9879</v>
      </c>
    </row>
    <row r="14" spans="1:45" x14ac:dyDescent="0.35">
      <c r="J14" s="107">
        <f>SUM(J2:J12)</f>
        <v>105812</v>
      </c>
      <c r="L14" s="107">
        <f>SUM(L2:L7)</f>
        <v>20400</v>
      </c>
      <c r="O14" s="8">
        <v>47000</v>
      </c>
      <c r="P14" s="44">
        <f t="shared" si="4"/>
        <v>9400</v>
      </c>
      <c r="U14" s="8">
        <v>49395</v>
      </c>
      <c r="V14" s="44">
        <f t="shared" si="6"/>
        <v>9879</v>
      </c>
    </row>
    <row r="15" spans="1:45" x14ac:dyDescent="0.35">
      <c r="O15" s="8">
        <v>47000</v>
      </c>
      <c r="P15" s="44">
        <f t="shared" si="4"/>
        <v>9400</v>
      </c>
      <c r="U15" s="8">
        <v>49395</v>
      </c>
      <c r="V15" s="44">
        <f t="shared" si="6"/>
        <v>9879</v>
      </c>
    </row>
    <row r="16" spans="1:45" x14ac:dyDescent="0.35">
      <c r="O16" s="8">
        <v>47000</v>
      </c>
      <c r="P16" s="44">
        <f t="shared" si="4"/>
        <v>9400</v>
      </c>
      <c r="U16" s="8">
        <v>49395</v>
      </c>
      <c r="V16" s="44">
        <f t="shared" si="6"/>
        <v>9879</v>
      </c>
    </row>
    <row r="17" spans="1:45" x14ac:dyDescent="0.35">
      <c r="O17" s="8">
        <v>47000</v>
      </c>
      <c r="P17" s="44">
        <f t="shared" si="4"/>
        <v>9400</v>
      </c>
    </row>
    <row r="18" spans="1:45" x14ac:dyDescent="0.35">
      <c r="V18" s="107">
        <f>SUM(V2:V16)</f>
        <v>141990</v>
      </c>
      <c r="X18" s="107">
        <f>SUM(X2:X11)</f>
        <v>36600</v>
      </c>
      <c r="AB18" s="107">
        <f>SUM(AB2:AB6)</f>
        <v>50200</v>
      </c>
      <c r="AD18" s="107">
        <f>SUM(AD2:AD11)</f>
        <v>25720</v>
      </c>
      <c r="AG18" s="107">
        <f>SUM(AG2:AG5)</f>
        <v>39800</v>
      </c>
      <c r="AI18" s="107">
        <f>SUM(AI2:AI8)</f>
        <v>23000</v>
      </c>
      <c r="AM18" s="107">
        <f>SUM(AM2:AM10)</f>
        <v>94200</v>
      </c>
      <c r="AO18" s="107">
        <f>SUM(AO2:AO8)</f>
        <v>22400</v>
      </c>
      <c r="AQ18" s="107">
        <f>SUM(AQ2:AQ10)</f>
        <v>97679</v>
      </c>
      <c r="AS18" s="107">
        <f>SUM(AS2:AS8)</f>
        <v>28000</v>
      </c>
    </row>
    <row r="19" spans="1:45" x14ac:dyDescent="0.35">
      <c r="A19" t="s">
        <v>232</v>
      </c>
      <c r="D19" t="s">
        <v>234</v>
      </c>
      <c r="P19" s="107">
        <f>SUM(P2:P17)</f>
        <v>141600</v>
      </c>
      <c r="R19" s="107">
        <f>SUM(R2:R11)</f>
        <v>29080</v>
      </c>
    </row>
    <row r="20" spans="1:45" x14ac:dyDescent="0.35">
      <c r="A20" t="s">
        <v>78</v>
      </c>
      <c r="B20">
        <v>141600</v>
      </c>
      <c r="D20" t="s">
        <v>78</v>
      </c>
      <c r="E20">
        <v>141990</v>
      </c>
    </row>
    <row r="21" spans="1:45" x14ac:dyDescent="0.35">
      <c r="B21">
        <v>29080</v>
      </c>
      <c r="E21">
        <v>36600</v>
      </c>
    </row>
    <row r="22" spans="1:45" x14ac:dyDescent="0.35">
      <c r="A22" t="s">
        <v>79</v>
      </c>
      <c r="B22">
        <v>94200</v>
      </c>
      <c r="D22" t="s">
        <v>79</v>
      </c>
      <c r="E22">
        <v>97679</v>
      </c>
    </row>
    <row r="23" spans="1:45" x14ac:dyDescent="0.35">
      <c r="B23">
        <v>22400</v>
      </c>
      <c r="E23">
        <v>28000</v>
      </c>
    </row>
    <row r="24" spans="1:45" x14ac:dyDescent="0.35">
      <c r="A24" t="s">
        <v>81</v>
      </c>
      <c r="B24">
        <v>91800</v>
      </c>
      <c r="D24" t="s">
        <v>81</v>
      </c>
      <c r="E24">
        <v>105812</v>
      </c>
    </row>
    <row r="25" spans="1:45" x14ac:dyDescent="0.35">
      <c r="B25">
        <v>15860</v>
      </c>
      <c r="E25">
        <v>20400</v>
      </c>
    </row>
    <row r="26" spans="1:45" x14ac:dyDescent="0.35">
      <c r="A26" t="s">
        <v>80</v>
      </c>
      <c r="B26">
        <v>50200</v>
      </c>
      <c r="D26" t="s">
        <v>80</v>
      </c>
      <c r="E26">
        <v>39800</v>
      </c>
    </row>
    <row r="27" spans="1:45" x14ac:dyDescent="0.35">
      <c r="B27">
        <v>25720</v>
      </c>
      <c r="E27">
        <v>23000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H9" sqref="H9"/>
    </sheetView>
  </sheetViews>
  <sheetFormatPr defaultRowHeight="14.5" x14ac:dyDescent="0.35"/>
  <cols>
    <col min="1" max="1" width="13.26953125" customWidth="1"/>
  </cols>
  <sheetData>
    <row r="1" spans="1:7" x14ac:dyDescent="0.35">
      <c r="A1" s="45" t="s">
        <v>83</v>
      </c>
      <c r="B1" s="45" t="s">
        <v>171</v>
      </c>
      <c r="C1" s="39"/>
    </row>
    <row r="2" spans="1:7" x14ac:dyDescent="0.35">
      <c r="A2" s="43" t="s">
        <v>71</v>
      </c>
      <c r="B2" s="43">
        <v>2</v>
      </c>
      <c r="D2" s="46" t="s">
        <v>78</v>
      </c>
      <c r="E2" s="47" t="s">
        <v>79</v>
      </c>
      <c r="F2" s="48" t="s">
        <v>80</v>
      </c>
      <c r="G2" s="49" t="s">
        <v>81</v>
      </c>
    </row>
    <row r="3" spans="1:7" x14ac:dyDescent="0.35">
      <c r="A3" s="43" t="s">
        <v>72</v>
      </c>
      <c r="B3" s="43">
        <v>2</v>
      </c>
      <c r="D3" s="50">
        <v>4</v>
      </c>
      <c r="E3" s="50">
        <f>B6+B7</f>
        <v>3</v>
      </c>
      <c r="F3" s="50">
        <v>5</v>
      </c>
      <c r="G3" s="50">
        <v>2</v>
      </c>
    </row>
    <row r="4" spans="1:7" x14ac:dyDescent="0.35">
      <c r="A4" s="44" t="s">
        <v>73</v>
      </c>
      <c r="B4" s="44">
        <v>3</v>
      </c>
    </row>
    <row r="5" spans="1:7" x14ac:dyDescent="0.35">
      <c r="A5" s="44" t="s">
        <v>74</v>
      </c>
      <c r="B5" s="44">
        <v>2</v>
      </c>
    </row>
    <row r="6" spans="1:7" x14ac:dyDescent="0.35">
      <c r="A6" s="42" t="s">
        <v>75</v>
      </c>
      <c r="B6" s="42">
        <v>1</v>
      </c>
    </row>
    <row r="7" spans="1:7" x14ac:dyDescent="0.35">
      <c r="A7" s="42" t="s">
        <v>82</v>
      </c>
      <c r="B7" s="42">
        <v>2</v>
      </c>
    </row>
    <row r="8" spans="1:7" x14ac:dyDescent="0.35">
      <c r="A8" s="41" t="s">
        <v>76</v>
      </c>
      <c r="B8" s="41">
        <v>1</v>
      </c>
    </row>
    <row r="9" spans="1:7" x14ac:dyDescent="0.35">
      <c r="A9" s="41" t="s">
        <v>77</v>
      </c>
      <c r="B9" s="41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9"/>
  <sheetViews>
    <sheetView topLeftCell="A14" workbookViewId="0">
      <selection activeCell="A13" sqref="A13:I19"/>
    </sheetView>
  </sheetViews>
  <sheetFormatPr defaultRowHeight="14.5" x14ac:dyDescent="0.35"/>
  <sheetData>
    <row r="13" spans="1:9" x14ac:dyDescent="0.35">
      <c r="A13" s="73" t="s">
        <v>172</v>
      </c>
      <c r="B13" s="211" t="s">
        <v>173</v>
      </c>
      <c r="C13" s="211"/>
      <c r="D13" s="211"/>
      <c r="E13" s="211"/>
      <c r="F13" s="211" t="s">
        <v>174</v>
      </c>
      <c r="G13" s="211"/>
      <c r="H13" s="211"/>
      <c r="I13" s="211"/>
    </row>
    <row r="14" spans="1:9" x14ac:dyDescent="0.35">
      <c r="A14" s="73"/>
      <c r="B14" s="211" t="s">
        <v>61</v>
      </c>
      <c r="C14" s="211"/>
      <c r="D14" s="211"/>
      <c r="E14" s="211"/>
      <c r="F14" s="211" t="s">
        <v>61</v>
      </c>
      <c r="G14" s="211"/>
      <c r="H14" s="211"/>
      <c r="I14" s="211"/>
    </row>
    <row r="15" spans="1:9" ht="28" x14ac:dyDescent="0.35">
      <c r="A15" s="8"/>
      <c r="B15" s="73" t="s">
        <v>58</v>
      </c>
      <c r="C15" s="73" t="s">
        <v>60</v>
      </c>
      <c r="D15" s="73" t="s">
        <v>59</v>
      </c>
      <c r="E15" s="73" t="s">
        <v>61</v>
      </c>
      <c r="F15" s="73" t="s">
        <v>58</v>
      </c>
      <c r="G15" s="73" t="s">
        <v>60</v>
      </c>
      <c r="H15" s="73" t="s">
        <v>59</v>
      </c>
      <c r="I15" s="73" t="s">
        <v>61</v>
      </c>
    </row>
    <row r="16" spans="1:9" ht="140" x14ac:dyDescent="0.35">
      <c r="A16" s="73" t="s">
        <v>175</v>
      </c>
      <c r="B16" s="69">
        <v>3345</v>
      </c>
      <c r="C16" s="74"/>
      <c r="D16" s="74">
        <v>2562</v>
      </c>
      <c r="E16" s="74">
        <v>1321</v>
      </c>
      <c r="F16" s="69">
        <v>3345</v>
      </c>
      <c r="G16" s="74"/>
      <c r="H16" s="74">
        <v>2562</v>
      </c>
      <c r="I16" s="74">
        <v>1321</v>
      </c>
    </row>
    <row r="17" spans="1:9" ht="112" x14ac:dyDescent="0.35">
      <c r="A17" s="73" t="s">
        <v>176</v>
      </c>
      <c r="B17" s="69">
        <v>204</v>
      </c>
      <c r="C17" s="69">
        <v>156</v>
      </c>
      <c r="D17" s="69">
        <v>378</v>
      </c>
      <c r="E17" s="69">
        <v>160</v>
      </c>
      <c r="F17" s="69">
        <v>204</v>
      </c>
      <c r="G17" s="69">
        <v>156</v>
      </c>
      <c r="H17" s="69">
        <v>378</v>
      </c>
      <c r="I17" s="69">
        <v>160</v>
      </c>
    </row>
    <row r="18" spans="1:9" ht="112" x14ac:dyDescent="0.35">
      <c r="A18" s="73" t="s">
        <v>177</v>
      </c>
      <c r="B18" s="69"/>
      <c r="C18" s="69"/>
      <c r="D18" s="69"/>
      <c r="E18" s="69"/>
      <c r="F18" s="69"/>
      <c r="G18" s="69"/>
      <c r="H18" s="69"/>
      <c r="I18" s="69"/>
    </row>
    <row r="19" spans="1:9" x14ac:dyDescent="0.35">
      <c r="A19" s="73" t="s">
        <v>178</v>
      </c>
      <c r="B19" s="8">
        <v>0</v>
      </c>
      <c r="C19" s="8">
        <v>0</v>
      </c>
      <c r="D19" s="86">
        <v>34400</v>
      </c>
      <c r="E19" s="86">
        <v>24940</v>
      </c>
      <c r="F19" s="87">
        <v>91800</v>
      </c>
      <c r="G19" s="45">
        <v>46800</v>
      </c>
      <c r="H19" s="88">
        <v>166000</v>
      </c>
      <c r="I19" s="8">
        <v>72900</v>
      </c>
    </row>
  </sheetData>
  <mergeCells count="4">
    <mergeCell ref="B14:E14"/>
    <mergeCell ref="F14:I14"/>
    <mergeCell ref="B13:E13"/>
    <mergeCell ref="F13:I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S10" sqref="S10"/>
    </sheetView>
  </sheetViews>
  <sheetFormatPr defaultRowHeight="14.5" x14ac:dyDescent="0.35"/>
  <cols>
    <col min="3" max="3" width="11.7265625" customWidth="1"/>
    <col min="4" max="4" width="18.1796875" customWidth="1"/>
    <col min="5" max="5" width="10.7265625" customWidth="1"/>
    <col min="6" max="6" width="10.81640625" customWidth="1"/>
  </cols>
  <sheetData>
    <row r="1" spans="1:16" x14ac:dyDescent="0.35">
      <c r="A1" s="230" t="s">
        <v>232</v>
      </c>
      <c r="B1" s="230"/>
      <c r="C1" s="230"/>
      <c r="D1" s="230"/>
      <c r="E1" s="230"/>
      <c r="F1" s="230"/>
      <c r="I1" t="s">
        <v>232</v>
      </c>
    </row>
    <row r="2" spans="1:16" x14ac:dyDescent="0.35">
      <c r="B2" t="s">
        <v>7</v>
      </c>
      <c r="C2" t="s">
        <v>186</v>
      </c>
      <c r="D2" t="s">
        <v>187</v>
      </c>
      <c r="E2" t="s">
        <v>188</v>
      </c>
      <c r="F2" t="s">
        <v>189</v>
      </c>
      <c r="I2" t="s">
        <v>250</v>
      </c>
      <c r="J2" t="s">
        <v>263</v>
      </c>
      <c r="K2" t="s">
        <v>59</v>
      </c>
      <c r="L2" t="str">
        <f>J2</f>
        <v>app</v>
      </c>
      <c r="M2" t="s">
        <v>267</v>
      </c>
      <c r="N2" t="str">
        <f>L2</f>
        <v>app</v>
      </c>
      <c r="O2" t="s">
        <v>185</v>
      </c>
      <c r="P2" t="str">
        <f>N2</f>
        <v>app</v>
      </c>
    </row>
    <row r="3" spans="1:16" x14ac:dyDescent="0.35">
      <c r="A3" t="s">
        <v>184</v>
      </c>
      <c r="B3">
        <v>4</v>
      </c>
      <c r="C3">
        <v>64400</v>
      </c>
      <c r="D3">
        <v>64400</v>
      </c>
      <c r="E3">
        <v>64400</v>
      </c>
      <c r="F3">
        <v>64400</v>
      </c>
      <c r="I3">
        <v>64400</v>
      </c>
      <c r="J3">
        <f>I3/30/8*12</f>
        <v>3220</v>
      </c>
      <c r="K3">
        <v>60000</v>
      </c>
      <c r="L3">
        <f>K3/30/8*4*12</f>
        <v>12000</v>
      </c>
      <c r="M3">
        <v>85000</v>
      </c>
      <c r="N3">
        <f>M3/30/8*4*12</f>
        <v>17000</v>
      </c>
      <c r="O3">
        <v>65000</v>
      </c>
      <c r="P3">
        <f>O3/30/8*12</f>
        <v>3250</v>
      </c>
    </row>
    <row r="4" spans="1:16" x14ac:dyDescent="0.35">
      <c r="A4" t="s">
        <v>59</v>
      </c>
      <c r="B4">
        <v>4</v>
      </c>
      <c r="C4">
        <v>60000</v>
      </c>
      <c r="D4">
        <v>64400</v>
      </c>
      <c r="E4">
        <v>64400</v>
      </c>
      <c r="F4">
        <v>64400</v>
      </c>
      <c r="I4">
        <v>64400</v>
      </c>
      <c r="J4">
        <f>I4/30/8*12</f>
        <v>3220</v>
      </c>
      <c r="K4">
        <v>64400</v>
      </c>
      <c r="L4">
        <f>K4/30/8*4*12</f>
        <v>12880</v>
      </c>
      <c r="M4">
        <v>56000</v>
      </c>
      <c r="N4">
        <f>M4/30/8*4*12</f>
        <v>11200</v>
      </c>
      <c r="O4">
        <v>64400</v>
      </c>
      <c r="P4">
        <f>O4/30/8*12</f>
        <v>3220</v>
      </c>
    </row>
    <row r="5" spans="1:16" x14ac:dyDescent="0.35">
      <c r="A5" t="s">
        <v>61</v>
      </c>
      <c r="B5">
        <v>3</v>
      </c>
      <c r="C5">
        <v>85000</v>
      </c>
      <c r="D5">
        <v>56000</v>
      </c>
      <c r="E5">
        <v>56000</v>
      </c>
      <c r="I5">
        <v>64400</v>
      </c>
      <c r="J5">
        <f>I5/30/8*12</f>
        <v>3220</v>
      </c>
      <c r="K5">
        <v>64400</v>
      </c>
      <c r="L5">
        <f>K5/30/8*4*12</f>
        <v>12880</v>
      </c>
      <c r="M5">
        <v>56000</v>
      </c>
      <c r="N5">
        <f>M5/30/8*4*12</f>
        <v>11200</v>
      </c>
    </row>
    <row r="6" spans="1:16" x14ac:dyDescent="0.35">
      <c r="A6" t="s">
        <v>185</v>
      </c>
      <c r="B6">
        <v>2</v>
      </c>
      <c r="C6">
        <v>65000</v>
      </c>
      <c r="D6">
        <v>64400</v>
      </c>
      <c r="I6">
        <v>64400</v>
      </c>
      <c r="J6">
        <f>I6/30/8*12</f>
        <v>3220</v>
      </c>
      <c r="K6">
        <v>64400</v>
      </c>
      <c r="L6">
        <f>K6/30/8*4*12</f>
        <v>12880</v>
      </c>
    </row>
    <row r="7" spans="1:16" x14ac:dyDescent="0.35">
      <c r="H7" s="122" t="s">
        <v>9</v>
      </c>
      <c r="J7" s="107">
        <f>SUM(J3:J6)</f>
        <v>12880</v>
      </c>
      <c r="L7" s="107">
        <f>SUM(L3:L6)</f>
        <v>50640</v>
      </c>
      <c r="N7" s="107">
        <f>SUM(N3:N5)</f>
        <v>39400</v>
      </c>
      <c r="P7" s="107">
        <f>SUM(P3:P4)</f>
        <v>6470</v>
      </c>
    </row>
    <row r="10" spans="1:16" x14ac:dyDescent="0.35">
      <c r="B10" t="s">
        <v>265</v>
      </c>
      <c r="C10">
        <v>64400</v>
      </c>
    </row>
    <row r="11" spans="1:16" x14ac:dyDescent="0.35">
      <c r="A11" s="230" t="s">
        <v>234</v>
      </c>
      <c r="B11" s="230"/>
      <c r="C11" s="230"/>
      <c r="D11" s="230"/>
      <c r="E11" s="230"/>
      <c r="F11" s="230"/>
      <c r="I11" t="s">
        <v>268</v>
      </c>
    </row>
    <row r="12" spans="1:16" x14ac:dyDescent="0.35">
      <c r="B12" t="s">
        <v>7</v>
      </c>
      <c r="C12" t="s">
        <v>186</v>
      </c>
      <c r="D12" t="s">
        <v>187</v>
      </c>
      <c r="E12" t="s">
        <v>188</v>
      </c>
      <c r="F12" t="s">
        <v>189</v>
      </c>
      <c r="I12" t="s">
        <v>250</v>
      </c>
      <c r="J12" s="107" t="s">
        <v>263</v>
      </c>
      <c r="K12" t="s">
        <v>59</v>
      </c>
      <c r="L12" s="107" t="s">
        <v>263</v>
      </c>
      <c r="M12" t="s">
        <v>267</v>
      </c>
      <c r="N12" s="107" t="s">
        <v>263</v>
      </c>
      <c r="O12" t="s">
        <v>185</v>
      </c>
      <c r="P12" s="107" t="s">
        <v>263</v>
      </c>
    </row>
    <row r="13" spans="1:16" x14ac:dyDescent="0.35">
      <c r="A13" t="s">
        <v>184</v>
      </c>
      <c r="B13">
        <v>4</v>
      </c>
      <c r="C13">
        <v>68950</v>
      </c>
      <c r="D13">
        <v>68950</v>
      </c>
      <c r="E13">
        <v>68950</v>
      </c>
      <c r="F13">
        <v>68950</v>
      </c>
      <c r="I13">
        <v>68950</v>
      </c>
      <c r="J13" s="107">
        <f>I13/30/8*4*12</f>
        <v>13790</v>
      </c>
      <c r="K13">
        <v>61800</v>
      </c>
      <c r="L13" s="107">
        <f>K13/30/8*4*12</f>
        <v>12360</v>
      </c>
      <c r="M13">
        <v>72000</v>
      </c>
      <c r="N13" s="107">
        <f>M13/30/8*4*12</f>
        <v>14400</v>
      </c>
      <c r="O13">
        <v>70000</v>
      </c>
      <c r="P13" s="107">
        <f>O13/30/8*4*12</f>
        <v>14000</v>
      </c>
    </row>
    <row r="14" spans="1:16" x14ac:dyDescent="0.35">
      <c r="A14" t="s">
        <v>59</v>
      </c>
      <c r="B14">
        <v>4</v>
      </c>
      <c r="C14">
        <v>61800</v>
      </c>
      <c r="D14">
        <v>68950</v>
      </c>
      <c r="E14">
        <v>68950</v>
      </c>
      <c r="F14">
        <v>68950</v>
      </c>
      <c r="I14">
        <v>68950</v>
      </c>
      <c r="J14" s="107">
        <f>I14/30/8*4*12</f>
        <v>13790</v>
      </c>
      <c r="K14">
        <v>68950</v>
      </c>
      <c r="L14" s="107">
        <f>K14/30/8*4*12</f>
        <v>13790</v>
      </c>
      <c r="M14">
        <v>72000</v>
      </c>
      <c r="N14" s="107">
        <f>M14/30/8*4*12</f>
        <v>14400</v>
      </c>
      <c r="O14">
        <v>68950</v>
      </c>
      <c r="P14" s="107">
        <f>O14/30/8*4*12</f>
        <v>13790</v>
      </c>
    </row>
    <row r="15" spans="1:16" x14ac:dyDescent="0.35">
      <c r="A15" t="s">
        <v>61</v>
      </c>
      <c r="B15">
        <v>4</v>
      </c>
      <c r="C15">
        <v>72000</v>
      </c>
      <c r="D15">
        <v>72000</v>
      </c>
      <c r="E15">
        <v>68950</v>
      </c>
      <c r="F15">
        <v>68950</v>
      </c>
      <c r="I15">
        <v>68950</v>
      </c>
      <c r="J15" s="107">
        <f>I15/30/8*4*12</f>
        <v>13790</v>
      </c>
      <c r="K15">
        <v>68950</v>
      </c>
      <c r="L15" s="107">
        <f>K15/30/8*4*12</f>
        <v>13790</v>
      </c>
      <c r="M15">
        <v>68950</v>
      </c>
      <c r="N15" s="107">
        <f>M15/30/8*4*12</f>
        <v>13790</v>
      </c>
    </row>
    <row r="16" spans="1:16" x14ac:dyDescent="0.35">
      <c r="A16" t="s">
        <v>185</v>
      </c>
      <c r="B16">
        <v>2</v>
      </c>
      <c r="C16">
        <v>70000</v>
      </c>
      <c r="D16">
        <v>68950</v>
      </c>
      <c r="I16">
        <v>68950</v>
      </c>
      <c r="J16" s="107">
        <f>I16/30/8*4*12</f>
        <v>13790</v>
      </c>
      <c r="K16">
        <v>68950</v>
      </c>
      <c r="L16" s="107">
        <f>K16/30/8*4*12</f>
        <v>13790</v>
      </c>
      <c r="M16">
        <v>68950</v>
      </c>
      <c r="N16" s="107">
        <f>M16/30/8*4*12</f>
        <v>13790</v>
      </c>
    </row>
    <row r="18" spans="2:16" x14ac:dyDescent="0.35">
      <c r="B18" t="s">
        <v>266</v>
      </c>
      <c r="C18">
        <v>68950</v>
      </c>
      <c r="H18" s="122" t="s">
        <v>9</v>
      </c>
      <c r="J18" s="107">
        <f>SUM(J13:J16)</f>
        <v>55160</v>
      </c>
      <c r="L18" s="107">
        <f>SUM(L13:L16)</f>
        <v>53730</v>
      </c>
      <c r="N18" s="107">
        <f>SUM(N13:N16)</f>
        <v>56380</v>
      </c>
      <c r="P18" s="107">
        <f>SUM(P13:P14)</f>
        <v>27790</v>
      </c>
    </row>
  </sheetData>
  <mergeCells count="2">
    <mergeCell ref="A1:F1"/>
    <mergeCell ref="A11:F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topLeftCell="AB1" zoomScale="93" zoomScaleNormal="93" workbookViewId="0">
      <selection activeCell="AG8" sqref="AG8"/>
    </sheetView>
  </sheetViews>
  <sheetFormatPr defaultRowHeight="14.5" x14ac:dyDescent="0.35"/>
  <cols>
    <col min="2" max="2" width="20.26953125" customWidth="1"/>
    <col min="3" max="3" width="16" customWidth="1"/>
    <col min="4" max="4" width="15.54296875" customWidth="1"/>
    <col min="5" max="5" width="12" customWidth="1"/>
    <col min="6" max="6" width="10.81640625" customWidth="1"/>
    <col min="7" max="7" width="11.54296875" customWidth="1"/>
    <col min="8" max="8" width="13.1796875" customWidth="1"/>
    <col min="9" max="17" width="13.26953125" customWidth="1"/>
    <col min="18" max="18" width="15.54296875" customWidth="1"/>
    <col min="19" max="19" width="13.26953125" customWidth="1"/>
    <col min="20" max="20" width="15.81640625" customWidth="1"/>
    <col min="21" max="21" width="13.26953125" customWidth="1"/>
    <col min="22" max="22" width="38.1796875" customWidth="1"/>
    <col min="25" max="25" width="19.54296875" customWidth="1"/>
    <col min="26" max="26" width="11.26953125" customWidth="1"/>
    <col min="27" max="27" width="16.81640625" customWidth="1"/>
    <col min="34" max="34" width="12.26953125" customWidth="1"/>
    <col min="35" max="35" width="11.81640625" customWidth="1"/>
    <col min="37" max="37" width="11.81640625" customWidth="1"/>
    <col min="38" max="38" width="15.7265625" customWidth="1"/>
    <col min="42" max="42" width="13" customWidth="1"/>
    <col min="43" max="43" width="12.453125" customWidth="1"/>
  </cols>
  <sheetData>
    <row r="1" spans="1:45" ht="15" customHeight="1" x14ac:dyDescent="0.35">
      <c r="A1" s="147" t="s">
        <v>55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9"/>
      <c r="X1" s="123" t="s">
        <v>56</v>
      </c>
      <c r="Y1" s="124"/>
      <c r="Z1" s="124"/>
      <c r="AA1" s="124"/>
      <c r="AB1" s="124"/>
    </row>
    <row r="2" spans="1:45" x14ac:dyDescent="0.35">
      <c r="A2" s="152" t="s">
        <v>3</v>
      </c>
      <c r="B2" s="152" t="s">
        <v>4</v>
      </c>
      <c r="C2" s="155" t="s">
        <v>5</v>
      </c>
      <c r="D2" s="155" t="s">
        <v>162</v>
      </c>
      <c r="E2" s="179" t="s">
        <v>6</v>
      </c>
      <c r="F2" s="16"/>
      <c r="G2" s="178" t="s">
        <v>1</v>
      </c>
      <c r="H2" s="181" t="s">
        <v>2</v>
      </c>
      <c r="I2" s="175" t="s">
        <v>12</v>
      </c>
      <c r="J2" s="182" t="s">
        <v>195</v>
      </c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173" t="s">
        <v>10</v>
      </c>
      <c r="X2" s="152" t="s">
        <v>3</v>
      </c>
      <c r="Y2" s="152" t="s">
        <v>4</v>
      </c>
      <c r="Z2" s="155" t="s">
        <v>5</v>
      </c>
      <c r="AA2" s="155" t="s">
        <v>11</v>
      </c>
      <c r="AB2" s="179" t="s">
        <v>6</v>
      </c>
      <c r="AC2" s="16"/>
      <c r="AD2" s="178" t="s">
        <v>1</v>
      </c>
      <c r="AE2" s="181" t="s">
        <v>2</v>
      </c>
      <c r="AF2" s="175" t="s">
        <v>12</v>
      </c>
      <c r="AG2" s="182" t="s">
        <v>195</v>
      </c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173" t="s">
        <v>10</v>
      </c>
    </row>
    <row r="3" spans="1:45" ht="64.5" customHeight="1" x14ac:dyDescent="0.35">
      <c r="A3" s="177"/>
      <c r="B3" s="177"/>
      <c r="C3" s="178"/>
      <c r="D3" s="178"/>
      <c r="E3" s="180"/>
      <c r="F3" s="17" t="s">
        <v>0</v>
      </c>
      <c r="G3" s="178"/>
      <c r="H3" s="181"/>
      <c r="I3" s="176"/>
      <c r="J3" s="183"/>
      <c r="K3" s="81" t="s">
        <v>190</v>
      </c>
      <c r="L3" s="81" t="s">
        <v>196</v>
      </c>
      <c r="M3" s="81" t="s">
        <v>201</v>
      </c>
      <c r="N3" s="81" t="s">
        <v>202</v>
      </c>
      <c r="O3" s="81" t="s">
        <v>203</v>
      </c>
      <c r="P3" s="81" t="s">
        <v>85</v>
      </c>
      <c r="Q3" s="81" t="s">
        <v>200</v>
      </c>
      <c r="R3" s="81" t="s">
        <v>197</v>
      </c>
      <c r="S3" s="81" t="s">
        <v>198</v>
      </c>
      <c r="T3" s="81" t="s">
        <v>199</v>
      </c>
      <c r="U3" s="81" t="s">
        <v>228</v>
      </c>
      <c r="V3" s="174"/>
      <c r="X3" s="177"/>
      <c r="Y3" s="177"/>
      <c r="Z3" s="178"/>
      <c r="AA3" s="178"/>
      <c r="AB3" s="180"/>
      <c r="AC3" s="17" t="s">
        <v>0</v>
      </c>
      <c r="AD3" s="178"/>
      <c r="AE3" s="181"/>
      <c r="AF3" s="176"/>
      <c r="AG3" s="183"/>
      <c r="AH3" s="81" t="s">
        <v>190</v>
      </c>
      <c r="AI3" s="81" t="s">
        <v>196</v>
      </c>
      <c r="AJ3" s="81" t="s">
        <v>201</v>
      </c>
      <c r="AK3" s="81" t="s">
        <v>202</v>
      </c>
      <c r="AL3" s="81" t="s">
        <v>203</v>
      </c>
      <c r="AM3" s="81" t="s">
        <v>85</v>
      </c>
      <c r="AN3" s="81" t="s">
        <v>200</v>
      </c>
      <c r="AO3" s="81" t="s">
        <v>197</v>
      </c>
      <c r="AP3" s="81" t="s">
        <v>198</v>
      </c>
      <c r="AQ3" s="81" t="s">
        <v>199</v>
      </c>
      <c r="AR3" s="81" t="s">
        <v>228</v>
      </c>
      <c r="AS3" s="174"/>
    </row>
    <row r="4" spans="1:45" ht="14.25" customHeight="1" x14ac:dyDescent="0.35">
      <c r="A4" s="12">
        <v>1</v>
      </c>
      <c r="B4" s="9" t="s">
        <v>54</v>
      </c>
      <c r="C4" s="5"/>
      <c r="D4" s="5" t="s">
        <v>165</v>
      </c>
      <c r="E4" s="5">
        <v>162327.66</v>
      </c>
      <c r="F4" s="5">
        <f>E4/30</f>
        <v>5410.9220000000005</v>
      </c>
      <c r="G4" s="5">
        <f>F4/8</f>
        <v>676.36525000000006</v>
      </c>
      <c r="H4" s="5">
        <f>G4*2</f>
        <v>1352.7305000000001</v>
      </c>
      <c r="I4" s="5">
        <f>H4*12</f>
        <v>16232.766000000001</v>
      </c>
      <c r="J4" s="85">
        <f>I4/16</f>
        <v>1014.5478750000001</v>
      </c>
      <c r="K4" s="5">
        <v>2</v>
      </c>
      <c r="L4" s="5">
        <f>12*K4</f>
        <v>24</v>
      </c>
      <c r="M4" s="5" t="s">
        <v>191</v>
      </c>
      <c r="N4" s="5">
        <f>G4/4*L4</f>
        <v>4058.1915000000004</v>
      </c>
      <c r="O4" s="5">
        <f>N4/16</f>
        <v>253.63696875000002</v>
      </c>
      <c r="P4" s="5">
        <v>235200</v>
      </c>
      <c r="Q4" s="5">
        <f>L4*8*60</f>
        <v>11520</v>
      </c>
      <c r="R4" s="5">
        <f>15*L4</f>
        <v>360</v>
      </c>
      <c r="S4" s="5">
        <f>P4/Q4*R4</f>
        <v>7350</v>
      </c>
      <c r="T4" s="5">
        <f>S4/16</f>
        <v>459.375</v>
      </c>
      <c r="U4" s="85">
        <f>O4+T4</f>
        <v>713.01196875000005</v>
      </c>
      <c r="V4" s="5"/>
      <c r="X4" s="12">
        <v>1</v>
      </c>
      <c r="Y4" s="9" t="s">
        <v>54</v>
      </c>
      <c r="Z4" s="5">
        <v>1</v>
      </c>
      <c r="AA4" s="5">
        <v>2</v>
      </c>
      <c r="AB4" s="5">
        <v>167508.32999999999</v>
      </c>
      <c r="AC4" s="8">
        <f>AB4/30</f>
        <v>5583.6109999999999</v>
      </c>
      <c r="AD4" s="8">
        <f>AC4/8</f>
        <v>697.95137499999998</v>
      </c>
      <c r="AE4" s="8">
        <f>AD4*AA4</f>
        <v>1395.90275</v>
      </c>
      <c r="AF4" s="8">
        <f>AE4*12</f>
        <v>16750.832999999999</v>
      </c>
      <c r="AG4" s="125">
        <f>AF4/16</f>
        <v>1046.9270624999999</v>
      </c>
      <c r="AH4" s="8">
        <v>2</v>
      </c>
      <c r="AI4" s="8">
        <v>24</v>
      </c>
      <c r="AJ4" s="8">
        <v>15</v>
      </c>
      <c r="AK4" s="8">
        <f>AD4/4*AI4</f>
        <v>4187.7082499999997</v>
      </c>
      <c r="AL4" s="125">
        <f>AK4/16</f>
        <v>261.73176562499998</v>
      </c>
      <c r="AM4" s="5">
        <v>235200</v>
      </c>
      <c r="AN4" s="8">
        <v>11520</v>
      </c>
      <c r="AO4" s="8">
        <v>360</v>
      </c>
      <c r="AP4" s="8">
        <v>7350</v>
      </c>
      <c r="AQ4" s="125">
        <v>459.375</v>
      </c>
      <c r="AR4" s="8">
        <f>AL4+AQ4</f>
        <v>721.10676562499998</v>
      </c>
      <c r="AS4" s="8"/>
    </row>
    <row r="5" spans="1:45" ht="18.75" customHeight="1" x14ac:dyDescent="0.35">
      <c r="A5" s="6">
        <v>2</v>
      </c>
      <c r="B5" s="7" t="s">
        <v>13</v>
      </c>
      <c r="C5" s="2"/>
      <c r="D5" s="2" t="s">
        <v>165</v>
      </c>
      <c r="E5" s="13">
        <v>25000</v>
      </c>
      <c r="F5" s="5">
        <f>E5/30</f>
        <v>833.33333333333337</v>
      </c>
      <c r="G5" s="5">
        <f>F5/8</f>
        <v>104.16666666666667</v>
      </c>
      <c r="H5" s="5">
        <f>G5*2</f>
        <v>208.33333333333334</v>
      </c>
      <c r="I5" s="5">
        <f>H5*12</f>
        <v>2500</v>
      </c>
      <c r="J5" s="85">
        <f>I5/16</f>
        <v>156.25</v>
      </c>
      <c r="K5" s="5">
        <v>4</v>
      </c>
      <c r="L5" s="5">
        <f>12*K5</f>
        <v>48</v>
      </c>
      <c r="M5" s="5" t="s">
        <v>192</v>
      </c>
      <c r="N5" s="5">
        <f>G5/4*L5</f>
        <v>1250</v>
      </c>
      <c r="O5" s="5">
        <f>N5/16</f>
        <v>78.125</v>
      </c>
      <c r="P5" s="5">
        <v>235200</v>
      </c>
      <c r="Q5" s="5">
        <f>L5*8*60</f>
        <v>23040</v>
      </c>
      <c r="R5" s="5">
        <f>15*L5</f>
        <v>720</v>
      </c>
      <c r="S5" s="5">
        <f>P5/Q5*R5</f>
        <v>7350</v>
      </c>
      <c r="T5" s="5">
        <f>S5/16</f>
        <v>459.375</v>
      </c>
      <c r="U5" s="85">
        <f>O5+T5</f>
        <v>537.5</v>
      </c>
      <c r="V5" s="14"/>
      <c r="X5" s="6">
        <v>2</v>
      </c>
      <c r="Y5" s="7" t="s">
        <v>13</v>
      </c>
      <c r="Z5" s="2">
        <v>1</v>
      </c>
      <c r="AA5" s="2">
        <v>2</v>
      </c>
      <c r="AB5" s="13">
        <v>35000</v>
      </c>
      <c r="AC5" s="8">
        <f>AB5/30</f>
        <v>1166.6666666666667</v>
      </c>
      <c r="AD5" s="8">
        <f>AC5/8</f>
        <v>145.83333333333334</v>
      </c>
      <c r="AE5" s="8">
        <f>AD5*AA5</f>
        <v>291.66666666666669</v>
      </c>
      <c r="AF5" s="8">
        <f>AE5*12</f>
        <v>3500</v>
      </c>
      <c r="AG5" s="125">
        <f>AF5/16</f>
        <v>218.75</v>
      </c>
      <c r="AH5" s="8">
        <v>4</v>
      </c>
      <c r="AI5" s="8">
        <v>48</v>
      </c>
      <c r="AJ5" s="8">
        <v>15</v>
      </c>
      <c r="AK5" s="8">
        <f>AD5/4*AI5</f>
        <v>1750</v>
      </c>
      <c r="AL5" s="125">
        <f>AK5/16</f>
        <v>109.375</v>
      </c>
      <c r="AM5" s="5">
        <v>235200</v>
      </c>
      <c r="AN5" s="8">
        <v>23040</v>
      </c>
      <c r="AO5" s="8">
        <v>720</v>
      </c>
      <c r="AP5" s="8">
        <v>7350</v>
      </c>
      <c r="AQ5" s="125">
        <v>459.375</v>
      </c>
      <c r="AR5" s="8">
        <f>AL5+AQ5</f>
        <v>568.75</v>
      </c>
      <c r="AS5" s="8"/>
    </row>
    <row r="6" spans="1:45" ht="20.25" customHeight="1" x14ac:dyDescent="0.35">
      <c r="A6" s="6">
        <v>4</v>
      </c>
      <c r="B6" s="15" t="s">
        <v>70</v>
      </c>
      <c r="C6" s="2"/>
      <c r="D6" s="2" t="s">
        <v>166</v>
      </c>
      <c r="E6" s="13">
        <v>152849.64000000001</v>
      </c>
      <c r="F6" s="5">
        <f>E6/30</f>
        <v>5094.9880000000003</v>
      </c>
      <c r="G6" s="5">
        <f>F6/8</f>
        <v>636.87350000000004</v>
      </c>
      <c r="H6" s="5">
        <f>G6*2</f>
        <v>1273.7470000000001</v>
      </c>
      <c r="I6" s="5">
        <f>H6*12</f>
        <v>15284.964</v>
      </c>
      <c r="J6" s="85">
        <f>I6/16</f>
        <v>955.31025</v>
      </c>
      <c r="K6" s="5">
        <v>2</v>
      </c>
      <c r="L6" s="5">
        <f>12*K6</f>
        <v>24</v>
      </c>
      <c r="M6" s="5" t="s">
        <v>193</v>
      </c>
      <c r="N6" s="5">
        <f>G6/4*L6</f>
        <v>3821.241</v>
      </c>
      <c r="O6" s="5">
        <f>N6/16</f>
        <v>238.8275625</v>
      </c>
      <c r="P6" s="5">
        <v>235200</v>
      </c>
      <c r="Q6" s="5">
        <f>L6*8*60</f>
        <v>11520</v>
      </c>
      <c r="R6" s="5">
        <f>15*L6</f>
        <v>360</v>
      </c>
      <c r="S6" s="5">
        <f>P6/Q6*R6</f>
        <v>7350</v>
      </c>
      <c r="T6" s="5">
        <f>S6/16</f>
        <v>459.375</v>
      </c>
      <c r="U6" s="85">
        <f>O6+T6</f>
        <v>698.2025625</v>
      </c>
      <c r="V6" s="10"/>
      <c r="X6" s="6">
        <v>3</v>
      </c>
      <c r="Y6" s="15" t="s">
        <v>164</v>
      </c>
      <c r="Z6" s="2">
        <v>1</v>
      </c>
      <c r="AA6" s="2">
        <v>2</v>
      </c>
      <c r="AB6" s="8">
        <v>157727.82</v>
      </c>
      <c r="AC6" s="8">
        <f>AB6/30</f>
        <v>5257.5940000000001</v>
      </c>
      <c r="AD6" s="8">
        <f>AC6/8</f>
        <v>657.19925000000001</v>
      </c>
      <c r="AE6" s="8">
        <f>AD6*AA6</f>
        <v>1314.3985</v>
      </c>
      <c r="AF6" s="8">
        <f>AE6*12</f>
        <v>15772.781999999999</v>
      </c>
      <c r="AG6" s="125">
        <f>AF6/16</f>
        <v>985.79887499999995</v>
      </c>
      <c r="AH6" s="8">
        <v>2</v>
      </c>
      <c r="AI6" s="8">
        <v>24</v>
      </c>
      <c r="AJ6" s="8">
        <v>15</v>
      </c>
      <c r="AK6" s="8">
        <f>AD6/4*AI6</f>
        <v>3943.1954999999998</v>
      </c>
      <c r="AL6" s="125">
        <f>AK6/16</f>
        <v>246.44971874999999</v>
      </c>
      <c r="AM6" s="5">
        <v>235200</v>
      </c>
      <c r="AN6" s="8">
        <v>11520</v>
      </c>
      <c r="AO6" s="8">
        <v>360</v>
      </c>
      <c r="AP6" s="8">
        <v>7350</v>
      </c>
      <c r="AQ6" s="125">
        <v>459.375</v>
      </c>
      <c r="AR6" s="8">
        <f>AL6+AQ6</f>
        <v>705.82471874999999</v>
      </c>
      <c r="AS6" s="8"/>
    </row>
    <row r="7" spans="1:45" ht="14.25" customHeight="1" x14ac:dyDescent="0.35">
      <c r="A7" s="6">
        <v>5</v>
      </c>
      <c r="B7" s="18" t="s">
        <v>14</v>
      </c>
      <c r="C7" s="5"/>
      <c r="D7" s="5">
        <f>8/4*30</f>
        <v>60</v>
      </c>
      <c r="E7" s="4">
        <v>18076</v>
      </c>
      <c r="F7" s="5">
        <f>E7/30</f>
        <v>602.5333333333333</v>
      </c>
      <c r="G7" s="5">
        <f>F7/8</f>
        <v>75.316666666666663</v>
      </c>
      <c r="H7" s="4"/>
      <c r="I7" s="5">
        <f>D7*12*G7</f>
        <v>54228</v>
      </c>
      <c r="J7" s="85">
        <f>I7/16-O7</f>
        <v>2711.4</v>
      </c>
      <c r="K7" s="5">
        <v>8</v>
      </c>
      <c r="L7" s="5">
        <f>12*K7</f>
        <v>96</v>
      </c>
      <c r="M7" s="5" t="s">
        <v>194</v>
      </c>
      <c r="N7" s="5">
        <f>G7/60*90*L7</f>
        <v>10845.599999999999</v>
      </c>
      <c r="O7" s="5">
        <f>N7/16</f>
        <v>677.84999999999991</v>
      </c>
      <c r="P7" s="5"/>
      <c r="Q7" s="5">
        <f>L7*8*60</f>
        <v>46080</v>
      </c>
      <c r="R7" s="5"/>
      <c r="S7" s="5"/>
      <c r="T7" s="5">
        <f>400/4*96/16</f>
        <v>600</v>
      </c>
      <c r="U7" s="85">
        <f>O7+T7</f>
        <v>1277.8499999999999</v>
      </c>
      <c r="V7" s="35"/>
      <c r="X7" s="6">
        <v>4</v>
      </c>
      <c r="Y7" s="18" t="s">
        <v>14</v>
      </c>
      <c r="Z7" s="5">
        <v>1</v>
      </c>
      <c r="AA7" s="5">
        <v>60</v>
      </c>
      <c r="AB7" s="4">
        <v>24063</v>
      </c>
      <c r="AC7" s="8">
        <f>AB7/30</f>
        <v>802.1</v>
      </c>
      <c r="AD7" s="8">
        <f>AC7/8</f>
        <v>100.2625</v>
      </c>
      <c r="AE7" s="8">
        <f>AD7*AA7</f>
        <v>6015.75</v>
      </c>
      <c r="AF7" s="8">
        <f>AE7*12</f>
        <v>72189</v>
      </c>
      <c r="AG7" s="125">
        <f>AF7/16-AL7</f>
        <v>3609.45</v>
      </c>
      <c r="AH7" s="8">
        <v>8</v>
      </c>
      <c r="AI7" s="8">
        <v>96</v>
      </c>
      <c r="AJ7" s="8">
        <v>90</v>
      </c>
      <c r="AK7" s="8">
        <f>AD7/60*90*AI7</f>
        <v>14437.800000000001</v>
      </c>
      <c r="AL7" s="125">
        <f>AK7/16</f>
        <v>902.36250000000007</v>
      </c>
      <c r="AM7" s="8"/>
      <c r="AN7" s="8">
        <v>46080</v>
      </c>
      <c r="AO7" s="8"/>
      <c r="AP7" s="8"/>
      <c r="AQ7" s="125">
        <f>400/4*96/16</f>
        <v>600</v>
      </c>
      <c r="AR7" s="8">
        <f>AL7+AQ7</f>
        <v>1502.3625000000002</v>
      </c>
      <c r="AS7" s="8"/>
    </row>
    <row r="8" spans="1:45" x14ac:dyDescent="0.35">
      <c r="A8" s="36" t="s">
        <v>15</v>
      </c>
      <c r="B8" s="37"/>
      <c r="C8" s="37"/>
      <c r="D8" s="37"/>
      <c r="E8" s="37"/>
      <c r="F8" s="37"/>
      <c r="G8" s="37"/>
      <c r="H8" s="38"/>
      <c r="I8" s="25"/>
      <c r="J8" s="52">
        <f>SUM(J4:J7)</f>
        <v>4837.5081250000003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52">
        <f>SUM(U4:U7)</f>
        <v>3226.5645312500001</v>
      </c>
      <c r="V8" s="5"/>
      <c r="X8" s="127" t="s">
        <v>15</v>
      </c>
      <c r="Y8" s="127"/>
      <c r="Z8" s="127"/>
      <c r="AA8" s="127"/>
      <c r="AB8" s="127"/>
      <c r="AC8" s="8"/>
      <c r="AD8" s="8"/>
      <c r="AE8" s="8"/>
      <c r="AF8" s="8"/>
      <c r="AG8" s="126">
        <f>SUM(AG4:AG7)</f>
        <v>5860.9259375000001</v>
      </c>
      <c r="AH8" s="8"/>
      <c r="AI8" s="8"/>
      <c r="AJ8" s="8"/>
      <c r="AK8" s="8"/>
      <c r="AL8" s="8"/>
      <c r="AM8" s="8"/>
      <c r="AN8" s="8"/>
      <c r="AO8" s="8"/>
      <c r="AP8" s="8"/>
      <c r="AQ8" s="8"/>
      <c r="AR8" s="126">
        <f>SUM(AR4:AR7)</f>
        <v>3498.043984375</v>
      </c>
      <c r="AS8" s="8"/>
    </row>
    <row r="11" spans="1:45" x14ac:dyDescent="0.35">
      <c r="L11">
        <f>2800*7*12</f>
        <v>235200</v>
      </c>
      <c r="M11">
        <f>L11/16</f>
        <v>14700</v>
      </c>
      <c r="N11">
        <f>7*15*12</f>
        <v>1260</v>
      </c>
      <c r="P11">
        <f>7*8*60*12</f>
        <v>40320</v>
      </c>
      <c r="R11">
        <f>235200/P11*P12</f>
        <v>7350</v>
      </c>
      <c r="S11">
        <f>R11/16</f>
        <v>459.375</v>
      </c>
      <c r="AG11">
        <f>AG8</f>
        <v>5860.9259375000001</v>
      </c>
      <c r="AR11">
        <f>AR8</f>
        <v>3498.043984375</v>
      </c>
    </row>
    <row r="12" spans="1:45" x14ac:dyDescent="0.35">
      <c r="P12">
        <f>15*84</f>
        <v>1260</v>
      </c>
      <c r="Y12">
        <f>6/100*162606</f>
        <v>9756.3599999999988</v>
      </c>
      <c r="Z12">
        <f>162606-Y12</f>
        <v>152849.64000000001</v>
      </c>
    </row>
  </sheetData>
  <mergeCells count="21">
    <mergeCell ref="AB2:AB3"/>
    <mergeCell ref="AD2:AD3"/>
    <mergeCell ref="AE2:AE3"/>
    <mergeCell ref="AF2:AF3"/>
    <mergeCell ref="AG2:AG3"/>
    <mergeCell ref="AS2:AS3"/>
    <mergeCell ref="I2:I3"/>
    <mergeCell ref="V2:V3"/>
    <mergeCell ref="A1:V1"/>
    <mergeCell ref="A2:A3"/>
    <mergeCell ref="B2:B3"/>
    <mergeCell ref="C2:C3"/>
    <mergeCell ref="D2:D3"/>
    <mergeCell ref="E2:E3"/>
    <mergeCell ref="G2:G3"/>
    <mergeCell ref="H2:H3"/>
    <mergeCell ref="J2:J3"/>
    <mergeCell ref="X2:X3"/>
    <mergeCell ref="Y2:Y3"/>
    <mergeCell ref="Z2:Z3"/>
    <mergeCell ref="AA2:A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opLeftCell="B1" zoomScale="70" zoomScaleNormal="70" workbookViewId="0">
      <selection activeCell="X17" sqref="X17:Y17"/>
    </sheetView>
  </sheetViews>
  <sheetFormatPr defaultRowHeight="14.5" x14ac:dyDescent="0.35"/>
  <cols>
    <col min="1" max="1" width="16" customWidth="1"/>
    <col min="2" max="3" width="13.453125" customWidth="1"/>
    <col min="12" max="12" width="11" customWidth="1"/>
    <col min="14" max="14" width="6.54296875" customWidth="1"/>
    <col min="15" max="15" width="11.453125" customWidth="1"/>
  </cols>
  <sheetData>
    <row r="1" spans="1:27" ht="15" x14ac:dyDescent="0.35">
      <c r="A1" s="184" t="s">
        <v>57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O1" s="184" t="s">
        <v>66</v>
      </c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</row>
    <row r="2" spans="1:27" ht="26" x14ac:dyDescent="0.35">
      <c r="A2" s="185" t="s">
        <v>41</v>
      </c>
      <c r="B2" s="19" t="s">
        <v>16</v>
      </c>
      <c r="C2" s="186" t="s">
        <v>17</v>
      </c>
      <c r="D2" s="186" t="s">
        <v>18</v>
      </c>
      <c r="E2" s="187" t="s">
        <v>19</v>
      </c>
      <c r="F2" s="178" t="s">
        <v>20</v>
      </c>
      <c r="G2" s="178"/>
      <c r="H2" s="178"/>
      <c r="I2" s="178"/>
      <c r="J2" s="178"/>
      <c r="K2" s="178"/>
      <c r="L2" s="178"/>
      <c r="M2" s="178"/>
      <c r="O2" s="185" t="s">
        <v>41</v>
      </c>
      <c r="P2" s="19" t="s">
        <v>16</v>
      </c>
      <c r="Q2" s="186" t="s">
        <v>17</v>
      </c>
      <c r="R2" s="186" t="s">
        <v>18</v>
      </c>
      <c r="S2" s="187" t="s">
        <v>19</v>
      </c>
      <c r="T2" s="178" t="s">
        <v>20</v>
      </c>
      <c r="U2" s="178"/>
      <c r="V2" s="178"/>
      <c r="W2" s="178"/>
      <c r="X2" s="178"/>
      <c r="Y2" s="178"/>
      <c r="Z2" s="178"/>
      <c r="AA2" s="178"/>
    </row>
    <row r="3" spans="1:27" ht="91" x14ac:dyDescent="0.35">
      <c r="A3" s="185"/>
      <c r="B3" s="19" t="s">
        <v>21</v>
      </c>
      <c r="C3" s="186"/>
      <c r="D3" s="186"/>
      <c r="E3" s="186"/>
      <c r="F3" s="19" t="s">
        <v>22</v>
      </c>
      <c r="G3" s="19" t="s">
        <v>23</v>
      </c>
      <c r="H3" s="19" t="s">
        <v>24</v>
      </c>
      <c r="I3" s="19" t="s">
        <v>25</v>
      </c>
      <c r="J3" s="19" t="s">
        <v>26</v>
      </c>
      <c r="K3" s="19" t="s">
        <v>27</v>
      </c>
      <c r="L3" s="188" t="s">
        <v>28</v>
      </c>
      <c r="M3" s="189"/>
      <c r="O3" s="185"/>
      <c r="P3" s="19" t="s">
        <v>21</v>
      </c>
      <c r="Q3" s="186"/>
      <c r="R3" s="186"/>
      <c r="S3" s="186"/>
      <c r="T3" s="19" t="s">
        <v>22</v>
      </c>
      <c r="U3" s="19" t="s">
        <v>23</v>
      </c>
      <c r="V3" s="19" t="s">
        <v>24</v>
      </c>
      <c r="W3" s="19" t="s">
        <v>25</v>
      </c>
      <c r="X3" s="19" t="s">
        <v>26</v>
      </c>
      <c r="Y3" s="19" t="s">
        <v>27</v>
      </c>
      <c r="Z3" s="190" t="s">
        <v>42</v>
      </c>
      <c r="AA3" s="191"/>
    </row>
    <row r="4" spans="1:27" x14ac:dyDescent="0.35">
      <c r="A4" s="192" t="s">
        <v>62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4"/>
      <c r="O4" s="192" t="s">
        <v>62</v>
      </c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4"/>
    </row>
    <row r="5" spans="1:27" x14ac:dyDescent="0.35">
      <c r="A5" s="8" t="s">
        <v>58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69">
        <v>141074</v>
      </c>
      <c r="O5" s="8" t="s">
        <v>58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>
        <v>0</v>
      </c>
    </row>
    <row r="6" spans="1:27" x14ac:dyDescent="0.35">
      <c r="A6" s="192" t="s">
        <v>63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4"/>
      <c r="O6" s="192" t="s">
        <v>63</v>
      </c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4"/>
    </row>
    <row r="7" spans="1:27" x14ac:dyDescent="0.35">
      <c r="A7" s="8" t="s">
        <v>59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>
        <v>0</v>
      </c>
      <c r="O7" s="195" t="s">
        <v>59</v>
      </c>
      <c r="P7" s="196"/>
      <c r="Q7" s="8"/>
      <c r="R7" s="8"/>
      <c r="S7" s="8"/>
      <c r="T7" s="8"/>
      <c r="U7" s="8"/>
      <c r="V7" s="8"/>
      <c r="W7" s="8"/>
      <c r="X7" s="8"/>
      <c r="Y7" s="8"/>
      <c r="Z7" s="8"/>
      <c r="AA7" s="8">
        <v>412500</v>
      </c>
    </row>
    <row r="8" spans="1:27" x14ac:dyDescent="0.35">
      <c r="A8" s="192" t="s">
        <v>64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O8" s="192" t="s">
        <v>64</v>
      </c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4"/>
    </row>
    <row r="9" spans="1:27" x14ac:dyDescent="0.35">
      <c r="A9" s="8" t="s">
        <v>61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>
        <v>0</v>
      </c>
      <c r="O9" s="195" t="s">
        <v>61</v>
      </c>
      <c r="P9" s="196"/>
      <c r="Q9" s="8"/>
      <c r="R9" s="8"/>
      <c r="S9" s="8"/>
      <c r="T9" s="8"/>
      <c r="U9" s="8"/>
      <c r="V9" s="8"/>
      <c r="W9" s="8"/>
      <c r="X9" s="8"/>
      <c r="Y9" s="8"/>
      <c r="Z9" s="8"/>
      <c r="AA9" s="8">
        <v>187500</v>
      </c>
    </row>
    <row r="10" spans="1:27" x14ac:dyDescent="0.35">
      <c r="A10" s="192" t="s">
        <v>65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4"/>
      <c r="O10" s="192" t="s">
        <v>65</v>
      </c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4"/>
    </row>
    <row r="11" spans="1:27" x14ac:dyDescent="0.35">
      <c r="A11" s="8" t="s">
        <v>60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>
        <v>147659</v>
      </c>
      <c r="O11" s="8" t="s">
        <v>60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 t="s">
        <v>69</v>
      </c>
    </row>
    <row r="12" spans="1:27" x14ac:dyDescent="0.3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4" spans="1:27" x14ac:dyDescent="0.35">
      <c r="L14" s="70"/>
    </row>
    <row r="15" spans="1:27" x14ac:dyDescent="0.35">
      <c r="B15" s="39"/>
    </row>
    <row r="16" spans="1:27" x14ac:dyDescent="0.35">
      <c r="B16" s="39"/>
    </row>
    <row r="17" spans="24:25" x14ac:dyDescent="0.35">
      <c r="X17">
        <f>AA7</f>
        <v>412500</v>
      </c>
      <c r="Y17">
        <f>AA9</f>
        <v>187500</v>
      </c>
    </row>
  </sheetData>
  <mergeCells count="24">
    <mergeCell ref="A10:M10"/>
    <mergeCell ref="O4:AA4"/>
    <mergeCell ref="O6:AA6"/>
    <mergeCell ref="O8:AA8"/>
    <mergeCell ref="O10:AA10"/>
    <mergeCell ref="A6:M6"/>
    <mergeCell ref="A4:M4"/>
    <mergeCell ref="A8:M8"/>
    <mergeCell ref="O7:P7"/>
    <mergeCell ref="O9:P9"/>
    <mergeCell ref="O1:AA1"/>
    <mergeCell ref="O2:O3"/>
    <mergeCell ref="Q2:Q3"/>
    <mergeCell ref="R2:R3"/>
    <mergeCell ref="S2:S3"/>
    <mergeCell ref="T2:AA2"/>
    <mergeCell ref="Z3:AA3"/>
    <mergeCell ref="A1:M1"/>
    <mergeCell ref="A2:A3"/>
    <mergeCell ref="C2:C3"/>
    <mergeCell ref="D2:D3"/>
    <mergeCell ref="E2:E3"/>
    <mergeCell ref="F2:M2"/>
    <mergeCell ref="L3:M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opLeftCell="B1" zoomScale="70" zoomScaleNormal="70" workbookViewId="0">
      <selection activeCell="O15" sqref="O15:R15"/>
    </sheetView>
  </sheetViews>
  <sheetFormatPr defaultRowHeight="14.5" x14ac:dyDescent="0.35"/>
  <cols>
    <col min="1" max="1" width="19.26953125" customWidth="1"/>
    <col min="2" max="2" width="10.7265625" customWidth="1"/>
    <col min="3" max="3" width="11.1796875" customWidth="1"/>
    <col min="4" max="4" width="11.453125" customWidth="1"/>
    <col min="7" max="7" width="15.54296875" customWidth="1"/>
    <col min="8" max="8" width="12.81640625" customWidth="1"/>
    <col min="9" max="9" width="16" customWidth="1"/>
    <col min="10" max="10" width="17.26953125" customWidth="1"/>
    <col min="12" max="12" width="20.453125" customWidth="1"/>
    <col min="13" max="13" width="12.1796875" customWidth="1"/>
    <col min="14" max="14" width="10.1796875" customWidth="1"/>
    <col min="15" max="15" width="10.81640625" customWidth="1"/>
    <col min="16" max="16" width="13.81640625" customWidth="1"/>
    <col min="20" max="20" width="10.7265625" customWidth="1"/>
    <col min="21" max="21" width="13.54296875" customWidth="1"/>
  </cols>
  <sheetData>
    <row r="1" spans="1:22" x14ac:dyDescent="0.35">
      <c r="A1" s="198" t="s">
        <v>67</v>
      </c>
      <c r="B1" s="198"/>
      <c r="C1" s="198"/>
      <c r="D1" s="198"/>
      <c r="E1" s="198"/>
      <c r="F1" s="198"/>
      <c r="G1" s="198"/>
      <c r="H1" s="198"/>
      <c r="I1" s="198"/>
      <c r="J1" s="198"/>
      <c r="L1" s="198" t="s">
        <v>29</v>
      </c>
      <c r="M1" s="198"/>
      <c r="N1" s="198"/>
      <c r="O1" s="198"/>
      <c r="P1" s="198"/>
      <c r="Q1" s="198"/>
      <c r="R1" s="198"/>
      <c r="S1" s="198"/>
      <c r="T1" s="198"/>
      <c r="U1" s="198"/>
      <c r="V1" s="198"/>
    </row>
    <row r="2" spans="1:22" x14ac:dyDescent="0.35">
      <c r="A2" s="177" t="s">
        <v>44</v>
      </c>
      <c r="B2" s="178" t="s">
        <v>30</v>
      </c>
      <c r="C2" s="178" t="s">
        <v>31</v>
      </c>
      <c r="D2" s="178" t="s">
        <v>32</v>
      </c>
      <c r="E2" s="178" t="s">
        <v>33</v>
      </c>
      <c r="F2" s="199" t="s">
        <v>34</v>
      </c>
      <c r="G2" s="199"/>
      <c r="H2" s="199"/>
      <c r="I2" s="199"/>
      <c r="J2" s="197" t="s">
        <v>40</v>
      </c>
      <c r="L2" s="177" t="s">
        <v>44</v>
      </c>
      <c r="M2" s="178" t="s">
        <v>30</v>
      </c>
      <c r="N2" s="178" t="s">
        <v>31</v>
      </c>
      <c r="O2" s="178" t="s">
        <v>32</v>
      </c>
      <c r="P2" s="178" t="s">
        <v>33</v>
      </c>
      <c r="Q2" s="199" t="s">
        <v>34</v>
      </c>
      <c r="R2" s="199"/>
      <c r="S2" s="199"/>
      <c r="T2" s="199"/>
      <c r="U2" s="177" t="s">
        <v>38</v>
      </c>
      <c r="V2" s="197" t="s">
        <v>40</v>
      </c>
    </row>
    <row r="3" spans="1:22" x14ac:dyDescent="0.35">
      <c r="A3" s="151"/>
      <c r="B3" s="178"/>
      <c r="C3" s="178"/>
      <c r="D3" s="178"/>
      <c r="E3" s="178"/>
      <c r="F3" s="178" t="s">
        <v>35</v>
      </c>
      <c r="G3" s="178" t="s">
        <v>36</v>
      </c>
      <c r="H3" s="1" t="s">
        <v>37</v>
      </c>
      <c r="I3" s="177" t="s">
        <v>28</v>
      </c>
      <c r="J3" s="197"/>
      <c r="L3" s="151"/>
      <c r="M3" s="178"/>
      <c r="N3" s="178"/>
      <c r="O3" s="178"/>
      <c r="P3" s="178"/>
      <c r="Q3" s="178" t="s">
        <v>35</v>
      </c>
      <c r="R3" s="178" t="s">
        <v>36</v>
      </c>
      <c r="S3" s="1" t="s">
        <v>37</v>
      </c>
      <c r="T3" s="177" t="s">
        <v>28</v>
      </c>
      <c r="U3" s="177"/>
      <c r="V3" s="197"/>
    </row>
    <row r="4" spans="1:22" ht="22.5" customHeight="1" x14ac:dyDescent="0.35">
      <c r="A4" s="152"/>
      <c r="B4" s="178"/>
      <c r="C4" s="178"/>
      <c r="D4" s="178"/>
      <c r="E4" s="178"/>
      <c r="F4" s="178"/>
      <c r="G4" s="178"/>
      <c r="H4" s="1" t="s">
        <v>39</v>
      </c>
      <c r="I4" s="177"/>
      <c r="J4" s="197"/>
      <c r="L4" s="152"/>
      <c r="M4" s="178"/>
      <c r="N4" s="178"/>
      <c r="O4" s="178"/>
      <c r="P4" s="178"/>
      <c r="Q4" s="178"/>
      <c r="R4" s="178"/>
      <c r="S4" s="1" t="s">
        <v>39</v>
      </c>
      <c r="T4" s="177"/>
      <c r="U4" s="177"/>
      <c r="V4" s="197"/>
    </row>
    <row r="5" spans="1:22" x14ac:dyDescent="0.35">
      <c r="A5" s="200" t="s">
        <v>58</v>
      </c>
      <c r="B5" s="201"/>
      <c r="C5" s="201"/>
      <c r="D5" s="201"/>
      <c r="E5" s="201"/>
      <c r="F5" s="201"/>
      <c r="G5" s="201"/>
      <c r="H5" s="201"/>
      <c r="I5" s="201"/>
      <c r="J5" s="202"/>
      <c r="L5" s="200" t="s">
        <v>58</v>
      </c>
      <c r="M5" s="201"/>
      <c r="N5" s="201"/>
      <c r="O5" s="201"/>
      <c r="P5" s="201"/>
      <c r="Q5" s="201"/>
      <c r="R5" s="201"/>
      <c r="S5" s="201"/>
      <c r="T5" s="201"/>
      <c r="U5" s="201"/>
      <c r="V5" s="202"/>
    </row>
    <row r="6" spans="1:22" x14ac:dyDescent="0.35">
      <c r="A6" s="20" t="s">
        <v>43</v>
      </c>
      <c r="B6" s="22" t="s">
        <v>68</v>
      </c>
      <c r="C6" s="20"/>
      <c r="D6" s="20"/>
      <c r="E6" s="20"/>
      <c r="F6" s="20"/>
      <c r="G6" s="20"/>
      <c r="H6" s="20"/>
      <c r="I6" s="21"/>
      <c r="J6" s="8">
        <v>0</v>
      </c>
      <c r="L6" s="20" t="s">
        <v>43</v>
      </c>
      <c r="M6" s="22" t="s">
        <v>68</v>
      </c>
      <c r="N6" s="20">
        <v>97</v>
      </c>
      <c r="O6" s="20"/>
      <c r="P6" s="20"/>
      <c r="Q6" s="20"/>
      <c r="R6" s="20"/>
      <c r="S6" s="20"/>
      <c r="T6" s="21"/>
      <c r="U6" s="8"/>
      <c r="V6" s="8">
        <f>500*N6</f>
        <v>48500</v>
      </c>
    </row>
    <row r="7" spans="1:22" x14ac:dyDescent="0.35">
      <c r="A7" s="27" t="s">
        <v>59</v>
      </c>
      <c r="B7" s="28"/>
      <c r="C7" s="29"/>
      <c r="D7" s="29"/>
      <c r="E7" s="29"/>
      <c r="F7" s="29"/>
      <c r="G7" s="29"/>
      <c r="H7" s="29"/>
      <c r="I7" s="30"/>
      <c r="J7" s="27"/>
      <c r="L7" s="27" t="s">
        <v>59</v>
      </c>
      <c r="M7" s="28"/>
      <c r="N7" s="29"/>
      <c r="O7" s="29"/>
      <c r="P7" s="29"/>
      <c r="Q7" s="29"/>
      <c r="R7" s="29"/>
      <c r="S7" s="29"/>
      <c r="T7" s="30"/>
      <c r="U7" s="27"/>
      <c r="V7" s="27"/>
    </row>
    <row r="8" spans="1:22" x14ac:dyDescent="0.35">
      <c r="A8" s="20" t="s">
        <v>43</v>
      </c>
      <c r="B8" s="22" t="s">
        <v>68</v>
      </c>
      <c r="C8" s="8">
        <v>72</v>
      </c>
      <c r="D8" s="8"/>
      <c r="E8" s="8"/>
      <c r="F8" s="8"/>
      <c r="G8" s="8"/>
      <c r="H8" s="8"/>
      <c r="I8" s="8"/>
      <c r="J8" s="8">
        <f>500*C8</f>
        <v>36000</v>
      </c>
      <c r="L8" s="20" t="s">
        <v>43</v>
      </c>
      <c r="M8" s="22" t="s">
        <v>68</v>
      </c>
      <c r="N8" s="8">
        <v>88</v>
      </c>
      <c r="O8" s="8"/>
      <c r="P8" s="8"/>
      <c r="Q8" s="8"/>
      <c r="R8" s="8"/>
      <c r="S8" s="8"/>
      <c r="T8" s="8"/>
      <c r="U8" s="8"/>
      <c r="V8" s="8">
        <f>500*N8</f>
        <v>44000</v>
      </c>
    </row>
    <row r="9" spans="1:22" x14ac:dyDescent="0.35">
      <c r="A9" s="203" t="s">
        <v>61</v>
      </c>
      <c r="B9" s="204"/>
      <c r="C9" s="204"/>
      <c r="D9" s="204"/>
      <c r="E9" s="204"/>
      <c r="F9" s="204"/>
      <c r="G9" s="204"/>
      <c r="H9" s="204"/>
      <c r="I9" s="204"/>
      <c r="J9" s="205"/>
      <c r="L9" s="203" t="s">
        <v>61</v>
      </c>
      <c r="M9" s="204"/>
      <c r="N9" s="204"/>
      <c r="O9" s="204"/>
      <c r="P9" s="204"/>
      <c r="Q9" s="204"/>
      <c r="R9" s="204"/>
      <c r="S9" s="204"/>
      <c r="T9" s="204"/>
      <c r="U9" s="204"/>
      <c r="V9" s="205"/>
    </row>
    <row r="10" spans="1:22" x14ac:dyDescent="0.35">
      <c r="A10" s="20" t="s">
        <v>43</v>
      </c>
      <c r="B10" s="22" t="s">
        <v>68</v>
      </c>
      <c r="C10" s="8">
        <v>60</v>
      </c>
      <c r="D10" s="8"/>
      <c r="E10" s="8"/>
      <c r="F10" s="8"/>
      <c r="G10" s="8"/>
      <c r="H10" s="8"/>
      <c r="I10" s="8"/>
      <c r="J10" s="8">
        <f>C10*500</f>
        <v>30000</v>
      </c>
      <c r="L10" s="20" t="s">
        <v>43</v>
      </c>
      <c r="M10" s="22" t="s">
        <v>68</v>
      </c>
      <c r="N10" s="8">
        <v>97</v>
      </c>
      <c r="O10" s="8"/>
      <c r="P10" s="8"/>
      <c r="Q10" s="8"/>
      <c r="R10" s="8"/>
      <c r="S10" s="8"/>
      <c r="T10" s="8"/>
      <c r="U10" s="8"/>
      <c r="V10" s="8">
        <f>500*N10</f>
        <v>48500</v>
      </c>
    </row>
    <row r="11" spans="1:22" x14ac:dyDescent="0.35">
      <c r="A11" s="203" t="s">
        <v>60</v>
      </c>
      <c r="B11" s="204"/>
      <c r="C11" s="204"/>
      <c r="D11" s="204"/>
      <c r="E11" s="204"/>
      <c r="F11" s="204"/>
      <c r="G11" s="204"/>
      <c r="H11" s="204"/>
      <c r="I11" s="204"/>
      <c r="J11" s="205"/>
      <c r="L11" s="203" t="s">
        <v>60</v>
      </c>
      <c r="M11" s="204"/>
      <c r="N11" s="204"/>
      <c r="O11" s="204"/>
      <c r="P11" s="204"/>
      <c r="Q11" s="204"/>
      <c r="R11" s="204"/>
      <c r="S11" s="204"/>
      <c r="T11" s="204"/>
      <c r="U11" s="204"/>
      <c r="V11" s="205"/>
    </row>
    <row r="12" spans="1:22" x14ac:dyDescent="0.35">
      <c r="A12" s="20" t="s">
        <v>43</v>
      </c>
      <c r="B12" s="22" t="s">
        <v>68</v>
      </c>
      <c r="C12" s="8"/>
      <c r="D12" s="8"/>
      <c r="E12" s="8"/>
      <c r="F12" s="8"/>
      <c r="G12" s="8"/>
      <c r="H12" s="8"/>
      <c r="I12" s="8"/>
      <c r="J12" s="8">
        <v>0</v>
      </c>
      <c r="L12" s="20" t="s">
        <v>43</v>
      </c>
      <c r="M12" s="22" t="s">
        <v>68</v>
      </c>
      <c r="N12" s="8">
        <v>58</v>
      </c>
      <c r="O12" s="8"/>
      <c r="P12" s="8"/>
      <c r="Q12" s="8"/>
      <c r="R12" s="8"/>
      <c r="S12" s="8"/>
      <c r="T12" s="8"/>
      <c r="U12" s="8"/>
      <c r="V12" s="8">
        <f>N12*500</f>
        <v>29000</v>
      </c>
    </row>
    <row r="13" spans="1:22" x14ac:dyDescent="0.35">
      <c r="J13">
        <f>J8+J10</f>
        <v>66000</v>
      </c>
    </row>
    <row r="14" spans="1:22" x14ac:dyDescent="0.35">
      <c r="V14">
        <f>V6+V8+V10+V12</f>
        <v>170000</v>
      </c>
    </row>
    <row r="15" spans="1:22" x14ac:dyDescent="0.35">
      <c r="O15">
        <f>V6</f>
        <v>48500</v>
      </c>
      <c r="P15">
        <f>V8</f>
        <v>44000</v>
      </c>
      <c r="Q15">
        <f>V10</f>
        <v>48500</v>
      </c>
      <c r="R15">
        <f>V12</f>
        <v>29000</v>
      </c>
    </row>
  </sheetData>
  <mergeCells count="29">
    <mergeCell ref="L5:V5"/>
    <mergeCell ref="L9:V9"/>
    <mergeCell ref="L11:V11"/>
    <mergeCell ref="A5:J5"/>
    <mergeCell ref="A9:J9"/>
    <mergeCell ref="A11:J11"/>
    <mergeCell ref="L1:V1"/>
    <mergeCell ref="L2:L4"/>
    <mergeCell ref="M2:M4"/>
    <mergeCell ref="N2:N4"/>
    <mergeCell ref="O2:O4"/>
    <mergeCell ref="P2:P4"/>
    <mergeCell ref="Q2:T2"/>
    <mergeCell ref="U2:U4"/>
    <mergeCell ref="V2:V4"/>
    <mergeCell ref="Q3:Q4"/>
    <mergeCell ref="R3:R4"/>
    <mergeCell ref="T3:T4"/>
    <mergeCell ref="I3:I4"/>
    <mergeCell ref="J2:J4"/>
    <mergeCell ref="A1:J1"/>
    <mergeCell ref="A2:A4"/>
    <mergeCell ref="B2:B4"/>
    <mergeCell ref="C2:C4"/>
    <mergeCell ref="D2:D4"/>
    <mergeCell ref="E2:E4"/>
    <mergeCell ref="F2:I2"/>
    <mergeCell ref="F3:F4"/>
    <mergeCell ref="G3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E1" zoomScale="87" zoomScaleNormal="87" workbookViewId="0">
      <selection activeCell="N24" sqref="N24"/>
    </sheetView>
  </sheetViews>
  <sheetFormatPr defaultRowHeight="14.5" x14ac:dyDescent="0.35"/>
  <cols>
    <col min="1" max="1" width="23.1796875" customWidth="1"/>
    <col min="2" max="2" width="9.54296875" bestFit="1" customWidth="1"/>
    <col min="3" max="3" width="11.81640625" customWidth="1"/>
    <col min="4" max="4" width="12.1796875" customWidth="1"/>
    <col min="5" max="5" width="10.453125" customWidth="1"/>
    <col min="6" max="6" width="10.81640625" bestFit="1" customWidth="1"/>
    <col min="7" max="7" width="22.1796875" customWidth="1"/>
    <col min="8" max="8" width="15.453125" customWidth="1"/>
    <col min="9" max="9" width="10.81640625" customWidth="1"/>
    <col min="10" max="10" width="10.54296875" bestFit="1" customWidth="1"/>
    <col min="12" max="12" width="11.81640625" customWidth="1"/>
    <col min="14" max="14" width="11.54296875" customWidth="1"/>
    <col min="16" max="16" width="18.81640625" customWidth="1"/>
  </cols>
  <sheetData>
    <row r="1" spans="1:17" x14ac:dyDescent="0.35">
      <c r="A1" s="206" t="s">
        <v>288</v>
      </c>
      <c r="B1" s="206"/>
      <c r="C1" s="206"/>
      <c r="D1" s="206"/>
      <c r="E1" s="206"/>
      <c r="G1" s="206" t="s">
        <v>288</v>
      </c>
      <c r="H1" s="206"/>
      <c r="I1" s="206"/>
      <c r="J1" s="206"/>
      <c r="K1" s="206"/>
      <c r="L1" s="206"/>
      <c r="M1" s="206"/>
      <c r="N1" s="206"/>
      <c r="O1" s="206"/>
      <c r="P1" s="206"/>
    </row>
    <row r="2" spans="1:17" x14ac:dyDescent="0.35">
      <c r="A2" s="207" t="s">
        <v>207</v>
      </c>
      <c r="B2" s="208"/>
      <c r="C2" s="208"/>
      <c r="D2" s="208"/>
      <c r="E2" s="209"/>
      <c r="G2" s="5"/>
      <c r="H2" s="206" t="s">
        <v>207</v>
      </c>
      <c r="I2" s="206"/>
      <c r="J2" s="206"/>
      <c r="K2" s="206"/>
      <c r="L2" s="206"/>
      <c r="M2" s="206"/>
      <c r="N2" s="206"/>
      <c r="O2" s="206"/>
      <c r="P2" s="5"/>
    </row>
    <row r="3" spans="1:17" x14ac:dyDescent="0.35">
      <c r="A3" s="95" t="s">
        <v>208</v>
      </c>
      <c r="B3" s="90" t="s">
        <v>58</v>
      </c>
      <c r="C3" s="90" t="s">
        <v>59</v>
      </c>
      <c r="D3" s="90" t="s">
        <v>61</v>
      </c>
      <c r="E3" s="96" t="s">
        <v>223</v>
      </c>
      <c r="G3" s="9" t="s">
        <v>208</v>
      </c>
      <c r="H3" s="132" t="s">
        <v>58</v>
      </c>
      <c r="I3" s="135" t="s">
        <v>209</v>
      </c>
      <c r="J3" s="132" t="s">
        <v>59</v>
      </c>
      <c r="K3" s="135" t="s">
        <v>209</v>
      </c>
      <c r="L3" s="132" t="s">
        <v>61</v>
      </c>
      <c r="M3" s="135" t="s">
        <v>209</v>
      </c>
      <c r="N3" s="132" t="s">
        <v>223</v>
      </c>
      <c r="O3" s="135" t="s">
        <v>210</v>
      </c>
      <c r="P3" s="9" t="s">
        <v>285</v>
      </c>
    </row>
    <row r="4" spans="1:17" x14ac:dyDescent="0.35">
      <c r="A4" s="97"/>
      <c r="B4" s="94"/>
      <c r="C4" s="94"/>
      <c r="D4" s="94"/>
      <c r="E4" s="98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x14ac:dyDescent="0.35">
      <c r="A5" s="132" t="s">
        <v>211</v>
      </c>
      <c r="B5" s="133">
        <v>262143.9259375</v>
      </c>
      <c r="C5" s="134">
        <v>202169.6759375</v>
      </c>
      <c r="D5" s="133">
        <v>200629.1759375</v>
      </c>
      <c r="E5" s="134">
        <v>120919.6759375</v>
      </c>
      <c r="G5" s="9" t="s">
        <v>211</v>
      </c>
      <c r="H5" s="136">
        <f>B5</f>
        <v>262143.9259375</v>
      </c>
      <c r="I5" s="137">
        <f>H5/H10*100</f>
        <v>63.775610038962405</v>
      </c>
      <c r="J5" s="136">
        <f>C5</f>
        <v>202169.6759375</v>
      </c>
      <c r="K5" s="136">
        <f>J5/J10*100</f>
        <v>24.331783073581175</v>
      </c>
      <c r="L5" s="136">
        <f>D5</f>
        <v>200629.1759375</v>
      </c>
      <c r="M5" s="136">
        <f>L5/L10*100</f>
        <v>38.952065720310792</v>
      </c>
      <c r="N5" s="136">
        <f>E5</f>
        <v>120919.6759375</v>
      </c>
      <c r="O5" s="136">
        <f>N5/N10*100</f>
        <v>59.989603486295763</v>
      </c>
      <c r="P5" s="136">
        <f>(H5+J5+L5+N5)/4</f>
        <v>196465.6134375</v>
      </c>
      <c r="Q5">
        <f>P5/P10*100</f>
        <v>40.124444661851591</v>
      </c>
    </row>
    <row r="6" spans="1:17" x14ac:dyDescent="0.35">
      <c r="A6" s="132" t="s">
        <v>212</v>
      </c>
      <c r="B6" s="134">
        <v>8597.1064843749991</v>
      </c>
      <c r="C6" s="134">
        <v>6217.543984375</v>
      </c>
      <c r="D6" s="134">
        <v>5537.668984375</v>
      </c>
      <c r="E6" s="134">
        <v>4848.043984375</v>
      </c>
      <c r="G6" s="9" t="s">
        <v>212</v>
      </c>
      <c r="H6" s="136">
        <f>B6</f>
        <v>8597.1064843749991</v>
      </c>
      <c r="I6" s="137">
        <f>H6/H10*100</f>
        <v>2.091544591964555</v>
      </c>
      <c r="J6" s="136">
        <f>C6</f>
        <v>6217.543984375</v>
      </c>
      <c r="K6" s="136">
        <f>J6/J10*100</f>
        <v>0.74830179539403807</v>
      </c>
      <c r="L6" s="136">
        <f>D6</f>
        <v>5537.668984375</v>
      </c>
      <c r="M6" s="136">
        <f>L6/L10*100</f>
        <v>1.0751359826344387</v>
      </c>
      <c r="N6" s="136">
        <f>E6</f>
        <v>4848.043984375</v>
      </c>
      <c r="O6" s="136">
        <f>N6/N10*100</f>
        <v>2.40516883668379</v>
      </c>
      <c r="P6" s="136">
        <f t="shared" ref="P6:P9" si="0">(H6+J6+L6+N6)/4</f>
        <v>6300.0908593749991</v>
      </c>
      <c r="Q6">
        <f>P6/P10*100</f>
        <v>1.2866762922461565</v>
      </c>
    </row>
    <row r="7" spans="1:17" x14ac:dyDescent="0.35">
      <c r="A7" s="132" t="s">
        <v>213</v>
      </c>
      <c r="B7" s="133">
        <v>48500</v>
      </c>
      <c r="C7" s="133">
        <v>44000</v>
      </c>
      <c r="D7" s="133">
        <v>48500</v>
      </c>
      <c r="E7" s="133">
        <v>29000</v>
      </c>
      <c r="G7" s="9" t="s">
        <v>213</v>
      </c>
      <c r="H7" s="136">
        <f>B7</f>
        <v>48500</v>
      </c>
      <c r="I7" s="137">
        <f>H7/H10*100</f>
        <v>11.799308627227676</v>
      </c>
      <c r="J7" s="136">
        <f>C7</f>
        <v>44000</v>
      </c>
      <c r="K7" s="136">
        <f>J7/J10*100</f>
        <v>5.2955442020322732</v>
      </c>
      <c r="L7" s="136">
        <f>D7</f>
        <v>48500</v>
      </c>
      <c r="M7" s="136">
        <f>L7/L10*100</f>
        <v>9.4162535364427224</v>
      </c>
      <c r="N7" s="136">
        <f>E7</f>
        <v>29000</v>
      </c>
      <c r="O7" s="136">
        <f>N7/N10*100</f>
        <v>14.387224309150303</v>
      </c>
      <c r="P7" s="136">
        <f t="shared" si="0"/>
        <v>42500</v>
      </c>
      <c r="Q7">
        <f>P7/P10*100</f>
        <v>8.6798339327262575</v>
      </c>
    </row>
    <row r="8" spans="1:17" x14ac:dyDescent="0.35">
      <c r="A8" s="132" t="s">
        <v>214</v>
      </c>
      <c r="B8" s="133">
        <v>0</v>
      </c>
      <c r="C8" s="133">
        <v>412500</v>
      </c>
      <c r="D8" s="133">
        <v>187500</v>
      </c>
      <c r="E8" s="8">
        <v>0</v>
      </c>
      <c r="G8" s="9" t="s">
        <v>214</v>
      </c>
      <c r="H8" s="137">
        <v>0</v>
      </c>
      <c r="I8" s="137">
        <v>0</v>
      </c>
      <c r="J8" s="137">
        <f>C8</f>
        <v>412500</v>
      </c>
      <c r="K8" s="136">
        <f>J8/J10*100</f>
        <v>49.645726894052565</v>
      </c>
      <c r="L8" s="136">
        <f>D8</f>
        <v>187500</v>
      </c>
      <c r="M8" s="136">
        <f>L8/L10*100</f>
        <v>36.403042022330105</v>
      </c>
      <c r="N8" s="136">
        <f>E8</f>
        <v>0</v>
      </c>
      <c r="O8" s="136">
        <v>0</v>
      </c>
      <c r="P8" s="136">
        <f t="shared" si="0"/>
        <v>150000</v>
      </c>
      <c r="Q8">
        <f>P8/P10*100</f>
        <v>30.634707997857387</v>
      </c>
    </row>
    <row r="9" spans="1:17" x14ac:dyDescent="0.35">
      <c r="A9" s="132" t="s">
        <v>215</v>
      </c>
      <c r="B9" s="133">
        <v>91800</v>
      </c>
      <c r="C9" s="133">
        <v>166000</v>
      </c>
      <c r="D9" s="133">
        <v>72900</v>
      </c>
      <c r="E9" s="133">
        <v>46800</v>
      </c>
      <c r="G9" s="9" t="s">
        <v>216</v>
      </c>
      <c r="H9" s="136">
        <f>B9</f>
        <v>91800</v>
      </c>
      <c r="I9" s="137">
        <f>H9/H10*100</f>
        <v>22.333536741845371</v>
      </c>
      <c r="J9" s="136">
        <f>C9</f>
        <v>166000</v>
      </c>
      <c r="K9" s="136">
        <f>J9/J10*100</f>
        <v>19.97864403493994</v>
      </c>
      <c r="L9" s="136">
        <f>D9</f>
        <v>72900</v>
      </c>
      <c r="M9" s="136">
        <f>L9/L10*100</f>
        <v>14.153502738281945</v>
      </c>
      <c r="N9" s="136">
        <f>E9</f>
        <v>46800</v>
      </c>
      <c r="O9" s="136">
        <f>N9/N10*100</f>
        <v>23.218003367870146</v>
      </c>
      <c r="P9" s="136">
        <f t="shared" si="0"/>
        <v>94375</v>
      </c>
      <c r="Q9">
        <f>P9/P10*100</f>
        <v>19.274337115318605</v>
      </c>
    </row>
    <row r="10" spans="1:17" x14ac:dyDescent="0.35">
      <c r="A10" s="91" t="s">
        <v>28</v>
      </c>
      <c r="B10" s="92">
        <f>SUM(B5:B9)</f>
        <v>411041.03242187499</v>
      </c>
      <c r="C10" s="92">
        <f t="shared" ref="C10:E10" si="1">SUM(C5:C9)</f>
        <v>830887.21992187505</v>
      </c>
      <c r="D10" s="92">
        <f t="shared" si="1"/>
        <v>515066.84492187499</v>
      </c>
      <c r="E10" s="92">
        <f t="shared" si="1"/>
        <v>201567.71992187499</v>
      </c>
      <c r="G10" s="9" t="s">
        <v>28</v>
      </c>
      <c r="H10" s="136">
        <f>SUM(H5:H9)</f>
        <v>411041.03242187499</v>
      </c>
      <c r="I10" s="136"/>
      <c r="J10" s="136">
        <f>SUM(J5:J9)</f>
        <v>830887.21992187505</v>
      </c>
      <c r="K10" s="136"/>
      <c r="L10" s="136">
        <f t="shared" ref="L10:N10" si="2">SUM(L5:L9)</f>
        <v>515066.84492187499</v>
      </c>
      <c r="M10" s="136"/>
      <c r="N10" s="136">
        <f t="shared" si="2"/>
        <v>201567.71992187499</v>
      </c>
      <c r="O10" s="136"/>
      <c r="P10" s="146">
        <f>(H10+J10+L10+N10)/4</f>
        <v>489640.70429687505</v>
      </c>
    </row>
    <row r="11" spans="1:17" x14ac:dyDescent="0.35">
      <c r="G11" s="9" t="s">
        <v>282</v>
      </c>
      <c r="H11" s="136">
        <f>H10/H18</f>
        <v>115.81883133893349</v>
      </c>
      <c r="I11" s="136"/>
      <c r="J11" s="136">
        <f>J10/J18</f>
        <v>282.614700653699</v>
      </c>
      <c r="K11" s="136"/>
      <c r="L11" s="136">
        <f>L10/L18</f>
        <v>347.78314984596557</v>
      </c>
      <c r="M11" s="136"/>
      <c r="N11" s="136">
        <f>N10/N18</f>
        <v>143.56675208110755</v>
      </c>
      <c r="O11" s="136"/>
      <c r="P11" s="136">
        <f>(H11+J11+L11+N11)/4</f>
        <v>222.44585847992641</v>
      </c>
    </row>
    <row r="12" spans="1:17" x14ac:dyDescent="0.35">
      <c r="G12" s="9" t="s">
        <v>283</v>
      </c>
      <c r="H12" s="136">
        <f>H10/H17</f>
        <v>122.88222194973841</v>
      </c>
      <c r="I12" s="136"/>
      <c r="J12" s="136">
        <f>J10/J17</f>
        <v>324.31195156981852</v>
      </c>
      <c r="K12" s="136"/>
      <c r="L12" s="136">
        <f>L10/L17</f>
        <v>389.90677132617333</v>
      </c>
      <c r="M12" s="136"/>
      <c r="N12" s="136">
        <f>N10/N17</f>
        <v>161.512596091246</v>
      </c>
      <c r="O12" s="136"/>
      <c r="P12" s="136">
        <f>(H12+J12+L12+N12)/4</f>
        <v>249.65338523424407</v>
      </c>
    </row>
    <row r="13" spans="1:17" x14ac:dyDescent="0.35">
      <c r="A13" s="61" t="s">
        <v>217</v>
      </c>
      <c r="B13" s="99" t="s">
        <v>78</v>
      </c>
      <c r="C13" s="99" t="s">
        <v>79</v>
      </c>
      <c r="D13" s="99" t="s">
        <v>81</v>
      </c>
      <c r="E13" s="99" t="s">
        <v>80</v>
      </c>
      <c r="G13" s="9" t="s">
        <v>284</v>
      </c>
      <c r="H13" s="136">
        <f>H10/H16</f>
        <v>2014.9070216758578</v>
      </c>
      <c r="I13" s="136"/>
      <c r="J13" s="136">
        <f t="shared" ref="J13" si="3">J10/J16</f>
        <v>2198.1143384176589</v>
      </c>
      <c r="K13" s="136"/>
      <c r="L13" s="136">
        <f>L10/L16</f>
        <v>3219.1677807617189</v>
      </c>
      <c r="M13" s="136"/>
      <c r="N13" s="136">
        <f>N10/N16</f>
        <v>1292.100768729968</v>
      </c>
      <c r="O13" s="136"/>
      <c r="P13" s="136">
        <f>(H13+J13+L13+N13)/4</f>
        <v>2181.0724773963011</v>
      </c>
    </row>
    <row r="14" spans="1:17" x14ac:dyDescent="0.35">
      <c r="A14" s="89" t="s">
        <v>218</v>
      </c>
      <c r="B14">
        <v>249005</v>
      </c>
      <c r="C14">
        <v>190850.25</v>
      </c>
      <c r="D14">
        <v>190219.5</v>
      </c>
      <c r="E14">
        <v>109658.75</v>
      </c>
    </row>
    <row r="15" spans="1:17" x14ac:dyDescent="0.35">
      <c r="A15" s="89" t="s">
        <v>219</v>
      </c>
      <c r="B15">
        <v>7278</v>
      </c>
      <c r="C15">
        <v>5458.5</v>
      </c>
      <c r="D15">
        <v>4548.75</v>
      </c>
      <c r="E15">
        <v>5400</v>
      </c>
      <c r="G15" s="70"/>
      <c r="H15" s="70"/>
      <c r="I15" s="70"/>
      <c r="J15" s="70"/>
    </row>
    <row r="16" spans="1:17" x14ac:dyDescent="0.35">
      <c r="A16" s="89" t="s">
        <v>220</v>
      </c>
      <c r="B16">
        <v>5860.9259375000001</v>
      </c>
      <c r="C16">
        <v>5860.9259375000001</v>
      </c>
      <c r="D16">
        <v>5860.9259375000001</v>
      </c>
      <c r="E16">
        <v>5860.9259375000001</v>
      </c>
      <c r="G16" s="131" t="s">
        <v>224</v>
      </c>
      <c r="H16" s="106">
        <v>204</v>
      </c>
      <c r="I16" s="106"/>
      <c r="J16" s="106">
        <v>378</v>
      </c>
      <c r="K16" s="106"/>
      <c r="L16" s="106">
        <v>160</v>
      </c>
      <c r="M16" s="106"/>
      <c r="N16" s="106">
        <v>156</v>
      </c>
    </row>
    <row r="17" spans="1:14" x14ac:dyDescent="0.35">
      <c r="A17" s="129" t="s">
        <v>221</v>
      </c>
      <c r="B17" s="106">
        <f>SUM(B14:B16)</f>
        <v>262143.9259375</v>
      </c>
      <c r="C17" s="106">
        <f>SUM(C14:C16)</f>
        <v>202169.6759375</v>
      </c>
      <c r="D17" s="106">
        <f>SUM(D14:D16)</f>
        <v>200629.1759375</v>
      </c>
      <c r="E17" s="106">
        <f>SUM(E14:E16)</f>
        <v>120919.6759375</v>
      </c>
      <c r="G17" s="131" t="s">
        <v>225</v>
      </c>
      <c r="H17" s="106">
        <v>3345</v>
      </c>
      <c r="I17" s="106"/>
      <c r="J17" s="106">
        <v>2562</v>
      </c>
      <c r="K17" s="106"/>
      <c r="L17" s="106">
        <v>1321</v>
      </c>
      <c r="M17" s="106"/>
      <c r="N17" s="51">
        <v>1248</v>
      </c>
    </row>
    <row r="18" spans="1:14" x14ac:dyDescent="0.35">
      <c r="A18" s="61" t="s">
        <v>222</v>
      </c>
      <c r="G18" s="131" t="s">
        <v>226</v>
      </c>
      <c r="H18" s="106">
        <f>H16+H17</f>
        <v>3549</v>
      </c>
      <c r="I18" s="106"/>
      <c r="J18" s="106">
        <f>J16+J17</f>
        <v>2940</v>
      </c>
      <c r="K18" s="106"/>
      <c r="L18" s="106">
        <f>L16+L17</f>
        <v>1481</v>
      </c>
      <c r="M18" s="106"/>
      <c r="N18" s="106">
        <f>SUM(N16:N17)</f>
        <v>1404</v>
      </c>
    </row>
    <row r="19" spans="1:14" x14ac:dyDescent="0.35">
      <c r="A19" s="89"/>
    </row>
    <row r="20" spans="1:14" x14ac:dyDescent="0.35">
      <c r="A20" s="61" t="s">
        <v>212</v>
      </c>
      <c r="N20" t="s">
        <v>286</v>
      </c>
    </row>
    <row r="21" spans="1:14" x14ac:dyDescent="0.35">
      <c r="A21" s="89" t="s">
        <v>219</v>
      </c>
      <c r="B21">
        <v>5099.0625</v>
      </c>
      <c r="C21">
        <v>2719.5</v>
      </c>
      <c r="D21">
        <v>2039.6249999999998</v>
      </c>
      <c r="E21">
        <v>1350</v>
      </c>
    </row>
    <row r="22" spans="1:14" x14ac:dyDescent="0.35">
      <c r="A22" s="89" t="s">
        <v>220</v>
      </c>
      <c r="B22">
        <v>3498.043984375</v>
      </c>
      <c r="C22">
        <v>3498.043984375</v>
      </c>
      <c r="D22">
        <v>3498.043984375</v>
      </c>
      <c r="E22">
        <v>3498.043984375</v>
      </c>
      <c r="F22" s="93"/>
      <c r="G22" s="93"/>
      <c r="H22" s="93"/>
      <c r="I22" s="93"/>
    </row>
    <row r="23" spans="1:14" x14ac:dyDescent="0.35">
      <c r="A23" s="129" t="s">
        <v>161</v>
      </c>
      <c r="B23" s="130">
        <f>SUM(B21:B22)</f>
        <v>8597.1064843749991</v>
      </c>
      <c r="C23" s="130">
        <f t="shared" ref="C23:D23" si="4">SUM(C21:C22)</f>
        <v>6217.543984375</v>
      </c>
      <c r="D23" s="130">
        <f t="shared" si="4"/>
        <v>5537.668984375</v>
      </c>
      <c r="E23" s="130">
        <f>SUM(E21:E22)</f>
        <v>4848.043984375</v>
      </c>
      <c r="F23" s="93"/>
      <c r="G23" s="93"/>
      <c r="H23" s="93"/>
      <c r="I23" s="93"/>
      <c r="K23" s="93"/>
      <c r="L23" s="93"/>
      <c r="M23" s="93"/>
    </row>
    <row r="24" spans="1:14" x14ac:dyDescent="0.35">
      <c r="A24" s="61" t="s">
        <v>214</v>
      </c>
      <c r="F24" s="93"/>
      <c r="G24" s="93"/>
      <c r="H24" s="93"/>
      <c r="I24" s="93"/>
      <c r="K24" s="93"/>
      <c r="L24" s="93"/>
      <c r="M24" s="93"/>
      <c r="N24" t="s">
        <v>290</v>
      </c>
    </row>
    <row r="25" spans="1:14" x14ac:dyDescent="0.35">
      <c r="F25" s="93"/>
      <c r="G25" s="93"/>
      <c r="H25" s="93"/>
      <c r="I25" s="93"/>
      <c r="K25" s="93"/>
      <c r="L25" s="93"/>
      <c r="M25" s="93"/>
    </row>
    <row r="28" spans="1:14" x14ac:dyDescent="0.35">
      <c r="G28">
        <v>115.81883133893349</v>
      </c>
    </row>
    <row r="29" spans="1:14" x14ac:dyDescent="0.35">
      <c r="G29">
        <v>122.88222194973841</v>
      </c>
    </row>
    <row r="30" spans="1:14" x14ac:dyDescent="0.35">
      <c r="G30">
        <v>2014.9070216758578</v>
      </c>
    </row>
  </sheetData>
  <mergeCells count="4">
    <mergeCell ref="A1:E1"/>
    <mergeCell ref="G1:P1"/>
    <mergeCell ref="A2:E2"/>
    <mergeCell ref="H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2" workbookViewId="0">
      <selection activeCell="B11" sqref="B11"/>
    </sheetView>
  </sheetViews>
  <sheetFormatPr defaultRowHeight="14.5" x14ac:dyDescent="0.35"/>
  <cols>
    <col min="1" max="1" width="25.1796875" customWidth="1"/>
    <col min="2" max="2" width="11.26953125" customWidth="1"/>
    <col min="3" max="3" width="12.26953125" customWidth="1"/>
    <col min="5" max="5" width="10.453125" customWidth="1"/>
    <col min="6" max="6" width="14" customWidth="1"/>
    <col min="7" max="7" width="15" customWidth="1"/>
    <col min="9" max="9" width="13.81640625" customWidth="1"/>
    <col min="12" max="12" width="11.54296875" bestFit="1" customWidth="1"/>
  </cols>
  <sheetData>
    <row r="1" spans="1:15" x14ac:dyDescent="0.35">
      <c r="A1" s="73" t="s">
        <v>172</v>
      </c>
      <c r="B1" s="211" t="s">
        <v>173</v>
      </c>
      <c r="C1" s="211"/>
      <c r="D1" s="211"/>
      <c r="E1" s="211"/>
      <c r="F1" s="211" t="s">
        <v>174</v>
      </c>
      <c r="G1" s="211"/>
      <c r="H1" s="211"/>
      <c r="I1" s="211"/>
    </row>
    <row r="2" spans="1:15" ht="19.5" customHeight="1" x14ac:dyDescent="0.35">
      <c r="A2" s="73"/>
      <c r="B2" s="211" t="s">
        <v>61</v>
      </c>
      <c r="C2" s="211"/>
      <c r="D2" s="211"/>
      <c r="E2" s="211"/>
      <c r="F2" s="211" t="s">
        <v>61</v>
      </c>
      <c r="G2" s="211"/>
      <c r="H2" s="211"/>
      <c r="I2" s="211"/>
    </row>
    <row r="3" spans="1:15" x14ac:dyDescent="0.35">
      <c r="A3" s="8"/>
      <c r="B3" s="73" t="s">
        <v>58</v>
      </c>
      <c r="C3" s="73" t="s">
        <v>60</v>
      </c>
      <c r="D3" s="73" t="s">
        <v>59</v>
      </c>
      <c r="E3" s="73" t="s">
        <v>61</v>
      </c>
      <c r="F3" s="73" t="s">
        <v>58</v>
      </c>
      <c r="G3" s="73" t="s">
        <v>60</v>
      </c>
      <c r="H3" s="73" t="s">
        <v>59</v>
      </c>
      <c r="I3" s="73" t="s">
        <v>61</v>
      </c>
    </row>
    <row r="4" spans="1:15" ht="52.5" customHeight="1" x14ac:dyDescent="0.35">
      <c r="A4" s="73" t="s">
        <v>175</v>
      </c>
      <c r="B4" s="69">
        <v>3345</v>
      </c>
      <c r="C4" s="74">
        <f>C5*8</f>
        <v>1248</v>
      </c>
      <c r="D4" s="74">
        <v>2562</v>
      </c>
      <c r="E4" s="74">
        <v>1321</v>
      </c>
      <c r="F4" s="69">
        <v>3345</v>
      </c>
      <c r="G4" s="74">
        <f>C4</f>
        <v>1248</v>
      </c>
      <c r="H4" s="74">
        <v>2562</v>
      </c>
      <c r="I4" s="74">
        <v>1321</v>
      </c>
      <c r="K4">
        <f>B4/B5</f>
        <v>16.397058823529413</v>
      </c>
      <c r="L4">
        <f>C4/C5</f>
        <v>8</v>
      </c>
      <c r="M4">
        <f>D4/D5</f>
        <v>6.7777777777777777</v>
      </c>
      <c r="N4">
        <f>E4/E5</f>
        <v>8.2562499999999996</v>
      </c>
    </row>
    <row r="5" spans="1:15" ht="52.5" customHeight="1" x14ac:dyDescent="0.35">
      <c r="A5" s="73" t="s">
        <v>176</v>
      </c>
      <c r="B5" s="69">
        <v>204</v>
      </c>
      <c r="C5" s="69">
        <v>156</v>
      </c>
      <c r="D5" s="69">
        <v>378</v>
      </c>
      <c r="E5" s="69">
        <v>160</v>
      </c>
      <c r="F5" s="69">
        <v>204</v>
      </c>
      <c r="G5" s="69">
        <v>156</v>
      </c>
      <c r="H5" s="69">
        <v>378</v>
      </c>
      <c r="I5" s="69">
        <v>160</v>
      </c>
      <c r="K5">
        <f>(K4+L4+M4+N4)/4</f>
        <v>9.8577716503267983</v>
      </c>
      <c r="L5" s="212">
        <f>(K4+M4+N4)/3</f>
        <v>10.477028867102398</v>
      </c>
      <c r="N5">
        <f>M5*C5</f>
        <v>0</v>
      </c>
    </row>
    <row r="6" spans="1:15" ht="52.5" customHeight="1" x14ac:dyDescent="0.35">
      <c r="A6" s="73" t="s">
        <v>177</v>
      </c>
      <c r="B6" s="69"/>
      <c r="C6" s="69"/>
      <c r="D6" s="69"/>
      <c r="E6" s="69"/>
      <c r="F6" s="69"/>
      <c r="G6" s="69"/>
      <c r="H6" s="69"/>
      <c r="I6" s="69"/>
      <c r="L6" s="212"/>
      <c r="N6">
        <f>K4+M4+N4</f>
        <v>31.431086601307193</v>
      </c>
      <c r="O6">
        <f>N6/3</f>
        <v>10.477028867102398</v>
      </c>
    </row>
    <row r="7" spans="1:15" ht="21" customHeight="1" x14ac:dyDescent="0.35">
      <c r="A7" s="73" t="s">
        <v>178</v>
      </c>
      <c r="B7" s="8">
        <v>0</v>
      </c>
      <c r="C7" s="8">
        <v>0</v>
      </c>
      <c r="D7" s="86">
        <v>34400</v>
      </c>
      <c r="E7" s="86">
        <v>24940</v>
      </c>
      <c r="F7" s="87">
        <v>91800</v>
      </c>
      <c r="G7" s="45">
        <v>46800</v>
      </c>
      <c r="H7" s="88">
        <v>166000</v>
      </c>
      <c r="I7" s="8">
        <v>72900</v>
      </c>
      <c r="L7" s="212"/>
      <c r="N7" s="210"/>
    </row>
    <row r="8" spans="1:15" ht="21" customHeight="1" x14ac:dyDescent="0.35">
      <c r="A8" s="75"/>
      <c r="D8" s="79"/>
      <c r="E8" s="79"/>
      <c r="F8" s="78"/>
      <c r="G8" s="39"/>
      <c r="H8" s="76"/>
      <c r="L8" s="212"/>
      <c r="N8" s="210"/>
    </row>
    <row r="9" spans="1:15" ht="21" customHeight="1" x14ac:dyDescent="0.35">
      <c r="A9" s="75"/>
      <c r="F9" s="78"/>
      <c r="G9" s="39"/>
      <c r="H9" s="76"/>
      <c r="L9" s="212"/>
      <c r="N9" s="210"/>
    </row>
    <row r="10" spans="1:15" x14ac:dyDescent="0.35">
      <c r="A10">
        <v>20</v>
      </c>
      <c r="B10">
        <f>B5*20</f>
        <v>4080</v>
      </c>
      <c r="C10">
        <f>C5*20</f>
        <v>3120</v>
      </c>
      <c r="D10">
        <f>D5*20</f>
        <v>7560</v>
      </c>
      <c r="E10">
        <f>E5*20</f>
        <v>3200</v>
      </c>
      <c r="F10" s="78"/>
      <c r="G10">
        <f>B4/B5</f>
        <v>16.397058823529413</v>
      </c>
      <c r="H10" s="76"/>
      <c r="L10" s="212"/>
      <c r="N10" s="210"/>
    </row>
    <row r="11" spans="1:15" x14ac:dyDescent="0.35">
      <c r="A11">
        <v>15</v>
      </c>
      <c r="B11">
        <f>B5*15</f>
        <v>3060</v>
      </c>
      <c r="C11">
        <f>C5*15</f>
        <v>2340</v>
      </c>
      <c r="D11">
        <f>D5*15</f>
        <v>5670</v>
      </c>
      <c r="E11">
        <f>E5*15</f>
        <v>2400</v>
      </c>
    </row>
    <row r="12" spans="1:15" x14ac:dyDescent="0.35">
      <c r="D12">
        <f>D5*10</f>
        <v>3780</v>
      </c>
    </row>
  </sheetData>
  <mergeCells count="7">
    <mergeCell ref="N7:N10"/>
    <mergeCell ref="B1:E1"/>
    <mergeCell ref="F1:I1"/>
    <mergeCell ref="B2:E2"/>
    <mergeCell ref="F2:I2"/>
    <mergeCell ref="L5:L6"/>
    <mergeCell ref="L7:L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opLeftCell="I1" workbookViewId="0">
      <selection activeCell="U15" sqref="U15:X15"/>
    </sheetView>
  </sheetViews>
  <sheetFormatPr defaultRowHeight="14.5" x14ac:dyDescent="0.35"/>
  <cols>
    <col min="1" max="1" width="15.1796875" customWidth="1"/>
    <col min="2" max="2" width="23.81640625" customWidth="1"/>
    <col min="4" max="4" width="19.1796875" customWidth="1"/>
    <col min="6" max="7" width="13.54296875" customWidth="1"/>
    <col min="8" max="9" width="9.1796875"/>
    <col min="11" max="12" width="9.1796875"/>
    <col min="18" max="18" width="19.1796875" customWidth="1"/>
  </cols>
  <sheetData>
    <row r="1" spans="1:27" x14ac:dyDescent="0.35">
      <c r="A1" s="147" t="s">
        <v>49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9"/>
      <c r="O1" s="213" t="s">
        <v>53</v>
      </c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</row>
    <row r="2" spans="1:27" x14ac:dyDescent="0.35">
      <c r="A2" s="150" t="s">
        <v>3</v>
      </c>
      <c r="B2" s="150" t="s">
        <v>4</v>
      </c>
      <c r="C2" s="153" t="s">
        <v>5</v>
      </c>
      <c r="D2" s="153" t="s">
        <v>274</v>
      </c>
      <c r="E2" s="153" t="s">
        <v>6</v>
      </c>
      <c r="F2" s="150" t="s">
        <v>1</v>
      </c>
      <c r="G2" s="112"/>
      <c r="H2" s="109"/>
      <c r="I2" s="109"/>
      <c r="J2" s="156" t="s">
        <v>276</v>
      </c>
      <c r="K2" s="114"/>
      <c r="L2" s="114"/>
      <c r="M2" s="156" t="s">
        <v>281</v>
      </c>
      <c r="O2" s="150" t="s">
        <v>3</v>
      </c>
      <c r="P2" s="150" t="s">
        <v>4</v>
      </c>
      <c r="Q2" s="153" t="s">
        <v>5</v>
      </c>
      <c r="R2" s="153" t="s">
        <v>274</v>
      </c>
      <c r="S2" s="153" t="s">
        <v>6</v>
      </c>
      <c r="T2" s="153" t="s">
        <v>1</v>
      </c>
      <c r="U2" s="112"/>
      <c r="V2" s="109"/>
      <c r="W2" s="109"/>
      <c r="X2" s="156" t="s">
        <v>276</v>
      </c>
      <c r="Y2" s="114"/>
      <c r="Z2" s="114"/>
      <c r="AA2" s="156" t="s">
        <v>281</v>
      </c>
    </row>
    <row r="3" spans="1:27" x14ac:dyDescent="0.35">
      <c r="A3" s="151"/>
      <c r="B3" s="151"/>
      <c r="C3" s="154"/>
      <c r="D3" s="154"/>
      <c r="E3" s="154"/>
      <c r="F3" s="151"/>
      <c r="G3" s="113"/>
      <c r="H3" s="110"/>
      <c r="I3" s="110"/>
      <c r="J3" s="157"/>
      <c r="K3" s="115"/>
      <c r="L3" s="115"/>
      <c r="M3" s="157"/>
      <c r="O3" s="151"/>
      <c r="P3" s="151"/>
      <c r="Q3" s="154"/>
      <c r="R3" s="154"/>
      <c r="S3" s="154"/>
      <c r="T3" s="154"/>
      <c r="U3" s="113"/>
      <c r="V3" s="110"/>
      <c r="W3" s="110"/>
      <c r="X3" s="157"/>
      <c r="Y3" s="115"/>
      <c r="Z3" s="115"/>
      <c r="AA3" s="157"/>
    </row>
    <row r="4" spans="1:27" ht="65" x14ac:dyDescent="0.35">
      <c r="A4" s="152"/>
      <c r="B4" s="152"/>
      <c r="C4" s="155"/>
      <c r="D4" s="155"/>
      <c r="E4" s="155"/>
      <c r="F4" s="152"/>
      <c r="G4" s="111" t="s">
        <v>275</v>
      </c>
      <c r="H4" s="111" t="s">
        <v>273</v>
      </c>
      <c r="I4" s="111" t="s">
        <v>271</v>
      </c>
      <c r="J4" s="158"/>
      <c r="K4" s="116" t="s">
        <v>272</v>
      </c>
      <c r="L4" s="116" t="s">
        <v>277</v>
      </c>
      <c r="M4" s="158"/>
      <c r="O4" s="152"/>
      <c r="P4" s="152"/>
      <c r="Q4" s="155"/>
      <c r="R4" s="155"/>
      <c r="S4" s="155"/>
      <c r="T4" s="155"/>
      <c r="U4" s="111" t="s">
        <v>275</v>
      </c>
      <c r="V4" s="111" t="s">
        <v>273</v>
      </c>
      <c r="W4" s="111" t="s">
        <v>271</v>
      </c>
      <c r="X4" s="158"/>
      <c r="Y4" s="116" t="s">
        <v>272</v>
      </c>
      <c r="Z4" s="116" t="s">
        <v>277</v>
      </c>
      <c r="AA4" s="158"/>
    </row>
    <row r="5" spans="1:27" x14ac:dyDescent="0.35">
      <c r="A5" t="s">
        <v>58</v>
      </c>
      <c r="B5" t="s">
        <v>270</v>
      </c>
      <c r="C5">
        <v>1</v>
      </c>
      <c r="D5">
        <v>8</v>
      </c>
      <c r="E5">
        <v>18195</v>
      </c>
      <c r="F5">
        <f>E5/30/8</f>
        <v>75.8125</v>
      </c>
      <c r="G5" s="107">
        <f>F5*D5*12</f>
        <v>7278</v>
      </c>
      <c r="H5">
        <v>45</v>
      </c>
      <c r="I5">
        <f>5*12</f>
        <v>60</v>
      </c>
      <c r="J5" s="107">
        <f>F5/60*H5*I5</f>
        <v>3411.5624999999995</v>
      </c>
      <c r="K5">
        <v>300</v>
      </c>
      <c r="L5" s="107">
        <f>K5/8/60*H5*I5</f>
        <v>1687.5</v>
      </c>
      <c r="M5" s="128">
        <f>J5+L5</f>
        <v>5099.0625</v>
      </c>
      <c r="O5" t="s">
        <v>58</v>
      </c>
      <c r="P5" t="s">
        <v>270</v>
      </c>
      <c r="Q5">
        <v>1</v>
      </c>
      <c r="R5">
        <v>8</v>
      </c>
      <c r="S5">
        <v>18195</v>
      </c>
      <c r="T5">
        <f>S5/30/8</f>
        <v>75.8125</v>
      </c>
      <c r="U5" s="107">
        <f>T5*R5*12</f>
        <v>7278</v>
      </c>
      <c r="V5">
        <v>45</v>
      </c>
      <c r="W5">
        <f>5*12</f>
        <v>60</v>
      </c>
      <c r="X5">
        <f>T5/60*V5*W5</f>
        <v>3411.5624999999995</v>
      </c>
      <c r="Y5">
        <v>300</v>
      </c>
      <c r="Z5">
        <f>Y5/8/60*V5*W5</f>
        <v>1687.5</v>
      </c>
      <c r="AA5" s="128">
        <f>Z5+X5</f>
        <v>5099.0625</v>
      </c>
    </row>
    <row r="6" spans="1:27" x14ac:dyDescent="0.35">
      <c r="A6" t="s">
        <v>59</v>
      </c>
      <c r="B6" t="s">
        <v>270</v>
      </c>
      <c r="C6">
        <v>1</v>
      </c>
      <c r="D6">
        <v>6</v>
      </c>
      <c r="E6">
        <f>E5</f>
        <v>18195</v>
      </c>
      <c r="F6">
        <f t="shared" ref="F6:F7" si="0">E6/30/8</f>
        <v>75.8125</v>
      </c>
      <c r="G6" s="107">
        <f>F6*D6*12</f>
        <v>5458.5</v>
      </c>
      <c r="H6">
        <v>40</v>
      </c>
      <c r="I6">
        <f>12*3</f>
        <v>36</v>
      </c>
      <c r="J6" s="107">
        <f>F6/60*H6*I6</f>
        <v>1819.5</v>
      </c>
      <c r="K6">
        <v>300</v>
      </c>
      <c r="L6" s="107">
        <f>K6/8/60*H6*I6</f>
        <v>900</v>
      </c>
      <c r="M6" s="128">
        <f>J6+L6</f>
        <v>2719.5</v>
      </c>
      <c r="O6" t="s">
        <v>59</v>
      </c>
      <c r="P6" t="s">
        <v>270</v>
      </c>
      <c r="Q6">
        <v>1</v>
      </c>
      <c r="R6">
        <v>6</v>
      </c>
      <c r="S6">
        <f>S5</f>
        <v>18195</v>
      </c>
      <c r="T6">
        <f t="shared" ref="T6:T8" si="1">S6/30/8</f>
        <v>75.8125</v>
      </c>
      <c r="U6" s="107">
        <f t="shared" ref="U6:U8" si="2">T6*R6*12</f>
        <v>5458.5</v>
      </c>
      <c r="V6">
        <v>40</v>
      </c>
      <c r="W6">
        <f>12*3</f>
        <v>36</v>
      </c>
      <c r="X6">
        <f t="shared" ref="X6:X8" si="3">T6/60*V6*W6</f>
        <v>1819.5</v>
      </c>
      <c r="Y6">
        <v>300</v>
      </c>
      <c r="Z6">
        <f t="shared" ref="Z6:Z8" si="4">Y6/8/60*V6*W6</f>
        <v>900</v>
      </c>
      <c r="AA6" s="128">
        <f t="shared" ref="AA6:AA8" si="5">Z6+X6</f>
        <v>2719.5</v>
      </c>
    </row>
    <row r="7" spans="1:27" x14ac:dyDescent="0.35">
      <c r="A7" t="s">
        <v>61</v>
      </c>
      <c r="B7" t="s">
        <v>270</v>
      </c>
      <c r="C7">
        <v>1</v>
      </c>
      <c r="D7">
        <v>5</v>
      </c>
      <c r="E7">
        <v>18195</v>
      </c>
      <c r="F7">
        <f t="shared" si="0"/>
        <v>75.8125</v>
      </c>
      <c r="G7" s="107">
        <f t="shared" ref="G7:G8" si="6">F7*D7*12</f>
        <v>4548.75</v>
      </c>
      <c r="H7">
        <v>45</v>
      </c>
      <c r="I7">
        <f>12*2</f>
        <v>24</v>
      </c>
      <c r="J7" s="107">
        <f>F7/60*H7*I7</f>
        <v>1364.6249999999998</v>
      </c>
      <c r="K7">
        <v>300</v>
      </c>
      <c r="L7" s="107">
        <f t="shared" ref="L7:L8" si="7">K7/8/60*H7*I7</f>
        <v>675</v>
      </c>
      <c r="M7" s="128">
        <f t="shared" ref="M7" si="8">J7+L7</f>
        <v>2039.6249999999998</v>
      </c>
      <c r="O7" t="s">
        <v>61</v>
      </c>
      <c r="P7" t="s">
        <v>270</v>
      </c>
      <c r="Q7">
        <v>1</v>
      </c>
      <c r="R7">
        <v>5</v>
      </c>
      <c r="S7">
        <v>18195</v>
      </c>
      <c r="T7">
        <f t="shared" si="1"/>
        <v>75.8125</v>
      </c>
      <c r="U7" s="107">
        <f t="shared" si="2"/>
        <v>4548.75</v>
      </c>
      <c r="V7">
        <v>45</v>
      </c>
      <c r="W7">
        <f>12*2</f>
        <v>24</v>
      </c>
      <c r="X7">
        <f t="shared" si="3"/>
        <v>1364.6249999999998</v>
      </c>
      <c r="Y7">
        <v>300</v>
      </c>
      <c r="Z7">
        <f t="shared" si="4"/>
        <v>675</v>
      </c>
      <c r="AA7" s="128">
        <f t="shared" si="5"/>
        <v>2039.6249999999998</v>
      </c>
    </row>
    <row r="8" spans="1:27" x14ac:dyDescent="0.35">
      <c r="A8" t="s">
        <v>185</v>
      </c>
      <c r="B8" t="s">
        <v>270</v>
      </c>
      <c r="C8">
        <v>1</v>
      </c>
      <c r="D8">
        <v>6</v>
      </c>
      <c r="E8">
        <v>17000</v>
      </c>
      <c r="F8">
        <f>E8/30/8</f>
        <v>70.833333333333329</v>
      </c>
      <c r="G8" s="107">
        <f t="shared" si="6"/>
        <v>5100</v>
      </c>
      <c r="H8">
        <v>30</v>
      </c>
      <c r="I8">
        <f>12*2</f>
        <v>24</v>
      </c>
      <c r="J8" s="107">
        <f>F8/60*H8*I8</f>
        <v>850</v>
      </c>
      <c r="K8">
        <v>300</v>
      </c>
      <c r="L8" s="107">
        <f t="shared" si="7"/>
        <v>450</v>
      </c>
      <c r="M8" s="128">
        <f>J8+L8</f>
        <v>1300</v>
      </c>
      <c r="O8" t="s">
        <v>185</v>
      </c>
      <c r="P8" t="s">
        <v>270</v>
      </c>
      <c r="Q8">
        <v>1</v>
      </c>
      <c r="R8">
        <v>6</v>
      </c>
      <c r="S8">
        <v>18000</v>
      </c>
      <c r="T8">
        <f t="shared" si="1"/>
        <v>75</v>
      </c>
      <c r="U8" s="107">
        <f t="shared" si="2"/>
        <v>5400</v>
      </c>
      <c r="V8">
        <v>30</v>
      </c>
      <c r="W8">
        <f>12*2</f>
        <v>24</v>
      </c>
      <c r="X8">
        <f t="shared" si="3"/>
        <v>900</v>
      </c>
      <c r="Y8">
        <v>300</v>
      </c>
      <c r="Z8">
        <f t="shared" si="4"/>
        <v>450</v>
      </c>
      <c r="AA8" s="128">
        <f t="shared" si="5"/>
        <v>1350</v>
      </c>
    </row>
    <row r="11" spans="1:27" x14ac:dyDescent="0.35">
      <c r="K11" t="s">
        <v>278</v>
      </c>
      <c r="L11">
        <v>300</v>
      </c>
    </row>
    <row r="12" spans="1:27" x14ac:dyDescent="0.35">
      <c r="K12" t="s">
        <v>279</v>
      </c>
      <c r="L12">
        <f>300/8</f>
        <v>37.5</v>
      </c>
    </row>
    <row r="13" spans="1:27" x14ac:dyDescent="0.35">
      <c r="K13" t="s">
        <v>280</v>
      </c>
      <c r="L13">
        <f>L12/60*45</f>
        <v>28.125</v>
      </c>
      <c r="T13" t="s">
        <v>217</v>
      </c>
      <c r="U13">
        <f>U5</f>
        <v>7278</v>
      </c>
      <c r="V13">
        <f>U6</f>
        <v>5458.5</v>
      </c>
      <c r="W13">
        <f>U7</f>
        <v>4548.75</v>
      </c>
      <c r="X13">
        <f>U8</f>
        <v>5400</v>
      </c>
    </row>
    <row r="15" spans="1:27" x14ac:dyDescent="0.35">
      <c r="T15" t="s">
        <v>287</v>
      </c>
      <c r="U15">
        <f>AA5</f>
        <v>5099.0625</v>
      </c>
      <c r="V15">
        <f>AA6</f>
        <v>2719.5</v>
      </c>
      <c r="W15">
        <f>AA7</f>
        <v>2039.6249999999998</v>
      </c>
      <c r="X15">
        <f>AA8</f>
        <v>1350</v>
      </c>
    </row>
  </sheetData>
  <mergeCells count="18">
    <mergeCell ref="D2:D4"/>
    <mergeCell ref="E2:E4"/>
    <mergeCell ref="F2:F4"/>
    <mergeCell ref="J2:J4"/>
    <mergeCell ref="O1:AA1"/>
    <mergeCell ref="T2:T4"/>
    <mergeCell ref="X2:X4"/>
    <mergeCell ref="AA2:AA4"/>
    <mergeCell ref="M2:M4"/>
    <mergeCell ref="O2:O4"/>
    <mergeCell ref="P2:P4"/>
    <mergeCell ref="Q2:Q4"/>
    <mergeCell ref="R2:R4"/>
    <mergeCell ref="S2:S4"/>
    <mergeCell ref="A1:M1"/>
    <mergeCell ref="A2:A4"/>
    <mergeCell ref="B2:B4"/>
    <mergeCell ref="C2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B1" workbookViewId="0">
      <selection activeCell="P5" sqref="P5:Q13"/>
    </sheetView>
  </sheetViews>
  <sheetFormatPr defaultRowHeight="14.5" x14ac:dyDescent="0.35"/>
  <cols>
    <col min="1" max="1" width="22.7265625" customWidth="1"/>
    <col min="2" max="2" width="13.26953125" customWidth="1"/>
    <col min="3" max="3" width="15.7265625" customWidth="1"/>
    <col min="4" max="4" width="12" customWidth="1"/>
    <col min="5" max="5" width="13.26953125" customWidth="1"/>
    <col min="6" max="6" width="7" customWidth="1"/>
    <col min="7" max="7" width="24.81640625" customWidth="1"/>
    <col min="8" max="8" width="14.453125" customWidth="1"/>
    <col min="9" max="9" width="10.1796875" customWidth="1"/>
    <col min="10" max="10" width="11.453125" customWidth="1"/>
    <col min="12" max="12" width="10.81640625" customWidth="1"/>
    <col min="13" max="13" width="12.7265625" customWidth="1"/>
    <col min="14" max="14" width="16" customWidth="1"/>
    <col min="15" max="15" width="10.54296875" customWidth="1"/>
    <col min="16" max="16" width="14.81640625" customWidth="1"/>
    <col min="17" max="17" width="12" customWidth="1"/>
  </cols>
  <sheetData>
    <row r="1" spans="1:17" x14ac:dyDescent="0.35">
      <c r="A1" s="206" t="s">
        <v>227</v>
      </c>
      <c r="B1" s="206"/>
      <c r="C1" s="206"/>
      <c r="D1" s="206"/>
      <c r="E1" s="206"/>
      <c r="G1" s="206" t="s">
        <v>227</v>
      </c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x14ac:dyDescent="0.35">
      <c r="A2" s="207" t="s">
        <v>207</v>
      </c>
      <c r="B2" s="208"/>
      <c r="C2" s="208"/>
      <c r="D2" s="208"/>
      <c r="E2" s="209"/>
      <c r="G2" s="5"/>
      <c r="H2" s="206" t="s">
        <v>207</v>
      </c>
      <c r="I2" s="206"/>
      <c r="J2" s="206"/>
      <c r="K2" s="206"/>
      <c r="L2" s="206"/>
      <c r="M2" s="206"/>
      <c r="N2" s="206"/>
      <c r="O2" s="206"/>
      <c r="P2" s="206"/>
      <c r="Q2" s="206"/>
    </row>
    <row r="3" spans="1:17" x14ac:dyDescent="0.35">
      <c r="A3" s="95" t="s">
        <v>208</v>
      </c>
      <c r="B3" s="90" t="s">
        <v>58</v>
      </c>
      <c r="C3" s="90" t="s">
        <v>59</v>
      </c>
      <c r="D3" s="90" t="s">
        <v>61</v>
      </c>
      <c r="E3" s="96" t="s">
        <v>223</v>
      </c>
      <c r="G3" s="9" t="s">
        <v>208</v>
      </c>
      <c r="H3" s="135" t="s">
        <v>58</v>
      </c>
      <c r="I3" s="135" t="s">
        <v>209</v>
      </c>
      <c r="J3" s="135" t="s">
        <v>59</v>
      </c>
      <c r="K3" s="135" t="s">
        <v>209</v>
      </c>
      <c r="L3" s="135" t="s">
        <v>61</v>
      </c>
      <c r="M3" s="135" t="s">
        <v>209</v>
      </c>
      <c r="N3" s="135" t="s">
        <v>223</v>
      </c>
      <c r="O3" s="135" t="s">
        <v>210</v>
      </c>
      <c r="P3" s="135" t="s">
        <v>285</v>
      </c>
      <c r="Q3" s="135" t="s">
        <v>289</v>
      </c>
    </row>
    <row r="4" spans="1:17" x14ac:dyDescent="0.35">
      <c r="A4" s="97"/>
      <c r="B4" s="94"/>
      <c r="C4" s="94"/>
      <c r="D4" s="94"/>
      <c r="E4" s="98"/>
      <c r="G4" s="5"/>
      <c r="H4" s="5"/>
      <c r="I4" s="5"/>
      <c r="J4" s="5"/>
      <c r="K4" s="5"/>
      <c r="L4" s="8"/>
      <c r="M4" s="5"/>
      <c r="N4" s="5"/>
      <c r="O4" s="5"/>
      <c r="P4" s="8"/>
      <c r="Q4" s="8"/>
    </row>
    <row r="5" spans="1:17" x14ac:dyDescent="0.35">
      <c r="A5" s="132" t="s">
        <v>211</v>
      </c>
      <c r="B5" s="133">
        <v>53245.51</v>
      </c>
      <c r="C5" s="134">
        <v>225933.51</v>
      </c>
      <c r="D5" s="133">
        <v>179711.26</v>
      </c>
      <c r="E5" s="134">
        <v>41819.910000000003</v>
      </c>
      <c r="G5" s="9" t="s">
        <v>211</v>
      </c>
      <c r="H5" s="5">
        <f>B5</f>
        <v>53245.51</v>
      </c>
      <c r="I5" s="145">
        <f>H5/H10*100</f>
        <v>26.275246857657869</v>
      </c>
      <c r="J5" s="136">
        <f>C5</f>
        <v>225933.51</v>
      </c>
      <c r="K5" s="139">
        <f>J5/J10*100</f>
        <v>74.743227474221129</v>
      </c>
      <c r="L5" s="5">
        <f>D5</f>
        <v>179711.26</v>
      </c>
      <c r="M5" s="139">
        <f>L5/L10*100</f>
        <v>74.905456168827783</v>
      </c>
      <c r="N5" s="136">
        <f>E5</f>
        <v>41819.910000000003</v>
      </c>
      <c r="O5" s="139">
        <f>N5/N10*100</f>
        <v>21.556046344075583</v>
      </c>
      <c r="P5" s="142">
        <f>(H5+J5+L5+N5)/4</f>
        <v>125177.54750000002</v>
      </c>
      <c r="Q5" s="139">
        <f>P5/P10*100</f>
        <v>53.332422748945028</v>
      </c>
    </row>
    <row r="6" spans="1:17" x14ac:dyDescent="0.35">
      <c r="A6" s="132" t="s">
        <v>212</v>
      </c>
      <c r="B6" s="134">
        <v>8325.6270312500001</v>
      </c>
      <c r="C6" s="134">
        <v>5946.0645312500001</v>
      </c>
      <c r="D6" s="134">
        <v>5266.1895312500001</v>
      </c>
      <c r="E6" s="134">
        <v>4526.5645312500001</v>
      </c>
      <c r="G6" s="9" t="s">
        <v>212</v>
      </c>
      <c r="H6" s="136">
        <f>B6</f>
        <v>8325.6270312500001</v>
      </c>
      <c r="I6" s="145">
        <f>H6/H10*100</f>
        <v>4.1084761041988891</v>
      </c>
      <c r="J6" s="136">
        <f>C6</f>
        <v>5946.0645312500001</v>
      </c>
      <c r="K6" s="139">
        <f>J6/J10*100</f>
        <v>1.9670745337228495</v>
      </c>
      <c r="L6" s="136">
        <f>D6</f>
        <v>5266.1895312500001</v>
      </c>
      <c r="M6" s="139">
        <f>L6/L10*100</f>
        <v>2.1950006310666712</v>
      </c>
      <c r="N6" s="136">
        <f>E6</f>
        <v>4526.5645312500001</v>
      </c>
      <c r="O6" s="139">
        <f>N6/N10*100</f>
        <v>2.3332148446774217</v>
      </c>
      <c r="P6" s="142">
        <f t="shared" ref="P6:P13" si="0">(H6+J6+L6+N6)/4</f>
        <v>6016.1114062500001</v>
      </c>
      <c r="Q6" s="139">
        <f>P6/P10*100</f>
        <v>2.5631896712377684</v>
      </c>
    </row>
    <row r="7" spans="1:17" x14ac:dyDescent="0.35">
      <c r="A7" s="132" t="s">
        <v>213</v>
      </c>
      <c r="B7" s="133">
        <v>0</v>
      </c>
      <c r="C7" s="133">
        <v>36000</v>
      </c>
      <c r="D7" s="133">
        <v>30000</v>
      </c>
      <c r="E7" s="133">
        <v>0</v>
      </c>
      <c r="G7" s="9" t="s">
        <v>213</v>
      </c>
      <c r="H7" s="5">
        <v>0</v>
      </c>
      <c r="I7" s="145"/>
      <c r="J7" s="136">
        <v>36000</v>
      </c>
      <c r="K7" s="139">
        <f>J7/J10*100</f>
        <v>11.909504655028643</v>
      </c>
      <c r="L7" s="5">
        <v>30000</v>
      </c>
      <c r="M7" s="139">
        <f>L7/L10*100</f>
        <v>12.504300982948054</v>
      </c>
      <c r="N7" s="5">
        <v>0</v>
      </c>
      <c r="O7" s="139">
        <v>0</v>
      </c>
      <c r="P7" s="142">
        <f t="shared" si="0"/>
        <v>16500</v>
      </c>
      <c r="Q7" s="139">
        <f>P7/P10*100</f>
        <v>7.0298946810536682</v>
      </c>
    </row>
    <row r="8" spans="1:17" x14ac:dyDescent="0.35">
      <c r="A8" s="132" t="s">
        <v>214</v>
      </c>
      <c r="B8" s="133">
        <v>141074</v>
      </c>
      <c r="C8" s="133">
        <v>0</v>
      </c>
      <c r="D8" s="133">
        <v>0</v>
      </c>
      <c r="E8" s="8">
        <v>147659</v>
      </c>
      <c r="G8" s="9" t="s">
        <v>214</v>
      </c>
      <c r="H8" s="140">
        <v>141074</v>
      </c>
      <c r="I8" s="145">
        <f>H8/H10*100</f>
        <v>69.616277038143252</v>
      </c>
      <c r="J8" s="140">
        <v>0</v>
      </c>
      <c r="K8" s="144"/>
      <c r="L8" s="5">
        <v>0</v>
      </c>
      <c r="M8" s="139">
        <v>0</v>
      </c>
      <c r="N8" s="8">
        <v>147659</v>
      </c>
      <c r="O8" s="139">
        <f>N8/N10*100</f>
        <v>76.110738811246989</v>
      </c>
      <c r="P8" s="142">
        <f t="shared" si="0"/>
        <v>72183.25</v>
      </c>
      <c r="Q8" s="139">
        <f>P8/P10*100</f>
        <v>30.753978499161644</v>
      </c>
    </row>
    <row r="9" spans="1:17" x14ac:dyDescent="0.35">
      <c r="A9" s="132" t="s">
        <v>215</v>
      </c>
      <c r="B9" s="133">
        <v>0</v>
      </c>
      <c r="C9" s="133">
        <v>34400</v>
      </c>
      <c r="D9" s="133">
        <v>24940</v>
      </c>
      <c r="E9" s="133">
        <v>0</v>
      </c>
      <c r="G9" s="9" t="s">
        <v>216</v>
      </c>
      <c r="H9" s="5">
        <v>0</v>
      </c>
      <c r="I9" s="138"/>
      <c r="J9" s="136">
        <v>34400</v>
      </c>
      <c r="K9" s="139">
        <f>J9/J10*100</f>
        <v>11.38019333702737</v>
      </c>
      <c r="L9" s="5">
        <v>24940</v>
      </c>
      <c r="M9" s="139">
        <f>L9/L10*100</f>
        <v>10.395242217157483</v>
      </c>
      <c r="N9" s="5">
        <v>0</v>
      </c>
      <c r="O9" s="141"/>
      <c r="P9" s="142">
        <f t="shared" si="0"/>
        <v>14835</v>
      </c>
      <c r="Q9" s="139">
        <f>P9/P10*100</f>
        <v>6.3205143996018887</v>
      </c>
    </row>
    <row r="10" spans="1:17" x14ac:dyDescent="0.35">
      <c r="A10" s="91" t="s">
        <v>28</v>
      </c>
      <c r="B10" s="92"/>
      <c r="C10" s="92"/>
      <c r="D10" s="92"/>
      <c r="E10" s="92"/>
      <c r="G10" s="9" t="s">
        <v>28</v>
      </c>
      <c r="H10" s="136">
        <f>SUM(H5:H9)</f>
        <v>202645.13703124999</v>
      </c>
      <c r="I10" s="136"/>
      <c r="J10" s="136">
        <f t="shared" ref="J10:N10" si="1">SUM(J5:J9)</f>
        <v>302279.57453125005</v>
      </c>
      <c r="K10" s="136"/>
      <c r="L10" s="136">
        <f t="shared" si="1"/>
        <v>239917.44953125002</v>
      </c>
      <c r="M10" s="136"/>
      <c r="N10" s="136">
        <f t="shared" si="1"/>
        <v>194005.47453125002</v>
      </c>
      <c r="O10" s="136"/>
      <c r="P10" s="143">
        <f t="shared" si="0"/>
        <v>234711.90890625003</v>
      </c>
      <c r="Q10" s="139"/>
    </row>
    <row r="11" spans="1:17" x14ac:dyDescent="0.35">
      <c r="G11" s="9" t="s">
        <v>282</v>
      </c>
      <c r="H11" s="136">
        <f>H10/H18</f>
        <v>57.099221479642154</v>
      </c>
      <c r="I11" s="8"/>
      <c r="J11" s="142">
        <f>J10/J18</f>
        <v>102.81618181335035</v>
      </c>
      <c r="K11" s="142"/>
      <c r="L11" s="142">
        <f>L10/L18</f>
        <v>161.99692743501015</v>
      </c>
      <c r="M11" s="8"/>
      <c r="N11" s="136">
        <f>N10/N18</f>
        <v>138.18053741542025</v>
      </c>
      <c r="O11" s="8"/>
      <c r="P11" s="142">
        <f t="shared" si="0"/>
        <v>115.02321703585572</v>
      </c>
      <c r="Q11" s="8"/>
    </row>
    <row r="12" spans="1:17" x14ac:dyDescent="0.35">
      <c r="G12" s="9" t="s">
        <v>283</v>
      </c>
      <c r="H12" s="142">
        <f>H10/H17</f>
        <v>60.58150583893871</v>
      </c>
      <c r="I12" s="8"/>
      <c r="J12" s="142">
        <f>J10/J17</f>
        <v>117.9857824087627</v>
      </c>
      <c r="K12" s="142"/>
      <c r="L12" s="142">
        <f>L10/L17</f>
        <v>181.61805414931871</v>
      </c>
      <c r="M12" s="8"/>
      <c r="N12" s="142">
        <f>N10/N17</f>
        <v>155.45310459234776</v>
      </c>
      <c r="O12" s="8"/>
      <c r="P12" s="142">
        <f t="shared" si="0"/>
        <v>128.90961174734196</v>
      </c>
      <c r="Q12" s="8"/>
    </row>
    <row r="13" spans="1:17" x14ac:dyDescent="0.35">
      <c r="A13" s="61" t="s">
        <v>217</v>
      </c>
      <c r="B13" s="99" t="s">
        <v>78</v>
      </c>
      <c r="C13" s="99" t="s">
        <v>79</v>
      </c>
      <c r="D13" s="99" t="s">
        <v>81</v>
      </c>
      <c r="E13" s="99" t="s">
        <v>80</v>
      </c>
      <c r="G13" s="9" t="s">
        <v>284</v>
      </c>
      <c r="H13" s="142">
        <f>H10/H16</f>
        <v>993.35851485906858</v>
      </c>
      <c r="I13" s="8"/>
      <c r="J13" s="142">
        <f>J10/J16</f>
        <v>799.68141410383612</v>
      </c>
      <c r="K13" s="142"/>
      <c r="L13" s="142">
        <f>L10/L16</f>
        <v>1499.4840595703126</v>
      </c>
      <c r="M13" s="8"/>
      <c r="N13" s="142">
        <f>N10/N16</f>
        <v>1243.6248367387821</v>
      </c>
      <c r="O13" s="8"/>
      <c r="P13" s="142">
        <f t="shared" si="0"/>
        <v>1134.0372063179998</v>
      </c>
      <c r="Q13" s="8"/>
    </row>
    <row r="14" spans="1:17" x14ac:dyDescent="0.35">
      <c r="A14" s="89" t="s">
        <v>218</v>
      </c>
      <c r="B14">
        <v>41130</v>
      </c>
      <c r="C14">
        <v>215637.5</v>
      </c>
      <c r="D14">
        <v>170325</v>
      </c>
      <c r="E14">
        <v>31882.400000000001</v>
      </c>
    </row>
    <row r="15" spans="1:17" x14ac:dyDescent="0.35">
      <c r="A15" s="89" t="s">
        <v>219</v>
      </c>
      <c r="B15">
        <v>7278</v>
      </c>
      <c r="C15">
        <v>5458.5</v>
      </c>
      <c r="D15">
        <v>4548.75</v>
      </c>
      <c r="E15">
        <v>5100</v>
      </c>
      <c r="G15" s="70"/>
      <c r="H15" s="70"/>
      <c r="I15" s="70"/>
      <c r="J15" s="70"/>
    </row>
    <row r="16" spans="1:17" x14ac:dyDescent="0.35">
      <c r="A16" s="89" t="s">
        <v>220</v>
      </c>
      <c r="B16">
        <v>4837.51</v>
      </c>
      <c r="C16">
        <v>4837.51</v>
      </c>
      <c r="D16">
        <v>4837.51</v>
      </c>
      <c r="E16">
        <v>4837.51</v>
      </c>
      <c r="G16" s="131" t="s">
        <v>224</v>
      </c>
      <c r="H16" s="106">
        <v>204</v>
      </c>
      <c r="I16" s="106"/>
      <c r="J16" s="106">
        <v>378</v>
      </c>
      <c r="K16" s="106"/>
      <c r="L16" s="106">
        <v>160</v>
      </c>
      <c r="M16" s="106"/>
      <c r="N16" s="106">
        <v>156</v>
      </c>
    </row>
    <row r="17" spans="1:14" x14ac:dyDescent="0.35">
      <c r="A17" s="129" t="s">
        <v>221</v>
      </c>
      <c r="B17" s="106">
        <f>SUM(B14:B16)</f>
        <v>53245.51</v>
      </c>
      <c r="C17" s="106">
        <f t="shared" ref="C17:E17" si="2">SUM(C14:C16)</f>
        <v>225933.51</v>
      </c>
      <c r="D17" s="106">
        <f t="shared" si="2"/>
        <v>179711.26</v>
      </c>
      <c r="E17" s="106">
        <f t="shared" si="2"/>
        <v>41819.910000000003</v>
      </c>
      <c r="G17" s="131" t="s">
        <v>225</v>
      </c>
      <c r="H17" s="106">
        <v>3345</v>
      </c>
      <c r="I17" s="106"/>
      <c r="J17" s="106">
        <v>2562</v>
      </c>
      <c r="K17" s="106"/>
      <c r="L17" s="106">
        <v>1321</v>
      </c>
      <c r="M17" s="106"/>
      <c r="N17" s="51">
        <v>1248</v>
      </c>
    </row>
    <row r="18" spans="1:14" x14ac:dyDescent="0.35">
      <c r="A18" s="61" t="s">
        <v>222</v>
      </c>
      <c r="G18" s="131" t="s">
        <v>226</v>
      </c>
      <c r="H18" s="106">
        <f>H16+H17</f>
        <v>3549</v>
      </c>
      <c r="I18" s="106"/>
      <c r="J18" s="106">
        <f>J16+J17</f>
        <v>2940</v>
      </c>
      <c r="K18" s="106"/>
      <c r="L18" s="106">
        <f>L16+L17</f>
        <v>1481</v>
      </c>
      <c r="M18" s="106"/>
      <c r="N18" s="106">
        <f>SUM(N16:N17)</f>
        <v>1404</v>
      </c>
    </row>
    <row r="19" spans="1:14" x14ac:dyDescent="0.35">
      <c r="A19" s="89"/>
    </row>
    <row r="20" spans="1:14" x14ac:dyDescent="0.35">
      <c r="A20" s="61" t="s">
        <v>212</v>
      </c>
      <c r="N20" t="s">
        <v>286</v>
      </c>
    </row>
    <row r="21" spans="1:14" x14ac:dyDescent="0.35">
      <c r="A21" s="89" t="s">
        <v>219</v>
      </c>
      <c r="B21">
        <v>5099.0625</v>
      </c>
      <c r="C21">
        <v>2719.5</v>
      </c>
      <c r="D21">
        <v>2039.6249999999998</v>
      </c>
      <c r="E21">
        <v>1300</v>
      </c>
    </row>
    <row r="22" spans="1:14" x14ac:dyDescent="0.35">
      <c r="A22" s="89" t="s">
        <v>220</v>
      </c>
      <c r="B22">
        <v>3226.5645312500001</v>
      </c>
      <c r="C22">
        <v>3226.5645312500001</v>
      </c>
      <c r="D22">
        <v>3226.5645312500001</v>
      </c>
      <c r="E22">
        <v>3226.5645312500001</v>
      </c>
    </row>
    <row r="23" spans="1:14" x14ac:dyDescent="0.35">
      <c r="A23" s="129" t="s">
        <v>161</v>
      </c>
      <c r="B23" s="130">
        <f>SUM(B21:B22)</f>
        <v>8325.6270312500001</v>
      </c>
      <c r="C23" s="130">
        <f>SUM(C21:C22)</f>
        <v>5946.0645312500001</v>
      </c>
      <c r="D23" s="130">
        <f>SUM(D21:D22)</f>
        <v>5266.1895312500001</v>
      </c>
      <c r="E23" s="130">
        <f>SUM(E21:E22)</f>
        <v>4526.5645312500001</v>
      </c>
    </row>
    <row r="24" spans="1:14" x14ac:dyDescent="0.35">
      <c r="A24" s="61" t="s">
        <v>214</v>
      </c>
    </row>
  </sheetData>
  <mergeCells count="4">
    <mergeCell ref="A1:E1"/>
    <mergeCell ref="A2:E2"/>
    <mergeCell ref="G1:Q1"/>
    <mergeCell ref="H2:Q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zoomScale="80" zoomScaleNormal="80" workbookViewId="0">
      <pane ySplit="1" topLeftCell="A56" activePane="bottomLeft" state="frozen"/>
      <selection pane="bottomLeft" activeCell="K58" sqref="K58"/>
    </sheetView>
  </sheetViews>
  <sheetFormatPr defaultRowHeight="15.5" x14ac:dyDescent="0.35"/>
  <cols>
    <col min="1" max="1" width="9" style="57"/>
    <col min="2" max="2" width="20.7265625" style="57" customWidth="1"/>
    <col min="3" max="3" width="16.7265625" style="57" customWidth="1"/>
    <col min="4" max="4" width="21.7265625" style="57" customWidth="1"/>
    <col min="5" max="5" width="13" customWidth="1"/>
    <col min="6" max="6" width="11.7265625" customWidth="1"/>
    <col min="7" max="7" width="12.26953125" customWidth="1"/>
    <col min="8" max="8" width="15.26953125" customWidth="1"/>
    <col min="9" max="9" width="12.26953125" customWidth="1"/>
    <col min="10" max="10" width="13.453125" customWidth="1"/>
    <col min="11" max="11" width="15.1796875" customWidth="1"/>
    <col min="12" max="13" width="19.81640625" customWidth="1"/>
    <col min="17" max="17" width="17.7265625" customWidth="1"/>
  </cols>
  <sheetData>
    <row r="1" spans="1:30" ht="15" customHeight="1" x14ac:dyDescent="0.35">
      <c r="A1" s="59" t="s">
        <v>144</v>
      </c>
      <c r="B1" s="59" t="s">
        <v>145</v>
      </c>
      <c r="C1" s="59" t="s">
        <v>86</v>
      </c>
      <c r="D1" s="59" t="s">
        <v>87</v>
      </c>
      <c r="E1" s="9" t="s">
        <v>150</v>
      </c>
      <c r="F1" s="9" t="s">
        <v>151</v>
      </c>
      <c r="G1" s="9" t="s">
        <v>152</v>
      </c>
      <c r="H1" s="207" t="s">
        <v>153</v>
      </c>
      <c r="I1" s="209"/>
      <c r="J1" s="207" t="s">
        <v>154</v>
      </c>
      <c r="K1" s="209"/>
      <c r="L1" s="61" t="s">
        <v>10</v>
      </c>
      <c r="M1" s="61"/>
    </row>
    <row r="2" spans="1:30" ht="14.25" customHeight="1" x14ac:dyDescent="0.35">
      <c r="A2" s="53" t="s">
        <v>146</v>
      </c>
      <c r="B2" s="217" t="s">
        <v>147</v>
      </c>
      <c r="C2" s="218" t="s">
        <v>88</v>
      </c>
      <c r="D2" s="53" t="s">
        <v>89</v>
      </c>
      <c r="E2" s="8">
        <v>1</v>
      </c>
      <c r="F2" s="8" t="s">
        <v>151</v>
      </c>
      <c r="G2" s="8"/>
      <c r="H2" s="8">
        <v>60000</v>
      </c>
      <c r="I2" s="8">
        <v>62000</v>
      </c>
      <c r="J2" s="8"/>
      <c r="K2" s="8"/>
      <c r="L2" s="222" t="s">
        <v>158</v>
      </c>
      <c r="M2" s="72"/>
    </row>
    <row r="3" spans="1:30" x14ac:dyDescent="0.35">
      <c r="A3" s="53" t="s">
        <v>146</v>
      </c>
      <c r="B3" s="217"/>
      <c r="C3" s="219"/>
      <c r="D3" s="53" t="s">
        <v>90</v>
      </c>
      <c r="E3" s="8">
        <v>1</v>
      </c>
      <c r="F3" s="8"/>
      <c r="G3" s="8" t="s">
        <v>152</v>
      </c>
      <c r="H3" s="8"/>
      <c r="I3" s="8"/>
      <c r="J3" s="60">
        <v>11000</v>
      </c>
      <c r="K3" s="8">
        <v>20000</v>
      </c>
      <c r="L3" s="222"/>
      <c r="M3" s="72"/>
    </row>
    <row r="4" spans="1:30" ht="20.25" customHeight="1" x14ac:dyDescent="0.35">
      <c r="A4" s="53" t="s">
        <v>146</v>
      </c>
      <c r="B4" s="217"/>
      <c r="C4" s="219"/>
      <c r="D4" s="53" t="s">
        <v>91</v>
      </c>
      <c r="E4" s="8">
        <v>1</v>
      </c>
      <c r="F4" s="8"/>
      <c r="G4" s="8" t="s">
        <v>152</v>
      </c>
      <c r="I4" s="8"/>
      <c r="J4" s="8">
        <v>11000</v>
      </c>
      <c r="K4" s="8">
        <v>20000</v>
      </c>
      <c r="L4" s="222"/>
      <c r="M4" s="72"/>
    </row>
    <row r="5" spans="1:30" x14ac:dyDescent="0.35">
      <c r="A5" s="53" t="s">
        <v>146</v>
      </c>
      <c r="B5" s="217"/>
      <c r="C5" s="219"/>
      <c r="D5" s="53" t="s">
        <v>92</v>
      </c>
      <c r="E5" s="8">
        <v>1</v>
      </c>
      <c r="F5" s="8" t="s">
        <v>151</v>
      </c>
      <c r="G5" s="8"/>
      <c r="H5" s="8">
        <v>60000</v>
      </c>
      <c r="I5" s="8">
        <v>62000</v>
      </c>
      <c r="J5" s="8"/>
      <c r="K5" s="8"/>
      <c r="L5" s="222"/>
      <c r="M5" s="72"/>
    </row>
    <row r="6" spans="1:30" ht="15" customHeight="1" x14ac:dyDescent="0.35">
      <c r="A6" s="53" t="s">
        <v>146</v>
      </c>
      <c r="B6" s="217"/>
      <c r="C6" s="219"/>
      <c r="D6" s="53" t="s">
        <v>93</v>
      </c>
      <c r="E6" s="8">
        <v>2</v>
      </c>
      <c r="F6" s="8" t="s">
        <v>151</v>
      </c>
      <c r="G6" s="8" t="s">
        <v>152</v>
      </c>
      <c r="H6" s="8">
        <v>60000</v>
      </c>
      <c r="I6" s="8">
        <v>62000</v>
      </c>
      <c r="J6" s="8">
        <v>18000</v>
      </c>
      <c r="K6" s="8">
        <v>20000</v>
      </c>
      <c r="L6" s="222"/>
      <c r="M6" s="72"/>
      <c r="N6" s="71"/>
      <c r="O6" s="71"/>
    </row>
    <row r="7" spans="1:30" x14ac:dyDescent="0.35">
      <c r="A7" s="53" t="s">
        <v>146</v>
      </c>
      <c r="B7" s="217"/>
      <c r="C7" s="220"/>
      <c r="D7" s="53" t="s">
        <v>94</v>
      </c>
      <c r="E7" s="8">
        <v>1</v>
      </c>
      <c r="F7" s="8"/>
      <c r="G7" s="8" t="s">
        <v>152</v>
      </c>
      <c r="H7" s="8"/>
      <c r="I7" s="8"/>
      <c r="J7" s="8">
        <v>18000</v>
      </c>
      <c r="K7" s="8">
        <v>20000</v>
      </c>
      <c r="L7" s="222"/>
      <c r="M7" s="72"/>
      <c r="N7" s="71"/>
      <c r="O7" s="71"/>
    </row>
    <row r="8" spans="1:30" ht="18.75" customHeight="1" x14ac:dyDescent="0.35">
      <c r="A8" s="53" t="s">
        <v>146</v>
      </c>
      <c r="B8" s="217"/>
      <c r="C8" s="218" t="s">
        <v>95</v>
      </c>
      <c r="D8" s="53" t="s">
        <v>96</v>
      </c>
      <c r="E8" s="8">
        <v>1</v>
      </c>
      <c r="F8" s="8" t="s">
        <v>151</v>
      </c>
      <c r="G8" s="8"/>
      <c r="H8" s="8">
        <v>50000</v>
      </c>
      <c r="I8" s="8"/>
      <c r="J8" s="8"/>
      <c r="K8" s="8"/>
      <c r="L8" s="222"/>
      <c r="M8" s="72"/>
      <c r="S8" s="221" t="s">
        <v>232</v>
      </c>
      <c r="T8" s="221"/>
      <c r="U8" s="221"/>
      <c r="V8" s="221"/>
      <c r="W8" s="221"/>
      <c r="X8" s="221"/>
    </row>
    <row r="9" spans="1:30" x14ac:dyDescent="0.35">
      <c r="A9" s="53" t="s">
        <v>146</v>
      </c>
      <c r="B9" s="217"/>
      <c r="C9" s="219"/>
      <c r="D9" s="53" t="s">
        <v>97</v>
      </c>
      <c r="E9" s="8">
        <v>2</v>
      </c>
      <c r="F9" s="8" t="s">
        <v>151</v>
      </c>
      <c r="G9" s="8" t="s">
        <v>152</v>
      </c>
      <c r="H9" s="8">
        <v>40000</v>
      </c>
      <c r="I9" s="8">
        <v>42000</v>
      </c>
      <c r="J9" s="8">
        <v>18000</v>
      </c>
      <c r="K9" s="8">
        <v>20000</v>
      </c>
      <c r="L9" s="222"/>
      <c r="M9" s="72"/>
      <c r="S9" s="221" t="s">
        <v>243</v>
      </c>
      <c r="T9" s="221"/>
      <c r="U9" s="221"/>
      <c r="V9" s="221" t="s">
        <v>244</v>
      </c>
      <c r="W9" s="221"/>
      <c r="AB9" t="s">
        <v>79</v>
      </c>
      <c r="AC9" t="s">
        <v>233</v>
      </c>
    </row>
    <row r="10" spans="1:30" x14ac:dyDescent="0.35">
      <c r="A10" s="53" t="s">
        <v>146</v>
      </c>
      <c r="B10" s="217"/>
      <c r="C10" s="219"/>
      <c r="D10" s="53" t="s">
        <v>98</v>
      </c>
      <c r="E10" s="8"/>
      <c r="F10" s="8"/>
      <c r="G10" s="8"/>
      <c r="H10" s="8"/>
      <c r="I10" s="8"/>
      <c r="J10" s="8"/>
      <c r="K10" s="8"/>
      <c r="L10" s="222"/>
      <c r="M10" s="72" t="s">
        <v>59</v>
      </c>
      <c r="N10" t="s">
        <v>239</v>
      </c>
      <c r="O10" t="s">
        <v>240</v>
      </c>
      <c r="P10" t="s">
        <v>237</v>
      </c>
      <c r="Q10" t="s">
        <v>241</v>
      </c>
      <c r="R10" t="s">
        <v>242</v>
      </c>
      <c r="S10">
        <v>60000</v>
      </c>
      <c r="T10">
        <v>4</v>
      </c>
      <c r="U10">
        <f>S10/30/8*4*12</f>
        <v>12000</v>
      </c>
      <c r="V10">
        <v>11000</v>
      </c>
      <c r="W10">
        <v>4</v>
      </c>
      <c r="X10">
        <f>V10/30/8*4*12</f>
        <v>2200</v>
      </c>
      <c r="Z10" s="8">
        <v>62000</v>
      </c>
      <c r="AA10">
        <v>4</v>
      </c>
      <c r="AB10">
        <f>Z10/30/8*4*12</f>
        <v>12400</v>
      </c>
      <c r="AC10" s="8">
        <v>20000</v>
      </c>
      <c r="AD10">
        <f>AC10/30/8*4*12</f>
        <v>4000</v>
      </c>
    </row>
    <row r="11" spans="1:30" x14ac:dyDescent="0.35">
      <c r="A11" s="53" t="s">
        <v>146</v>
      </c>
      <c r="B11" s="217"/>
      <c r="C11" s="219"/>
      <c r="D11" s="53" t="s">
        <v>99</v>
      </c>
      <c r="E11" s="8">
        <v>1</v>
      </c>
      <c r="F11" s="8" t="s">
        <v>151</v>
      </c>
      <c r="G11" s="8"/>
      <c r="H11" s="8">
        <v>50000</v>
      </c>
      <c r="I11" s="8">
        <v>52000</v>
      </c>
      <c r="J11" s="8"/>
      <c r="K11" s="8"/>
      <c r="L11" s="222"/>
      <c r="M11" s="72" t="s">
        <v>236</v>
      </c>
      <c r="N11">
        <f>SUM(H2:H14)</f>
        <v>471000</v>
      </c>
      <c r="O11" s="104">
        <f>SUM(J3:J15)</f>
        <v>112000</v>
      </c>
      <c r="P11" t="s">
        <v>238</v>
      </c>
      <c r="S11">
        <f>H5</f>
        <v>60000</v>
      </c>
      <c r="T11">
        <v>4</v>
      </c>
      <c r="U11">
        <f t="shared" ref="U11:U18" si="0">S11/30/8*4*12</f>
        <v>12000</v>
      </c>
      <c r="V11">
        <v>11000</v>
      </c>
      <c r="W11">
        <v>4</v>
      </c>
      <c r="X11">
        <f t="shared" ref="X11:X18" si="1">V11/30/8*4*12</f>
        <v>2200</v>
      </c>
      <c r="Z11" s="8"/>
      <c r="AA11">
        <v>4</v>
      </c>
      <c r="AB11">
        <f>Z11/30/8*4*12</f>
        <v>0</v>
      </c>
      <c r="AC11" s="8">
        <v>20000</v>
      </c>
      <c r="AD11">
        <f t="shared" ref="AD11:AD22" si="2">AC11/30/8*4*12</f>
        <v>4000</v>
      </c>
    </row>
    <row r="12" spans="1:30" x14ac:dyDescent="0.35">
      <c r="A12" s="53" t="s">
        <v>146</v>
      </c>
      <c r="B12" s="217"/>
      <c r="C12" s="219"/>
      <c r="D12" s="53" t="s">
        <v>100</v>
      </c>
      <c r="E12" s="8">
        <v>1</v>
      </c>
      <c r="F12" s="8" t="s">
        <v>151</v>
      </c>
      <c r="G12" s="8"/>
      <c r="H12" s="8">
        <v>50000</v>
      </c>
      <c r="I12" s="8">
        <v>52000</v>
      </c>
      <c r="J12" s="8"/>
      <c r="K12" s="8"/>
      <c r="L12" s="222"/>
      <c r="M12" s="72"/>
      <c r="S12">
        <f>H6</f>
        <v>60000</v>
      </c>
      <c r="T12">
        <v>4</v>
      </c>
      <c r="U12">
        <f t="shared" si="0"/>
        <v>12000</v>
      </c>
      <c r="W12">
        <v>4</v>
      </c>
      <c r="X12">
        <f t="shared" si="1"/>
        <v>0</v>
      </c>
      <c r="Z12" s="8"/>
      <c r="AA12">
        <v>4</v>
      </c>
      <c r="AB12">
        <f t="shared" ref="AB12:AB22" si="3">Z12/30/8*4*12</f>
        <v>0</v>
      </c>
      <c r="AC12" s="8"/>
      <c r="AD12">
        <f t="shared" si="2"/>
        <v>0</v>
      </c>
    </row>
    <row r="13" spans="1:30" x14ac:dyDescent="0.35">
      <c r="A13" s="53" t="s">
        <v>146</v>
      </c>
      <c r="B13" s="217"/>
      <c r="C13" s="219"/>
      <c r="D13" s="53" t="s">
        <v>101</v>
      </c>
      <c r="E13" s="8">
        <v>1</v>
      </c>
      <c r="F13" s="8" t="s">
        <v>151</v>
      </c>
      <c r="G13" s="8"/>
      <c r="H13" s="8">
        <v>45000</v>
      </c>
      <c r="I13" s="8">
        <v>47000</v>
      </c>
      <c r="J13" s="8"/>
      <c r="K13" s="8"/>
      <c r="L13" s="222"/>
      <c r="M13" s="72"/>
      <c r="S13" s="8">
        <v>50000</v>
      </c>
      <c r="T13">
        <v>4</v>
      </c>
      <c r="U13">
        <f>S13/30/8*4*12</f>
        <v>10000</v>
      </c>
      <c r="V13">
        <v>18000</v>
      </c>
      <c r="W13">
        <v>4</v>
      </c>
      <c r="X13">
        <f t="shared" si="1"/>
        <v>3600</v>
      </c>
      <c r="Z13" s="8">
        <v>62000</v>
      </c>
      <c r="AA13">
        <v>4</v>
      </c>
      <c r="AB13">
        <f t="shared" si="3"/>
        <v>12400</v>
      </c>
      <c r="AC13" s="8">
        <v>20000</v>
      </c>
      <c r="AD13">
        <f t="shared" si="2"/>
        <v>4000</v>
      </c>
    </row>
    <row r="14" spans="1:30" x14ac:dyDescent="0.35">
      <c r="A14" s="53" t="s">
        <v>146</v>
      </c>
      <c r="B14" s="217"/>
      <c r="C14" s="219"/>
      <c r="D14" s="53" t="s">
        <v>102</v>
      </c>
      <c r="E14" s="8">
        <v>2</v>
      </c>
      <c r="F14" s="8" t="s">
        <v>151</v>
      </c>
      <c r="G14" s="8" t="s">
        <v>152</v>
      </c>
      <c r="H14" s="8">
        <v>56000</v>
      </c>
      <c r="I14" s="8">
        <v>60000</v>
      </c>
      <c r="J14" s="8">
        <v>18000</v>
      </c>
      <c r="K14" s="8">
        <v>20000</v>
      </c>
      <c r="L14" s="222"/>
      <c r="M14" s="72"/>
      <c r="S14" s="8">
        <v>50000</v>
      </c>
      <c r="T14">
        <v>4</v>
      </c>
      <c r="U14">
        <f t="shared" si="0"/>
        <v>10000</v>
      </c>
      <c r="V14">
        <v>18000</v>
      </c>
      <c r="W14">
        <v>4</v>
      </c>
      <c r="X14">
        <f t="shared" si="1"/>
        <v>3600</v>
      </c>
      <c r="Z14" s="8">
        <v>62000</v>
      </c>
      <c r="AA14">
        <v>4</v>
      </c>
      <c r="AB14">
        <f t="shared" si="3"/>
        <v>12400</v>
      </c>
      <c r="AC14" s="8">
        <v>20000</v>
      </c>
      <c r="AD14">
        <f t="shared" si="2"/>
        <v>4000</v>
      </c>
    </row>
    <row r="15" spans="1:30" x14ac:dyDescent="0.35">
      <c r="A15" s="53" t="s">
        <v>146</v>
      </c>
      <c r="B15" s="217"/>
      <c r="C15" s="220"/>
      <c r="D15" s="53" t="s">
        <v>103</v>
      </c>
      <c r="E15" s="8">
        <v>1</v>
      </c>
      <c r="F15" s="8"/>
      <c r="G15" s="8" t="s">
        <v>152</v>
      </c>
      <c r="H15" s="8"/>
      <c r="I15" s="8"/>
      <c r="J15" s="8">
        <v>18000</v>
      </c>
      <c r="K15" s="8">
        <v>20000</v>
      </c>
      <c r="L15" s="222"/>
      <c r="M15" s="72"/>
      <c r="S15" s="8">
        <v>45000</v>
      </c>
      <c r="T15">
        <v>4</v>
      </c>
      <c r="U15">
        <f t="shared" si="0"/>
        <v>9000</v>
      </c>
      <c r="W15">
        <v>4</v>
      </c>
      <c r="X15">
        <f t="shared" si="1"/>
        <v>0</v>
      </c>
      <c r="Z15" s="8"/>
      <c r="AA15">
        <v>4</v>
      </c>
      <c r="AB15">
        <f t="shared" si="3"/>
        <v>0</v>
      </c>
      <c r="AC15" s="8"/>
      <c r="AD15">
        <f t="shared" si="2"/>
        <v>0</v>
      </c>
    </row>
    <row r="16" spans="1:30" x14ac:dyDescent="0.35">
      <c r="A16" s="53"/>
      <c r="B16" s="218" t="s">
        <v>148</v>
      </c>
      <c r="C16" s="218" t="s">
        <v>104</v>
      </c>
      <c r="D16" s="54" t="s">
        <v>105</v>
      </c>
      <c r="E16" s="8" t="s">
        <v>149</v>
      </c>
      <c r="F16" s="8">
        <v>1</v>
      </c>
      <c r="G16" s="8">
        <v>1</v>
      </c>
      <c r="H16" s="101">
        <v>40000</v>
      </c>
      <c r="I16" s="101">
        <v>40000</v>
      </c>
      <c r="J16" s="8">
        <v>11000</v>
      </c>
      <c r="K16" s="8">
        <v>13000</v>
      </c>
      <c r="S16" s="8">
        <v>56000</v>
      </c>
      <c r="T16">
        <v>4</v>
      </c>
      <c r="U16">
        <f t="shared" si="0"/>
        <v>11200</v>
      </c>
      <c r="V16">
        <v>18000</v>
      </c>
      <c r="W16">
        <v>4</v>
      </c>
      <c r="X16">
        <f t="shared" si="1"/>
        <v>3600</v>
      </c>
      <c r="Z16" s="8">
        <v>52000</v>
      </c>
      <c r="AA16">
        <v>4</v>
      </c>
      <c r="AB16">
        <f>Z16/30/8*4*12</f>
        <v>10400</v>
      </c>
      <c r="AC16" s="8">
        <v>20000</v>
      </c>
      <c r="AD16">
        <f t="shared" si="2"/>
        <v>4000</v>
      </c>
    </row>
    <row r="17" spans="1:30" x14ac:dyDescent="0.35">
      <c r="A17" s="53"/>
      <c r="B17" s="219"/>
      <c r="C17" s="219"/>
      <c r="D17" s="54" t="s">
        <v>106</v>
      </c>
      <c r="E17" s="8" t="s">
        <v>149</v>
      </c>
      <c r="F17" s="8">
        <v>1</v>
      </c>
      <c r="G17" s="8">
        <v>1</v>
      </c>
      <c r="H17" s="101">
        <v>40000</v>
      </c>
      <c r="I17" s="101">
        <v>40000</v>
      </c>
      <c r="J17" s="8">
        <v>13000</v>
      </c>
      <c r="K17" s="8">
        <v>15000</v>
      </c>
      <c r="S17" s="8">
        <v>50000</v>
      </c>
      <c r="T17">
        <v>4</v>
      </c>
      <c r="U17">
        <f t="shared" si="0"/>
        <v>10000</v>
      </c>
      <c r="V17">
        <v>18000</v>
      </c>
      <c r="W17">
        <v>4</v>
      </c>
      <c r="X17">
        <f t="shared" si="1"/>
        <v>3600</v>
      </c>
      <c r="Z17" s="8">
        <v>42000</v>
      </c>
      <c r="AA17">
        <v>4</v>
      </c>
      <c r="AB17">
        <f t="shared" si="3"/>
        <v>8400</v>
      </c>
      <c r="AC17" s="8"/>
      <c r="AD17">
        <f t="shared" si="2"/>
        <v>0</v>
      </c>
    </row>
    <row r="18" spans="1:30" x14ac:dyDescent="0.35">
      <c r="A18" s="53" t="s">
        <v>146</v>
      </c>
      <c r="B18" s="219"/>
      <c r="C18" s="218" t="s">
        <v>107</v>
      </c>
      <c r="D18" s="55" t="s">
        <v>108</v>
      </c>
      <c r="E18" s="8"/>
      <c r="F18" s="8">
        <v>1</v>
      </c>
      <c r="G18" s="8"/>
      <c r="H18" s="8"/>
      <c r="I18" s="8"/>
      <c r="J18" s="8"/>
      <c r="K18" s="8"/>
      <c r="S18" s="8">
        <v>40000</v>
      </c>
      <c r="T18">
        <v>4</v>
      </c>
      <c r="U18">
        <f t="shared" si="0"/>
        <v>8000</v>
      </c>
      <c r="V18">
        <v>18000</v>
      </c>
      <c r="W18">
        <v>4</v>
      </c>
      <c r="X18">
        <f t="shared" si="1"/>
        <v>3600</v>
      </c>
      <c r="Z18" s="8"/>
      <c r="AA18">
        <v>4</v>
      </c>
      <c r="AB18">
        <f t="shared" si="3"/>
        <v>0</v>
      </c>
      <c r="AC18" s="8"/>
      <c r="AD18">
        <f t="shared" si="2"/>
        <v>0</v>
      </c>
    </row>
    <row r="19" spans="1:30" x14ac:dyDescent="0.35">
      <c r="A19" s="53" t="s">
        <v>146</v>
      </c>
      <c r="B19" s="219"/>
      <c r="C19" s="219"/>
      <c r="D19" s="55" t="s">
        <v>109</v>
      </c>
      <c r="E19" s="8"/>
      <c r="F19" s="8">
        <v>1</v>
      </c>
      <c r="G19" s="8"/>
      <c r="H19" s="8"/>
      <c r="I19" s="8"/>
      <c r="J19" s="8"/>
      <c r="K19" s="8"/>
      <c r="Z19" s="8">
        <v>52000</v>
      </c>
      <c r="AA19">
        <v>4</v>
      </c>
      <c r="AB19">
        <f t="shared" si="3"/>
        <v>10400</v>
      </c>
      <c r="AC19" s="8"/>
      <c r="AD19">
        <f t="shared" si="2"/>
        <v>0</v>
      </c>
    </row>
    <row r="20" spans="1:30" x14ac:dyDescent="0.35">
      <c r="A20" s="53" t="s">
        <v>146</v>
      </c>
      <c r="B20" s="219"/>
      <c r="C20" s="219"/>
      <c r="D20" s="55" t="s">
        <v>110</v>
      </c>
      <c r="E20" s="8"/>
      <c r="F20" s="8">
        <v>1</v>
      </c>
      <c r="G20" s="8"/>
      <c r="H20" s="8"/>
      <c r="I20" s="8"/>
      <c r="J20" s="8"/>
      <c r="K20" s="8"/>
      <c r="U20" s="106">
        <f>SUM(U10:U18)</f>
        <v>94200</v>
      </c>
      <c r="X20" s="106">
        <f>SUM(X10:X18)</f>
        <v>22400</v>
      </c>
      <c r="Z20" s="8">
        <v>52000</v>
      </c>
      <c r="AA20">
        <v>4</v>
      </c>
      <c r="AB20">
        <f t="shared" si="3"/>
        <v>10400</v>
      </c>
      <c r="AC20" s="8"/>
      <c r="AD20">
        <f t="shared" si="2"/>
        <v>0</v>
      </c>
    </row>
    <row r="21" spans="1:30" x14ac:dyDescent="0.35">
      <c r="A21" s="53" t="s">
        <v>146</v>
      </c>
      <c r="B21" s="219"/>
      <c r="C21" s="219"/>
      <c r="D21" s="55" t="s">
        <v>111</v>
      </c>
      <c r="E21" s="8"/>
      <c r="F21" s="8">
        <v>1</v>
      </c>
      <c r="G21" s="8">
        <v>1</v>
      </c>
      <c r="H21" s="8"/>
      <c r="I21" s="8"/>
      <c r="J21" s="8"/>
      <c r="K21" s="8"/>
      <c r="W21">
        <f>U20+X20</f>
        <v>116600</v>
      </c>
      <c r="Z21" s="8">
        <v>47000</v>
      </c>
      <c r="AA21">
        <v>4</v>
      </c>
      <c r="AB21">
        <f t="shared" si="3"/>
        <v>9400</v>
      </c>
      <c r="AC21" s="8">
        <v>20000</v>
      </c>
      <c r="AD21">
        <f t="shared" si="2"/>
        <v>4000</v>
      </c>
    </row>
    <row r="22" spans="1:30" x14ac:dyDescent="0.35">
      <c r="A22" s="53" t="s">
        <v>146</v>
      </c>
      <c r="B22" s="219"/>
      <c r="C22" s="219"/>
      <c r="D22" s="55" t="s">
        <v>112</v>
      </c>
      <c r="E22" s="8"/>
      <c r="F22" s="8">
        <v>1</v>
      </c>
      <c r="G22" s="8"/>
      <c r="H22" s="8"/>
      <c r="I22" s="8"/>
      <c r="J22" s="8"/>
      <c r="K22" s="8"/>
      <c r="Z22" s="8">
        <v>60000</v>
      </c>
      <c r="AA22">
        <v>4</v>
      </c>
      <c r="AB22">
        <f t="shared" si="3"/>
        <v>12000</v>
      </c>
      <c r="AC22" s="8">
        <v>20000</v>
      </c>
      <c r="AD22">
        <f t="shared" si="2"/>
        <v>4000</v>
      </c>
    </row>
    <row r="23" spans="1:30" x14ac:dyDescent="0.35">
      <c r="A23" s="53" t="s">
        <v>146</v>
      </c>
      <c r="B23" s="219"/>
      <c r="C23" s="219"/>
      <c r="D23" s="53" t="s">
        <v>113</v>
      </c>
      <c r="E23" s="8"/>
      <c r="F23" s="8">
        <v>1</v>
      </c>
      <c r="G23" s="8">
        <v>1</v>
      </c>
      <c r="H23" s="8"/>
      <c r="I23" s="8"/>
      <c r="J23" s="8"/>
      <c r="K23" s="8"/>
    </row>
    <row r="24" spans="1:30" x14ac:dyDescent="0.35">
      <c r="A24" s="53" t="s">
        <v>146</v>
      </c>
      <c r="B24" s="219"/>
      <c r="C24" s="219"/>
      <c r="D24" s="83" t="s">
        <v>114</v>
      </c>
      <c r="E24" s="40">
        <v>1</v>
      </c>
      <c r="F24" s="40"/>
      <c r="G24" s="40">
        <v>1</v>
      </c>
      <c r="H24" s="8"/>
      <c r="I24" s="8"/>
      <c r="J24" s="8">
        <v>13000</v>
      </c>
      <c r="K24" s="8">
        <v>20000</v>
      </c>
      <c r="AB24" s="106">
        <f>SUM(AB10:AB21)</f>
        <v>86200</v>
      </c>
      <c r="AD24" s="106">
        <f>SUM(AD10:AD22)</f>
        <v>28000</v>
      </c>
    </row>
    <row r="25" spans="1:30" x14ac:dyDescent="0.35">
      <c r="A25" s="53" t="s">
        <v>146</v>
      </c>
      <c r="B25" s="219"/>
      <c r="C25" s="219"/>
      <c r="D25" s="55" t="s">
        <v>115</v>
      </c>
      <c r="E25" s="8" t="s">
        <v>156</v>
      </c>
      <c r="F25" s="8"/>
      <c r="G25" s="8"/>
      <c r="H25" s="215" t="s">
        <v>155</v>
      </c>
      <c r="I25" s="216"/>
      <c r="J25" s="215">
        <v>18000</v>
      </c>
      <c r="K25" s="216"/>
    </row>
    <row r="26" spans="1:30" x14ac:dyDescent="0.35">
      <c r="A26" s="53" t="s">
        <v>146</v>
      </c>
      <c r="B26" s="220"/>
      <c r="C26" s="220"/>
      <c r="D26" s="55" t="s">
        <v>116</v>
      </c>
      <c r="E26" s="8">
        <v>1</v>
      </c>
      <c r="F26" s="8">
        <v>1</v>
      </c>
      <c r="G26" s="8"/>
      <c r="H26" s="8"/>
      <c r="I26" s="8"/>
      <c r="J26" s="8"/>
      <c r="K26" s="8"/>
    </row>
    <row r="27" spans="1:30" x14ac:dyDescent="0.35">
      <c r="A27" s="53" t="s">
        <v>146</v>
      </c>
      <c r="B27" s="225" t="s">
        <v>58</v>
      </c>
      <c r="C27" s="227" t="s">
        <v>117</v>
      </c>
      <c r="D27" s="56" t="s">
        <v>118</v>
      </c>
      <c r="E27" s="8"/>
      <c r="F27" s="8"/>
      <c r="G27" s="8"/>
      <c r="H27" s="8"/>
      <c r="I27" s="8"/>
      <c r="J27" s="8"/>
      <c r="K27" s="8"/>
    </row>
    <row r="28" spans="1:30" x14ac:dyDescent="0.35">
      <c r="A28" s="53" t="s">
        <v>146</v>
      </c>
      <c r="B28" s="226"/>
      <c r="C28" s="228"/>
      <c r="D28" s="56" t="s">
        <v>119</v>
      </c>
      <c r="E28" s="8"/>
      <c r="F28" s="8"/>
      <c r="G28" s="8"/>
      <c r="H28" s="8"/>
      <c r="I28" s="8"/>
      <c r="J28" s="8"/>
      <c r="K28" s="8"/>
    </row>
    <row r="29" spans="1:30" x14ac:dyDescent="0.35">
      <c r="A29" s="53" t="s">
        <v>146</v>
      </c>
      <c r="B29" s="226"/>
      <c r="C29" s="228"/>
      <c r="D29" s="56" t="s">
        <v>120</v>
      </c>
      <c r="E29" s="8"/>
      <c r="F29" s="8"/>
      <c r="G29" s="8"/>
      <c r="H29" s="8"/>
      <c r="I29" s="8"/>
      <c r="J29" s="8"/>
      <c r="K29" s="8"/>
    </row>
    <row r="30" spans="1:30" x14ac:dyDescent="0.35">
      <c r="A30" s="53" t="s">
        <v>146</v>
      </c>
      <c r="B30" s="226"/>
      <c r="C30" s="228"/>
      <c r="D30" s="56" t="s">
        <v>121</v>
      </c>
      <c r="E30" s="8"/>
      <c r="F30" s="8"/>
      <c r="G30" s="8"/>
      <c r="H30" s="8"/>
      <c r="I30" s="8"/>
      <c r="J30" s="8"/>
      <c r="K30" s="8"/>
    </row>
    <row r="31" spans="1:30" x14ac:dyDescent="0.35">
      <c r="A31" s="53" t="s">
        <v>146</v>
      </c>
      <c r="B31" s="226"/>
      <c r="C31" s="228"/>
      <c r="D31" s="56" t="s">
        <v>122</v>
      </c>
      <c r="E31" s="8"/>
      <c r="F31" s="8"/>
      <c r="G31" s="8"/>
      <c r="H31" s="8"/>
      <c r="I31" s="8"/>
      <c r="J31" s="8"/>
      <c r="K31" s="8"/>
    </row>
    <row r="32" spans="1:30" x14ac:dyDescent="0.35">
      <c r="A32" s="53" t="s">
        <v>146</v>
      </c>
      <c r="B32" s="226"/>
      <c r="C32" s="228"/>
      <c r="D32" s="56" t="s">
        <v>123</v>
      </c>
      <c r="E32" s="8"/>
      <c r="F32" s="8"/>
      <c r="G32" s="8"/>
      <c r="H32" s="8"/>
      <c r="I32" s="8"/>
      <c r="J32" s="8"/>
      <c r="K32" s="8"/>
    </row>
    <row r="33" spans="1:17" x14ac:dyDescent="0.35">
      <c r="A33" s="53" t="s">
        <v>146</v>
      </c>
      <c r="B33" s="226"/>
      <c r="C33" s="229"/>
      <c r="D33" s="56" t="s">
        <v>124</v>
      </c>
      <c r="E33" s="8"/>
      <c r="F33" s="8"/>
      <c r="G33" s="8"/>
      <c r="H33" s="8"/>
      <c r="I33" s="8"/>
      <c r="J33" s="8"/>
      <c r="K33" s="8"/>
    </row>
    <row r="34" spans="1:17" x14ac:dyDescent="0.35">
      <c r="A34" s="53" t="s">
        <v>146</v>
      </c>
      <c r="B34" s="226"/>
      <c r="C34" s="228" t="s">
        <v>125</v>
      </c>
      <c r="D34" s="56" t="s">
        <v>126</v>
      </c>
      <c r="E34" s="8"/>
      <c r="F34" s="8">
        <v>1</v>
      </c>
      <c r="G34" s="8"/>
      <c r="H34" s="8">
        <v>45000</v>
      </c>
      <c r="I34" s="8">
        <v>47000</v>
      </c>
      <c r="J34" s="8"/>
      <c r="K34" s="8"/>
    </row>
    <row r="35" spans="1:17" x14ac:dyDescent="0.35">
      <c r="A35" s="53" t="s">
        <v>146</v>
      </c>
      <c r="B35" s="226"/>
      <c r="C35" s="228"/>
      <c r="D35" s="56" t="s">
        <v>127</v>
      </c>
      <c r="E35" s="8"/>
      <c r="F35" s="8">
        <v>1</v>
      </c>
      <c r="G35" s="8">
        <v>1</v>
      </c>
      <c r="H35" s="8">
        <v>45000</v>
      </c>
      <c r="I35" s="8"/>
      <c r="J35" s="8"/>
      <c r="K35" s="8"/>
      <c r="M35" t="s">
        <v>235</v>
      </c>
      <c r="N35">
        <v>1</v>
      </c>
      <c r="O35">
        <v>4</v>
      </c>
      <c r="P35">
        <v>4</v>
      </c>
      <c r="Q35">
        <v>1</v>
      </c>
    </row>
    <row r="36" spans="1:17" x14ac:dyDescent="0.35">
      <c r="A36" s="53" t="s">
        <v>146</v>
      </c>
      <c r="B36" s="226"/>
      <c r="C36" s="228"/>
      <c r="D36" s="56" t="s">
        <v>128</v>
      </c>
      <c r="E36" s="8"/>
      <c r="F36" s="8">
        <v>1</v>
      </c>
      <c r="G36" s="8"/>
      <c r="H36" s="8">
        <v>45000</v>
      </c>
      <c r="I36" s="8">
        <v>47000</v>
      </c>
      <c r="J36" s="8"/>
      <c r="K36" s="8"/>
      <c r="N36" t="s">
        <v>78</v>
      </c>
      <c r="O36" t="s">
        <v>79</v>
      </c>
      <c r="P36" t="s">
        <v>81</v>
      </c>
      <c r="Q36" t="s">
        <v>80</v>
      </c>
    </row>
    <row r="37" spans="1:17" x14ac:dyDescent="0.35">
      <c r="A37" s="53" t="s">
        <v>146</v>
      </c>
      <c r="B37" s="226"/>
      <c r="C37" s="228"/>
      <c r="D37" s="56" t="s">
        <v>129</v>
      </c>
      <c r="E37" s="8"/>
      <c r="F37" s="8">
        <v>1</v>
      </c>
      <c r="G37" s="8">
        <v>1</v>
      </c>
      <c r="H37" s="8">
        <v>40000</v>
      </c>
      <c r="I37" s="8">
        <v>42000</v>
      </c>
      <c r="J37" s="8"/>
      <c r="K37" s="8"/>
      <c r="M37" t="s">
        <v>232</v>
      </c>
    </row>
    <row r="38" spans="1:17" x14ac:dyDescent="0.35">
      <c r="A38" s="53" t="s">
        <v>146</v>
      </c>
      <c r="B38" s="226"/>
      <c r="C38" s="228"/>
      <c r="D38" s="56" t="s">
        <v>130</v>
      </c>
      <c r="E38" s="8"/>
      <c r="F38" s="8">
        <v>1</v>
      </c>
      <c r="G38" s="8">
        <v>1</v>
      </c>
      <c r="H38" s="8">
        <v>33000</v>
      </c>
      <c r="I38" s="8">
        <v>35000</v>
      </c>
      <c r="J38" s="8">
        <v>18500</v>
      </c>
      <c r="K38" s="8">
        <v>21000</v>
      </c>
      <c r="M38" t="s">
        <v>79</v>
      </c>
      <c r="N38">
        <v>16</v>
      </c>
      <c r="O38">
        <v>9</v>
      </c>
      <c r="P38">
        <v>10</v>
      </c>
      <c r="Q38">
        <v>5</v>
      </c>
    </row>
    <row r="39" spans="1:17" x14ac:dyDescent="0.35">
      <c r="A39" s="53" t="s">
        <v>146</v>
      </c>
      <c r="B39" s="226"/>
      <c r="C39" s="228"/>
      <c r="D39" s="56" t="s">
        <v>131</v>
      </c>
      <c r="E39" s="8"/>
      <c r="F39" s="8">
        <v>1</v>
      </c>
      <c r="G39" s="8">
        <v>1</v>
      </c>
      <c r="H39" s="8">
        <v>43000</v>
      </c>
      <c r="I39" s="8">
        <v>45000</v>
      </c>
      <c r="J39" s="8"/>
      <c r="K39" s="8"/>
      <c r="M39" t="s">
        <v>233</v>
      </c>
      <c r="N39">
        <v>10</v>
      </c>
      <c r="O39">
        <v>7</v>
      </c>
      <c r="P39">
        <v>6</v>
      </c>
      <c r="Q39">
        <v>10</v>
      </c>
    </row>
    <row r="40" spans="1:17" x14ac:dyDescent="0.35">
      <c r="A40" s="53" t="s">
        <v>146</v>
      </c>
      <c r="B40" s="226"/>
      <c r="C40" s="228"/>
      <c r="D40" s="56" t="s">
        <v>132</v>
      </c>
      <c r="E40" s="8"/>
      <c r="F40" s="8">
        <v>1</v>
      </c>
      <c r="G40" s="8"/>
      <c r="H40" s="8">
        <v>38000</v>
      </c>
      <c r="I40" s="8"/>
      <c r="J40" s="8"/>
      <c r="K40" s="8"/>
    </row>
    <row r="41" spans="1:17" x14ac:dyDescent="0.35">
      <c r="A41" s="53" t="s">
        <v>146</v>
      </c>
      <c r="B41" s="226"/>
      <c r="C41" s="229"/>
      <c r="D41" s="56" t="s">
        <v>133</v>
      </c>
      <c r="E41" s="8"/>
      <c r="F41" s="8">
        <v>1</v>
      </c>
      <c r="G41" s="8">
        <v>1</v>
      </c>
      <c r="H41" s="8">
        <v>43000</v>
      </c>
      <c r="I41" s="8"/>
      <c r="J41" s="8"/>
      <c r="K41" s="8"/>
    </row>
    <row r="42" spans="1:17" x14ac:dyDescent="0.35">
      <c r="A42" s="53" t="s">
        <v>146</v>
      </c>
      <c r="B42" s="223"/>
      <c r="C42" s="224" t="s">
        <v>60</v>
      </c>
      <c r="D42" s="82" t="s">
        <v>136</v>
      </c>
      <c r="E42" s="8">
        <v>2</v>
      </c>
      <c r="F42" s="8">
        <v>1</v>
      </c>
      <c r="G42" s="8">
        <v>1</v>
      </c>
      <c r="H42" s="8"/>
      <c r="I42" s="8">
        <v>40000</v>
      </c>
      <c r="J42" s="8"/>
      <c r="K42" s="8"/>
    </row>
    <row r="43" spans="1:17" x14ac:dyDescent="0.35">
      <c r="A43" s="53" t="s">
        <v>146</v>
      </c>
      <c r="B43" s="223"/>
      <c r="C43" s="224"/>
      <c r="D43" s="82" t="s">
        <v>137</v>
      </c>
      <c r="E43" s="8">
        <v>2</v>
      </c>
      <c r="F43" s="8">
        <v>1</v>
      </c>
      <c r="G43" s="8">
        <v>1</v>
      </c>
      <c r="H43" s="8"/>
      <c r="I43" s="8"/>
      <c r="J43" s="8"/>
      <c r="K43" s="8"/>
    </row>
    <row r="44" spans="1:17" x14ac:dyDescent="0.35">
      <c r="A44" s="53" t="s">
        <v>146</v>
      </c>
      <c r="B44" s="223"/>
      <c r="C44" s="224"/>
      <c r="D44" s="82" t="s">
        <v>182</v>
      </c>
      <c r="E44" s="8">
        <v>2</v>
      </c>
      <c r="F44" s="8">
        <v>1</v>
      </c>
      <c r="G44" s="8">
        <v>1</v>
      </c>
      <c r="H44" s="8">
        <v>45000</v>
      </c>
      <c r="I44" s="8">
        <v>47000</v>
      </c>
      <c r="J44" s="8">
        <v>11000</v>
      </c>
      <c r="K44" s="8">
        <v>13000</v>
      </c>
    </row>
    <row r="45" spans="1:17" x14ac:dyDescent="0.35">
      <c r="A45" s="53" t="s">
        <v>146</v>
      </c>
      <c r="B45" s="223"/>
      <c r="C45" s="224"/>
      <c r="D45" s="56" t="s">
        <v>138</v>
      </c>
      <c r="E45" s="8">
        <v>1</v>
      </c>
      <c r="F45" s="8"/>
      <c r="G45" s="8">
        <v>1</v>
      </c>
      <c r="H45" s="8"/>
      <c r="I45" s="8"/>
      <c r="J45" s="8"/>
      <c r="K45" s="8">
        <v>12000</v>
      </c>
      <c r="N45" t="s">
        <v>78</v>
      </c>
      <c r="O45" t="s">
        <v>79</v>
      </c>
      <c r="P45" t="s">
        <v>81</v>
      </c>
      <c r="Q45" t="s">
        <v>80</v>
      </c>
    </row>
    <row r="46" spans="1:17" x14ac:dyDescent="0.35">
      <c r="A46" s="53" t="s">
        <v>146</v>
      </c>
      <c r="B46" s="223"/>
      <c r="C46" s="224"/>
      <c r="D46" s="56" t="s">
        <v>181</v>
      </c>
      <c r="E46" s="8">
        <v>1</v>
      </c>
      <c r="F46" s="8"/>
      <c r="G46" s="8">
        <v>1</v>
      </c>
      <c r="H46" s="8"/>
      <c r="I46" s="8"/>
      <c r="J46" s="8"/>
      <c r="K46" s="8">
        <v>12000</v>
      </c>
      <c r="M46" t="s">
        <v>234</v>
      </c>
    </row>
    <row r="47" spans="1:17" x14ac:dyDescent="0.35">
      <c r="A47" s="53" t="s">
        <v>146</v>
      </c>
      <c r="B47" s="223"/>
      <c r="C47" s="224"/>
      <c r="D47" s="56" t="s">
        <v>139</v>
      </c>
      <c r="E47" s="8">
        <v>1</v>
      </c>
      <c r="F47" s="8"/>
      <c r="G47" s="8">
        <v>1</v>
      </c>
      <c r="H47" s="8"/>
      <c r="I47" s="8"/>
      <c r="J47" s="8"/>
      <c r="K47" s="8"/>
      <c r="M47" t="s">
        <v>79</v>
      </c>
      <c r="P47">
        <v>11</v>
      </c>
    </row>
    <row r="48" spans="1:17" x14ac:dyDescent="0.35">
      <c r="A48" s="53" t="s">
        <v>146</v>
      </c>
      <c r="B48" s="223"/>
      <c r="C48" s="224"/>
      <c r="D48" s="56" t="s">
        <v>140</v>
      </c>
      <c r="E48" s="8" t="s">
        <v>179</v>
      </c>
      <c r="F48" s="8"/>
      <c r="G48" s="8"/>
      <c r="H48" s="8"/>
      <c r="I48" s="8"/>
      <c r="J48" s="8"/>
      <c r="K48" s="8"/>
      <c r="M48" t="s">
        <v>233</v>
      </c>
      <c r="P48">
        <v>6</v>
      </c>
    </row>
    <row r="49" spans="1:15" x14ac:dyDescent="0.35">
      <c r="A49" s="53" t="s">
        <v>146</v>
      </c>
      <c r="B49" s="223"/>
      <c r="C49" s="224"/>
      <c r="D49" s="56" t="s">
        <v>141</v>
      </c>
      <c r="E49" s="8">
        <v>1</v>
      </c>
      <c r="F49" s="8"/>
      <c r="G49" s="8">
        <v>1</v>
      </c>
      <c r="H49" s="8"/>
      <c r="I49" s="8"/>
      <c r="J49" s="8"/>
      <c r="K49" s="8"/>
    </row>
    <row r="50" spans="1:15" x14ac:dyDescent="0.35">
      <c r="A50" s="53" t="s">
        <v>146</v>
      </c>
      <c r="B50" s="223"/>
      <c r="C50" s="224"/>
      <c r="D50" s="82" t="s">
        <v>157</v>
      </c>
      <c r="E50" s="8" t="s">
        <v>183</v>
      </c>
      <c r="F50" s="8">
        <v>1</v>
      </c>
      <c r="G50" s="8"/>
      <c r="H50" s="8"/>
      <c r="I50" s="8">
        <v>45000</v>
      </c>
      <c r="J50" s="8"/>
      <c r="K50" s="8"/>
      <c r="L50" t="s">
        <v>180</v>
      </c>
    </row>
    <row r="51" spans="1:15" x14ac:dyDescent="0.35">
      <c r="A51" s="53" t="s">
        <v>146</v>
      </c>
      <c r="B51" s="223"/>
      <c r="C51" s="224" t="s">
        <v>142</v>
      </c>
      <c r="D51" s="82" t="s">
        <v>74</v>
      </c>
      <c r="E51" s="8">
        <v>1</v>
      </c>
      <c r="F51" s="8"/>
      <c r="G51" s="8">
        <v>1</v>
      </c>
      <c r="H51" s="8"/>
      <c r="I51" s="8"/>
      <c r="J51" s="8">
        <v>11000</v>
      </c>
      <c r="K51" s="8">
        <v>20000</v>
      </c>
    </row>
    <row r="52" spans="1:15" x14ac:dyDescent="0.35">
      <c r="A52" s="53" t="s">
        <v>146</v>
      </c>
      <c r="B52" s="223"/>
      <c r="C52" s="224"/>
      <c r="D52" s="82" t="s">
        <v>143</v>
      </c>
      <c r="E52" s="8">
        <v>1</v>
      </c>
      <c r="F52" s="8">
        <v>1</v>
      </c>
      <c r="G52" s="8"/>
      <c r="H52" s="8">
        <v>65000</v>
      </c>
      <c r="I52" s="8">
        <v>67000</v>
      </c>
      <c r="J52" s="8">
        <v>11000</v>
      </c>
      <c r="K52" s="8">
        <v>20000</v>
      </c>
    </row>
    <row r="53" spans="1:15" x14ac:dyDescent="0.35">
      <c r="A53" s="53" t="s">
        <v>146</v>
      </c>
      <c r="B53" s="223"/>
      <c r="C53" s="224"/>
      <c r="D53" s="82" t="s">
        <v>134</v>
      </c>
      <c r="E53" s="8">
        <v>1</v>
      </c>
      <c r="F53" s="8"/>
      <c r="G53" s="8">
        <v>1</v>
      </c>
      <c r="H53" s="8"/>
      <c r="I53" s="8"/>
      <c r="J53" s="8">
        <v>11000</v>
      </c>
      <c r="K53" s="8">
        <v>20000</v>
      </c>
    </row>
    <row r="54" spans="1:15" x14ac:dyDescent="0.35">
      <c r="A54" s="53" t="s">
        <v>146</v>
      </c>
      <c r="B54" s="223"/>
      <c r="C54" s="224"/>
      <c r="D54" s="82" t="s">
        <v>135</v>
      </c>
      <c r="E54" s="8">
        <v>1</v>
      </c>
      <c r="F54" s="8"/>
      <c r="G54" s="8">
        <v>1</v>
      </c>
      <c r="H54" s="8"/>
      <c r="I54" s="8"/>
      <c r="J54" s="8"/>
      <c r="K54" s="8"/>
    </row>
    <row r="55" spans="1:15" ht="15" x14ac:dyDescent="0.35">
      <c r="A55"/>
      <c r="B55" s="58"/>
      <c r="C55" s="58"/>
      <c r="D55" s="58"/>
      <c r="G55" s="84"/>
    </row>
    <row r="56" spans="1:15" ht="57" customHeight="1" x14ac:dyDescent="0.35">
      <c r="A56"/>
      <c r="B56" s="58" t="s">
        <v>7</v>
      </c>
      <c r="C56" s="58" t="s">
        <v>186</v>
      </c>
      <c r="D56" s="58" t="s">
        <v>187</v>
      </c>
      <c r="E56" s="58" t="s">
        <v>188</v>
      </c>
      <c r="F56" s="58" t="s">
        <v>189</v>
      </c>
      <c r="G56" s="58" t="s">
        <v>206</v>
      </c>
      <c r="H56" s="58" t="s">
        <v>229</v>
      </c>
      <c r="I56" s="58" t="s">
        <v>205</v>
      </c>
      <c r="J56" s="58" t="s">
        <v>230</v>
      </c>
      <c r="K56" s="100">
        <v>0.03</v>
      </c>
      <c r="L56" s="58"/>
      <c r="M56" s="58"/>
    </row>
    <row r="57" spans="1:15" x14ac:dyDescent="0.35">
      <c r="A57" s="57" t="s">
        <v>184</v>
      </c>
      <c r="B57" s="57">
        <v>4</v>
      </c>
      <c r="C57" s="57">
        <f>C64</f>
        <v>64400</v>
      </c>
      <c r="D57" s="57">
        <f>C64</f>
        <v>64400</v>
      </c>
      <c r="E57">
        <f>C64</f>
        <v>64400</v>
      </c>
      <c r="F57">
        <f>C64</f>
        <v>64400</v>
      </c>
      <c r="G57">
        <f>SUM(C57:F57)</f>
        <v>257600</v>
      </c>
      <c r="H57">
        <f>4*1</f>
        <v>4</v>
      </c>
      <c r="I57">
        <f>G57/30/8*H57*12</f>
        <v>51520</v>
      </c>
      <c r="K57">
        <f>3/100*G57</f>
        <v>7728</v>
      </c>
      <c r="L57" t="s">
        <v>245</v>
      </c>
      <c r="M57">
        <f>C57</f>
        <v>64400</v>
      </c>
      <c r="N57">
        <v>1</v>
      </c>
      <c r="O57">
        <f>M57/30/8*12</f>
        <v>3220</v>
      </c>
    </row>
    <row r="58" spans="1:15" x14ac:dyDescent="0.35">
      <c r="A58" s="57" t="s">
        <v>59</v>
      </c>
      <c r="B58" s="57">
        <v>4</v>
      </c>
      <c r="C58" s="57">
        <v>60000</v>
      </c>
      <c r="D58" s="57">
        <f>C64</f>
        <v>64400</v>
      </c>
      <c r="E58">
        <f>C64</f>
        <v>64400</v>
      </c>
      <c r="F58">
        <f>C64</f>
        <v>64400</v>
      </c>
      <c r="G58">
        <f>SUM(C58:F58)</f>
        <v>253200</v>
      </c>
      <c r="H58">
        <f>B58*4</f>
        <v>16</v>
      </c>
      <c r="I58">
        <f>G58/30/8*H58*12</f>
        <v>202560</v>
      </c>
      <c r="K58">
        <f>3/100*G58</f>
        <v>7596</v>
      </c>
      <c r="M58">
        <f>D57</f>
        <v>64400</v>
      </c>
      <c r="N58">
        <v>1</v>
      </c>
      <c r="O58">
        <f>M58/30/8*12</f>
        <v>3220</v>
      </c>
    </row>
    <row r="59" spans="1:15" x14ac:dyDescent="0.35">
      <c r="A59" s="57" t="s">
        <v>61</v>
      </c>
      <c r="B59" s="57">
        <v>3</v>
      </c>
      <c r="C59" s="57">
        <v>85000</v>
      </c>
      <c r="D59" s="57">
        <v>56000</v>
      </c>
      <c r="E59">
        <v>56000</v>
      </c>
      <c r="F59" s="57"/>
      <c r="G59">
        <f>SUM(C59:F59)</f>
        <v>197000</v>
      </c>
      <c r="H59">
        <f>B59*4</f>
        <v>12</v>
      </c>
      <c r="I59">
        <f>G59/30/8*H59*12</f>
        <v>118200</v>
      </c>
      <c r="K59">
        <f>3/100*G59</f>
        <v>5910</v>
      </c>
      <c r="M59">
        <f>D58</f>
        <v>64400</v>
      </c>
      <c r="N59">
        <v>1</v>
      </c>
      <c r="O59">
        <f>M59/30/8*12</f>
        <v>3220</v>
      </c>
    </row>
    <row r="60" spans="1:15" x14ac:dyDescent="0.35">
      <c r="A60" s="57" t="s">
        <v>185</v>
      </c>
      <c r="B60" s="57">
        <v>2</v>
      </c>
      <c r="C60" s="57">
        <v>65000</v>
      </c>
      <c r="D60" s="57">
        <f>C64</f>
        <v>64400</v>
      </c>
      <c r="G60">
        <f>SUM(C60:F60)</f>
        <v>129400</v>
      </c>
      <c r="H60">
        <f>B60*1</f>
        <v>2</v>
      </c>
      <c r="I60">
        <f>G60/30/8*H60*12</f>
        <v>12940</v>
      </c>
      <c r="K60">
        <f>3/100*G60</f>
        <v>3882</v>
      </c>
      <c r="M60">
        <f>D59</f>
        <v>56000</v>
      </c>
      <c r="N60">
        <v>1</v>
      </c>
      <c r="O60">
        <f>M60/30/8*12</f>
        <v>2800</v>
      </c>
    </row>
    <row r="61" spans="1:15" x14ac:dyDescent="0.35">
      <c r="O61">
        <f>SUM(O57:O60)</f>
        <v>12460</v>
      </c>
    </row>
    <row r="64" spans="1:15" x14ac:dyDescent="0.35">
      <c r="B64" s="57" t="s">
        <v>204</v>
      </c>
      <c r="C64" s="57">
        <f>(C58+C59+C60+D59+E59)/5</f>
        <v>64400</v>
      </c>
    </row>
    <row r="66" spans="1:11" ht="75" x14ac:dyDescent="0.35">
      <c r="B66" s="58" t="s">
        <v>7</v>
      </c>
      <c r="C66" s="58" t="s">
        <v>186</v>
      </c>
      <c r="D66" s="58" t="s">
        <v>187</v>
      </c>
      <c r="E66" s="58" t="s">
        <v>188</v>
      </c>
      <c r="F66" s="58" t="s">
        <v>189</v>
      </c>
      <c r="G66" s="58" t="s">
        <v>206</v>
      </c>
      <c r="H66" s="58" t="s">
        <v>264</v>
      </c>
      <c r="I66" s="58" t="s">
        <v>205</v>
      </c>
    </row>
    <row r="67" spans="1:11" x14ac:dyDescent="0.35">
      <c r="A67" s="57" t="s">
        <v>184</v>
      </c>
      <c r="B67" s="57">
        <v>4</v>
      </c>
      <c r="C67" s="57">
        <v>68950</v>
      </c>
      <c r="D67" s="57">
        <v>68950</v>
      </c>
      <c r="E67" s="57">
        <v>68950</v>
      </c>
      <c r="F67" s="57">
        <v>68950</v>
      </c>
      <c r="G67">
        <f>SUM(C67:F67)</f>
        <v>275800</v>
      </c>
      <c r="H67">
        <v>16</v>
      </c>
      <c r="I67">
        <f>G67/30/8*H67*12</f>
        <v>220640</v>
      </c>
      <c r="K67">
        <f>3/100*60000</f>
        <v>1800</v>
      </c>
    </row>
    <row r="68" spans="1:11" x14ac:dyDescent="0.35">
      <c r="A68" s="57" t="s">
        <v>59</v>
      </c>
      <c r="B68" s="57">
        <v>4</v>
      </c>
      <c r="C68" s="57">
        <v>61800</v>
      </c>
      <c r="D68" s="57">
        <v>68950</v>
      </c>
      <c r="E68" s="57">
        <v>68950</v>
      </c>
      <c r="F68">
        <v>68950</v>
      </c>
      <c r="G68">
        <f>SUM(C68:F68)</f>
        <v>268650</v>
      </c>
      <c r="H68">
        <v>16</v>
      </c>
      <c r="I68">
        <f>G68/30/8*H68*12</f>
        <v>214920</v>
      </c>
    </row>
    <row r="69" spans="1:11" x14ac:dyDescent="0.35">
      <c r="A69" s="57" t="s">
        <v>61</v>
      </c>
      <c r="B69" s="57">
        <v>4</v>
      </c>
      <c r="C69" s="57">
        <v>72000</v>
      </c>
      <c r="D69" s="57">
        <v>72000</v>
      </c>
      <c r="E69" s="57">
        <v>68950</v>
      </c>
      <c r="F69" s="57">
        <v>68950</v>
      </c>
      <c r="G69">
        <f>SUM(C69:F69)</f>
        <v>281900</v>
      </c>
      <c r="H69">
        <v>16</v>
      </c>
      <c r="I69">
        <f>G69/30/8*H69*12</f>
        <v>225520</v>
      </c>
    </row>
    <row r="70" spans="1:11" x14ac:dyDescent="0.35">
      <c r="A70" s="57" t="s">
        <v>185</v>
      </c>
      <c r="B70" s="57">
        <v>2</v>
      </c>
      <c r="C70" s="57">
        <v>70000</v>
      </c>
      <c r="D70" s="57">
        <v>68950</v>
      </c>
      <c r="G70">
        <f>SUM(C70:F70)</f>
        <v>138950</v>
      </c>
      <c r="H70">
        <v>16</v>
      </c>
      <c r="I70">
        <f>G70/30/8*H70*12</f>
        <v>111160</v>
      </c>
    </row>
    <row r="72" spans="1:11" x14ac:dyDescent="0.35">
      <c r="B72" s="57" t="s">
        <v>231</v>
      </c>
      <c r="C72" s="57">
        <f>(C70+C69+C68+D69)/4</f>
        <v>68950</v>
      </c>
    </row>
  </sheetData>
  <mergeCells count="20">
    <mergeCell ref="S9:U9"/>
    <mergeCell ref="V9:W9"/>
    <mergeCell ref="S8:X8"/>
    <mergeCell ref="L2:L15"/>
    <mergeCell ref="B42:B54"/>
    <mergeCell ref="C42:C50"/>
    <mergeCell ref="C51:C54"/>
    <mergeCell ref="B16:B26"/>
    <mergeCell ref="C16:C17"/>
    <mergeCell ref="C18:C26"/>
    <mergeCell ref="B27:B41"/>
    <mergeCell ref="C27:C33"/>
    <mergeCell ref="C34:C41"/>
    <mergeCell ref="H1:I1"/>
    <mergeCell ref="J1:K1"/>
    <mergeCell ref="J25:K25"/>
    <mergeCell ref="H25:I25"/>
    <mergeCell ref="B2:B15"/>
    <mergeCell ref="C2:C7"/>
    <mergeCell ref="C8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HR</vt:lpstr>
      <vt:lpstr>HR +Moni Dist.</vt:lpstr>
      <vt:lpstr>Training</vt:lpstr>
      <vt:lpstr>Meeting </vt:lpstr>
      <vt:lpstr>Calculation 2020-21</vt:lpstr>
      <vt:lpstr>Incentive</vt:lpstr>
      <vt:lpstr>BCM</vt:lpstr>
      <vt:lpstr> Calculation 2019-20</vt:lpstr>
      <vt:lpstr>ANM</vt:lpstr>
      <vt:lpstr>ANM2</vt:lpstr>
      <vt:lpstr>ANM FINAL</vt:lpstr>
      <vt:lpstr>AF</vt:lpstr>
      <vt:lpstr>Sheet3</vt:lpstr>
      <vt:lpstr>Docs 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 Amrit</dc:creator>
  <cp:lastModifiedBy>sarit rout</cp:lastModifiedBy>
  <dcterms:created xsi:type="dcterms:W3CDTF">2022-05-06T08:30:39Z</dcterms:created>
  <dcterms:modified xsi:type="dcterms:W3CDTF">2024-08-22T02:55:20Z</dcterms:modified>
</cp:coreProperties>
</file>