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Sarit\MRC\Manuscript\BMC\"/>
    </mc:Choice>
  </mc:AlternateContent>
  <bookViews>
    <workbookView xWindow="0" yWindow="0" windowWidth="19200" windowHeight="7050" activeTab="4"/>
  </bookViews>
  <sheets>
    <sheet name="District level staff" sheetId="2" r:id="rId1"/>
    <sheet name="Training" sheetId="3" r:id="rId2"/>
    <sheet name="Incentives" sheetId="10" r:id="rId3"/>
    <sheet name="BCM" sheetId="11" r:id="rId4"/>
    <sheet name="HR" sheetId="1" r:id="rId5"/>
    <sheet name="Meeting " sheetId="4" r:id="rId6"/>
    <sheet name="ANM info" sheetId="9" r:id="rId7"/>
    <sheet name="Calculation 2020-21" sheetId="13" r:id="rId8"/>
    <sheet name="Calculation 2019-20" sheetId="12" r:id="rId9"/>
    <sheet name="Sheet2" sheetId="16" r:id="rId10"/>
    <sheet name="Print me" sheetId="17" r:id="rId11"/>
    <sheet name="Tables" sheetId="19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E13" i="1" l="1"/>
  <c r="AE12" i="1"/>
  <c r="AD12" i="1"/>
  <c r="AC12" i="1"/>
  <c r="AA8" i="1"/>
  <c r="U21" i="1"/>
  <c r="U14" i="1"/>
  <c r="S6" i="1"/>
  <c r="I6" i="1"/>
  <c r="S4" i="9"/>
  <c r="Q6" i="9"/>
  <c r="AF11" i="9"/>
  <c r="AH3" i="9"/>
  <c r="AF3" i="9"/>
  <c r="S29" i="1"/>
  <c r="S22" i="1"/>
  <c r="S15" i="1"/>
  <c r="S8" i="1"/>
  <c r="I15" i="1"/>
  <c r="AD3" i="9"/>
  <c r="AB11" i="9"/>
  <c r="I32" i="1"/>
  <c r="Q7" i="9"/>
  <c r="AM18" i="9"/>
  <c r="AT18" i="9"/>
  <c r="Z18" i="1"/>
  <c r="Z15" i="1"/>
  <c r="S20" i="1"/>
  <c r="X16" i="9"/>
  <c r="Y5" i="9"/>
  <c r="W5" i="9"/>
  <c r="P4" i="13"/>
  <c r="O8" i="13"/>
  <c r="H12" i="12"/>
  <c r="H11" i="12"/>
  <c r="P9" i="12"/>
  <c r="P5" i="12"/>
  <c r="H10" i="12"/>
  <c r="E10" i="12"/>
  <c r="B10" i="12"/>
  <c r="E20" i="12"/>
  <c r="B20" i="12"/>
  <c r="E16" i="12"/>
  <c r="B16" i="12"/>
  <c r="W8" i="4" l="1"/>
  <c r="I9" i="12"/>
  <c r="I7" i="12"/>
  <c r="I6" i="12"/>
  <c r="I5" i="12"/>
  <c r="J49" i="19"/>
  <c r="J50" i="19"/>
  <c r="J51" i="19"/>
  <c r="J52" i="19"/>
  <c r="J53" i="19"/>
  <c r="J54" i="19"/>
  <c r="J55" i="19"/>
  <c r="J48" i="19"/>
  <c r="J34" i="19"/>
  <c r="J35" i="19"/>
  <c r="J36" i="19"/>
  <c r="J37" i="19"/>
  <c r="J38" i="19"/>
  <c r="J39" i="19"/>
  <c r="J40" i="19"/>
  <c r="J33" i="19"/>
  <c r="P9" i="13" l="1"/>
  <c r="Q4" i="13" s="1"/>
  <c r="P8" i="13"/>
  <c r="Q8" i="13" s="1"/>
  <c r="P7" i="13"/>
  <c r="P6" i="13"/>
  <c r="P5" i="13"/>
  <c r="Q5" i="13" s="1"/>
  <c r="E9" i="13"/>
  <c r="D9" i="13"/>
  <c r="C9" i="13"/>
  <c r="B9" i="13"/>
  <c r="F16" i="13"/>
  <c r="E19" i="13"/>
  <c r="D19" i="13"/>
  <c r="C19" i="13"/>
  <c r="B19" i="13"/>
  <c r="C15" i="13"/>
  <c r="C16" i="13" s="1"/>
  <c r="D15" i="13"/>
  <c r="D16" i="13" s="1"/>
  <c r="E15" i="13"/>
  <c r="E16" i="13" s="1"/>
  <c r="B15" i="13"/>
  <c r="H13" i="12"/>
  <c r="P6" i="12"/>
  <c r="P7" i="12"/>
  <c r="P8" i="12"/>
  <c r="N10" i="12"/>
  <c r="L10" i="12"/>
  <c r="J10" i="12"/>
  <c r="C10" i="12"/>
  <c r="D10" i="12"/>
  <c r="D20" i="12"/>
  <c r="C20" i="12"/>
  <c r="D16" i="12"/>
  <c r="C16" i="12"/>
  <c r="AB8" i="11"/>
  <c r="AB5" i="11"/>
  <c r="AA6" i="11"/>
  <c r="AA7" i="11"/>
  <c r="X8" i="11"/>
  <c r="AA8" i="11" s="1"/>
  <c r="X5" i="11"/>
  <c r="AA5" i="11" s="1"/>
  <c r="U6" i="11"/>
  <c r="V6" i="11" s="1"/>
  <c r="U7" i="11"/>
  <c r="V7" i="11" s="1"/>
  <c r="U8" i="11"/>
  <c r="Y8" i="11" s="1"/>
  <c r="U5" i="11"/>
  <c r="Y5" i="11" s="1"/>
  <c r="AO7" i="2"/>
  <c r="AP7" i="2" s="1"/>
  <c r="AO4" i="2"/>
  <c r="AP4" i="2" s="1"/>
  <c r="S7" i="2"/>
  <c r="T7" i="2" s="1"/>
  <c r="AO5" i="2"/>
  <c r="AP5" i="2" s="1"/>
  <c r="AO6" i="2"/>
  <c r="AP6" i="2" s="1"/>
  <c r="F7" i="2"/>
  <c r="G7" i="2" s="1"/>
  <c r="H7" i="2" s="1"/>
  <c r="AC4" i="2"/>
  <c r="AD4" i="2" s="1"/>
  <c r="AE4" i="2" s="1"/>
  <c r="AF4" i="2" s="1"/>
  <c r="AC5" i="2"/>
  <c r="AD5" i="2" s="1"/>
  <c r="AC6" i="2"/>
  <c r="AD6" i="2" s="1"/>
  <c r="AC7" i="2"/>
  <c r="AD7" i="2" s="1"/>
  <c r="AE7" i="2" s="1"/>
  <c r="Q6" i="13" l="1"/>
  <c r="L12" i="12"/>
  <c r="L11" i="12"/>
  <c r="M6" i="12"/>
  <c r="M5" i="12"/>
  <c r="N13" i="12"/>
  <c r="N12" i="12"/>
  <c r="N11" i="12"/>
  <c r="O6" i="12"/>
  <c r="O5" i="12"/>
  <c r="Q7" i="13"/>
  <c r="P10" i="12"/>
  <c r="J11" i="12"/>
  <c r="P11" i="12" s="1"/>
  <c r="J12" i="12"/>
  <c r="K5" i="12"/>
  <c r="K7" i="12"/>
  <c r="K9" i="12"/>
  <c r="K6" i="12"/>
  <c r="Y6" i="11"/>
  <c r="AB6" i="11" s="1"/>
  <c r="L13" i="12"/>
  <c r="Y7" i="11"/>
  <c r="AB7" i="11" s="1"/>
  <c r="J13" i="12"/>
  <c r="P13" i="12" s="1"/>
  <c r="AE5" i="2"/>
  <c r="AF5" i="2" s="1"/>
  <c r="AJ5" i="2"/>
  <c r="AK5" i="2" s="1"/>
  <c r="AQ5" i="2" s="1"/>
  <c r="AE6" i="2"/>
  <c r="AF6" i="2" s="1"/>
  <c r="AJ6" i="2"/>
  <c r="AK6" i="2" s="1"/>
  <c r="AQ6" i="2" s="1"/>
  <c r="AJ7" i="2"/>
  <c r="AK7" i="2" s="1"/>
  <c r="AQ7" i="2" s="1"/>
  <c r="AJ4" i="2"/>
  <c r="AK4" i="2" s="1"/>
  <c r="AQ4" i="2" s="1"/>
  <c r="V5" i="11"/>
  <c r="V8" i="11"/>
  <c r="AQ8" i="2" l="1"/>
  <c r="AF7" i="2"/>
  <c r="AF8" i="2" s="1"/>
  <c r="P12" i="12"/>
  <c r="Q5" i="12"/>
  <c r="Q9" i="12"/>
  <c r="Q7" i="12"/>
  <c r="Q6" i="12"/>
  <c r="Q8" i="12"/>
  <c r="S27" i="1"/>
  <c r="S13" i="1"/>
  <c r="AS19" i="9"/>
  <c r="AS20" i="9"/>
  <c r="AS21" i="9"/>
  <c r="AS18" i="9"/>
  <c r="AQ19" i="9"/>
  <c r="AQ20" i="9"/>
  <c r="AQ21" i="9"/>
  <c r="AQ18" i="9"/>
  <c r="AO19" i="9"/>
  <c r="AT19" i="9" s="1"/>
  <c r="AO20" i="9"/>
  <c r="AO21" i="9"/>
  <c r="AO18" i="9"/>
  <c r="AM19" i="9"/>
  <c r="AM20" i="9"/>
  <c r="AT20" i="9" s="1"/>
  <c r="AM21" i="9"/>
  <c r="AT21" i="9" s="1"/>
  <c r="AA10" i="1"/>
  <c r="AA9" i="1"/>
  <c r="Z11" i="1"/>
  <c r="Z9" i="1"/>
  <c r="AB8" i="1"/>
  <c r="Y9" i="1" s="1"/>
  <c r="R17" i="17"/>
  <c r="J15" i="17"/>
  <c r="AA11" i="1" l="1"/>
  <c r="O6" i="13"/>
  <c r="L12" i="13"/>
  <c r="K6" i="13"/>
  <c r="P16" i="4"/>
  <c r="I6" i="13" l="1"/>
  <c r="K4" i="13"/>
  <c r="M4" i="13"/>
  <c r="M8" i="13"/>
  <c r="K8" i="13"/>
  <c r="I8" i="13"/>
  <c r="N11" i="13"/>
  <c r="I4" i="13"/>
  <c r="O4" i="13"/>
  <c r="H10" i="13"/>
  <c r="H11" i="13"/>
  <c r="H12" i="13"/>
  <c r="P12" i="13" s="1"/>
  <c r="N12" i="13"/>
  <c r="I5" i="13"/>
  <c r="K5" i="13"/>
  <c r="M5" i="13"/>
  <c r="O5" i="13"/>
  <c r="J10" i="13"/>
  <c r="J11" i="13"/>
  <c r="J12" i="13"/>
  <c r="N10" i="13"/>
  <c r="M6" i="13"/>
  <c r="L10" i="13"/>
  <c r="L11" i="13"/>
  <c r="Q8" i="1"/>
  <c r="G8" i="1"/>
  <c r="AS11" i="9"/>
  <c r="AS10" i="9"/>
  <c r="AS13" i="9"/>
  <c r="AS12" i="9"/>
  <c r="AQ11" i="9"/>
  <c r="AQ10" i="9"/>
  <c r="AO11" i="9"/>
  <c r="AO10" i="9"/>
  <c r="AM11" i="9"/>
  <c r="AM10" i="9"/>
  <c r="AT10" i="9" s="1"/>
  <c r="I13" i="1"/>
  <c r="AS4" i="9"/>
  <c r="AS5" i="9"/>
  <c r="AS6" i="9"/>
  <c r="AS3" i="9"/>
  <c r="AQ4" i="9"/>
  <c r="AQ5" i="9"/>
  <c r="AQ6" i="9"/>
  <c r="AQ3" i="9"/>
  <c r="AO4" i="9"/>
  <c r="AO5" i="9"/>
  <c r="AO6" i="9"/>
  <c r="AO3" i="9"/>
  <c r="AM4" i="9"/>
  <c r="AT4" i="9" s="1"/>
  <c r="AM5" i="9"/>
  <c r="AT5" i="9" s="1"/>
  <c r="AM6" i="9"/>
  <c r="AT6" i="9" s="1"/>
  <c r="AM3" i="9"/>
  <c r="AH2" i="9"/>
  <c r="AF4" i="9"/>
  <c r="AF5" i="9"/>
  <c r="AF6" i="9"/>
  <c r="AF7" i="9"/>
  <c r="AF8" i="9"/>
  <c r="AF9" i="9"/>
  <c r="AF10" i="9"/>
  <c r="AF12" i="9"/>
  <c r="AF13" i="9"/>
  <c r="AF2" i="9"/>
  <c r="AD2" i="9"/>
  <c r="AB3" i="9"/>
  <c r="AB4" i="9"/>
  <c r="AB5" i="9"/>
  <c r="AB6" i="9"/>
  <c r="AB7" i="9"/>
  <c r="AB8" i="9"/>
  <c r="AB9" i="9"/>
  <c r="AB10" i="9"/>
  <c r="AB12" i="9"/>
  <c r="AB13" i="9"/>
  <c r="AB2" i="9"/>
  <c r="Y6" i="9"/>
  <c r="Y7" i="9"/>
  <c r="Y8" i="9"/>
  <c r="Y9" i="9"/>
  <c r="W6" i="9"/>
  <c r="W7" i="9"/>
  <c r="W8" i="9"/>
  <c r="W9" i="9"/>
  <c r="W10" i="9"/>
  <c r="W11" i="9"/>
  <c r="S15" i="9"/>
  <c r="S16" i="9"/>
  <c r="S14" i="9"/>
  <c r="Q15" i="9"/>
  <c r="Q16" i="9"/>
  <c r="Q17" i="9"/>
  <c r="Q18" i="9"/>
  <c r="Q19" i="9"/>
  <c r="Q20" i="9"/>
  <c r="Q21" i="9"/>
  <c r="Q22" i="9"/>
  <c r="Q14" i="9"/>
  <c r="S3" i="9"/>
  <c r="Q4" i="9"/>
  <c r="Q5" i="9"/>
  <c r="Q3" i="9"/>
  <c r="I18" i="1" l="1"/>
  <c r="I29" i="1"/>
  <c r="I22" i="1"/>
  <c r="H8" i="1"/>
  <c r="I8" i="1" s="1"/>
  <c r="I11" i="1" s="1"/>
  <c r="S25" i="1"/>
  <c r="W21" i="1" s="1"/>
  <c r="S18" i="1"/>
  <c r="S32" i="1"/>
  <c r="X14" i="1" s="1"/>
  <c r="S11" i="1"/>
  <c r="X21" i="1"/>
  <c r="AT3" i="9"/>
  <c r="AT11" i="9"/>
  <c r="AF14" i="9"/>
  <c r="P11" i="13"/>
  <c r="P10" i="13"/>
  <c r="AH14" i="9"/>
  <c r="AB14" i="9"/>
  <c r="AD14" i="9"/>
  <c r="Q23" i="9"/>
  <c r="W12" i="9"/>
  <c r="S8" i="9"/>
  <c r="Q8" i="9"/>
  <c r="Y12" i="9"/>
  <c r="S17" i="9"/>
  <c r="V14" i="1" l="1"/>
  <c r="V21" i="1"/>
  <c r="W14" i="1"/>
  <c r="I28" i="1"/>
  <c r="I21" i="1"/>
  <c r="I25" i="1" s="1"/>
  <c r="F5" i="11" l="1"/>
  <c r="G5" i="11" s="1"/>
  <c r="L19" i="12"/>
  <c r="L21" i="12"/>
  <c r="K21" i="12"/>
  <c r="I21" i="12"/>
  <c r="K19" i="12"/>
  <c r="J19" i="12"/>
  <c r="J21" i="12" s="1"/>
  <c r="I19" i="12"/>
  <c r="K4" i="2"/>
  <c r="N4" i="2" s="1"/>
  <c r="K5" i="2"/>
  <c r="K6" i="2"/>
  <c r="K7" i="2"/>
  <c r="F5" i="2"/>
  <c r="F6" i="2"/>
  <c r="F4" i="2"/>
  <c r="G4" i="2" l="1"/>
  <c r="H4" i="2" s="1"/>
  <c r="O4" i="2"/>
  <c r="P4" i="2" s="1"/>
  <c r="N6" i="2"/>
  <c r="O6" i="2" s="1"/>
  <c r="P6" i="2" s="1"/>
  <c r="L6" i="2"/>
  <c r="R6" i="2" s="1"/>
  <c r="S6" i="2" s="1"/>
  <c r="T6" i="2" s="1"/>
  <c r="U6" i="2" s="1"/>
  <c r="G6" i="2"/>
  <c r="H6" i="2" s="1"/>
  <c r="I6" i="2" s="1"/>
  <c r="N5" i="2"/>
  <c r="O5" i="2" s="1"/>
  <c r="P5" i="2" s="1"/>
  <c r="L5" i="2"/>
  <c r="R5" i="2" s="1"/>
  <c r="G5" i="2"/>
  <c r="H5" i="2" s="1"/>
  <c r="I5" i="2" s="1"/>
  <c r="L4" i="2"/>
  <c r="L7" i="2"/>
  <c r="N7" i="2"/>
  <c r="O7" i="2" s="1"/>
  <c r="P7" i="2" s="1"/>
  <c r="I7" i="2" s="1"/>
  <c r="I4" i="2"/>
  <c r="I8" i="2" s="1"/>
  <c r="J5" i="11"/>
  <c r="R4" i="2"/>
  <c r="S5" i="2" l="1"/>
  <c r="T5" i="2" s="1"/>
  <c r="U5" i="2"/>
  <c r="S4" i="2"/>
  <c r="U7" i="2"/>
  <c r="R7" i="2"/>
  <c r="L6" i="11"/>
  <c r="I5" i="11"/>
  <c r="L5" i="11" s="1"/>
  <c r="M5" i="11" s="1"/>
  <c r="F6" i="11"/>
  <c r="J6" i="11" s="1"/>
  <c r="M6" i="11" s="1"/>
  <c r="F7" i="11"/>
  <c r="G7" i="11" s="1"/>
  <c r="F8" i="11"/>
  <c r="J8" i="11" s="1"/>
  <c r="T4" i="2" l="1"/>
  <c r="U4" i="2" s="1"/>
  <c r="U8" i="2" s="1"/>
  <c r="G8" i="11"/>
  <c r="J7" i="11"/>
  <c r="G6" i="11"/>
  <c r="K7" i="11"/>
  <c r="L7" i="11" s="1"/>
  <c r="I8" i="11"/>
  <c r="L8" i="11" s="1"/>
  <c r="M8" i="11" s="1"/>
  <c r="M7" i="11" l="1"/>
  <c r="N3" i="12"/>
  <c r="L3" i="12"/>
  <c r="J3" i="12"/>
  <c r="H3" i="12"/>
  <c r="W12" i="4" l="1"/>
  <c r="R16" i="4" s="1"/>
  <c r="W10" i="4"/>
  <c r="Q16" i="4" s="1"/>
  <c r="W6" i="4"/>
  <c r="O16" i="4" s="1"/>
  <c r="K8" i="4"/>
  <c r="K13" i="4" s="1"/>
  <c r="K6" i="4"/>
  <c r="W13" i="4" l="1"/>
</calcChain>
</file>

<file path=xl/sharedStrings.xml><?xml version="1.0" encoding="utf-8"?>
<sst xmlns="http://schemas.openxmlformats.org/spreadsheetml/2006/main" count="696" uniqueCount="265">
  <si>
    <t>Per day's salary</t>
  </si>
  <si>
    <t>Per hour's salary</t>
  </si>
  <si>
    <t>Apportioned salary for a month</t>
  </si>
  <si>
    <t>S. No</t>
  </si>
  <si>
    <t>A. Personnel</t>
  </si>
  <si>
    <t xml:space="preserve">B. No. of personnel </t>
  </si>
  <si>
    <t>G. Gross salary per month (INR)</t>
  </si>
  <si>
    <t>MO</t>
  </si>
  <si>
    <t>Asha F.</t>
  </si>
  <si>
    <t>TOTAL</t>
  </si>
  <si>
    <t>Remarks</t>
  </si>
  <si>
    <t>D. Total no of hours contributed in a month for RKSK</t>
  </si>
  <si>
    <t>Total cost for a year</t>
  </si>
  <si>
    <t>DPM</t>
  </si>
  <si>
    <t>RKSK Coordinator</t>
  </si>
  <si>
    <t>Level of training</t>
  </si>
  <si>
    <t>Duration of training (in hrs.)</t>
  </si>
  <si>
    <t>No of trainees trained</t>
  </si>
  <si>
    <t>Type of Trainer - (Hired/ department personnel)</t>
  </si>
  <si>
    <t>Expenditure incurred in Training Activities.</t>
  </si>
  <si>
    <t xml:space="preserve"> (State level/District level/Block level/ any other training)  </t>
  </si>
  <si>
    <t>Trainer (TA/DA, Accomodation etc.)</t>
  </si>
  <si>
    <t xml:space="preserve">Trainees (TA/DA, Accomodation etc.)  </t>
  </si>
  <si>
    <t xml:space="preserve"> Development of training materials </t>
  </si>
  <si>
    <t>Printing of training material</t>
  </si>
  <si>
    <t>Venue cost</t>
  </si>
  <si>
    <t>Any other cost (Food expenses etc.)</t>
  </si>
  <si>
    <t>Total Cost</t>
  </si>
  <si>
    <t>Meeting Cost for 2020-21</t>
  </si>
  <si>
    <t>Sl. no</t>
  </si>
  <si>
    <t xml:space="preserve"> Level (District/Block/Sub centre)</t>
  </si>
  <si>
    <t xml:space="preserve"> No of meetings in a year</t>
  </si>
  <si>
    <t xml:space="preserve"> No. of participants in the meeting</t>
  </si>
  <si>
    <t>Duration of meeting in hrs.</t>
  </si>
  <si>
    <t>Expenditure (incurred during meetings)</t>
  </si>
  <si>
    <t>Venue Cost</t>
  </si>
  <si>
    <t>Accommodation Cost (If any)</t>
  </si>
  <si>
    <t>Transport</t>
  </si>
  <si>
    <t>Apportioned cost</t>
  </si>
  <si>
    <t>cost (if any)</t>
  </si>
  <si>
    <t>Block</t>
  </si>
  <si>
    <t>Total cost for the year</t>
  </si>
  <si>
    <t>Number of  Training (PE TRAINING)</t>
  </si>
  <si>
    <t xml:space="preserve"> No. of meetings in a year</t>
  </si>
  <si>
    <t>AFC meeting</t>
  </si>
  <si>
    <t>B</t>
  </si>
  <si>
    <t>Name of the meeting</t>
  </si>
  <si>
    <t>Time contribution for  PE programme programme in a month</t>
  </si>
  <si>
    <t xml:space="preserve">ASHA incentive  </t>
  </si>
  <si>
    <r>
      <t xml:space="preserve"> </t>
    </r>
    <r>
      <rPr>
        <b/>
        <sz val="11"/>
        <color rgb="FF000000"/>
        <rFont val="Times New Roman"/>
        <family val="1"/>
      </rPr>
      <t>BLOCK 2 : Nandgaon</t>
    </r>
  </si>
  <si>
    <r>
      <t xml:space="preserve"> </t>
    </r>
    <r>
      <rPr>
        <b/>
        <sz val="11"/>
        <color rgb="FF000000"/>
        <rFont val="Times New Roman"/>
        <family val="1"/>
      </rPr>
      <t>BLOCK 3 : Sinner</t>
    </r>
  </si>
  <si>
    <r>
      <t xml:space="preserve"> </t>
    </r>
    <r>
      <rPr>
        <b/>
        <sz val="11"/>
        <color rgb="FF000000"/>
        <rFont val="Times New Roman"/>
        <family val="1"/>
      </rPr>
      <t>BLOCK 4 : Surgana</t>
    </r>
  </si>
  <si>
    <t>Total cost for an year</t>
  </si>
  <si>
    <t>Human Resource Cost for the year 2019-20 :  NASHIK</t>
  </si>
  <si>
    <t>Human Resource Cost for the year 2020-21 :  NASHIK</t>
  </si>
  <si>
    <r>
      <t xml:space="preserve"> </t>
    </r>
    <r>
      <rPr>
        <b/>
        <sz val="11"/>
        <color rgb="FF000000"/>
        <rFont val="Times New Roman"/>
        <family val="1"/>
      </rPr>
      <t>BLOCK 1 : Dindori</t>
    </r>
  </si>
  <si>
    <t>Meeting Cost for 2019-20</t>
  </si>
  <si>
    <t>Dindori</t>
  </si>
  <si>
    <t>Nandgaon</t>
  </si>
  <si>
    <t>Sinner</t>
  </si>
  <si>
    <t>Surgana</t>
  </si>
  <si>
    <t xml:space="preserve">Training Cost for 20219-20 : Nashik </t>
  </si>
  <si>
    <r>
      <rPr>
        <b/>
        <sz val="11"/>
        <color theme="1"/>
        <rFont val="Times New Roman"/>
        <family val="1"/>
      </rPr>
      <t>Sinner</t>
    </r>
    <r>
      <rPr>
        <b/>
        <sz val="11"/>
        <color theme="1"/>
        <rFont val="Calibri"/>
        <family val="2"/>
        <scheme val="minor"/>
      </rPr>
      <t xml:space="preserve"> </t>
    </r>
  </si>
  <si>
    <t>DHO</t>
  </si>
  <si>
    <t>2019-20</t>
  </si>
  <si>
    <t>District</t>
  </si>
  <si>
    <t>Name of Block</t>
  </si>
  <si>
    <t>Name of PHC</t>
  </si>
  <si>
    <t xml:space="preserve">Name of Subcenter </t>
  </si>
  <si>
    <t>Nashik</t>
  </si>
  <si>
    <t>Dindori Block</t>
  </si>
  <si>
    <t>PHC Nanashi</t>
  </si>
  <si>
    <t>SC Gandole</t>
  </si>
  <si>
    <t>SC Mahaje</t>
  </si>
  <si>
    <t>SC Nanashi 1</t>
  </si>
  <si>
    <t>SC Nanashi 2</t>
  </si>
  <si>
    <t>SC Palasvihir</t>
  </si>
  <si>
    <t>PHC Umrale</t>
  </si>
  <si>
    <t>SC Ambegan</t>
  </si>
  <si>
    <t xml:space="preserve"> SC Rasegaon</t>
  </si>
  <si>
    <t>SC Kokangaon Umrale</t>
  </si>
  <si>
    <t>SC Jalkhed</t>
  </si>
  <si>
    <t>SC Thepnapada</t>
  </si>
  <si>
    <t>SC Jambutake</t>
  </si>
  <si>
    <t>SC Umrale Budruk</t>
  </si>
  <si>
    <t>Nandgaon Block</t>
  </si>
  <si>
    <t>PHC Bolthan</t>
  </si>
  <si>
    <t>SC Bolthan</t>
  </si>
  <si>
    <t>SC Jategaon Bolthan</t>
  </si>
  <si>
    <t>SC Kasari Bolthan</t>
  </si>
  <si>
    <t>PHC Vehelgaon</t>
  </si>
  <si>
    <t>SC Kalamdari</t>
  </si>
  <si>
    <t>SC Sakore Vehelgaon</t>
  </si>
  <si>
    <t>SC Talwade Vehelgaon</t>
  </si>
  <si>
    <t>SC Vehelgaon</t>
  </si>
  <si>
    <t>Surgana  Block</t>
  </si>
  <si>
    <t>PHC Borgaon</t>
  </si>
  <si>
    <t>SC Gagbhari</t>
  </si>
  <si>
    <t>SC Hatgad</t>
  </si>
  <si>
    <t xml:space="preserve"> SC Mohpada</t>
  </si>
  <si>
    <t xml:space="preserve"> SC Sarad</t>
  </si>
  <si>
    <t>PHC Palsan</t>
  </si>
  <si>
    <t xml:space="preserve"> SCAmda Palsan</t>
  </si>
  <si>
    <t xml:space="preserve"> SC Bhavada</t>
  </si>
  <si>
    <t xml:space="preserve"> SC Palsan 1</t>
  </si>
  <si>
    <t xml:space="preserve"> SC Palsan 2</t>
  </si>
  <si>
    <t xml:space="preserve"> SC Alangun (New SC)</t>
  </si>
  <si>
    <t>Sinner Block</t>
  </si>
  <si>
    <t>PHC Naigaon</t>
  </si>
  <si>
    <t xml:space="preserve"> SC Baragaon Pimpri</t>
  </si>
  <si>
    <t>SC Brahmanwade</t>
  </si>
  <si>
    <t xml:space="preserve"> SC Chincholi</t>
  </si>
  <si>
    <t>SC Kundewadi</t>
  </si>
  <si>
    <t>SC Naigaon</t>
  </si>
  <si>
    <t>SC Nimgaon Sinnar</t>
  </si>
  <si>
    <t xml:space="preserve"> SC Hivargaon (2017-18) New SC</t>
  </si>
  <si>
    <t>PHC Pandurli</t>
  </si>
  <si>
    <t xml:space="preserve"> SC Konambe</t>
  </si>
  <si>
    <t xml:space="preserve"> SC Pandhurli</t>
  </si>
  <si>
    <t xml:space="preserve"> SC Paste</t>
  </si>
  <si>
    <t>SC Shivada</t>
  </si>
  <si>
    <t>SC Sonambe</t>
  </si>
  <si>
    <t>SC Wadgaon Pingala</t>
  </si>
  <si>
    <t>SC Belu (2017-18) New SC</t>
  </si>
  <si>
    <t>No. of ANM</t>
  </si>
  <si>
    <t>Permanent</t>
  </si>
  <si>
    <t>Contractual</t>
  </si>
  <si>
    <t>Salaries 2019-2020 (P)</t>
  </si>
  <si>
    <t>Salary 2020-21 (C)</t>
  </si>
  <si>
    <t>SC Borgoan</t>
  </si>
  <si>
    <t xml:space="preserve"> a</t>
  </si>
  <si>
    <t>Dind</t>
  </si>
  <si>
    <t xml:space="preserve">Nand </t>
  </si>
  <si>
    <t>Sinnar</t>
  </si>
  <si>
    <t>Incentives fo Peer Educators (2019-20)</t>
  </si>
  <si>
    <t>Incentives fo Peer Educators (2020-21)</t>
  </si>
  <si>
    <t>BLOCKS</t>
  </si>
  <si>
    <t>Programme Activity</t>
  </si>
  <si>
    <t xml:space="preserve"> (%)</t>
  </si>
  <si>
    <t>(%)</t>
  </si>
  <si>
    <t>Average Cost</t>
  </si>
  <si>
    <t>Human Resource Cost</t>
  </si>
  <si>
    <t>Monitoring</t>
  </si>
  <si>
    <t xml:space="preserve">Meetings </t>
  </si>
  <si>
    <t>Training</t>
  </si>
  <si>
    <t>PE Incentive cost</t>
  </si>
  <si>
    <t>PE Incentives cost</t>
  </si>
  <si>
    <t>Per Unit cost (PE +AEP)</t>
  </si>
  <si>
    <t>Per Unit cost (AEP)</t>
  </si>
  <si>
    <t>Per Unit cost (PE)</t>
  </si>
  <si>
    <t>Total Programme cost for Nashik (2019-2020)</t>
  </si>
  <si>
    <t>Total</t>
  </si>
  <si>
    <t>Time contribution for  PE programme programme in a month apart from  moni (hr)</t>
  </si>
  <si>
    <t>Apportioned salary for an year</t>
  </si>
  <si>
    <t>Total  moni cost for an year</t>
  </si>
  <si>
    <t>HR COST for an year</t>
  </si>
  <si>
    <t>TC moni in 1 visit for PE prog (in min)</t>
  </si>
  <si>
    <t>Total number of visits for PE prog in a year</t>
  </si>
  <si>
    <t>TA/DA per  visit</t>
  </si>
  <si>
    <t>Cost apportioned from TA/DA</t>
  </si>
  <si>
    <t>Human Resource Cost for the year 2019-20</t>
  </si>
  <si>
    <t>Human Resource Cost for the year 2020-21</t>
  </si>
  <si>
    <t>D. Total no of hours contributed in a month for PE programme apart from Monitoring(hrs)</t>
  </si>
  <si>
    <t>Total HR cost per block</t>
  </si>
  <si>
    <t>Total number of visits for monitoring in a month</t>
  </si>
  <si>
    <t>Total number of visits for monitoring in a Year</t>
  </si>
  <si>
    <t>TC in each monitoring visit (in min)</t>
  </si>
  <si>
    <t>Total cost for monitoring apportioned from salary in a year</t>
  </si>
  <si>
    <t>Total cost from apprtioned from salary for monitoring per block</t>
  </si>
  <si>
    <t>Mobility support</t>
  </si>
  <si>
    <t>Total time contributed for monitoring in all visits  in a year</t>
  </si>
  <si>
    <t>Total time contributed for monitorin PE prog in in a year</t>
  </si>
  <si>
    <t>Cost apportioned for monitoring from m obility support</t>
  </si>
  <si>
    <t>Total Cost apportioned for monitoring from mobility support per block</t>
  </si>
  <si>
    <t>Total monitoring costs per block</t>
  </si>
  <si>
    <t xml:space="preserve">Sinnar </t>
  </si>
  <si>
    <t>RCH Officer</t>
  </si>
  <si>
    <t>TC for Pe prog in all visits (in min)</t>
  </si>
  <si>
    <t>TC for PE in 1 visit (in min)</t>
  </si>
  <si>
    <t>400 per visit</t>
  </si>
  <si>
    <t>Hr D</t>
  </si>
  <si>
    <t>Moni D</t>
  </si>
  <si>
    <t>Community</t>
  </si>
  <si>
    <t>AEP</t>
  </si>
  <si>
    <t>PE</t>
  </si>
  <si>
    <t>(PE+AEP)</t>
  </si>
  <si>
    <t>Per unit cost</t>
  </si>
  <si>
    <t>BCM</t>
  </si>
  <si>
    <t>ANM (P)</t>
  </si>
  <si>
    <t>ANM (C)</t>
  </si>
  <si>
    <t>2*90000, 1*1lakh</t>
  </si>
  <si>
    <t>1*80000,2*90000</t>
  </si>
  <si>
    <t>Vhelgaon 4 (Sc)</t>
  </si>
  <si>
    <t>Sc1</t>
  </si>
  <si>
    <t>Sc2</t>
  </si>
  <si>
    <t>Sc3</t>
  </si>
  <si>
    <t>Sc4</t>
  </si>
  <si>
    <t>1P 1C</t>
  </si>
  <si>
    <t>1P</t>
  </si>
  <si>
    <t>Bolthan (3SC)</t>
  </si>
  <si>
    <t>1C</t>
  </si>
  <si>
    <t>1*40000</t>
  </si>
  <si>
    <t>1*40000, 1*90000</t>
  </si>
  <si>
    <t>1*72000, 1*90000</t>
  </si>
  <si>
    <t>1*78000, 1*45000</t>
  </si>
  <si>
    <t>90000*2,70000*1,65000*1</t>
  </si>
  <si>
    <t>70000*2,70000*1</t>
  </si>
  <si>
    <t>ANM(P)</t>
  </si>
  <si>
    <t>Nandgaon (5+2)</t>
  </si>
  <si>
    <t>Surganan (9p,3c)</t>
  </si>
  <si>
    <t>Sinner (7P, 5C)</t>
  </si>
  <si>
    <t>Dindori (12 P, 2C)</t>
  </si>
  <si>
    <t>D</t>
  </si>
  <si>
    <t>N</t>
  </si>
  <si>
    <t>Si</t>
  </si>
  <si>
    <t>Su</t>
  </si>
  <si>
    <t>D1</t>
  </si>
  <si>
    <t>D2</t>
  </si>
  <si>
    <t>D3</t>
  </si>
  <si>
    <t>D4</t>
  </si>
  <si>
    <t>Apportioned salary for a year</t>
  </si>
  <si>
    <t>Per unit cost (PE+AEP)</t>
  </si>
  <si>
    <t>(Av taken 17)</t>
  </si>
  <si>
    <t xml:space="preserve">Total Programme Cost for Nashik </t>
  </si>
  <si>
    <t>Total Programme cost for Panna (2020-2021)</t>
  </si>
  <si>
    <t>Average Costs</t>
  </si>
  <si>
    <t>Ajaigarh</t>
  </si>
  <si>
    <t>Devendranagar</t>
  </si>
  <si>
    <t>Pawai</t>
  </si>
  <si>
    <t>Shahnagar</t>
  </si>
  <si>
    <t>Administrative cost</t>
  </si>
  <si>
    <t>PE Incentives Cost</t>
  </si>
  <si>
    <t xml:space="preserve">Total cost </t>
  </si>
  <si>
    <t>Per Unit Cost (PE+AEP)</t>
  </si>
  <si>
    <t>Per Unit Cost (AEP)</t>
  </si>
  <si>
    <t>Per Unit Cost (PE)</t>
  </si>
  <si>
    <t>Total no. of active PE in 2020-21</t>
  </si>
  <si>
    <t>Total number of aolescent Brigade member (2020-21)</t>
  </si>
  <si>
    <t>total AEP +PE</t>
  </si>
  <si>
    <t>2020-21</t>
  </si>
  <si>
    <t xml:space="preserve"> </t>
  </si>
  <si>
    <t>Apportioned salary for a Year</t>
  </si>
  <si>
    <t>400*per visit</t>
  </si>
  <si>
    <t>Babhulgaon</t>
  </si>
  <si>
    <t>Pusad</t>
  </si>
  <si>
    <t>Yavatmal</t>
  </si>
  <si>
    <t>Zari zamini</t>
  </si>
  <si>
    <t>Total Programme Cost for Nashik (2020-21)</t>
  </si>
  <si>
    <t>Total Programme cost for Yavatmal (2020-2021)</t>
  </si>
  <si>
    <t>.(%)</t>
  </si>
  <si>
    <t>Total Actual cost (w Ince cost</t>
  </si>
  <si>
    <t>Per Unit Cost</t>
  </si>
  <si>
    <t>Total Programme cost for Damoh (2020-2021)</t>
  </si>
  <si>
    <t>Damoh</t>
  </si>
  <si>
    <t>Jabera</t>
  </si>
  <si>
    <t>Patera</t>
  </si>
  <si>
    <t>Pathariya</t>
  </si>
  <si>
    <t>Per Unit cost (PE+AEP)</t>
  </si>
  <si>
    <t>Average costs</t>
  </si>
  <si>
    <t>Average cost</t>
  </si>
  <si>
    <t>%</t>
  </si>
  <si>
    <t>Human Resource Cost for the year 2019-20 :  Nashik</t>
  </si>
  <si>
    <t>Total Programme Cost for Nashik in INR (FY 2020-21)</t>
  </si>
  <si>
    <t>% Share</t>
  </si>
  <si>
    <t xml:space="preserve">HR differences : anms and their apportioned salaries are much higher wheras the prog is AF 
Mentors: mailny largely their activity is monitoring.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</si>
</sst>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8" x14ac:knownFonts="1">
    <font>
      <sz val="11"/>
      <color theme="1"/>
      <name val="Calibri"/>
      <family val="2"/>
      <scheme val="minor"/>
    </font>
    <font>
      <b/>
      <sz val="11"/>
      <color rgb="FF000000"/>
      <name val="Times New Roman"/>
      <family val="1"/>
    </font>
    <font>
      <b/>
      <sz val="10"/>
      <color rgb="FF000000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0"/>
      <color rgb="FF000000"/>
      <name val="Times New Roman"/>
      <family val="1"/>
    </font>
    <font>
      <b/>
      <sz val="10"/>
      <color theme="1"/>
      <name val="Times New Roman"/>
      <family val="1"/>
    </font>
    <font>
      <b/>
      <sz val="12"/>
      <color rgb="FF000000"/>
      <name val="Times New Roman"/>
      <family val="1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theme="1"/>
      <name val="Calibri"/>
      <family val="1"/>
      <scheme val="minor"/>
    </font>
    <font>
      <b/>
      <sz val="14"/>
      <color theme="1"/>
      <name val="Times New Roman"/>
      <family val="1"/>
    </font>
    <font>
      <sz val="10"/>
      <name val="Arial"/>
      <family val="2"/>
    </font>
    <font>
      <sz val="16"/>
      <name val="Times New Roman"/>
      <family val="1"/>
    </font>
    <font>
      <b/>
      <sz val="14"/>
      <name val="Times New Roman"/>
      <family val="1"/>
    </font>
    <font>
      <sz val="8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A9D08E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4" fillId="0" borderId="0"/>
  </cellStyleXfs>
  <cellXfs count="210">
    <xf numFmtId="0" fontId="0" fillId="0" borderId="0" xfId="0"/>
    <xf numFmtId="0" fontId="2" fillId="2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vertical="center"/>
    </xf>
    <xf numFmtId="0" fontId="6" fillId="0" borderId="2" xfId="0" applyFont="1" applyBorder="1" applyAlignment="1">
      <alignment horizontal="right" vertical="center"/>
    </xf>
    <xf numFmtId="0" fontId="3" fillId="0" borderId="2" xfId="0" applyFont="1" applyBorder="1"/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0" fillId="0" borderId="2" xfId="0" applyBorder="1"/>
    <xf numFmtId="0" fontId="2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2" xfId="0" applyFont="1" applyBorder="1"/>
    <xf numFmtId="0" fontId="6" fillId="0" borderId="2" xfId="0" applyFont="1" applyBorder="1" applyAlignment="1">
      <alignment horizontal="right"/>
    </xf>
    <xf numFmtId="0" fontId="6" fillId="0" borderId="2" xfId="0" applyFont="1" applyBorder="1"/>
    <xf numFmtId="3" fontId="6" fillId="0" borderId="2" xfId="0" applyNumberFormat="1" applyFont="1" applyBorder="1"/>
    <xf numFmtId="0" fontId="2" fillId="2" borderId="4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vertical="center" wrapText="1"/>
    </xf>
    <xf numFmtId="0" fontId="7" fillId="0" borderId="2" xfId="0" applyFont="1" applyBorder="1"/>
    <xf numFmtId="0" fontId="2" fillId="2" borderId="13" xfId="0" applyFont="1" applyFill="1" applyBorder="1" applyAlignment="1">
      <alignment vertical="center" wrapText="1"/>
    </xf>
    <xf numFmtId="0" fontId="5" fillId="0" borderId="2" xfId="0" applyFont="1" applyBorder="1" applyAlignment="1">
      <alignment vertical="center"/>
    </xf>
    <xf numFmtId="0" fontId="5" fillId="4" borderId="2" xfId="0" applyFont="1" applyFill="1" applyBorder="1" applyAlignment="1">
      <alignment vertical="center"/>
    </xf>
    <xf numFmtId="0" fontId="5" fillId="0" borderId="2" xfId="0" applyFont="1" applyBorder="1" applyAlignment="1">
      <alignment horizontal="left" vertical="center"/>
    </xf>
    <xf numFmtId="3" fontId="6" fillId="0" borderId="1" xfId="0" applyNumberFormat="1" applyFont="1" applyBorder="1" applyAlignment="1">
      <alignment vertical="center"/>
    </xf>
    <xf numFmtId="0" fontId="9" fillId="0" borderId="2" xfId="0" applyFont="1" applyBorder="1" applyAlignment="1">
      <alignment vertical="center"/>
    </xf>
    <xf numFmtId="0" fontId="6" fillId="4" borderId="2" xfId="0" applyFont="1" applyFill="1" applyBorder="1" applyAlignment="1">
      <alignment horizontal="right" vertical="center"/>
    </xf>
    <xf numFmtId="3" fontId="6" fillId="4" borderId="2" xfId="0" applyNumberFormat="1" applyFont="1" applyFill="1" applyBorder="1" applyAlignment="1">
      <alignment vertical="center"/>
    </xf>
    <xf numFmtId="0" fontId="3" fillId="4" borderId="2" xfId="0" applyFont="1" applyFill="1" applyBorder="1"/>
    <xf numFmtId="0" fontId="1" fillId="0" borderId="2" xfId="0" applyFont="1" applyBorder="1" applyAlignment="1">
      <alignment horizontal="center"/>
    </xf>
    <xf numFmtId="0" fontId="10" fillId="0" borderId="0" xfId="0" applyFont="1"/>
    <xf numFmtId="0" fontId="10" fillId="3" borderId="2" xfId="0" applyFont="1" applyFill="1" applyBorder="1"/>
    <xf numFmtId="0" fontId="1" fillId="3" borderId="2" xfId="0" applyFont="1" applyFill="1" applyBorder="1" applyAlignment="1">
      <alignment horizontal="left" vertical="center"/>
    </xf>
    <xf numFmtId="0" fontId="1" fillId="3" borderId="2" xfId="0" applyFont="1" applyFill="1" applyBorder="1" applyAlignment="1">
      <alignment vertical="center"/>
    </xf>
    <xf numFmtId="3" fontId="1" fillId="3" borderId="2" xfId="0" applyNumberFormat="1" applyFont="1" applyFill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0" fontId="5" fillId="2" borderId="7" xfId="0" applyFont="1" applyFill="1" applyBorder="1" applyAlignment="1">
      <alignment vertical="center"/>
    </xf>
    <xf numFmtId="0" fontId="5" fillId="2" borderId="8" xfId="0" applyFont="1" applyFill="1" applyBorder="1" applyAlignment="1">
      <alignment vertical="center"/>
    </xf>
    <xf numFmtId="0" fontId="15" fillId="0" borderId="2" xfId="1" applyFont="1" applyBorder="1" applyAlignment="1">
      <alignment horizontal="center" vertical="center" wrapText="1"/>
    </xf>
    <xf numFmtId="0" fontId="15" fillId="0" borderId="1" xfId="1" applyFont="1" applyBorder="1" applyAlignment="1">
      <alignment horizontal="center" vertical="center" wrapText="1"/>
    </xf>
    <xf numFmtId="0" fontId="15" fillId="5" borderId="4" xfId="1" applyFont="1" applyFill="1" applyBorder="1" applyAlignment="1">
      <alignment horizontal="center" vertical="center" wrapText="1"/>
    </xf>
    <xf numFmtId="0" fontId="15" fillId="0" borderId="0" xfId="1" applyFont="1" applyAlignment="1">
      <alignment horizontal="center" vertical="center" wrapText="1"/>
    </xf>
    <xf numFmtId="0" fontId="16" fillId="0" borderId="1" xfId="0" applyFont="1" applyBorder="1" applyAlignment="1">
      <alignment vertical="center" wrapText="1"/>
    </xf>
    <xf numFmtId="0" fontId="16" fillId="0" borderId="1" xfId="0" applyFont="1" applyBorder="1" applyAlignment="1">
      <alignment horizontal="center" vertical="center" wrapText="1"/>
    </xf>
    <xf numFmtId="0" fontId="15" fillId="0" borderId="4" xfId="1" applyFont="1" applyBorder="1" applyAlignment="1">
      <alignment horizontal="center" vertical="center" wrapText="1"/>
    </xf>
    <xf numFmtId="0" fontId="16" fillId="0" borderId="2" xfId="1" applyFont="1" applyBorder="1" applyAlignment="1">
      <alignment horizontal="center" vertical="top" wrapText="1"/>
    </xf>
    <xf numFmtId="0" fontId="16" fillId="5" borderId="1" xfId="0" applyFont="1" applyFill="1" applyBorder="1" applyAlignment="1">
      <alignment horizontal="left" vertical="center" wrapText="1"/>
    </xf>
    <xf numFmtId="0" fontId="16" fillId="4" borderId="1" xfId="0" applyFont="1" applyFill="1" applyBorder="1" applyAlignment="1">
      <alignment vertical="center" wrapText="1"/>
    </xf>
    <xf numFmtId="0" fontId="16" fillId="5" borderId="1" xfId="0" applyFont="1" applyFill="1" applyBorder="1" applyAlignment="1">
      <alignment vertical="center" wrapText="1"/>
    </xf>
    <xf numFmtId="3" fontId="0" fillId="0" borderId="2" xfId="0" applyNumberFormat="1" applyBorder="1"/>
    <xf numFmtId="0" fontId="13" fillId="0" borderId="2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0" xfId="0" applyFont="1" applyAlignment="1">
      <alignment horizontal="center"/>
    </xf>
    <xf numFmtId="0" fontId="15" fillId="0" borderId="3" xfId="1" applyFont="1" applyBorder="1" applyAlignment="1">
      <alignment horizontal="center" vertical="center" wrapText="1"/>
    </xf>
    <xf numFmtId="0" fontId="15" fillId="0" borderId="8" xfId="1" applyFont="1" applyBorder="1" applyAlignment="1">
      <alignment horizontal="center" vertical="center" wrapText="1"/>
    </xf>
    <xf numFmtId="0" fontId="16" fillId="0" borderId="2" xfId="1" applyFont="1" applyBorder="1" applyAlignment="1">
      <alignment horizontal="center" vertical="center"/>
    </xf>
    <xf numFmtId="0" fontId="16" fillId="5" borderId="2" xfId="0" applyFont="1" applyFill="1" applyBorder="1" applyAlignment="1">
      <alignment vertical="center" wrapText="1"/>
    </xf>
    <xf numFmtId="0" fontId="15" fillId="6" borderId="0" xfId="1" applyFont="1" applyFill="1" applyAlignment="1">
      <alignment horizontal="center" vertical="center" wrapText="1"/>
    </xf>
    <xf numFmtId="0" fontId="16" fillId="6" borderId="1" xfId="0" applyFont="1" applyFill="1" applyBorder="1" applyAlignment="1">
      <alignment horizontal="center" vertical="center" wrapText="1"/>
    </xf>
    <xf numFmtId="0" fontId="0" fillId="6" borderId="2" xfId="0" applyFill="1" applyBorder="1"/>
    <xf numFmtId="0" fontId="0" fillId="6" borderId="0" xfId="0" applyFill="1"/>
    <xf numFmtId="0" fontId="16" fillId="6" borderId="2" xfId="0" applyFont="1" applyFill="1" applyBorder="1" applyAlignment="1">
      <alignment horizontal="left" vertical="center" wrapText="1"/>
    </xf>
    <xf numFmtId="0" fontId="16" fillId="6" borderId="1" xfId="0" applyFont="1" applyFill="1" applyBorder="1" applyAlignment="1">
      <alignment vertical="center" wrapText="1"/>
    </xf>
    <xf numFmtId="0" fontId="15" fillId="7" borderId="0" xfId="1" applyFont="1" applyFill="1" applyAlignment="1">
      <alignment horizontal="center" vertical="center" wrapText="1"/>
    </xf>
    <xf numFmtId="0" fontId="16" fillId="7" borderId="1" xfId="0" applyFont="1" applyFill="1" applyBorder="1" applyAlignment="1">
      <alignment vertical="center"/>
    </xf>
    <xf numFmtId="0" fontId="0" fillId="7" borderId="2" xfId="0" applyFill="1" applyBorder="1"/>
    <xf numFmtId="0" fontId="0" fillId="7" borderId="0" xfId="0" applyFill="1"/>
    <xf numFmtId="0" fontId="16" fillId="7" borderId="1" xfId="0" applyFont="1" applyFill="1" applyBorder="1" applyAlignment="1">
      <alignment vertical="center" wrapText="1"/>
    </xf>
    <xf numFmtId="0" fontId="16" fillId="7" borderId="1" xfId="0" applyFont="1" applyFill="1" applyBorder="1" applyAlignment="1">
      <alignment horizontal="left" vertical="center" wrapText="1"/>
    </xf>
    <xf numFmtId="0" fontId="15" fillId="7" borderId="4" xfId="1" applyFont="1" applyFill="1" applyBorder="1" applyAlignment="1">
      <alignment horizontal="center" vertical="center" wrapText="1"/>
    </xf>
    <xf numFmtId="0" fontId="16" fillId="7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top" wrapText="1"/>
    </xf>
    <xf numFmtId="0" fontId="2" fillId="2" borderId="5" xfId="0" applyFont="1" applyFill="1" applyBorder="1" applyAlignment="1">
      <alignment horizontal="center" vertical="top" wrapText="1"/>
    </xf>
    <xf numFmtId="0" fontId="10" fillId="3" borderId="5" xfId="0" applyFont="1" applyFill="1" applyBorder="1" applyAlignment="1">
      <alignment vertical="top" wrapText="1"/>
    </xf>
    <xf numFmtId="0" fontId="0" fillId="5" borderId="0" xfId="0" applyFill="1"/>
    <xf numFmtId="0" fontId="0" fillId="8" borderId="0" xfId="0" applyFill="1"/>
    <xf numFmtId="0" fontId="0" fillId="0" borderId="0" xfId="0" applyAlignment="1">
      <alignment horizontal="center"/>
    </xf>
    <xf numFmtId="2" fontId="0" fillId="0" borderId="2" xfId="0" applyNumberFormat="1" applyBorder="1"/>
    <xf numFmtId="3" fontId="0" fillId="0" borderId="0" xfId="0" applyNumberFormat="1"/>
    <xf numFmtId="0" fontId="3" fillId="0" borderId="0" xfId="0" applyFont="1"/>
    <xf numFmtId="0" fontId="3" fillId="0" borderId="2" xfId="0" applyFont="1" applyBorder="1" applyAlignment="1">
      <alignment horizontal="right"/>
    </xf>
    <xf numFmtId="0" fontId="4" fillId="8" borderId="2" xfId="0" applyFont="1" applyFill="1" applyBorder="1"/>
    <xf numFmtId="0" fontId="3" fillId="8" borderId="2" xfId="0" applyFont="1" applyFill="1" applyBorder="1"/>
    <xf numFmtId="0" fontId="3" fillId="8" borderId="0" xfId="0" applyFont="1" applyFill="1"/>
    <xf numFmtId="164" fontId="3" fillId="0" borderId="2" xfId="0" applyNumberFormat="1" applyFont="1" applyBorder="1"/>
    <xf numFmtId="164" fontId="3" fillId="8" borderId="2" xfId="0" applyNumberFormat="1" applyFont="1" applyFill="1" applyBorder="1"/>
    <xf numFmtId="164" fontId="3" fillId="0" borderId="0" xfId="0" applyNumberFormat="1" applyFont="1"/>
    <xf numFmtId="2" fontId="3" fillId="0" borderId="2" xfId="0" applyNumberFormat="1" applyFont="1" applyBorder="1" applyAlignment="1">
      <alignment horizontal="right"/>
    </xf>
    <xf numFmtId="2" fontId="4" fillId="0" borderId="2" xfId="0" applyNumberFormat="1" applyFont="1" applyBorder="1" applyAlignment="1">
      <alignment horizontal="right"/>
    </xf>
    <xf numFmtId="0" fontId="0" fillId="8" borderId="2" xfId="0" applyFill="1" applyBorder="1"/>
    <xf numFmtId="0" fontId="2" fillId="2" borderId="4" xfId="0" applyFont="1" applyFill="1" applyBorder="1" applyAlignment="1">
      <alignment horizontal="center" vertical="top" wrapText="1"/>
    </xf>
    <xf numFmtId="0" fontId="3" fillId="6" borderId="0" xfId="0" applyFont="1" applyFill="1"/>
    <xf numFmtId="0" fontId="3" fillId="6" borderId="2" xfId="0" applyFont="1" applyFill="1" applyBorder="1"/>
    <xf numFmtId="2" fontId="0" fillId="0" borderId="0" xfId="0" applyNumberFormat="1"/>
    <xf numFmtId="2" fontId="4" fillId="0" borderId="2" xfId="0" applyNumberFormat="1" applyFont="1" applyBorder="1"/>
    <xf numFmtId="0" fontId="4" fillId="0" borderId="0" xfId="0" applyFont="1"/>
    <xf numFmtId="2" fontId="3" fillId="0" borderId="2" xfId="0" applyNumberFormat="1" applyFont="1" applyBorder="1"/>
    <xf numFmtId="0" fontId="4" fillId="0" borderId="5" xfId="0" applyFont="1" applyBorder="1"/>
    <xf numFmtId="164" fontId="3" fillId="0" borderId="2" xfId="0" applyNumberFormat="1" applyFont="1" applyBorder="1" applyAlignment="1">
      <alignment horizontal="right"/>
    </xf>
    <xf numFmtId="2" fontId="3" fillId="4" borderId="2" xfId="0" applyNumberFormat="1" applyFont="1" applyFill="1" applyBorder="1" applyAlignment="1">
      <alignment horizontal="right"/>
    </xf>
    <xf numFmtId="2" fontId="4" fillId="4" borderId="2" xfId="0" applyNumberFormat="1" applyFont="1" applyFill="1" applyBorder="1"/>
    <xf numFmtId="0" fontId="6" fillId="0" borderId="0" xfId="0" applyFont="1" applyAlignment="1">
      <alignment vertical="center"/>
    </xf>
    <xf numFmtId="0" fontId="4" fillId="3" borderId="2" xfId="0" applyFont="1" applyFill="1" applyBorder="1"/>
    <xf numFmtId="2" fontId="4" fillId="3" borderId="2" xfId="0" applyNumberFormat="1" applyFont="1" applyFill="1" applyBorder="1" applyAlignment="1">
      <alignment horizontal="right"/>
    </xf>
    <xf numFmtId="0" fontId="4" fillId="3" borderId="2" xfId="0" applyFont="1" applyFill="1" applyBorder="1" applyAlignment="1">
      <alignment horizontal="right"/>
    </xf>
    <xf numFmtId="2" fontId="3" fillId="3" borderId="2" xfId="0" applyNumberFormat="1" applyFont="1" applyFill="1" applyBorder="1" applyAlignment="1">
      <alignment horizontal="right"/>
    </xf>
    <xf numFmtId="164" fontId="3" fillId="3" borderId="2" xfId="0" applyNumberFormat="1" applyFont="1" applyFill="1" applyBorder="1"/>
    <xf numFmtId="0" fontId="4" fillId="0" borderId="0" xfId="0" applyFont="1" applyBorder="1"/>
    <xf numFmtId="0" fontId="3" fillId="0" borderId="0" xfId="0" applyFont="1" applyBorder="1"/>
    <xf numFmtId="0" fontId="4" fillId="0" borderId="0" xfId="0" applyFont="1" applyBorder="1" applyAlignment="1">
      <alignment horizontal="right"/>
    </xf>
    <xf numFmtId="2" fontId="3" fillId="0" borderId="0" xfId="0" applyNumberFormat="1" applyFont="1" applyBorder="1" applyAlignment="1">
      <alignment horizontal="right"/>
    </xf>
    <xf numFmtId="0" fontId="3" fillId="0" borderId="0" xfId="0" applyFont="1" applyBorder="1" applyAlignment="1">
      <alignment horizontal="right"/>
    </xf>
    <xf numFmtId="2" fontId="3" fillId="5" borderId="0" xfId="0" applyNumberFormat="1" applyFont="1" applyFill="1" applyBorder="1" applyAlignment="1">
      <alignment horizontal="right"/>
    </xf>
    <xf numFmtId="0" fontId="0" fillId="0" borderId="0" xfId="0" applyBorder="1"/>
    <xf numFmtId="0" fontId="1" fillId="2" borderId="3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top" wrapText="1"/>
    </xf>
    <xf numFmtId="0" fontId="2" fillId="2" borderId="1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0" fontId="2" fillId="2" borderId="5" xfId="0" applyFont="1" applyFill="1" applyBorder="1" applyAlignment="1">
      <alignment horizontal="center" vertical="top" wrapText="1"/>
    </xf>
    <xf numFmtId="0" fontId="2" fillId="2" borderId="5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top" wrapText="1"/>
    </xf>
    <xf numFmtId="0" fontId="4" fillId="3" borderId="4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3" borderId="3" xfId="0" applyFont="1" applyFill="1" applyBorder="1" applyAlignment="1">
      <alignment vertical="center"/>
    </xf>
    <xf numFmtId="0" fontId="9" fillId="3" borderId="7" xfId="0" applyFont="1" applyFill="1" applyBorder="1" applyAlignment="1">
      <alignment vertical="center"/>
    </xf>
    <xf numFmtId="0" fontId="9" fillId="3" borderId="8" xfId="0" applyFont="1" applyFill="1" applyBorder="1" applyAlignment="1">
      <alignment vertical="center"/>
    </xf>
    <xf numFmtId="0" fontId="1" fillId="3" borderId="3" xfId="0" applyFont="1" applyFill="1" applyBorder="1" applyAlignment="1">
      <alignment horizontal="left" vertical="center"/>
    </xf>
    <xf numFmtId="0" fontId="9" fillId="3" borderId="7" xfId="0" applyFont="1" applyFill="1" applyBorder="1" applyAlignment="1">
      <alignment horizontal="left" vertical="center"/>
    </xf>
    <xf numFmtId="0" fontId="9" fillId="3" borderId="8" xfId="0" applyFont="1" applyFill="1" applyBorder="1" applyAlignment="1">
      <alignment horizontal="left" vertical="center"/>
    </xf>
    <xf numFmtId="0" fontId="12" fillId="3" borderId="3" xfId="0" applyFont="1" applyFill="1" applyBorder="1" applyAlignment="1">
      <alignment horizontal="left"/>
    </xf>
    <xf numFmtId="0" fontId="0" fillId="3" borderId="7" xfId="0" applyFill="1" applyBorder="1" applyAlignment="1">
      <alignment horizontal="left"/>
    </xf>
    <xf numFmtId="0" fontId="0" fillId="3" borderId="8" xfId="0" applyFill="1" applyBorder="1" applyAlignment="1">
      <alignment horizontal="left"/>
    </xf>
    <xf numFmtId="0" fontId="4" fillId="3" borderId="3" xfId="0" applyFont="1" applyFill="1" applyBorder="1" applyAlignment="1">
      <alignment horizontal="left"/>
    </xf>
    <xf numFmtId="0" fontId="9" fillId="0" borderId="3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vertical="center" wrapText="1"/>
    </xf>
    <xf numFmtId="0" fontId="2" fillId="2" borderId="10" xfId="0" applyFont="1" applyFill="1" applyBorder="1" applyAlignment="1">
      <alignment vertical="center" wrapText="1"/>
    </xf>
    <xf numFmtId="0" fontId="2" fillId="2" borderId="10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left" wrapText="1"/>
    </xf>
    <xf numFmtId="0" fontId="4" fillId="0" borderId="8" xfId="0" applyFont="1" applyBorder="1" applyAlignment="1">
      <alignment horizontal="left" wrapText="1"/>
    </xf>
    <xf numFmtId="0" fontId="5" fillId="3" borderId="3" xfId="0" applyFont="1" applyFill="1" applyBorder="1" applyAlignment="1">
      <alignment horizontal="left" vertical="center"/>
    </xf>
    <xf numFmtId="0" fontId="5" fillId="3" borderId="7" xfId="0" applyFont="1" applyFill="1" applyBorder="1" applyAlignment="1">
      <alignment horizontal="left" vertical="center"/>
    </xf>
    <xf numFmtId="0" fontId="5" fillId="3" borderId="8" xfId="0" applyFont="1" applyFill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4" fillId="0" borderId="7" xfId="0" applyFont="1" applyBorder="1" applyAlignment="1">
      <alignment horizontal="left" wrapText="1"/>
    </xf>
    <xf numFmtId="0" fontId="1" fillId="3" borderId="3" xfId="0" applyFont="1" applyFill="1" applyBorder="1" applyAlignment="1">
      <alignment horizontal="left" vertical="top"/>
    </xf>
    <xf numFmtId="0" fontId="1" fillId="3" borderId="7" xfId="0" applyFont="1" applyFill="1" applyBorder="1" applyAlignment="1">
      <alignment horizontal="left" vertical="top"/>
    </xf>
    <xf numFmtId="0" fontId="1" fillId="3" borderId="8" xfId="0" applyFont="1" applyFill="1" applyBorder="1" applyAlignment="1">
      <alignment horizontal="left" vertical="top"/>
    </xf>
    <xf numFmtId="0" fontId="10" fillId="3" borderId="3" xfId="0" applyFont="1" applyFill="1" applyBorder="1" applyAlignment="1">
      <alignment horizontal="left"/>
    </xf>
    <xf numFmtId="0" fontId="10" fillId="3" borderId="7" xfId="0" applyFont="1" applyFill="1" applyBorder="1" applyAlignment="1">
      <alignment horizontal="left"/>
    </xf>
    <xf numFmtId="0" fontId="10" fillId="3" borderId="8" xfId="0" applyFont="1" applyFill="1" applyBorder="1" applyAlignment="1">
      <alignment horizontal="left"/>
    </xf>
    <xf numFmtId="0" fontId="1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5" fillId="4" borderId="1" xfId="1" applyFont="1" applyFill="1" applyBorder="1" applyAlignment="1">
      <alignment horizontal="center" vertical="center" wrapText="1"/>
    </xf>
    <xf numFmtId="0" fontId="15" fillId="4" borderId="4" xfId="1" applyFont="1" applyFill="1" applyBorder="1" applyAlignment="1">
      <alignment horizontal="center" vertical="center" wrapText="1"/>
    </xf>
    <xf numFmtId="0" fontId="15" fillId="4" borderId="5" xfId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0" fillId="0" borderId="14" xfId="0" applyBorder="1" applyAlignment="1">
      <alignment horizontal="center" vertical="top" wrapText="1"/>
    </xf>
    <xf numFmtId="0" fontId="4" fillId="0" borderId="0" xfId="0" applyFont="1" applyAlignment="1">
      <alignment horizontal="center"/>
    </xf>
    <xf numFmtId="0" fontId="16" fillId="0" borderId="5" xfId="1" applyFont="1" applyBorder="1" applyAlignment="1">
      <alignment horizontal="center" vertical="center"/>
    </xf>
    <xf numFmtId="0" fontId="16" fillId="0" borderId="2" xfId="1" applyFont="1" applyBorder="1" applyAlignment="1">
      <alignment horizontal="center" vertical="center"/>
    </xf>
    <xf numFmtId="0" fontId="16" fillId="0" borderId="1" xfId="1" applyFont="1" applyBorder="1" applyAlignment="1">
      <alignment horizontal="center" vertical="center"/>
    </xf>
    <xf numFmtId="0" fontId="15" fillId="0" borderId="4" xfId="1" applyFont="1" applyBorder="1" applyAlignment="1">
      <alignment horizontal="center" vertical="center" wrapText="1"/>
    </xf>
    <xf numFmtId="0" fontId="15" fillId="6" borderId="4" xfId="1" applyFont="1" applyFill="1" applyBorder="1" applyAlignment="1">
      <alignment horizontal="center" vertical="center"/>
    </xf>
    <xf numFmtId="0" fontId="15" fillId="0" borderId="2" xfId="1" applyFont="1" applyBorder="1" applyAlignment="1">
      <alignment horizontal="center" vertical="center" wrapText="1"/>
    </xf>
    <xf numFmtId="0" fontId="16" fillId="0" borderId="2" xfId="1" applyFont="1" applyBorder="1" applyAlignment="1">
      <alignment horizontal="center" vertical="top" wrapText="1"/>
    </xf>
    <xf numFmtId="0" fontId="16" fillId="0" borderId="1" xfId="1" applyFont="1" applyBorder="1" applyAlignment="1">
      <alignment horizontal="center" vertical="top" wrapText="1"/>
    </xf>
    <xf numFmtId="0" fontId="15" fillId="7" borderId="4" xfId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4" fillId="0" borderId="14" xfId="0" applyFont="1" applyBorder="1" applyAlignment="1">
      <alignment horizontal="center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0" fillId="3" borderId="0" xfId="0" applyFill="1" applyAlignment="1">
      <alignment horizontal="center"/>
    </xf>
    <xf numFmtId="0" fontId="10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15" xfId="0" applyFont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0"/>
  <sheetViews>
    <sheetView zoomScale="98" zoomScaleNormal="98" workbookViewId="0">
      <selection activeCell="AQ8" sqref="AQ8"/>
    </sheetView>
  </sheetViews>
  <sheetFormatPr defaultRowHeight="14.5" x14ac:dyDescent="0.35"/>
  <cols>
    <col min="2" max="2" width="15.54296875" customWidth="1"/>
    <col min="3" max="3" width="11.1796875" customWidth="1"/>
    <col min="4" max="4" width="14" customWidth="1"/>
    <col min="5" max="5" width="12" customWidth="1"/>
    <col min="6" max="6" width="10.81640625" customWidth="1"/>
    <col min="7" max="7" width="13.1796875" customWidth="1"/>
    <col min="8" max="8" width="13.26953125" customWidth="1"/>
    <col min="9" max="9" width="10.26953125" customWidth="1"/>
    <col min="10" max="10" width="11.26953125" customWidth="1"/>
    <col min="14" max="14" width="11.54296875" customWidth="1"/>
    <col min="17" max="17" width="10.54296875" customWidth="1"/>
    <col min="36" max="36" width="11.54296875" customWidth="1"/>
    <col min="37" max="37" width="12.54296875" customWidth="1"/>
    <col min="41" max="41" width="11" customWidth="1"/>
    <col min="42" max="42" width="12.1796875" customWidth="1"/>
    <col min="43" max="43" width="12.54296875" customWidth="1"/>
    <col min="44" max="44" width="13.7265625" customWidth="1"/>
  </cols>
  <sheetData>
    <row r="1" spans="1:45" x14ac:dyDescent="0.35">
      <c r="A1" s="119" t="s">
        <v>160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1"/>
      <c r="X1" s="135" t="s">
        <v>161</v>
      </c>
      <c r="Y1" s="135"/>
      <c r="Z1" s="135"/>
      <c r="AA1" s="135"/>
      <c r="AB1" s="135"/>
      <c r="AC1" s="135"/>
      <c r="AD1" s="135"/>
      <c r="AE1" s="135"/>
      <c r="AF1" s="135"/>
      <c r="AG1" s="135"/>
      <c r="AH1" s="135"/>
      <c r="AI1" s="135"/>
      <c r="AJ1" s="135"/>
      <c r="AK1" s="135"/>
      <c r="AL1" s="135"/>
      <c r="AM1" s="135"/>
      <c r="AN1" s="135"/>
      <c r="AO1" s="135"/>
      <c r="AP1" s="135"/>
      <c r="AQ1" s="135"/>
      <c r="AR1" s="135"/>
    </row>
    <row r="2" spans="1:45" x14ac:dyDescent="0.35">
      <c r="A2" s="128" t="s">
        <v>3</v>
      </c>
      <c r="B2" s="128" t="s">
        <v>4</v>
      </c>
      <c r="C2" s="130" t="s">
        <v>5</v>
      </c>
      <c r="D2" s="130" t="s">
        <v>162</v>
      </c>
      <c r="E2" s="132" t="s">
        <v>6</v>
      </c>
      <c r="F2" s="14"/>
      <c r="G2" s="134" t="s">
        <v>2</v>
      </c>
      <c r="H2" s="124" t="s">
        <v>12</v>
      </c>
      <c r="I2" s="126" t="s">
        <v>163</v>
      </c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122" t="s">
        <v>10</v>
      </c>
      <c r="W2" s="84"/>
      <c r="X2" s="128" t="s">
        <v>3</v>
      </c>
      <c r="Y2" s="128" t="s">
        <v>4</v>
      </c>
      <c r="Z2" s="130" t="s">
        <v>5</v>
      </c>
      <c r="AA2" s="130" t="s">
        <v>11</v>
      </c>
      <c r="AB2" s="132" t="s">
        <v>6</v>
      </c>
      <c r="AC2" s="14"/>
      <c r="AD2" s="130" t="s">
        <v>1</v>
      </c>
      <c r="AE2" s="127" t="s">
        <v>241</v>
      </c>
      <c r="AF2" s="136" t="s">
        <v>163</v>
      </c>
      <c r="AG2" s="95"/>
      <c r="AH2" s="95"/>
      <c r="AI2" s="95"/>
      <c r="AJ2" s="95"/>
      <c r="AK2" s="95"/>
      <c r="AL2" s="95"/>
      <c r="AM2" s="95"/>
      <c r="AN2" s="95"/>
      <c r="AO2" s="95"/>
      <c r="AP2" s="95"/>
      <c r="AQ2" s="95"/>
      <c r="AR2" s="137" t="s">
        <v>10</v>
      </c>
      <c r="AS2" s="84"/>
    </row>
    <row r="3" spans="1:45" ht="117" x14ac:dyDescent="0.35">
      <c r="A3" s="129"/>
      <c r="B3" s="129"/>
      <c r="C3" s="131"/>
      <c r="D3" s="131"/>
      <c r="E3" s="133"/>
      <c r="F3" s="15" t="s">
        <v>1</v>
      </c>
      <c r="G3" s="134"/>
      <c r="H3" s="125"/>
      <c r="I3" s="127"/>
      <c r="J3" s="77" t="s">
        <v>164</v>
      </c>
      <c r="K3" s="77" t="s">
        <v>165</v>
      </c>
      <c r="L3" s="77" t="s">
        <v>166</v>
      </c>
      <c r="M3" s="78" t="s">
        <v>178</v>
      </c>
      <c r="N3" s="77" t="s">
        <v>177</v>
      </c>
      <c r="O3" s="77" t="s">
        <v>167</v>
      </c>
      <c r="P3" s="77" t="s">
        <v>168</v>
      </c>
      <c r="Q3" s="77" t="s">
        <v>169</v>
      </c>
      <c r="R3" s="77" t="s">
        <v>170</v>
      </c>
      <c r="S3" s="77" t="s">
        <v>172</v>
      </c>
      <c r="T3" s="77" t="s">
        <v>173</v>
      </c>
      <c r="U3" s="77" t="s">
        <v>174</v>
      </c>
      <c r="V3" s="123"/>
      <c r="W3" s="84"/>
      <c r="X3" s="129"/>
      <c r="Y3" s="129"/>
      <c r="Z3" s="131"/>
      <c r="AA3" s="131"/>
      <c r="AB3" s="133"/>
      <c r="AC3" s="15" t="s">
        <v>0</v>
      </c>
      <c r="AD3" s="131"/>
      <c r="AE3" s="134"/>
      <c r="AF3" s="127"/>
      <c r="AG3" s="77" t="s">
        <v>164</v>
      </c>
      <c r="AH3" s="77" t="s">
        <v>165</v>
      </c>
      <c r="AI3" s="77" t="s">
        <v>166</v>
      </c>
      <c r="AJ3" s="77" t="s">
        <v>167</v>
      </c>
      <c r="AK3" s="77" t="s">
        <v>168</v>
      </c>
      <c r="AL3" s="77" t="s">
        <v>169</v>
      </c>
      <c r="AM3" s="77" t="s">
        <v>170</v>
      </c>
      <c r="AN3" s="77" t="s">
        <v>171</v>
      </c>
      <c r="AO3" s="77" t="s">
        <v>172</v>
      </c>
      <c r="AP3" s="77" t="s">
        <v>173</v>
      </c>
      <c r="AQ3" s="77" t="s">
        <v>174</v>
      </c>
      <c r="AR3" s="123"/>
      <c r="AS3" s="84"/>
    </row>
    <row r="4" spans="1:45" x14ac:dyDescent="0.35">
      <c r="A4" s="4">
        <v>1</v>
      </c>
      <c r="B4" s="4" t="s">
        <v>63</v>
      </c>
      <c r="C4" s="4">
        <v>1</v>
      </c>
      <c r="D4" s="4">
        <v>2</v>
      </c>
      <c r="E4" s="4">
        <v>162327.66</v>
      </c>
      <c r="F4" s="4">
        <f>E4/30/8</f>
        <v>676.36525000000006</v>
      </c>
      <c r="G4" s="4">
        <f>F4*D4</f>
        <v>1352.7305000000001</v>
      </c>
      <c r="H4" s="4">
        <f>G4*12</f>
        <v>16232.766000000001</v>
      </c>
      <c r="I4" s="4">
        <f>H4/15</f>
        <v>1082.1844000000001</v>
      </c>
      <c r="J4" s="4">
        <v>7</v>
      </c>
      <c r="K4" s="4">
        <f>J4*12</f>
        <v>84</v>
      </c>
      <c r="L4" s="4">
        <f>8*60*K4</f>
        <v>40320</v>
      </c>
      <c r="M4" s="4">
        <v>15</v>
      </c>
      <c r="N4" s="4">
        <f>M4*K4</f>
        <v>1260</v>
      </c>
      <c r="O4" s="4">
        <f>F4/60*N4</f>
        <v>14203.670250000001</v>
      </c>
      <c r="P4" s="97">
        <f>O4/15</f>
        <v>946.91135000000008</v>
      </c>
      <c r="Q4" s="4">
        <v>235200</v>
      </c>
      <c r="R4" s="4">
        <f>8*60*K4</f>
        <v>40320</v>
      </c>
      <c r="S4" s="4">
        <f>Q4/R4*N4</f>
        <v>7350</v>
      </c>
      <c r="T4" s="97">
        <f>S4/15</f>
        <v>490</v>
      </c>
      <c r="U4" s="4">
        <f>T4+P4</f>
        <v>1436.9113500000001</v>
      </c>
      <c r="V4" s="4"/>
      <c r="W4" s="84"/>
      <c r="X4" s="4">
        <v>1</v>
      </c>
      <c r="Y4" s="4" t="s">
        <v>63</v>
      </c>
      <c r="Z4" s="4"/>
      <c r="AA4" s="4">
        <v>2</v>
      </c>
      <c r="AB4" s="4">
        <v>167508.32999999999</v>
      </c>
      <c r="AC4" s="4">
        <f>AB4/30</f>
        <v>5583.6109999999999</v>
      </c>
      <c r="AD4" s="4">
        <f>AC4/8</f>
        <v>697.95137499999998</v>
      </c>
      <c r="AE4" s="4">
        <f>AD4*AA4*12</f>
        <v>16750.832999999999</v>
      </c>
      <c r="AF4" s="4">
        <f>AE4/15</f>
        <v>1116.7221999999999</v>
      </c>
      <c r="AG4" s="4">
        <v>7</v>
      </c>
      <c r="AH4" s="4">
        <v>84</v>
      </c>
      <c r="AI4" s="4">
        <v>40320</v>
      </c>
      <c r="AJ4" s="4">
        <f>AD4/60*AN4</f>
        <v>14656.978874999999</v>
      </c>
      <c r="AK4" s="87">
        <f>AJ4/15</f>
        <v>977.13192499999991</v>
      </c>
      <c r="AL4" s="4">
        <v>235200</v>
      </c>
      <c r="AM4" s="4">
        <v>40320</v>
      </c>
      <c r="AN4" s="4">
        <v>1260</v>
      </c>
      <c r="AO4" s="4">
        <f>AL4/AM4*AN4</f>
        <v>7350</v>
      </c>
      <c r="AP4" s="4">
        <f>AO4/15</f>
        <v>490</v>
      </c>
      <c r="AQ4" s="4">
        <f>AP4+AK4</f>
        <v>1467.1319249999999</v>
      </c>
      <c r="AR4" s="4"/>
      <c r="AS4" s="84"/>
    </row>
    <row r="5" spans="1:45" x14ac:dyDescent="0.35">
      <c r="A5" s="4">
        <v>2</v>
      </c>
      <c r="B5" s="4" t="s">
        <v>176</v>
      </c>
      <c r="C5" s="4">
        <v>1</v>
      </c>
      <c r="D5" s="4">
        <v>2</v>
      </c>
      <c r="E5" s="4">
        <v>152849.64000000001</v>
      </c>
      <c r="F5" s="4">
        <f t="shared" ref="F5:F6" si="0">E5/30/8</f>
        <v>636.87350000000004</v>
      </c>
      <c r="G5" s="4">
        <f>F5*D5</f>
        <v>1273.7470000000001</v>
      </c>
      <c r="H5" s="4">
        <f t="shared" ref="H5" si="1">G5*12</f>
        <v>15284.964</v>
      </c>
      <c r="I5" s="4">
        <f t="shared" ref="I5:I6" si="2">H5/15</f>
        <v>1018.9976</v>
      </c>
      <c r="J5" s="4">
        <v>7</v>
      </c>
      <c r="K5" s="4">
        <f t="shared" ref="K5:K7" si="3">J5*12</f>
        <v>84</v>
      </c>
      <c r="L5" s="4">
        <f t="shared" ref="L5:L7" si="4">8*60*K5</f>
        <v>40320</v>
      </c>
      <c r="M5" s="4">
        <v>15</v>
      </c>
      <c r="N5" s="4">
        <f t="shared" ref="N5" si="5">M5*K5</f>
        <v>1260</v>
      </c>
      <c r="O5" s="4">
        <f t="shared" ref="O5" si="6">F5/60*N5</f>
        <v>13374.343499999999</v>
      </c>
      <c r="P5" s="97">
        <f>O5/15</f>
        <v>891.62289999999996</v>
      </c>
      <c r="Q5" s="4">
        <v>235200</v>
      </c>
      <c r="R5" s="4">
        <f>L5</f>
        <v>40320</v>
      </c>
      <c r="S5" s="4">
        <f>Q5/R5*N5</f>
        <v>7350</v>
      </c>
      <c r="T5" s="97">
        <f t="shared" ref="T5" si="7">S5/15</f>
        <v>490</v>
      </c>
      <c r="U5" s="4">
        <f t="shared" ref="U5:U6" si="8">T5+P5</f>
        <v>1381.6228999999998</v>
      </c>
      <c r="V5" s="4"/>
      <c r="W5" s="84"/>
      <c r="X5" s="4">
        <v>2</v>
      </c>
      <c r="Y5" s="4" t="s">
        <v>176</v>
      </c>
      <c r="Z5" s="4"/>
      <c r="AA5" s="4">
        <v>2</v>
      </c>
      <c r="AB5" s="4">
        <v>157727.82</v>
      </c>
      <c r="AC5" s="4">
        <f t="shared" ref="AC5:AC7" si="9">AB5/30</f>
        <v>5257.5940000000001</v>
      </c>
      <c r="AD5" s="4">
        <f t="shared" ref="AD5:AD7" si="10">AC5/8</f>
        <v>657.19925000000001</v>
      </c>
      <c r="AE5" s="4">
        <f t="shared" ref="AE5:AE7" si="11">AD5*AA5*12</f>
        <v>15772.781999999999</v>
      </c>
      <c r="AF5" s="4">
        <f t="shared" ref="AF5:AF6" si="12">AE5/15</f>
        <v>1051.5188000000001</v>
      </c>
      <c r="AG5" s="4">
        <v>7</v>
      </c>
      <c r="AH5" s="4">
        <v>84</v>
      </c>
      <c r="AI5" s="4">
        <v>40320</v>
      </c>
      <c r="AJ5" s="4">
        <f t="shared" ref="AJ5:AJ7" si="13">AD5/60*AN5</f>
        <v>13801.184249999998</v>
      </c>
      <c r="AK5" s="87">
        <f t="shared" ref="AK5:AK6" si="14">AJ5/15</f>
        <v>920.07894999999985</v>
      </c>
      <c r="AL5" s="4">
        <v>235200</v>
      </c>
      <c r="AM5" s="4">
        <v>40320</v>
      </c>
      <c r="AN5" s="4">
        <v>1260</v>
      </c>
      <c r="AO5" s="4">
        <f t="shared" ref="AO5:AO6" si="15">AL5/AM5*AN5</f>
        <v>7350</v>
      </c>
      <c r="AP5" s="4">
        <f t="shared" ref="AP5:AP6" si="16">AO5/15</f>
        <v>490</v>
      </c>
      <c r="AQ5" s="4">
        <f t="shared" ref="AQ5:AQ6" si="17">AP5+AK5</f>
        <v>1410.0789499999998</v>
      </c>
      <c r="AR5" s="4"/>
      <c r="AS5" s="84"/>
    </row>
    <row r="6" spans="1:45" x14ac:dyDescent="0.35">
      <c r="A6" s="4">
        <v>3</v>
      </c>
      <c r="B6" s="4" t="s">
        <v>13</v>
      </c>
      <c r="C6" s="4">
        <v>1</v>
      </c>
      <c r="D6" s="4">
        <v>2</v>
      </c>
      <c r="E6" s="4">
        <v>30000</v>
      </c>
      <c r="F6" s="4">
        <f t="shared" si="0"/>
        <v>125</v>
      </c>
      <c r="G6" s="4">
        <f>F6*D6</f>
        <v>250</v>
      </c>
      <c r="H6" s="4">
        <f>G6*12</f>
        <v>3000</v>
      </c>
      <c r="I6" s="4">
        <f t="shared" si="2"/>
        <v>200</v>
      </c>
      <c r="J6" s="4">
        <v>4</v>
      </c>
      <c r="K6" s="4">
        <f t="shared" si="3"/>
        <v>48</v>
      </c>
      <c r="L6" s="4">
        <f t="shared" si="4"/>
        <v>23040</v>
      </c>
      <c r="M6" s="4">
        <v>15</v>
      </c>
      <c r="N6" s="4">
        <f>M6*K6</f>
        <v>720</v>
      </c>
      <c r="O6" s="4">
        <f>F6/60*N6</f>
        <v>1500</v>
      </c>
      <c r="P6" s="97">
        <f>O6/15</f>
        <v>100</v>
      </c>
      <c r="Q6" s="4">
        <v>235200</v>
      </c>
      <c r="R6" s="4">
        <f>L6</f>
        <v>23040</v>
      </c>
      <c r="S6" s="4">
        <f>Q6/R6*N6</f>
        <v>7350</v>
      </c>
      <c r="T6" s="97">
        <f>S6/15</f>
        <v>490</v>
      </c>
      <c r="U6" s="4">
        <f t="shared" si="8"/>
        <v>590</v>
      </c>
      <c r="V6" s="4"/>
      <c r="W6" s="84"/>
      <c r="X6" s="4">
        <v>3</v>
      </c>
      <c r="Y6" s="4" t="s">
        <v>13</v>
      </c>
      <c r="Z6" s="4"/>
      <c r="AA6" s="4">
        <v>2</v>
      </c>
      <c r="AB6" s="4">
        <v>38000</v>
      </c>
      <c r="AC6" s="4">
        <f t="shared" si="9"/>
        <v>1266.6666666666667</v>
      </c>
      <c r="AD6" s="4">
        <f t="shared" si="10"/>
        <v>158.33333333333334</v>
      </c>
      <c r="AE6" s="4">
        <f t="shared" si="11"/>
        <v>3800</v>
      </c>
      <c r="AF6" s="4">
        <f t="shared" si="12"/>
        <v>253.33333333333334</v>
      </c>
      <c r="AG6" s="4">
        <v>4</v>
      </c>
      <c r="AH6" s="4">
        <v>48</v>
      </c>
      <c r="AI6" s="4">
        <v>23040</v>
      </c>
      <c r="AJ6" s="4">
        <f t="shared" si="13"/>
        <v>1900</v>
      </c>
      <c r="AK6" s="87">
        <f t="shared" si="14"/>
        <v>126.66666666666667</v>
      </c>
      <c r="AL6" s="4">
        <v>235200</v>
      </c>
      <c r="AM6" s="4">
        <v>23040</v>
      </c>
      <c r="AN6" s="4">
        <v>720</v>
      </c>
      <c r="AO6" s="4">
        <f t="shared" si="15"/>
        <v>7350</v>
      </c>
      <c r="AP6" s="4">
        <f t="shared" si="16"/>
        <v>490</v>
      </c>
      <c r="AQ6" s="4">
        <f t="shared" si="17"/>
        <v>616.66666666666663</v>
      </c>
      <c r="AR6" s="4"/>
      <c r="AS6" s="84"/>
    </row>
    <row r="7" spans="1:45" x14ac:dyDescent="0.35">
      <c r="A7" s="4">
        <v>4</v>
      </c>
      <c r="B7" s="4" t="s">
        <v>14</v>
      </c>
      <c r="C7" s="4">
        <v>1</v>
      </c>
      <c r="D7" s="4">
        <v>60</v>
      </c>
      <c r="E7" s="4">
        <v>23500</v>
      </c>
      <c r="F7" s="4">
        <f>E7/30/8</f>
        <v>97.916666666666671</v>
      </c>
      <c r="G7" s="4">
        <f>F7*D7</f>
        <v>5875</v>
      </c>
      <c r="H7" s="4">
        <f>G7*12</f>
        <v>70500</v>
      </c>
      <c r="I7" s="4">
        <f>H7/15-P7</f>
        <v>3760</v>
      </c>
      <c r="J7" s="4">
        <v>8</v>
      </c>
      <c r="K7" s="4">
        <f t="shared" si="3"/>
        <v>96</v>
      </c>
      <c r="L7" s="4">
        <f t="shared" si="4"/>
        <v>46080</v>
      </c>
      <c r="M7" s="4">
        <v>90</v>
      </c>
      <c r="N7" s="4">
        <f>M7*K7</f>
        <v>8640</v>
      </c>
      <c r="O7" s="4">
        <f>F7/60*N7</f>
        <v>14100</v>
      </c>
      <c r="P7" s="97">
        <f>O7/15</f>
        <v>940</v>
      </c>
      <c r="Q7" s="4" t="s">
        <v>242</v>
      </c>
      <c r="R7" s="4">
        <f>L7</f>
        <v>46080</v>
      </c>
      <c r="S7" s="4">
        <f>400/4*96</f>
        <v>9600</v>
      </c>
      <c r="T7" s="97">
        <f>S7/15</f>
        <v>640</v>
      </c>
      <c r="U7" s="4">
        <f>T7+P7</f>
        <v>1580</v>
      </c>
      <c r="V7" s="4"/>
      <c r="W7" s="84"/>
      <c r="X7" s="4">
        <v>4</v>
      </c>
      <c r="Y7" s="4" t="s">
        <v>14</v>
      </c>
      <c r="Z7" s="4"/>
      <c r="AA7" s="4">
        <v>60</v>
      </c>
      <c r="AB7" s="4">
        <v>24063</v>
      </c>
      <c r="AC7" s="4">
        <f t="shared" si="9"/>
        <v>802.1</v>
      </c>
      <c r="AD7" s="4">
        <f t="shared" si="10"/>
        <v>100.2625</v>
      </c>
      <c r="AE7" s="4">
        <f t="shared" si="11"/>
        <v>72189</v>
      </c>
      <c r="AF7" s="87">
        <f>AE7/15-AK7</f>
        <v>3850.0800000000004</v>
      </c>
      <c r="AG7" s="4">
        <v>8</v>
      </c>
      <c r="AH7" s="4">
        <v>96</v>
      </c>
      <c r="AI7" s="4">
        <v>46080</v>
      </c>
      <c r="AJ7" s="4">
        <f t="shared" si="13"/>
        <v>14437.800000000001</v>
      </c>
      <c r="AK7" s="87">
        <f>AJ7/15</f>
        <v>962.5200000000001</v>
      </c>
      <c r="AL7" s="4" t="s">
        <v>179</v>
      </c>
      <c r="AM7" s="4"/>
      <c r="AN7" s="4">
        <v>8640</v>
      </c>
      <c r="AO7" s="4">
        <f>400/4*AH7</f>
        <v>9600</v>
      </c>
      <c r="AP7" s="4">
        <f>AO7/15</f>
        <v>640</v>
      </c>
      <c r="AQ7" s="4">
        <f>AP7+AK7</f>
        <v>1602.52</v>
      </c>
      <c r="AR7" s="4"/>
      <c r="AS7" s="84"/>
    </row>
    <row r="8" spans="1:45" x14ac:dyDescent="0.35">
      <c r="A8" s="4"/>
      <c r="B8" s="4"/>
      <c r="C8" s="4"/>
      <c r="D8" s="4"/>
      <c r="E8" s="4"/>
      <c r="F8" s="4"/>
      <c r="G8" s="4"/>
      <c r="H8" s="4"/>
      <c r="I8" s="97">
        <f>SUM(I4:I7)</f>
        <v>6061.1820000000007</v>
      </c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97">
        <f>SUM(U4:U7)</f>
        <v>4988.5342499999997</v>
      </c>
      <c r="V8" s="4"/>
      <c r="W8" s="84"/>
      <c r="X8" s="84"/>
      <c r="Y8" s="84"/>
      <c r="Z8" s="84"/>
      <c r="AA8" s="84"/>
      <c r="AB8" s="84"/>
      <c r="AC8" s="84"/>
      <c r="AD8" s="84"/>
      <c r="AE8" s="84"/>
      <c r="AF8" s="88">
        <f>SUM(AF4:AF7)</f>
        <v>6271.6543333333339</v>
      </c>
      <c r="AG8" s="84"/>
      <c r="AH8" s="84"/>
      <c r="AI8" s="84"/>
      <c r="AJ8" s="84"/>
      <c r="AK8" s="84"/>
      <c r="AL8" s="84"/>
      <c r="AM8" s="84"/>
      <c r="AN8" s="84"/>
      <c r="AO8" s="84"/>
      <c r="AP8" s="84"/>
      <c r="AQ8" s="96">
        <f>SUM(AQ4:AQ7)</f>
        <v>5096.3975416666663</v>
      </c>
      <c r="AR8" s="84"/>
      <c r="AS8" s="84"/>
    </row>
    <row r="10" spans="1:45" x14ac:dyDescent="0.35">
      <c r="M10" t="s">
        <v>240</v>
      </c>
    </row>
  </sheetData>
  <mergeCells count="20">
    <mergeCell ref="X1:AR1"/>
    <mergeCell ref="AD2:AD3"/>
    <mergeCell ref="AE2:AE3"/>
    <mergeCell ref="AF2:AF3"/>
    <mergeCell ref="AR2:AR3"/>
    <mergeCell ref="X2:X3"/>
    <mergeCell ref="Y2:Y3"/>
    <mergeCell ref="Z2:Z3"/>
    <mergeCell ref="AA2:AA3"/>
    <mergeCell ref="AB2:AB3"/>
    <mergeCell ref="A1:V1"/>
    <mergeCell ref="V2:V3"/>
    <mergeCell ref="H2:H3"/>
    <mergeCell ref="I2:I3"/>
    <mergeCell ref="A2:A3"/>
    <mergeCell ref="B2:B3"/>
    <mergeCell ref="C2:C3"/>
    <mergeCell ref="D2:D3"/>
    <mergeCell ref="E2:E3"/>
    <mergeCell ref="G2:G3"/>
  </mergeCells>
  <phoneticPr fontId="17" type="noConversion"/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"/>
  <sheetViews>
    <sheetView workbookViewId="0">
      <selection activeCell="I15" sqref="H15:I24"/>
    </sheetView>
  </sheetViews>
  <sheetFormatPr defaultRowHeight="14.5" x14ac:dyDescent="0.35"/>
  <sheetData>
    <row r="1" spans="1:11" x14ac:dyDescent="0.35">
      <c r="A1" t="s">
        <v>223</v>
      </c>
    </row>
    <row r="2" spans="1:11" x14ac:dyDescent="0.35">
      <c r="A2" t="s">
        <v>137</v>
      </c>
      <c r="B2" t="s">
        <v>57</v>
      </c>
      <c r="C2" t="s">
        <v>138</v>
      </c>
      <c r="D2" t="s">
        <v>58</v>
      </c>
      <c r="E2" t="s">
        <v>138</v>
      </c>
      <c r="F2" t="s">
        <v>133</v>
      </c>
      <c r="G2" t="s">
        <v>138</v>
      </c>
      <c r="H2" t="s">
        <v>60</v>
      </c>
      <c r="I2" t="s">
        <v>139</v>
      </c>
      <c r="J2" t="s">
        <v>140</v>
      </c>
    </row>
    <row r="4" spans="1:11" x14ac:dyDescent="0.35">
      <c r="A4" t="s">
        <v>141</v>
      </c>
      <c r="B4">
        <v>232602.88200000001</v>
      </c>
      <c r="C4">
        <v>65.258024570225587</v>
      </c>
      <c r="D4">
        <v>117824.632</v>
      </c>
      <c r="E4">
        <v>53.507113658444695</v>
      </c>
      <c r="F4">
        <v>170007.182</v>
      </c>
      <c r="G4">
        <v>37.836971949148968</v>
      </c>
      <c r="H4">
        <v>197268.08199999999</v>
      </c>
      <c r="I4">
        <v>60.661777160575781</v>
      </c>
      <c r="J4">
        <v>179425.69449999998</v>
      </c>
      <c r="K4">
        <v>1213437.5</v>
      </c>
    </row>
    <row r="5" spans="1:11" x14ac:dyDescent="0.35">
      <c r="A5" t="s">
        <v>142</v>
      </c>
      <c r="B5">
        <v>4332.7955000000002</v>
      </c>
      <c r="C5">
        <v>1.2155897328768386</v>
      </c>
      <c r="D5">
        <v>4379.0455000000002</v>
      </c>
      <c r="E5">
        <v>1.9886341362305362</v>
      </c>
      <c r="F5">
        <v>4307.7955000000002</v>
      </c>
      <c r="G5">
        <v>0.95874736336827326</v>
      </c>
      <c r="H5">
        <v>4425.2955000000002</v>
      </c>
      <c r="I5">
        <v>1.3608196864341127</v>
      </c>
      <c r="J5">
        <v>4361.2330000000002</v>
      </c>
      <c r="K5">
        <v>18742.36</v>
      </c>
    </row>
    <row r="6" spans="1:11" x14ac:dyDescent="0.35">
      <c r="A6" t="s">
        <v>143</v>
      </c>
      <c r="B6">
        <v>31500</v>
      </c>
      <c r="C6">
        <v>8.8374991585964349</v>
      </c>
      <c r="D6">
        <v>45000</v>
      </c>
      <c r="E6">
        <v>20.435626012649131</v>
      </c>
      <c r="F6">
        <v>81000</v>
      </c>
      <c r="G6">
        <v>18.027442675222193</v>
      </c>
      <c r="H6">
        <v>40500</v>
      </c>
      <c r="I6">
        <v>12.454128159482583</v>
      </c>
      <c r="J6">
        <v>49500</v>
      </c>
      <c r="K6">
        <v>812.5</v>
      </c>
    </row>
    <row r="7" spans="1:11" x14ac:dyDescent="0.35">
      <c r="A7" t="s">
        <v>144</v>
      </c>
      <c r="B7">
        <v>0</v>
      </c>
      <c r="D7">
        <v>0</v>
      </c>
      <c r="F7">
        <v>0</v>
      </c>
      <c r="H7">
        <v>0</v>
      </c>
      <c r="J7">
        <v>0</v>
      </c>
      <c r="K7">
        <v>103000</v>
      </c>
    </row>
    <row r="8" spans="1:11" x14ac:dyDescent="0.35">
      <c r="A8" t="s">
        <v>146</v>
      </c>
      <c r="B8">
        <v>88000</v>
      </c>
      <c r="C8">
        <v>24.688886538301151</v>
      </c>
      <c r="D8">
        <v>53000</v>
      </c>
      <c r="E8">
        <v>24.068626192675644</v>
      </c>
      <c r="F8">
        <v>194000</v>
      </c>
      <c r="G8">
        <v>43.176838012260561</v>
      </c>
      <c r="H8">
        <v>83000</v>
      </c>
      <c r="I8">
        <v>25.523274993507517</v>
      </c>
      <c r="J8">
        <v>104500</v>
      </c>
      <c r="K8">
        <v>283059.10748031497</v>
      </c>
    </row>
    <row r="9" spans="1:11" x14ac:dyDescent="0.35">
      <c r="A9" t="s">
        <v>27</v>
      </c>
      <c r="B9">
        <v>356435.67749999999</v>
      </c>
      <c r="D9">
        <v>220203.67749999999</v>
      </c>
      <c r="F9">
        <v>449314.97750000004</v>
      </c>
      <c r="H9">
        <v>325193.3775</v>
      </c>
      <c r="J9">
        <v>337786.92749999999</v>
      </c>
      <c r="K9">
        <v>1619051.46748031</v>
      </c>
    </row>
    <row r="10" spans="1:11" x14ac:dyDescent="0.35">
      <c r="A10" t="s">
        <v>147</v>
      </c>
      <c r="B10">
        <v>101.03052083333333</v>
      </c>
      <c r="D10">
        <v>45.990743003341684</v>
      </c>
      <c r="F10">
        <v>135.66273475241547</v>
      </c>
      <c r="H10">
        <v>42.014648255813952</v>
      </c>
      <c r="J10">
        <v>81.174661711226108</v>
      </c>
      <c r="K10">
        <v>160.9312898315078</v>
      </c>
    </row>
    <row r="11" spans="1:11" x14ac:dyDescent="0.35">
      <c r="A11" t="s">
        <v>148</v>
      </c>
      <c r="B11">
        <v>106.97349264705882</v>
      </c>
      <c r="D11">
        <v>48.696080827067668</v>
      </c>
      <c r="F11">
        <v>143.64289562020463</v>
      </c>
      <c r="H11">
        <v>44.486098153214776</v>
      </c>
      <c r="J11">
        <v>85.949641811886465</v>
      </c>
      <c r="K11">
        <v>168.97785432308316</v>
      </c>
    </row>
    <row r="12" spans="1:11" x14ac:dyDescent="0.35">
      <c r="A12" t="s">
        <v>149</v>
      </c>
      <c r="B12">
        <v>1818.5493750000001</v>
      </c>
      <c r="D12">
        <v>827.83337406015039</v>
      </c>
      <c r="F12">
        <v>2441.9292255434784</v>
      </c>
      <c r="H12">
        <v>756.26366860465112</v>
      </c>
      <c r="J12">
        <v>1461.14391080207</v>
      </c>
      <c r="K12">
        <v>3379.5570864616629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06"/>
  <sheetViews>
    <sheetView topLeftCell="N1" workbookViewId="0">
      <selection activeCell="G16" sqref="G16"/>
    </sheetView>
  </sheetViews>
  <sheetFormatPr defaultRowHeight="14.5" x14ac:dyDescent="0.35"/>
  <cols>
    <col min="1" max="1" width="21.7265625" customWidth="1"/>
    <col min="10" max="10" width="13.1796875" customWidth="1"/>
    <col min="13" max="13" width="23.1796875" customWidth="1"/>
    <col min="14" max="14" width="9.54296875" bestFit="1" customWidth="1"/>
    <col min="16" max="16" width="11.54296875" bestFit="1" customWidth="1"/>
    <col min="18" max="18" width="11.54296875" bestFit="1" customWidth="1"/>
    <col min="20" max="20" width="14.7265625" bestFit="1" customWidth="1"/>
    <col min="22" max="22" width="14.7265625" customWidth="1"/>
  </cols>
  <sheetData>
    <row r="1" spans="1:28" x14ac:dyDescent="0.35">
      <c r="A1" s="189" t="s">
        <v>223</v>
      </c>
      <c r="B1" s="189"/>
      <c r="C1" s="189"/>
      <c r="D1" s="189"/>
      <c r="E1" s="189"/>
      <c r="F1" s="189"/>
      <c r="G1" s="189"/>
      <c r="H1" s="189"/>
      <c r="I1" s="189"/>
      <c r="J1" s="189"/>
      <c r="K1" s="84"/>
      <c r="L1" s="84"/>
      <c r="M1" s="206" t="s">
        <v>224</v>
      </c>
      <c r="N1" s="206"/>
      <c r="O1" s="206"/>
      <c r="P1" s="206"/>
      <c r="Q1" s="206"/>
      <c r="R1" s="206"/>
      <c r="S1" s="206"/>
      <c r="T1" s="206"/>
      <c r="U1" s="206"/>
      <c r="V1" s="206"/>
      <c r="W1" s="84"/>
      <c r="X1" s="84"/>
      <c r="Y1" s="84"/>
      <c r="Z1" s="84"/>
      <c r="AA1" s="84"/>
      <c r="AB1" s="84"/>
    </row>
    <row r="2" spans="1:28" x14ac:dyDescent="0.35">
      <c r="A2" s="10" t="s">
        <v>137</v>
      </c>
      <c r="B2" s="10" t="s">
        <v>57</v>
      </c>
      <c r="C2" s="10" t="s">
        <v>138</v>
      </c>
      <c r="D2" s="10" t="s">
        <v>58</v>
      </c>
      <c r="E2" s="10" t="s">
        <v>138</v>
      </c>
      <c r="F2" s="10" t="s">
        <v>133</v>
      </c>
      <c r="G2" s="10" t="s">
        <v>138</v>
      </c>
      <c r="H2" s="10" t="s">
        <v>60</v>
      </c>
      <c r="I2" s="10" t="s">
        <v>139</v>
      </c>
      <c r="J2" s="10" t="s">
        <v>140</v>
      </c>
      <c r="K2" s="84"/>
      <c r="L2" s="84"/>
      <c r="M2" s="10"/>
      <c r="N2" s="186" t="s">
        <v>136</v>
      </c>
      <c r="O2" s="207"/>
      <c r="P2" s="207"/>
      <c r="Q2" s="207"/>
      <c r="R2" s="207"/>
      <c r="S2" s="207"/>
      <c r="T2" s="207"/>
      <c r="U2" s="187"/>
      <c r="V2" s="10" t="s">
        <v>225</v>
      </c>
      <c r="W2" s="84"/>
      <c r="X2" s="84"/>
      <c r="Y2" s="84"/>
      <c r="Z2" s="84"/>
      <c r="AA2" s="84"/>
      <c r="AB2" s="84"/>
    </row>
    <row r="3" spans="1:28" x14ac:dyDescent="0.35">
      <c r="A3" s="10"/>
      <c r="B3" s="4"/>
      <c r="C3" s="4"/>
      <c r="D3" s="4"/>
      <c r="E3" s="4"/>
      <c r="F3" s="4"/>
      <c r="G3" s="4"/>
      <c r="H3" s="4"/>
      <c r="I3" s="4"/>
      <c r="J3" s="4"/>
      <c r="K3" s="84"/>
      <c r="L3" s="84"/>
      <c r="M3" s="10" t="s">
        <v>137</v>
      </c>
      <c r="N3" s="10" t="s">
        <v>226</v>
      </c>
      <c r="O3" s="10" t="s">
        <v>139</v>
      </c>
      <c r="P3" s="10" t="s">
        <v>227</v>
      </c>
      <c r="Q3" s="10" t="s">
        <v>138</v>
      </c>
      <c r="R3" s="10" t="s">
        <v>228</v>
      </c>
      <c r="S3" s="10" t="s">
        <v>139</v>
      </c>
      <c r="T3" s="10" t="s">
        <v>229</v>
      </c>
      <c r="U3" s="10" t="s">
        <v>139</v>
      </c>
      <c r="V3" s="10"/>
      <c r="W3" s="84"/>
      <c r="X3" s="84"/>
      <c r="Y3" s="84"/>
      <c r="Z3" s="84"/>
      <c r="AA3" s="84"/>
      <c r="AB3" s="84"/>
    </row>
    <row r="4" spans="1:28" x14ac:dyDescent="0.35">
      <c r="A4" s="10" t="s">
        <v>141</v>
      </c>
      <c r="B4" s="89">
        <v>232602.88200000001</v>
      </c>
      <c r="C4" s="89">
        <v>65.258024570225587</v>
      </c>
      <c r="D4" s="89">
        <v>117824.632</v>
      </c>
      <c r="E4" s="89">
        <v>53.507113658444695</v>
      </c>
      <c r="F4" s="89">
        <v>170007.182</v>
      </c>
      <c r="G4" s="89">
        <v>37.836971949148968</v>
      </c>
      <c r="H4" s="89">
        <v>197268.08199999999</v>
      </c>
      <c r="I4" s="89">
        <v>60.661777160575781</v>
      </c>
      <c r="J4" s="89">
        <v>179425.69449999998</v>
      </c>
      <c r="K4" s="84"/>
      <c r="L4" s="84"/>
      <c r="M4" s="10" t="s">
        <v>141</v>
      </c>
      <c r="N4" s="89">
        <v>1126000</v>
      </c>
      <c r="O4" s="89">
        <v>75.966752303066841</v>
      </c>
      <c r="P4" s="89">
        <v>1171500</v>
      </c>
      <c r="Q4" s="89">
        <v>74.895673502743037</v>
      </c>
      <c r="R4" s="89">
        <v>1429800</v>
      </c>
      <c r="S4" s="89">
        <v>73.856918827071269</v>
      </c>
      <c r="T4" s="89">
        <v>1126450</v>
      </c>
      <c r="U4" s="89">
        <v>75.403437946318292</v>
      </c>
      <c r="V4" s="89">
        <v>1213437.5</v>
      </c>
      <c r="W4" s="84"/>
      <c r="X4" s="84"/>
      <c r="Y4" s="84"/>
      <c r="Z4" s="84"/>
      <c r="AA4" s="84"/>
      <c r="AB4" s="84"/>
    </row>
    <row r="5" spans="1:28" x14ac:dyDescent="0.35">
      <c r="A5" s="10" t="s">
        <v>142</v>
      </c>
      <c r="B5" s="89">
        <v>4332.7955000000002</v>
      </c>
      <c r="C5" s="89">
        <v>1.2155897328768386</v>
      </c>
      <c r="D5" s="89">
        <v>4379.0455000000002</v>
      </c>
      <c r="E5" s="89">
        <v>1.9886341362305362</v>
      </c>
      <c r="F5" s="89">
        <v>4307.7955000000002</v>
      </c>
      <c r="G5" s="89">
        <v>0.95874736336827326</v>
      </c>
      <c r="H5" s="89">
        <v>4425.2955000000002</v>
      </c>
      <c r="I5" s="89">
        <v>1.3608196864341127</v>
      </c>
      <c r="J5" s="89">
        <v>4361.2330000000002</v>
      </c>
      <c r="K5" s="84"/>
      <c r="L5" s="84"/>
      <c r="M5" s="10" t="s">
        <v>142</v>
      </c>
      <c r="N5" s="89">
        <v>14011.11</v>
      </c>
      <c r="O5" s="89">
        <v>0.94527399898847508</v>
      </c>
      <c r="P5" s="89">
        <v>21423.61</v>
      </c>
      <c r="Q5" s="89">
        <v>1.36964208263773</v>
      </c>
      <c r="R5" s="89">
        <v>20961.11</v>
      </c>
      <c r="S5" s="89">
        <v>1.0827549306163882</v>
      </c>
      <c r="T5" s="89">
        <v>18573.61</v>
      </c>
      <c r="U5" s="89">
        <v>1.243298902813367</v>
      </c>
      <c r="V5" s="89">
        <v>18742.36</v>
      </c>
      <c r="W5" s="84"/>
      <c r="X5" s="84"/>
      <c r="Y5" s="84"/>
      <c r="Z5" s="84"/>
      <c r="AA5" s="84"/>
      <c r="AB5" s="84"/>
    </row>
    <row r="6" spans="1:28" x14ac:dyDescent="0.35">
      <c r="A6" s="10" t="s">
        <v>143</v>
      </c>
      <c r="B6" s="89">
        <v>31500</v>
      </c>
      <c r="C6" s="89">
        <v>8.8374991585964349</v>
      </c>
      <c r="D6" s="89">
        <v>45000</v>
      </c>
      <c r="E6" s="89">
        <v>20.435626012649131</v>
      </c>
      <c r="F6" s="89">
        <v>81000</v>
      </c>
      <c r="G6" s="89">
        <v>18.027442675222193</v>
      </c>
      <c r="H6" s="89">
        <v>40500</v>
      </c>
      <c r="I6" s="89">
        <v>12.454128159482583</v>
      </c>
      <c r="J6" s="89">
        <v>49500</v>
      </c>
      <c r="K6" s="84"/>
      <c r="L6" s="84"/>
      <c r="M6" s="10" t="s">
        <v>143</v>
      </c>
      <c r="N6" s="89">
        <v>1250</v>
      </c>
      <c r="O6" s="89">
        <v>8.4332540300917885E-2</v>
      </c>
      <c r="P6" s="89">
        <v>500</v>
      </c>
      <c r="Q6" s="89">
        <v>3.1965716390415296E-2</v>
      </c>
      <c r="R6" s="89">
        <v>625</v>
      </c>
      <c r="S6" s="89">
        <v>3.2284637198852668E-2</v>
      </c>
      <c r="T6" s="89">
        <v>875</v>
      </c>
      <c r="U6" s="89">
        <v>5.8571626084627383E-2</v>
      </c>
      <c r="V6" s="89">
        <v>812.5</v>
      </c>
      <c r="W6" s="84"/>
      <c r="X6" s="84"/>
      <c r="Y6" s="84"/>
      <c r="Z6" s="84"/>
      <c r="AA6" s="84"/>
      <c r="AB6" s="84"/>
    </row>
    <row r="7" spans="1:28" x14ac:dyDescent="0.35">
      <c r="A7" s="10" t="s">
        <v>144</v>
      </c>
      <c r="B7" s="89">
        <v>0</v>
      </c>
      <c r="C7" s="89"/>
      <c r="D7" s="89">
        <v>0</v>
      </c>
      <c r="E7" s="89"/>
      <c r="F7" s="89">
        <v>0</v>
      </c>
      <c r="G7" s="89"/>
      <c r="H7" s="89">
        <v>0</v>
      </c>
      <c r="I7" s="89"/>
      <c r="J7" s="89">
        <v>0</v>
      </c>
      <c r="K7" s="84"/>
      <c r="L7" s="84"/>
      <c r="M7" s="10" t="s">
        <v>230</v>
      </c>
      <c r="N7" s="89">
        <v>96000</v>
      </c>
      <c r="O7" s="89">
        <v>6.4767390951104939</v>
      </c>
      <c r="P7" s="89">
        <v>100000</v>
      </c>
      <c r="Q7" s="89">
        <v>6.393143278083059</v>
      </c>
      <c r="R7" s="89">
        <v>120000</v>
      </c>
      <c r="S7" s="89">
        <v>6.1986503421797119</v>
      </c>
      <c r="T7" s="89">
        <v>96000</v>
      </c>
      <c r="U7" s="89">
        <v>6.426144118999118</v>
      </c>
      <c r="V7" s="89">
        <v>103000</v>
      </c>
      <c r="W7" s="84"/>
      <c r="X7" s="84"/>
      <c r="Y7" s="84"/>
      <c r="Z7" s="84"/>
      <c r="AA7" s="84"/>
      <c r="AB7" s="84"/>
    </row>
    <row r="8" spans="1:28" s="80" customFormat="1" x14ac:dyDescent="0.35">
      <c r="A8" s="86" t="s">
        <v>146</v>
      </c>
      <c r="B8" s="90">
        <v>88000</v>
      </c>
      <c r="C8" s="90">
        <v>24.688886538301151</v>
      </c>
      <c r="D8" s="90">
        <v>53000</v>
      </c>
      <c r="E8" s="90">
        <v>24.068626192675644</v>
      </c>
      <c r="F8" s="90">
        <v>194000</v>
      </c>
      <c r="G8" s="90">
        <v>43.176838012260561</v>
      </c>
      <c r="H8" s="90">
        <v>83000</v>
      </c>
      <c r="I8" s="90">
        <v>25.523274993507517</v>
      </c>
      <c r="J8" s="90">
        <v>104500</v>
      </c>
      <c r="K8" s="88"/>
      <c r="L8" s="88"/>
      <c r="M8" s="86" t="s">
        <v>231</v>
      </c>
      <c r="N8" s="90">
        <v>244966.26692913385</v>
      </c>
      <c r="O8" s="90">
        <v>16.526902062533271</v>
      </c>
      <c r="P8" s="90">
        <v>270752.18976377952</v>
      </c>
      <c r="Q8" s="90">
        <v>17.309575420145755</v>
      </c>
      <c r="R8" s="90">
        <v>364519.1818897638</v>
      </c>
      <c r="S8" s="90">
        <v>18.829391262933775</v>
      </c>
      <c r="T8" s="90">
        <v>251998.79133858267</v>
      </c>
      <c r="U8" s="90">
        <v>16.868547405784572</v>
      </c>
      <c r="V8" s="90">
        <v>283059.10748031497</v>
      </c>
      <c r="W8" s="88"/>
      <c r="X8" s="88"/>
      <c r="Y8" s="88"/>
      <c r="Z8" s="88"/>
      <c r="AA8" s="88"/>
      <c r="AB8" s="88"/>
    </row>
    <row r="9" spans="1:28" x14ac:dyDescent="0.35">
      <c r="A9" s="10" t="s">
        <v>27</v>
      </c>
      <c r="B9" s="89">
        <v>356435.67749999999</v>
      </c>
      <c r="C9" s="4"/>
      <c r="D9" s="89">
        <v>220203.67749999999</v>
      </c>
      <c r="E9" s="4"/>
      <c r="F9" s="89">
        <v>449314.97750000004</v>
      </c>
      <c r="G9" s="4"/>
      <c r="H9" s="89">
        <v>325193.3775</v>
      </c>
      <c r="I9" s="4"/>
      <c r="J9" s="89">
        <v>337786.92749999999</v>
      </c>
      <c r="K9" s="84"/>
      <c r="L9" s="84"/>
      <c r="M9" s="10" t="s">
        <v>232</v>
      </c>
      <c r="N9" s="89">
        <v>1482227.3769291339</v>
      </c>
      <c r="O9" s="4"/>
      <c r="P9" s="89">
        <v>1564175.7997637796</v>
      </c>
      <c r="Q9" s="4"/>
      <c r="R9" s="89">
        <v>1935905.2918897639</v>
      </c>
      <c r="S9" s="4"/>
      <c r="T9" s="89">
        <v>1493897.4013385829</v>
      </c>
      <c r="U9" s="4"/>
      <c r="V9" s="89">
        <v>1619051.4674803149</v>
      </c>
      <c r="W9" s="84"/>
      <c r="X9" s="84"/>
      <c r="Y9" s="84"/>
      <c r="Z9" s="84"/>
      <c r="AA9" s="84"/>
      <c r="AB9" s="84"/>
    </row>
    <row r="10" spans="1:28" x14ac:dyDescent="0.35">
      <c r="A10" s="10" t="s">
        <v>147</v>
      </c>
      <c r="B10" s="89">
        <v>101.03052083333333</v>
      </c>
      <c r="C10" s="4"/>
      <c r="D10" s="89">
        <v>45.990743003341684</v>
      </c>
      <c r="E10" s="4"/>
      <c r="F10" s="89">
        <v>135.66273475241547</v>
      </c>
      <c r="G10" s="4"/>
      <c r="H10" s="89">
        <v>42.014648255813952</v>
      </c>
      <c r="I10" s="4"/>
      <c r="J10" s="89">
        <v>81.174661711226108</v>
      </c>
      <c r="K10" s="84"/>
      <c r="L10" s="84"/>
      <c r="M10" s="10" t="s">
        <v>233</v>
      </c>
      <c r="N10" s="89">
        <v>168.857071876183</v>
      </c>
      <c r="O10" s="4"/>
      <c r="P10" s="89">
        <v>161.221995440505</v>
      </c>
      <c r="Q10" s="4"/>
      <c r="R10" s="89">
        <v>148.20894900396294</v>
      </c>
      <c r="S10" s="4"/>
      <c r="T10" s="89">
        <v>165.43714300538016</v>
      </c>
      <c r="U10" s="4"/>
      <c r="V10" s="89">
        <v>160.9312898315078</v>
      </c>
      <c r="W10" s="84"/>
      <c r="X10" s="84"/>
      <c r="Y10" s="84"/>
      <c r="Z10" s="84"/>
      <c r="AA10" s="84"/>
      <c r="AB10" s="84"/>
    </row>
    <row r="11" spans="1:28" x14ac:dyDescent="0.35">
      <c r="A11" s="10" t="s">
        <v>148</v>
      </c>
      <c r="B11" s="89">
        <v>106.97349264705882</v>
      </c>
      <c r="C11" s="4"/>
      <c r="D11" s="89">
        <v>48.696080827067668</v>
      </c>
      <c r="E11" s="4"/>
      <c r="F11" s="89">
        <v>143.64289562020463</v>
      </c>
      <c r="G11" s="4"/>
      <c r="H11" s="89">
        <v>44.486098153214776</v>
      </c>
      <c r="I11" s="4"/>
      <c r="J11" s="89">
        <v>85.949641811886465</v>
      </c>
      <c r="K11" s="84"/>
      <c r="L11" s="84"/>
      <c r="M11" s="10" t="s">
        <v>234</v>
      </c>
      <c r="N11" s="89">
        <v>177.2999254699921</v>
      </c>
      <c r="O11" s="4"/>
      <c r="P11" s="89">
        <v>169.28309521253027</v>
      </c>
      <c r="Q11" s="4"/>
      <c r="R11" s="89">
        <v>155.61939645416109</v>
      </c>
      <c r="S11" s="4"/>
      <c r="T11" s="89">
        <v>173.70900015564916</v>
      </c>
      <c r="U11" s="4"/>
      <c r="V11" s="89">
        <v>168.97785432308316</v>
      </c>
      <c r="W11" s="84"/>
      <c r="X11" s="84"/>
      <c r="Y11" s="84"/>
      <c r="Z11" s="84"/>
      <c r="AA11" s="84"/>
      <c r="AB11" s="84"/>
    </row>
    <row r="12" spans="1:28" s="80" customFormat="1" x14ac:dyDescent="0.35">
      <c r="A12" s="86" t="s">
        <v>149</v>
      </c>
      <c r="B12" s="90">
        <v>1818.5493750000001</v>
      </c>
      <c r="C12" s="87"/>
      <c r="D12" s="90">
        <v>827.83337406015039</v>
      </c>
      <c r="E12" s="87"/>
      <c r="F12" s="90">
        <v>2441.9292255434784</v>
      </c>
      <c r="G12" s="87"/>
      <c r="H12" s="90">
        <v>756.26366860465112</v>
      </c>
      <c r="I12" s="87"/>
      <c r="J12" s="90">
        <v>1461.14391080207</v>
      </c>
      <c r="K12" s="88"/>
      <c r="L12" s="88"/>
      <c r="M12" s="86" t="s">
        <v>235</v>
      </c>
      <c r="N12" s="90">
        <v>3545.9985093998421</v>
      </c>
      <c r="O12" s="87"/>
      <c r="P12" s="90">
        <v>3385.6619042506054</v>
      </c>
      <c r="Q12" s="87"/>
      <c r="R12" s="90">
        <v>3112.3879290832219</v>
      </c>
      <c r="S12" s="87"/>
      <c r="T12" s="90">
        <v>3474.1800031129833</v>
      </c>
      <c r="U12" s="87"/>
      <c r="V12" s="90">
        <v>3379.5570864616629</v>
      </c>
      <c r="W12" s="88"/>
      <c r="X12" s="88"/>
      <c r="Y12" s="88"/>
      <c r="Z12" s="88"/>
      <c r="AA12" s="88"/>
      <c r="AB12" s="88"/>
    </row>
    <row r="13" spans="1:28" x14ac:dyDescent="0.35">
      <c r="A13" s="84"/>
      <c r="B13" s="84"/>
      <c r="C13" s="84"/>
      <c r="D13" s="84"/>
      <c r="E13" s="84"/>
      <c r="F13" s="84"/>
      <c r="G13" s="84"/>
      <c r="H13" s="84"/>
      <c r="I13" s="84"/>
      <c r="J13" s="84"/>
      <c r="K13" s="84"/>
      <c r="L13" s="84"/>
      <c r="M13" s="84"/>
      <c r="N13" s="84"/>
      <c r="O13" s="84"/>
      <c r="P13" s="84"/>
      <c r="Q13" s="84"/>
      <c r="R13" s="84"/>
      <c r="S13" s="84"/>
      <c r="T13" s="84"/>
      <c r="U13" s="84"/>
      <c r="V13" s="84"/>
      <c r="W13" s="84"/>
      <c r="X13" s="84"/>
      <c r="Y13" s="84"/>
      <c r="Z13" s="84"/>
      <c r="AA13" s="84"/>
      <c r="AB13" s="84"/>
    </row>
    <row r="14" spans="1:28" x14ac:dyDescent="0.35">
      <c r="A14" s="84" t="s">
        <v>183</v>
      </c>
      <c r="B14" s="84">
        <v>3332</v>
      </c>
      <c r="C14" s="84">
        <v>4522</v>
      </c>
      <c r="D14" s="84">
        <v>3128</v>
      </c>
      <c r="E14" s="84">
        <v>7310</v>
      </c>
      <c r="F14" s="84"/>
      <c r="G14" s="84"/>
      <c r="H14" s="84"/>
      <c r="I14" s="84"/>
      <c r="J14" s="84"/>
      <c r="K14" s="84"/>
      <c r="L14" s="84"/>
      <c r="M14" s="84"/>
      <c r="N14" s="84"/>
      <c r="O14" s="84"/>
      <c r="P14" s="84"/>
      <c r="Q14" s="84"/>
      <c r="R14" s="84"/>
      <c r="S14" s="84"/>
      <c r="T14" s="84"/>
      <c r="U14" s="84"/>
      <c r="V14" s="84"/>
      <c r="W14" s="84"/>
      <c r="X14" s="84"/>
      <c r="Y14" s="84"/>
      <c r="Z14" s="84"/>
      <c r="AA14" s="84"/>
      <c r="AB14" s="84"/>
    </row>
    <row r="15" spans="1:28" x14ac:dyDescent="0.35">
      <c r="A15" s="84" t="s">
        <v>184</v>
      </c>
      <c r="B15" s="84">
        <v>196</v>
      </c>
      <c r="C15" s="84">
        <v>266</v>
      </c>
      <c r="D15" s="84">
        <v>184</v>
      </c>
      <c r="E15" s="84">
        <v>430</v>
      </c>
      <c r="F15" s="84"/>
      <c r="G15" s="84" t="s">
        <v>222</v>
      </c>
      <c r="H15" s="84"/>
      <c r="I15" s="84"/>
      <c r="J15" s="91">
        <f>V4-J4</f>
        <v>1034011.8055</v>
      </c>
      <c r="K15" s="84"/>
      <c r="L15" s="84"/>
      <c r="M15" s="84" t="s">
        <v>236</v>
      </c>
      <c r="N15" s="84"/>
      <c r="O15" s="84"/>
      <c r="P15" s="84"/>
      <c r="Q15" s="84"/>
      <c r="R15" s="84"/>
      <c r="S15" s="84"/>
      <c r="T15" s="84"/>
      <c r="U15" s="84"/>
      <c r="V15" s="84"/>
      <c r="W15" s="84"/>
      <c r="X15" s="84"/>
      <c r="Y15" s="84"/>
      <c r="Z15" s="84"/>
      <c r="AA15" s="84"/>
      <c r="AB15" s="84"/>
    </row>
    <row r="16" spans="1:28" x14ac:dyDescent="0.35">
      <c r="A16" s="84" t="s">
        <v>185</v>
      </c>
      <c r="B16" s="84">
        <v>3528</v>
      </c>
      <c r="C16" s="84">
        <v>4788</v>
      </c>
      <c r="D16" s="84">
        <v>3312</v>
      </c>
      <c r="E16" s="84">
        <v>7740</v>
      </c>
      <c r="F16" s="84"/>
      <c r="G16" s="84"/>
      <c r="H16" s="84"/>
      <c r="I16" s="84"/>
      <c r="J16" s="84"/>
      <c r="K16" s="84"/>
      <c r="L16" s="84"/>
      <c r="M16" s="84"/>
      <c r="N16" s="84" t="s">
        <v>226</v>
      </c>
      <c r="O16" s="84" t="s">
        <v>227</v>
      </c>
      <c r="P16" s="84" t="s">
        <v>228</v>
      </c>
      <c r="Q16" s="84" t="s">
        <v>229</v>
      </c>
      <c r="R16" s="84"/>
      <c r="S16" s="84"/>
      <c r="T16" s="84"/>
      <c r="U16" s="84"/>
      <c r="V16" s="84"/>
      <c r="W16" s="84"/>
      <c r="X16" s="84"/>
      <c r="Y16" s="84"/>
      <c r="Z16" s="84"/>
      <c r="AA16" s="84"/>
      <c r="AB16" s="84"/>
    </row>
    <row r="17" spans="1:28" x14ac:dyDescent="0.35">
      <c r="A17" s="84"/>
      <c r="B17" s="84"/>
      <c r="C17" s="84"/>
      <c r="D17" s="84"/>
      <c r="E17" s="84"/>
      <c r="F17" s="84"/>
      <c r="G17" s="84"/>
      <c r="H17" s="84"/>
      <c r="I17" s="84"/>
      <c r="J17" s="84"/>
      <c r="K17" s="84"/>
      <c r="L17" s="84"/>
      <c r="M17" s="84"/>
      <c r="N17" s="84">
        <v>418</v>
      </c>
      <c r="O17" s="84">
        <v>462</v>
      </c>
      <c r="P17" s="84">
        <v>622</v>
      </c>
      <c r="Q17" s="84">
        <v>430</v>
      </c>
      <c r="R17" s="84">
        <f>AVERAGE(N17:Q17)</f>
        <v>483</v>
      </c>
      <c r="S17" s="84"/>
      <c r="T17" s="84"/>
      <c r="U17" s="84"/>
      <c r="V17" s="84"/>
      <c r="W17" s="84"/>
      <c r="X17" s="84"/>
      <c r="Y17" s="84"/>
      <c r="Z17" s="84"/>
      <c r="AA17" s="84"/>
      <c r="AB17" s="84"/>
    </row>
    <row r="18" spans="1:28" x14ac:dyDescent="0.35">
      <c r="A18" s="84" t="s">
        <v>184</v>
      </c>
      <c r="B18" s="84">
        <v>2940</v>
      </c>
      <c r="C18" s="84">
        <v>3990</v>
      </c>
      <c r="D18" s="84">
        <v>2760</v>
      </c>
      <c r="E18" s="84">
        <v>6450</v>
      </c>
      <c r="F18" s="84"/>
      <c r="G18" s="84"/>
      <c r="H18" s="84"/>
      <c r="I18" s="84"/>
      <c r="J18" s="84"/>
      <c r="K18" s="84"/>
      <c r="L18" s="84"/>
      <c r="M18" s="84"/>
      <c r="N18" s="84"/>
      <c r="O18" s="84"/>
      <c r="P18" s="84"/>
      <c r="Q18" s="84"/>
      <c r="R18" s="84"/>
      <c r="S18" s="84"/>
      <c r="T18" s="84"/>
      <c r="U18" s="84"/>
      <c r="V18" s="84"/>
      <c r="W18" s="84"/>
      <c r="X18" s="84"/>
      <c r="Y18" s="84"/>
      <c r="Z18" s="84"/>
      <c r="AA18" s="84"/>
      <c r="AB18" s="84"/>
    </row>
    <row r="19" spans="1:28" x14ac:dyDescent="0.35">
      <c r="A19" s="84"/>
      <c r="B19" s="84">
        <v>187973.97750000001</v>
      </c>
      <c r="C19" s="84">
        <v>422952.72750000004</v>
      </c>
      <c r="D19" s="84">
        <v>185068.97750000001</v>
      </c>
      <c r="E19" s="84">
        <v>46618.877500000002</v>
      </c>
      <c r="F19" s="84"/>
      <c r="G19" s="84"/>
      <c r="H19" s="84"/>
      <c r="I19" s="84"/>
      <c r="J19" s="84"/>
      <c r="K19" s="84"/>
      <c r="L19" s="84"/>
      <c r="M19" s="84"/>
      <c r="N19" s="84" t="s">
        <v>237</v>
      </c>
      <c r="O19" s="84"/>
      <c r="P19" s="84"/>
      <c r="Q19" s="84"/>
      <c r="R19" s="84"/>
      <c r="S19" s="84"/>
      <c r="T19" s="84"/>
      <c r="U19" s="84"/>
      <c r="V19" s="84"/>
      <c r="W19" s="84"/>
      <c r="X19" s="84"/>
      <c r="Y19" s="84"/>
      <c r="Z19" s="84"/>
      <c r="AA19" s="84"/>
      <c r="AB19" s="84"/>
    </row>
    <row r="20" spans="1:28" x14ac:dyDescent="0.35">
      <c r="A20" s="84"/>
      <c r="B20" s="84">
        <v>63.936727040816329</v>
      </c>
      <c r="C20" s="84">
        <v>106.00318984962406</v>
      </c>
      <c r="D20" s="84">
        <v>67.053977355072462</v>
      </c>
      <c r="E20" s="84">
        <v>7.2277329457364345</v>
      </c>
      <c r="F20" s="84"/>
      <c r="G20" s="84"/>
      <c r="H20" s="84"/>
      <c r="I20" s="84"/>
      <c r="J20" s="84"/>
      <c r="K20" s="84"/>
      <c r="L20" s="84"/>
      <c r="M20" s="84"/>
      <c r="N20" s="84" t="s">
        <v>226</v>
      </c>
      <c r="O20" s="84" t="s">
        <v>227</v>
      </c>
      <c r="P20" s="84" t="s">
        <v>228</v>
      </c>
      <c r="Q20" s="84" t="s">
        <v>229</v>
      </c>
      <c r="R20" s="84"/>
      <c r="S20" s="84"/>
      <c r="T20" s="84"/>
      <c r="U20" s="84"/>
      <c r="V20" s="84"/>
      <c r="W20" s="84"/>
      <c r="X20" s="84"/>
      <c r="Y20" s="84"/>
      <c r="Z20" s="84"/>
      <c r="AA20" s="84"/>
      <c r="AB20" s="84"/>
    </row>
    <row r="21" spans="1:28" x14ac:dyDescent="0.35">
      <c r="A21" s="84"/>
      <c r="B21" s="84"/>
      <c r="C21" s="84"/>
      <c r="D21" s="84"/>
      <c r="E21" s="84"/>
      <c r="F21" s="84"/>
      <c r="G21" s="84"/>
      <c r="H21" s="84"/>
      <c r="I21" s="84"/>
      <c r="J21" s="84"/>
      <c r="K21" s="84"/>
      <c r="L21" s="84"/>
      <c r="M21" s="84"/>
      <c r="N21" s="84">
        <v>8360</v>
      </c>
      <c r="O21" s="84">
        <v>9240</v>
      </c>
      <c r="P21" s="84">
        <v>12440</v>
      </c>
      <c r="Q21" s="84">
        <v>8600</v>
      </c>
      <c r="R21" s="84"/>
      <c r="S21" s="84">
        <v>38640</v>
      </c>
      <c r="T21" s="84"/>
      <c r="U21" s="84"/>
      <c r="V21" s="84"/>
      <c r="W21" s="84"/>
      <c r="X21" s="84"/>
      <c r="Y21" s="84"/>
      <c r="Z21" s="84"/>
      <c r="AA21" s="84"/>
      <c r="AB21" s="84"/>
    </row>
    <row r="22" spans="1:28" x14ac:dyDescent="0.35">
      <c r="A22" s="84"/>
      <c r="B22" s="84"/>
      <c r="C22" s="84"/>
      <c r="D22" s="84"/>
      <c r="E22" s="84"/>
      <c r="F22" s="84"/>
      <c r="G22" s="84"/>
      <c r="H22" s="84"/>
      <c r="I22" s="84"/>
      <c r="J22" s="84"/>
      <c r="K22" s="84"/>
      <c r="L22" s="84"/>
      <c r="M22" s="84"/>
      <c r="N22" s="84"/>
      <c r="O22" s="84"/>
      <c r="P22" s="84"/>
      <c r="Q22" s="84"/>
      <c r="R22" s="84"/>
      <c r="S22" s="84"/>
      <c r="T22" s="84"/>
      <c r="U22" s="84"/>
      <c r="V22" s="84"/>
      <c r="W22" s="84"/>
      <c r="X22" s="84"/>
      <c r="Y22" s="84"/>
      <c r="Z22" s="84"/>
      <c r="AA22" s="84"/>
      <c r="AB22" s="84"/>
    </row>
    <row r="23" spans="1:28" x14ac:dyDescent="0.35">
      <c r="A23" s="84"/>
      <c r="B23" s="84"/>
      <c r="C23" s="84"/>
      <c r="D23" s="84"/>
      <c r="E23" s="84"/>
      <c r="F23" s="84"/>
      <c r="G23" s="84"/>
      <c r="H23" s="84"/>
      <c r="I23" s="84"/>
      <c r="J23" s="84"/>
      <c r="K23" s="84"/>
      <c r="L23" s="84"/>
      <c r="M23" s="84" t="s">
        <v>238</v>
      </c>
      <c r="N23" s="84">
        <v>8778</v>
      </c>
      <c r="O23" s="84">
        <v>9702</v>
      </c>
      <c r="P23" s="84">
        <v>13062</v>
      </c>
      <c r="Q23" s="84">
        <v>9030</v>
      </c>
      <c r="R23" s="84"/>
      <c r="S23" s="84"/>
      <c r="T23" s="84"/>
      <c r="U23" s="84"/>
      <c r="V23" s="84"/>
      <c r="W23" s="84"/>
      <c r="X23" s="84"/>
      <c r="Y23" s="84"/>
      <c r="Z23" s="84"/>
      <c r="AA23" s="84"/>
      <c r="AB23" s="84"/>
    </row>
    <row r="24" spans="1:28" x14ac:dyDescent="0.35">
      <c r="A24" s="84"/>
      <c r="B24" s="84"/>
      <c r="C24" s="84"/>
      <c r="D24" s="84"/>
      <c r="E24" s="84"/>
      <c r="F24" s="84"/>
      <c r="G24" s="84"/>
      <c r="H24" s="84"/>
      <c r="I24" s="84"/>
      <c r="J24" s="84"/>
      <c r="K24" s="84"/>
      <c r="L24" s="84"/>
      <c r="M24" s="84"/>
      <c r="N24" s="84"/>
      <c r="O24" s="84"/>
      <c r="P24" s="84"/>
      <c r="Q24" s="84"/>
      <c r="R24" s="84"/>
      <c r="S24" s="84"/>
      <c r="T24" s="84"/>
      <c r="U24" s="84"/>
      <c r="V24" s="84"/>
      <c r="W24" s="84"/>
      <c r="X24" s="84"/>
      <c r="Y24" s="84"/>
      <c r="Z24" s="84"/>
      <c r="AA24" s="84"/>
      <c r="AB24" s="84"/>
    </row>
    <row r="25" spans="1:28" x14ac:dyDescent="0.35">
      <c r="A25" s="84"/>
      <c r="B25" s="84"/>
      <c r="C25" s="84"/>
      <c r="D25" s="84"/>
      <c r="E25" s="84"/>
      <c r="F25" s="84"/>
      <c r="G25" s="84"/>
      <c r="H25" s="84"/>
      <c r="I25" s="84"/>
      <c r="J25" s="84"/>
      <c r="K25" s="84"/>
      <c r="L25" s="84"/>
      <c r="M25" s="84"/>
      <c r="N25" s="84"/>
      <c r="O25" s="84"/>
      <c r="P25" s="84"/>
      <c r="Q25" s="84"/>
      <c r="R25" s="84"/>
      <c r="S25" s="84"/>
      <c r="T25" s="84"/>
      <c r="U25" s="84"/>
      <c r="V25" s="84"/>
      <c r="W25" s="84"/>
      <c r="X25" s="84"/>
      <c r="Y25" s="84"/>
      <c r="Z25" s="84"/>
      <c r="AA25" s="84"/>
      <c r="AB25" s="84"/>
    </row>
    <row r="26" spans="1:28" x14ac:dyDescent="0.35">
      <c r="A26" s="84"/>
      <c r="B26" s="84"/>
      <c r="C26" s="84"/>
      <c r="D26" s="84"/>
      <c r="E26" s="84"/>
      <c r="F26" s="84"/>
      <c r="G26" s="84"/>
      <c r="H26" s="84"/>
      <c r="I26" s="84"/>
      <c r="J26" s="84"/>
      <c r="K26" s="84"/>
      <c r="L26" s="84"/>
      <c r="M26" s="84"/>
      <c r="N26" s="84"/>
      <c r="O26" s="84"/>
      <c r="P26" s="84"/>
      <c r="Q26" s="84"/>
      <c r="R26" s="84"/>
      <c r="S26" s="84"/>
      <c r="T26" s="84"/>
      <c r="U26" s="84"/>
      <c r="V26" s="84"/>
      <c r="W26" s="84"/>
      <c r="X26" s="84"/>
      <c r="Y26" s="84"/>
      <c r="Z26" s="84"/>
      <c r="AA26" s="84"/>
      <c r="AB26" s="84"/>
    </row>
    <row r="27" spans="1:28" x14ac:dyDescent="0.35">
      <c r="A27" s="84"/>
      <c r="B27" s="84"/>
      <c r="C27" s="84"/>
      <c r="D27" s="84"/>
      <c r="E27" s="84"/>
      <c r="F27" s="84"/>
      <c r="G27" s="84"/>
      <c r="H27" s="84"/>
      <c r="I27" s="84"/>
      <c r="J27" s="84"/>
      <c r="K27" s="84"/>
      <c r="L27" s="84"/>
      <c r="M27" s="84"/>
      <c r="N27" s="84"/>
      <c r="O27" s="84"/>
      <c r="P27" s="84"/>
      <c r="Q27" s="84"/>
      <c r="R27" s="84"/>
      <c r="S27" s="84"/>
      <c r="T27" s="84"/>
      <c r="U27" s="84"/>
      <c r="V27" s="84"/>
      <c r="W27" s="84"/>
      <c r="X27" s="84"/>
      <c r="Y27" s="84"/>
      <c r="Z27" s="84"/>
      <c r="AA27" s="84"/>
      <c r="AB27" s="84"/>
    </row>
    <row r="28" spans="1:28" x14ac:dyDescent="0.35">
      <c r="A28" s="84"/>
      <c r="B28" s="84"/>
      <c r="C28" s="84"/>
      <c r="D28" s="84"/>
      <c r="E28" s="84"/>
      <c r="F28" s="84"/>
      <c r="G28" s="84"/>
      <c r="H28" s="84"/>
      <c r="I28" s="84"/>
      <c r="J28" s="84"/>
      <c r="K28" s="84"/>
      <c r="L28" s="84"/>
      <c r="M28" s="84"/>
      <c r="N28" s="84"/>
      <c r="O28" s="84"/>
      <c r="P28" s="84"/>
      <c r="Q28" s="84"/>
      <c r="R28" s="84"/>
      <c r="S28" s="84"/>
      <c r="T28" s="84"/>
      <c r="U28" s="84"/>
      <c r="V28" s="84"/>
      <c r="W28" s="84"/>
      <c r="X28" s="84"/>
      <c r="Y28" s="84"/>
      <c r="Z28" s="84"/>
      <c r="AA28" s="84"/>
      <c r="AB28" s="84"/>
    </row>
    <row r="29" spans="1:28" x14ac:dyDescent="0.35">
      <c r="A29" s="84"/>
      <c r="B29" s="84"/>
      <c r="C29" s="84"/>
      <c r="D29" s="84"/>
      <c r="E29" s="84"/>
      <c r="F29" s="84"/>
      <c r="G29" s="84"/>
      <c r="H29" s="84"/>
      <c r="I29" s="84"/>
      <c r="J29" s="84"/>
      <c r="K29" s="84"/>
      <c r="L29" s="84"/>
      <c r="M29" s="84"/>
      <c r="N29" s="84"/>
      <c r="O29" s="84"/>
      <c r="P29" s="84"/>
      <c r="Q29" s="84"/>
      <c r="R29" s="84"/>
      <c r="S29" s="84"/>
      <c r="T29" s="84"/>
      <c r="U29" s="84"/>
      <c r="V29" s="84"/>
      <c r="W29" s="84"/>
      <c r="X29" s="84"/>
      <c r="Y29" s="84"/>
      <c r="Z29" s="84"/>
      <c r="AA29" s="84"/>
      <c r="AB29" s="84"/>
    </row>
    <row r="30" spans="1:28" x14ac:dyDescent="0.35">
      <c r="A30" s="84"/>
      <c r="B30" s="84"/>
      <c r="C30" s="84"/>
      <c r="D30" s="84"/>
      <c r="E30" s="84"/>
      <c r="F30" s="84"/>
      <c r="G30" s="84"/>
      <c r="H30" s="84"/>
      <c r="I30" s="84"/>
      <c r="J30" s="84"/>
      <c r="K30" s="84"/>
      <c r="L30" s="84"/>
      <c r="M30" s="84"/>
      <c r="N30" s="84"/>
      <c r="O30" s="84"/>
      <c r="P30" s="84"/>
      <c r="Q30" s="84"/>
      <c r="R30" s="84"/>
      <c r="S30" s="84"/>
      <c r="T30" s="84"/>
      <c r="U30" s="84"/>
      <c r="V30" s="84"/>
      <c r="W30" s="84"/>
      <c r="X30" s="84"/>
      <c r="Y30" s="84"/>
      <c r="Z30" s="84"/>
      <c r="AA30" s="84"/>
      <c r="AB30" s="84"/>
    </row>
    <row r="31" spans="1:28" x14ac:dyDescent="0.35">
      <c r="A31" s="84"/>
      <c r="B31" s="84"/>
      <c r="C31" s="84"/>
      <c r="D31" s="84"/>
      <c r="E31" s="84"/>
      <c r="F31" s="84"/>
      <c r="G31" s="84"/>
      <c r="H31" s="84"/>
      <c r="I31" s="84"/>
      <c r="J31" s="84"/>
      <c r="K31" s="84"/>
      <c r="L31" s="84"/>
      <c r="M31" s="84"/>
      <c r="N31" s="84"/>
      <c r="O31" s="84"/>
      <c r="P31" s="84"/>
      <c r="Q31" s="84"/>
      <c r="R31" s="84"/>
      <c r="S31" s="84"/>
      <c r="T31" s="84"/>
      <c r="U31" s="84"/>
      <c r="V31" s="84"/>
      <c r="W31" s="84"/>
      <c r="X31" s="84"/>
      <c r="Y31" s="84"/>
      <c r="Z31" s="84"/>
      <c r="AA31" s="84"/>
      <c r="AB31" s="84"/>
    </row>
    <row r="32" spans="1:28" x14ac:dyDescent="0.35">
      <c r="A32" s="84"/>
      <c r="B32" s="84"/>
      <c r="C32" s="84"/>
      <c r="D32" s="84"/>
      <c r="E32" s="84"/>
      <c r="F32" s="84"/>
      <c r="G32" s="84"/>
      <c r="H32" s="84"/>
      <c r="I32" s="84"/>
      <c r="J32" s="84"/>
      <c r="K32" s="84"/>
      <c r="L32" s="84"/>
      <c r="M32" s="84"/>
      <c r="N32" s="84"/>
      <c r="O32" s="84"/>
      <c r="P32" s="84"/>
      <c r="Q32" s="84"/>
      <c r="R32" s="84"/>
      <c r="S32" s="84"/>
      <c r="T32" s="84"/>
      <c r="U32" s="84"/>
      <c r="V32" s="84"/>
      <c r="W32" s="84"/>
      <c r="X32" s="84"/>
      <c r="Y32" s="84"/>
      <c r="Z32" s="84"/>
      <c r="AA32" s="84"/>
      <c r="AB32" s="84"/>
    </row>
    <row r="33" spans="1:28" x14ac:dyDescent="0.35">
      <c r="A33" s="84"/>
      <c r="B33" s="84"/>
      <c r="C33" s="84"/>
      <c r="D33" s="84"/>
      <c r="E33" s="84"/>
      <c r="F33" s="84"/>
      <c r="G33" s="84"/>
      <c r="H33" s="84"/>
      <c r="I33" s="84"/>
      <c r="J33" s="84"/>
      <c r="K33" s="84"/>
      <c r="L33" s="84"/>
      <c r="M33" s="84"/>
      <c r="N33" s="84"/>
      <c r="O33" s="84"/>
      <c r="P33" s="84"/>
      <c r="Q33" s="84"/>
      <c r="R33" s="84"/>
      <c r="S33" s="84"/>
      <c r="T33" s="84"/>
      <c r="U33" s="84"/>
      <c r="V33" s="84"/>
      <c r="W33" s="84"/>
      <c r="X33" s="84"/>
      <c r="Y33" s="84"/>
      <c r="Z33" s="84"/>
      <c r="AA33" s="84"/>
      <c r="AB33" s="84"/>
    </row>
    <row r="34" spans="1:28" x14ac:dyDescent="0.35">
      <c r="A34" s="84"/>
      <c r="B34" s="84"/>
      <c r="C34" s="84"/>
      <c r="D34" s="84"/>
      <c r="E34" s="84"/>
      <c r="F34" s="84"/>
      <c r="G34" s="84"/>
      <c r="H34" s="84"/>
      <c r="I34" s="84"/>
      <c r="J34" s="84"/>
      <c r="K34" s="84"/>
      <c r="L34" s="84"/>
      <c r="M34" s="84"/>
      <c r="N34" s="84"/>
      <c r="O34" s="84"/>
      <c r="P34" s="84"/>
      <c r="Q34" s="84"/>
      <c r="R34" s="84"/>
      <c r="S34" s="84"/>
      <c r="T34" s="84"/>
      <c r="U34" s="84"/>
      <c r="V34" s="84"/>
      <c r="W34" s="84"/>
      <c r="X34" s="84"/>
      <c r="Y34" s="84"/>
      <c r="Z34" s="84"/>
      <c r="AA34" s="84"/>
      <c r="AB34" s="84"/>
    </row>
    <row r="35" spans="1:28" x14ac:dyDescent="0.35">
      <c r="A35" s="84"/>
      <c r="B35" s="84"/>
      <c r="C35" s="84"/>
      <c r="D35" s="84"/>
      <c r="E35" s="84"/>
      <c r="F35" s="84"/>
      <c r="G35" s="84"/>
      <c r="H35" s="84"/>
      <c r="I35" s="84"/>
      <c r="J35" s="84"/>
      <c r="K35" s="84"/>
      <c r="L35" s="84"/>
      <c r="M35" s="84"/>
      <c r="N35" s="84"/>
      <c r="O35" s="84"/>
      <c r="P35" s="84"/>
      <c r="Q35" s="84"/>
      <c r="R35" s="84"/>
      <c r="S35" s="84"/>
      <c r="T35" s="84"/>
      <c r="U35" s="84"/>
      <c r="V35" s="84"/>
      <c r="W35" s="84"/>
      <c r="X35" s="84"/>
      <c r="Y35" s="84"/>
      <c r="Z35" s="84"/>
      <c r="AA35" s="84"/>
      <c r="AB35" s="84"/>
    </row>
    <row r="36" spans="1:28" x14ac:dyDescent="0.35">
      <c r="A36" s="84"/>
      <c r="B36" s="84"/>
      <c r="C36" s="84"/>
      <c r="D36" s="84"/>
      <c r="E36" s="84"/>
      <c r="F36" s="84"/>
      <c r="G36" s="84"/>
      <c r="H36" s="84"/>
      <c r="I36" s="84"/>
      <c r="J36" s="84"/>
      <c r="K36" s="84"/>
      <c r="L36" s="84"/>
      <c r="M36" s="84"/>
      <c r="N36" s="84"/>
      <c r="O36" s="84"/>
      <c r="P36" s="84"/>
      <c r="Q36" s="84"/>
      <c r="R36" s="84"/>
      <c r="S36" s="84"/>
      <c r="T36" s="84"/>
      <c r="U36" s="84"/>
      <c r="V36" s="84"/>
      <c r="W36" s="84"/>
      <c r="X36" s="84"/>
      <c r="Y36" s="84"/>
      <c r="Z36" s="84"/>
      <c r="AA36" s="84"/>
      <c r="AB36" s="84"/>
    </row>
    <row r="37" spans="1:28" x14ac:dyDescent="0.35">
      <c r="A37" s="84"/>
      <c r="B37" s="84"/>
      <c r="C37" s="84"/>
      <c r="D37" s="84"/>
      <c r="E37" s="84"/>
      <c r="F37" s="84"/>
      <c r="G37" s="84"/>
      <c r="H37" s="84"/>
      <c r="I37" s="84"/>
      <c r="J37" s="84"/>
      <c r="K37" s="84"/>
      <c r="L37" s="84"/>
      <c r="M37" s="84"/>
      <c r="N37" s="84"/>
      <c r="O37" s="84"/>
      <c r="P37" s="84"/>
      <c r="Q37" s="84"/>
      <c r="R37" s="84"/>
      <c r="S37" s="84"/>
      <c r="T37" s="84"/>
      <c r="U37" s="84"/>
      <c r="V37" s="84"/>
      <c r="W37" s="84"/>
      <c r="X37" s="84"/>
      <c r="Y37" s="84"/>
      <c r="Z37" s="84"/>
      <c r="AA37" s="84"/>
      <c r="AB37" s="84"/>
    </row>
    <row r="38" spans="1:28" x14ac:dyDescent="0.35">
      <c r="A38" s="84"/>
      <c r="B38" s="84"/>
      <c r="C38" s="84"/>
      <c r="D38" s="84"/>
      <c r="E38" s="84"/>
      <c r="F38" s="84"/>
      <c r="G38" s="84"/>
      <c r="H38" s="84"/>
      <c r="I38" s="84"/>
      <c r="J38" s="84"/>
      <c r="K38" s="84"/>
      <c r="L38" s="84"/>
      <c r="M38" s="84"/>
      <c r="N38" s="84"/>
      <c r="O38" s="84"/>
      <c r="P38" s="84"/>
      <c r="Q38" s="84"/>
      <c r="R38" s="84"/>
      <c r="S38" s="84"/>
      <c r="T38" s="84"/>
      <c r="U38" s="84"/>
      <c r="V38" s="84"/>
      <c r="W38" s="84"/>
      <c r="X38" s="84"/>
      <c r="Y38" s="84"/>
      <c r="Z38" s="84"/>
      <c r="AA38" s="84"/>
      <c r="AB38" s="84"/>
    </row>
    <row r="39" spans="1:28" x14ac:dyDescent="0.35">
      <c r="A39" s="84"/>
      <c r="B39" s="84"/>
      <c r="C39" s="84"/>
      <c r="D39" s="84"/>
      <c r="E39" s="84"/>
      <c r="F39" s="84"/>
      <c r="G39" s="84"/>
      <c r="H39" s="84"/>
      <c r="I39" s="84"/>
      <c r="J39" s="84"/>
      <c r="K39" s="84"/>
      <c r="L39" s="84"/>
      <c r="M39" s="84"/>
      <c r="N39" s="84"/>
      <c r="O39" s="84"/>
      <c r="P39" s="84"/>
      <c r="Q39" s="84"/>
      <c r="R39" s="84"/>
      <c r="S39" s="84"/>
      <c r="T39" s="84"/>
      <c r="U39" s="84"/>
      <c r="V39" s="84"/>
      <c r="W39" s="84"/>
      <c r="X39" s="84"/>
      <c r="Y39" s="84"/>
      <c r="Z39" s="84"/>
      <c r="AA39" s="84"/>
      <c r="AB39" s="84"/>
    </row>
    <row r="40" spans="1:28" x14ac:dyDescent="0.35">
      <c r="A40" s="84"/>
      <c r="B40" s="84"/>
      <c r="C40" s="84"/>
      <c r="D40" s="84"/>
      <c r="E40" s="84"/>
      <c r="F40" s="84"/>
      <c r="G40" s="84"/>
      <c r="H40" s="84"/>
      <c r="I40" s="84"/>
      <c r="J40" s="84"/>
      <c r="K40" s="84"/>
      <c r="L40" s="84"/>
      <c r="M40" s="84"/>
      <c r="N40" s="84"/>
      <c r="O40" s="84"/>
      <c r="P40" s="84"/>
      <c r="Q40" s="84"/>
      <c r="R40" s="84"/>
      <c r="S40" s="84"/>
      <c r="T40" s="84"/>
      <c r="U40" s="84"/>
      <c r="V40" s="84"/>
      <c r="W40" s="84"/>
      <c r="X40" s="84"/>
      <c r="Y40" s="84"/>
      <c r="Z40" s="84"/>
      <c r="AA40" s="84"/>
      <c r="AB40" s="84"/>
    </row>
    <row r="41" spans="1:28" x14ac:dyDescent="0.35">
      <c r="A41" s="84"/>
      <c r="B41" s="84"/>
      <c r="C41" s="84"/>
      <c r="D41" s="84"/>
      <c r="E41" s="84"/>
      <c r="F41" s="84"/>
      <c r="G41" s="84"/>
      <c r="H41" s="84"/>
      <c r="I41" s="84"/>
      <c r="J41" s="84"/>
      <c r="K41" s="84"/>
      <c r="L41" s="84"/>
      <c r="M41" s="84"/>
      <c r="N41" s="84"/>
      <c r="O41" s="84"/>
      <c r="P41" s="84"/>
      <c r="Q41" s="84"/>
      <c r="R41" s="84"/>
      <c r="S41" s="84"/>
      <c r="T41" s="84"/>
      <c r="U41" s="84"/>
      <c r="V41" s="84"/>
      <c r="W41" s="84"/>
      <c r="X41" s="84"/>
      <c r="Y41" s="84"/>
      <c r="Z41" s="84"/>
      <c r="AA41" s="84"/>
      <c r="AB41" s="84"/>
    </row>
    <row r="42" spans="1:28" x14ac:dyDescent="0.35">
      <c r="A42" s="84"/>
      <c r="B42" s="84"/>
      <c r="C42" s="84"/>
      <c r="D42" s="84"/>
      <c r="E42" s="84"/>
      <c r="F42" s="84"/>
      <c r="G42" s="84"/>
      <c r="H42" s="84"/>
      <c r="I42" s="84"/>
      <c r="J42" s="84"/>
      <c r="K42" s="84"/>
      <c r="L42" s="84"/>
      <c r="M42" s="84"/>
      <c r="N42" s="84"/>
      <c r="O42" s="84"/>
      <c r="P42" s="84"/>
      <c r="Q42" s="84"/>
      <c r="R42" s="84"/>
      <c r="S42" s="84"/>
      <c r="T42" s="84"/>
      <c r="U42" s="84"/>
      <c r="V42" s="84"/>
      <c r="W42" s="84"/>
      <c r="X42" s="84"/>
      <c r="Y42" s="84"/>
      <c r="Z42" s="84"/>
      <c r="AA42" s="84"/>
      <c r="AB42" s="84"/>
    </row>
    <row r="43" spans="1:28" x14ac:dyDescent="0.35">
      <c r="A43" s="84"/>
      <c r="B43" s="84"/>
      <c r="C43" s="84"/>
      <c r="D43" s="84"/>
      <c r="E43" s="84"/>
      <c r="F43" s="84"/>
      <c r="G43" s="84"/>
      <c r="H43" s="84"/>
      <c r="I43" s="84"/>
      <c r="J43" s="84"/>
      <c r="K43" s="84"/>
      <c r="L43" s="84"/>
      <c r="M43" s="84"/>
      <c r="N43" s="84"/>
      <c r="O43" s="84"/>
      <c r="P43" s="84"/>
      <c r="Q43" s="84"/>
      <c r="R43" s="84"/>
      <c r="S43" s="84"/>
      <c r="T43" s="84"/>
      <c r="U43" s="84"/>
      <c r="V43" s="84"/>
      <c r="W43" s="84"/>
      <c r="X43" s="84"/>
      <c r="Y43" s="84"/>
      <c r="Z43" s="84"/>
      <c r="AA43" s="84"/>
      <c r="AB43" s="84"/>
    </row>
    <row r="44" spans="1:28" x14ac:dyDescent="0.35">
      <c r="A44" s="84"/>
      <c r="B44" s="84"/>
      <c r="C44" s="84"/>
      <c r="D44" s="84"/>
      <c r="E44" s="84"/>
      <c r="F44" s="84"/>
      <c r="G44" s="84"/>
      <c r="H44" s="84"/>
      <c r="I44" s="84"/>
      <c r="J44" s="84"/>
      <c r="K44" s="84"/>
      <c r="L44" s="84"/>
      <c r="M44" s="84"/>
      <c r="N44" s="84"/>
      <c r="O44" s="84"/>
      <c r="P44" s="84"/>
      <c r="Q44" s="84"/>
      <c r="R44" s="84"/>
      <c r="S44" s="84"/>
      <c r="T44" s="84"/>
      <c r="U44" s="84"/>
      <c r="V44" s="84"/>
      <c r="W44" s="84"/>
      <c r="X44" s="84"/>
      <c r="Y44" s="84"/>
      <c r="Z44" s="84"/>
      <c r="AA44" s="84"/>
      <c r="AB44" s="84"/>
    </row>
    <row r="45" spans="1:28" x14ac:dyDescent="0.35">
      <c r="A45" s="84"/>
      <c r="B45" s="84"/>
      <c r="C45" s="84"/>
      <c r="D45" s="84"/>
      <c r="E45" s="84"/>
      <c r="F45" s="84"/>
      <c r="G45" s="84"/>
      <c r="H45" s="84"/>
      <c r="I45" s="84"/>
      <c r="J45" s="84"/>
      <c r="K45" s="84"/>
      <c r="L45" s="84"/>
      <c r="M45" s="84"/>
      <c r="N45" s="84"/>
      <c r="O45" s="84"/>
      <c r="P45" s="84"/>
      <c r="Q45" s="84"/>
      <c r="R45" s="84"/>
      <c r="S45" s="84"/>
      <c r="T45" s="84"/>
      <c r="U45" s="84"/>
      <c r="V45" s="84"/>
      <c r="W45" s="84"/>
      <c r="X45" s="84"/>
      <c r="Y45" s="84"/>
      <c r="Z45" s="84"/>
      <c r="AA45" s="84"/>
      <c r="AB45" s="84"/>
    </row>
    <row r="46" spans="1:28" x14ac:dyDescent="0.35">
      <c r="A46" s="84"/>
      <c r="B46" s="84"/>
      <c r="C46" s="84"/>
      <c r="D46" s="84"/>
      <c r="E46" s="84"/>
      <c r="F46" s="84"/>
      <c r="G46" s="84"/>
      <c r="H46" s="84"/>
      <c r="I46" s="84"/>
      <c r="J46" s="84"/>
      <c r="K46" s="84"/>
      <c r="L46" s="84"/>
      <c r="M46" s="84"/>
      <c r="N46" s="84"/>
      <c r="O46" s="84"/>
      <c r="P46" s="84"/>
      <c r="Q46" s="84"/>
      <c r="R46" s="84"/>
      <c r="S46" s="84"/>
      <c r="T46" s="84"/>
      <c r="U46" s="84"/>
      <c r="V46" s="84"/>
      <c r="W46" s="84"/>
      <c r="X46" s="84"/>
      <c r="Y46" s="84"/>
      <c r="Z46" s="84"/>
      <c r="AA46" s="84"/>
      <c r="AB46" s="84"/>
    </row>
    <row r="47" spans="1:28" x14ac:dyDescent="0.35">
      <c r="A47" s="84"/>
      <c r="B47" s="84"/>
      <c r="C47" s="84"/>
      <c r="D47" s="84"/>
      <c r="E47" s="84"/>
      <c r="F47" s="84"/>
      <c r="G47" s="84"/>
      <c r="H47" s="84"/>
      <c r="I47" s="84"/>
      <c r="J47" s="84"/>
      <c r="K47" s="84"/>
      <c r="L47" s="84"/>
      <c r="M47" s="84"/>
      <c r="N47" s="84"/>
      <c r="O47" s="84"/>
      <c r="P47" s="84"/>
      <c r="Q47" s="84"/>
      <c r="R47" s="84"/>
      <c r="S47" s="84"/>
      <c r="T47" s="84"/>
      <c r="U47" s="84"/>
      <c r="V47" s="84"/>
      <c r="W47" s="84"/>
      <c r="X47" s="84"/>
      <c r="Y47" s="84"/>
      <c r="Z47" s="84"/>
      <c r="AA47" s="84"/>
      <c r="AB47" s="84"/>
    </row>
    <row r="48" spans="1:28" x14ac:dyDescent="0.35">
      <c r="A48" s="84"/>
      <c r="B48" s="84"/>
      <c r="C48" s="84"/>
      <c r="D48" s="84"/>
      <c r="E48" s="84"/>
      <c r="F48" s="84"/>
      <c r="G48" s="84"/>
      <c r="H48" s="84"/>
      <c r="I48" s="84"/>
      <c r="J48" s="84"/>
      <c r="K48" s="84"/>
      <c r="L48" s="84"/>
      <c r="M48" s="84"/>
      <c r="N48" s="84"/>
      <c r="O48" s="84"/>
      <c r="P48" s="84"/>
      <c r="Q48" s="84"/>
      <c r="R48" s="84"/>
      <c r="S48" s="84"/>
      <c r="T48" s="84"/>
      <c r="U48" s="84"/>
      <c r="V48" s="84"/>
      <c r="W48" s="84"/>
      <c r="X48" s="84"/>
      <c r="Y48" s="84"/>
      <c r="Z48" s="84"/>
      <c r="AA48" s="84"/>
      <c r="AB48" s="84"/>
    </row>
    <row r="49" spans="1:28" x14ac:dyDescent="0.35">
      <c r="A49" s="84"/>
      <c r="B49" s="84"/>
      <c r="C49" s="84"/>
      <c r="D49" s="84"/>
      <c r="E49" s="84"/>
      <c r="F49" s="84"/>
      <c r="G49" s="84"/>
      <c r="H49" s="84"/>
      <c r="I49" s="84"/>
      <c r="J49" s="84"/>
      <c r="K49" s="84"/>
      <c r="L49" s="84"/>
      <c r="M49" s="84"/>
      <c r="N49" s="84"/>
      <c r="O49" s="84"/>
      <c r="P49" s="84"/>
      <c r="Q49" s="84"/>
      <c r="R49" s="84"/>
      <c r="S49" s="84"/>
      <c r="T49" s="84"/>
      <c r="U49" s="84"/>
      <c r="V49" s="84"/>
      <c r="W49" s="84"/>
      <c r="X49" s="84"/>
      <c r="Y49" s="84"/>
      <c r="Z49" s="84"/>
      <c r="AA49" s="84"/>
      <c r="AB49" s="84"/>
    </row>
    <row r="50" spans="1:28" x14ac:dyDescent="0.35">
      <c r="A50" s="84"/>
      <c r="B50" s="84"/>
      <c r="C50" s="84"/>
      <c r="D50" s="84"/>
      <c r="E50" s="84"/>
      <c r="F50" s="84"/>
      <c r="G50" s="84"/>
      <c r="H50" s="84"/>
      <c r="I50" s="84"/>
      <c r="J50" s="84"/>
      <c r="K50" s="84"/>
      <c r="L50" s="84"/>
      <c r="M50" s="84"/>
      <c r="N50" s="84"/>
      <c r="O50" s="84"/>
      <c r="P50" s="84"/>
      <c r="Q50" s="84"/>
      <c r="R50" s="84"/>
      <c r="S50" s="84"/>
      <c r="T50" s="84"/>
      <c r="U50" s="84"/>
      <c r="V50" s="84"/>
      <c r="W50" s="84"/>
      <c r="X50" s="84"/>
      <c r="Y50" s="84"/>
      <c r="Z50" s="84"/>
      <c r="AA50" s="84"/>
      <c r="AB50" s="84"/>
    </row>
    <row r="51" spans="1:28" x14ac:dyDescent="0.35">
      <c r="A51" s="84"/>
      <c r="B51" s="84"/>
      <c r="C51" s="84"/>
      <c r="D51" s="84"/>
      <c r="E51" s="84"/>
      <c r="F51" s="84"/>
      <c r="G51" s="84"/>
      <c r="H51" s="84"/>
      <c r="I51" s="84"/>
      <c r="J51" s="84"/>
      <c r="K51" s="84"/>
      <c r="L51" s="84"/>
      <c r="M51" s="84"/>
      <c r="N51" s="84"/>
      <c r="O51" s="84"/>
      <c r="P51" s="84"/>
      <c r="Q51" s="84"/>
      <c r="R51" s="84"/>
      <c r="S51" s="84"/>
      <c r="T51" s="84"/>
      <c r="U51" s="84"/>
      <c r="V51" s="84"/>
      <c r="W51" s="84"/>
      <c r="X51" s="84"/>
      <c r="Y51" s="84"/>
      <c r="Z51" s="84"/>
      <c r="AA51" s="84"/>
      <c r="AB51" s="84"/>
    </row>
    <row r="52" spans="1:28" x14ac:dyDescent="0.35">
      <c r="A52" s="84"/>
      <c r="B52" s="84"/>
      <c r="C52" s="84"/>
      <c r="D52" s="84"/>
      <c r="E52" s="84"/>
      <c r="F52" s="84"/>
      <c r="G52" s="84"/>
      <c r="H52" s="84"/>
      <c r="I52" s="84"/>
      <c r="J52" s="84"/>
      <c r="K52" s="84"/>
      <c r="L52" s="84"/>
      <c r="M52" s="84"/>
      <c r="N52" s="84"/>
      <c r="O52" s="84"/>
      <c r="P52" s="84"/>
      <c r="Q52" s="84"/>
      <c r="R52" s="84"/>
      <c r="S52" s="84"/>
      <c r="T52" s="84"/>
      <c r="U52" s="84"/>
      <c r="V52" s="84"/>
      <c r="W52" s="84"/>
      <c r="X52" s="84"/>
      <c r="Y52" s="84"/>
      <c r="Z52" s="84"/>
      <c r="AA52" s="84"/>
      <c r="AB52" s="84"/>
    </row>
    <row r="53" spans="1:28" x14ac:dyDescent="0.35">
      <c r="A53" s="84"/>
      <c r="B53" s="84"/>
      <c r="C53" s="84"/>
      <c r="D53" s="84"/>
      <c r="E53" s="84"/>
      <c r="F53" s="84"/>
      <c r="G53" s="84"/>
      <c r="H53" s="84"/>
      <c r="I53" s="84"/>
      <c r="J53" s="84"/>
      <c r="K53" s="84"/>
      <c r="L53" s="84"/>
      <c r="M53" s="84"/>
      <c r="N53" s="84"/>
      <c r="O53" s="84"/>
      <c r="P53" s="84"/>
      <c r="Q53" s="84"/>
      <c r="R53" s="84"/>
      <c r="S53" s="84"/>
      <c r="T53" s="84"/>
      <c r="U53" s="84"/>
      <c r="V53" s="84"/>
      <c r="W53" s="84"/>
      <c r="X53" s="84"/>
      <c r="Y53" s="84"/>
      <c r="Z53" s="84"/>
      <c r="AA53" s="84"/>
      <c r="AB53" s="84"/>
    </row>
    <row r="54" spans="1:28" x14ac:dyDescent="0.35">
      <c r="A54" s="84"/>
      <c r="B54" s="84"/>
      <c r="C54" s="84"/>
      <c r="D54" s="84"/>
      <c r="E54" s="84"/>
      <c r="F54" s="84"/>
      <c r="G54" s="84"/>
      <c r="H54" s="84"/>
      <c r="I54" s="84"/>
      <c r="J54" s="84"/>
      <c r="K54" s="84"/>
      <c r="L54" s="84"/>
      <c r="M54" s="84"/>
      <c r="N54" s="84"/>
      <c r="O54" s="84"/>
      <c r="P54" s="84"/>
      <c r="Q54" s="84"/>
      <c r="R54" s="84"/>
      <c r="S54" s="84"/>
      <c r="T54" s="84"/>
      <c r="U54" s="84"/>
      <c r="V54" s="84"/>
      <c r="W54" s="84"/>
      <c r="X54" s="84"/>
      <c r="Y54" s="84"/>
      <c r="Z54" s="84"/>
      <c r="AA54" s="84"/>
      <c r="AB54" s="84"/>
    </row>
    <row r="55" spans="1:28" x14ac:dyDescent="0.35">
      <c r="A55" s="84"/>
      <c r="B55" s="84"/>
      <c r="C55" s="84"/>
      <c r="D55" s="84"/>
      <c r="E55" s="84"/>
      <c r="F55" s="84"/>
      <c r="G55" s="84"/>
      <c r="H55" s="84"/>
      <c r="I55" s="84"/>
      <c r="J55" s="84"/>
      <c r="K55" s="84"/>
      <c r="L55" s="84"/>
      <c r="M55" s="84"/>
      <c r="N55" s="84"/>
      <c r="O55" s="84"/>
      <c r="P55" s="84"/>
      <c r="Q55" s="84"/>
      <c r="R55" s="84"/>
      <c r="S55" s="84"/>
      <c r="T55" s="84"/>
      <c r="U55" s="84"/>
      <c r="V55" s="84"/>
      <c r="W55" s="84"/>
      <c r="X55" s="84"/>
      <c r="Y55" s="84"/>
      <c r="Z55" s="84"/>
      <c r="AA55" s="84"/>
      <c r="AB55" s="84"/>
    </row>
    <row r="56" spans="1:28" x14ac:dyDescent="0.35">
      <c r="A56" s="84"/>
      <c r="B56" s="84"/>
      <c r="C56" s="84"/>
      <c r="D56" s="84"/>
      <c r="E56" s="84"/>
      <c r="F56" s="84"/>
      <c r="G56" s="84"/>
      <c r="H56" s="84"/>
      <c r="I56" s="84"/>
      <c r="J56" s="84"/>
      <c r="K56" s="84"/>
      <c r="L56" s="84"/>
      <c r="M56" s="84"/>
      <c r="N56" s="84"/>
      <c r="O56" s="84"/>
      <c r="P56" s="84"/>
      <c r="Q56" s="84"/>
      <c r="R56" s="84"/>
      <c r="S56" s="84"/>
      <c r="T56" s="84"/>
      <c r="U56" s="84"/>
      <c r="V56" s="84"/>
      <c r="W56" s="84"/>
      <c r="X56" s="84"/>
      <c r="Y56" s="84"/>
      <c r="Z56" s="84"/>
      <c r="AA56" s="84"/>
      <c r="AB56" s="84"/>
    </row>
    <row r="57" spans="1:28" x14ac:dyDescent="0.35">
      <c r="A57" s="84"/>
      <c r="B57" s="84"/>
      <c r="C57" s="84"/>
      <c r="D57" s="84"/>
      <c r="E57" s="84"/>
      <c r="F57" s="84"/>
      <c r="G57" s="84"/>
      <c r="H57" s="84"/>
      <c r="I57" s="84"/>
      <c r="J57" s="84"/>
      <c r="K57" s="84"/>
      <c r="L57" s="84"/>
      <c r="M57" s="84"/>
      <c r="N57" s="84"/>
      <c r="O57" s="84"/>
      <c r="P57" s="84"/>
      <c r="Q57" s="84"/>
      <c r="R57" s="84"/>
      <c r="S57" s="84"/>
      <c r="T57" s="84"/>
      <c r="U57" s="84"/>
      <c r="V57" s="84"/>
      <c r="W57" s="84"/>
      <c r="X57" s="84"/>
      <c r="Y57" s="84"/>
      <c r="Z57" s="84"/>
      <c r="AA57" s="84"/>
      <c r="AB57" s="84"/>
    </row>
    <row r="58" spans="1:28" x14ac:dyDescent="0.35">
      <c r="A58" s="84"/>
      <c r="B58" s="84"/>
      <c r="C58" s="84"/>
      <c r="D58" s="84"/>
      <c r="E58" s="84"/>
      <c r="F58" s="84"/>
      <c r="G58" s="84"/>
      <c r="H58" s="84"/>
      <c r="I58" s="84"/>
      <c r="J58" s="84"/>
      <c r="K58" s="84"/>
      <c r="L58" s="84"/>
      <c r="M58" s="84"/>
      <c r="N58" s="84"/>
      <c r="O58" s="84"/>
      <c r="P58" s="84"/>
      <c r="Q58" s="84"/>
      <c r="R58" s="84"/>
      <c r="S58" s="84"/>
      <c r="T58" s="84"/>
      <c r="U58" s="84"/>
      <c r="V58" s="84"/>
      <c r="W58" s="84"/>
      <c r="X58" s="84"/>
      <c r="Y58" s="84"/>
      <c r="Z58" s="84"/>
      <c r="AA58" s="84"/>
      <c r="AB58" s="84"/>
    </row>
    <row r="59" spans="1:28" x14ac:dyDescent="0.35">
      <c r="A59" s="84"/>
      <c r="B59" s="84"/>
      <c r="C59" s="84"/>
      <c r="D59" s="84"/>
      <c r="E59" s="84"/>
      <c r="F59" s="84"/>
      <c r="G59" s="84"/>
      <c r="H59" s="84"/>
      <c r="I59" s="84"/>
      <c r="J59" s="84"/>
      <c r="K59" s="84"/>
      <c r="L59" s="84"/>
      <c r="M59" s="84"/>
      <c r="N59" s="84"/>
      <c r="O59" s="84"/>
      <c r="P59" s="84"/>
      <c r="Q59" s="84"/>
      <c r="R59" s="84"/>
      <c r="S59" s="84"/>
      <c r="T59" s="84"/>
      <c r="U59" s="84"/>
      <c r="V59" s="84"/>
      <c r="W59" s="84"/>
      <c r="X59" s="84"/>
      <c r="Y59" s="84"/>
      <c r="Z59" s="84"/>
      <c r="AA59" s="84"/>
      <c r="AB59" s="84"/>
    </row>
    <row r="60" spans="1:28" x14ac:dyDescent="0.35">
      <c r="A60" s="84"/>
      <c r="B60" s="84"/>
      <c r="C60" s="84"/>
      <c r="D60" s="84"/>
      <c r="E60" s="84"/>
      <c r="F60" s="84"/>
      <c r="G60" s="84"/>
      <c r="H60" s="84"/>
      <c r="I60" s="84"/>
      <c r="J60" s="84"/>
      <c r="K60" s="84"/>
      <c r="L60" s="84"/>
      <c r="M60" s="84"/>
      <c r="N60" s="84"/>
      <c r="O60" s="84"/>
      <c r="P60" s="84"/>
      <c r="Q60" s="84"/>
      <c r="R60" s="84"/>
      <c r="S60" s="84"/>
      <c r="T60" s="84"/>
      <c r="U60" s="84"/>
      <c r="V60" s="84"/>
      <c r="W60" s="84"/>
      <c r="X60" s="84"/>
      <c r="Y60" s="84"/>
      <c r="Z60" s="84"/>
      <c r="AA60" s="84"/>
      <c r="AB60" s="84"/>
    </row>
    <row r="61" spans="1:28" x14ac:dyDescent="0.35">
      <c r="A61" s="84"/>
      <c r="B61" s="84"/>
      <c r="C61" s="84"/>
      <c r="D61" s="84"/>
      <c r="E61" s="84"/>
      <c r="F61" s="84"/>
      <c r="G61" s="84"/>
      <c r="H61" s="84"/>
      <c r="I61" s="84"/>
      <c r="J61" s="84"/>
      <c r="K61" s="84"/>
      <c r="L61" s="84"/>
      <c r="M61" s="84"/>
      <c r="N61" s="84"/>
      <c r="O61" s="84"/>
      <c r="P61" s="84"/>
      <c r="Q61" s="84"/>
      <c r="R61" s="84"/>
      <c r="S61" s="84"/>
      <c r="T61" s="84"/>
      <c r="U61" s="84"/>
      <c r="V61" s="84"/>
      <c r="W61" s="84"/>
      <c r="X61" s="84"/>
      <c r="Y61" s="84"/>
      <c r="Z61" s="84"/>
      <c r="AA61" s="84"/>
      <c r="AB61" s="84"/>
    </row>
    <row r="62" spans="1:28" x14ac:dyDescent="0.35">
      <c r="A62" s="84"/>
      <c r="B62" s="84"/>
      <c r="C62" s="84"/>
      <c r="D62" s="84"/>
      <c r="E62" s="84"/>
      <c r="F62" s="84"/>
      <c r="G62" s="84"/>
      <c r="H62" s="84"/>
      <c r="I62" s="84"/>
      <c r="J62" s="84"/>
      <c r="K62" s="84"/>
      <c r="L62" s="84"/>
      <c r="M62" s="84"/>
      <c r="N62" s="84"/>
      <c r="O62" s="84"/>
      <c r="P62" s="84"/>
      <c r="Q62" s="84"/>
      <c r="R62" s="84"/>
      <c r="S62" s="84"/>
      <c r="T62" s="84"/>
      <c r="U62" s="84"/>
      <c r="V62" s="84"/>
      <c r="W62" s="84"/>
      <c r="X62" s="84"/>
      <c r="Y62" s="84"/>
      <c r="Z62" s="84"/>
      <c r="AA62" s="84"/>
      <c r="AB62" s="84"/>
    </row>
    <row r="63" spans="1:28" x14ac:dyDescent="0.35">
      <c r="A63" s="84"/>
      <c r="B63" s="84"/>
      <c r="C63" s="84"/>
      <c r="D63" s="84"/>
      <c r="E63" s="84"/>
      <c r="F63" s="84"/>
      <c r="G63" s="84"/>
      <c r="H63" s="84"/>
      <c r="I63" s="84"/>
      <c r="J63" s="84"/>
      <c r="K63" s="84"/>
      <c r="L63" s="84"/>
      <c r="M63" s="84"/>
      <c r="N63" s="84"/>
      <c r="O63" s="84"/>
      <c r="P63" s="84"/>
      <c r="Q63" s="84"/>
      <c r="R63" s="84"/>
      <c r="S63" s="84"/>
      <c r="T63" s="84"/>
      <c r="U63" s="84"/>
      <c r="V63" s="84"/>
      <c r="W63" s="84"/>
      <c r="X63" s="84"/>
      <c r="Y63" s="84"/>
      <c r="Z63" s="84"/>
      <c r="AA63" s="84"/>
      <c r="AB63" s="84"/>
    </row>
    <row r="64" spans="1:28" x14ac:dyDescent="0.35">
      <c r="A64" s="84"/>
      <c r="B64" s="84"/>
      <c r="C64" s="84"/>
      <c r="D64" s="84"/>
      <c r="E64" s="84"/>
      <c r="F64" s="84"/>
      <c r="G64" s="84"/>
      <c r="H64" s="84"/>
      <c r="I64" s="84"/>
      <c r="J64" s="84"/>
      <c r="K64" s="84"/>
      <c r="L64" s="84"/>
      <c r="M64" s="84"/>
      <c r="N64" s="84"/>
      <c r="O64" s="84"/>
      <c r="P64" s="84"/>
      <c r="Q64" s="84"/>
      <c r="R64" s="84"/>
      <c r="S64" s="84"/>
      <c r="T64" s="84"/>
      <c r="U64" s="84"/>
      <c r="V64" s="84"/>
      <c r="W64" s="84"/>
      <c r="X64" s="84"/>
      <c r="Y64" s="84"/>
      <c r="Z64" s="84"/>
      <c r="AA64" s="84"/>
      <c r="AB64" s="84"/>
    </row>
    <row r="65" spans="1:28" x14ac:dyDescent="0.35">
      <c r="A65" s="84"/>
      <c r="B65" s="84"/>
      <c r="C65" s="84"/>
      <c r="D65" s="84"/>
      <c r="E65" s="84"/>
      <c r="F65" s="84"/>
      <c r="G65" s="84"/>
      <c r="H65" s="84"/>
      <c r="I65" s="84"/>
      <c r="J65" s="84"/>
      <c r="K65" s="84"/>
      <c r="L65" s="84"/>
      <c r="M65" s="84"/>
      <c r="N65" s="84"/>
      <c r="O65" s="84"/>
      <c r="P65" s="84"/>
      <c r="Q65" s="84"/>
      <c r="R65" s="84"/>
      <c r="S65" s="84"/>
      <c r="T65" s="84"/>
      <c r="U65" s="84"/>
      <c r="V65" s="84"/>
      <c r="W65" s="84"/>
      <c r="X65" s="84"/>
      <c r="Y65" s="84"/>
      <c r="Z65" s="84"/>
      <c r="AA65" s="84"/>
      <c r="AB65" s="84"/>
    </row>
    <row r="66" spans="1:28" x14ac:dyDescent="0.35">
      <c r="A66" s="84"/>
      <c r="B66" s="84"/>
      <c r="C66" s="84"/>
      <c r="D66" s="84"/>
      <c r="E66" s="84"/>
      <c r="F66" s="84"/>
      <c r="G66" s="84"/>
      <c r="H66" s="84"/>
      <c r="I66" s="84"/>
      <c r="J66" s="84"/>
      <c r="K66" s="84"/>
      <c r="L66" s="84"/>
      <c r="M66" s="84"/>
      <c r="N66" s="84"/>
      <c r="O66" s="84"/>
      <c r="P66" s="84"/>
      <c r="Q66" s="84"/>
      <c r="R66" s="84"/>
      <c r="S66" s="84"/>
      <c r="T66" s="84"/>
      <c r="U66" s="84"/>
      <c r="V66" s="84"/>
      <c r="W66" s="84"/>
      <c r="X66" s="84"/>
      <c r="Y66" s="84"/>
      <c r="Z66" s="84"/>
      <c r="AA66" s="84"/>
      <c r="AB66" s="84"/>
    </row>
    <row r="67" spans="1:28" x14ac:dyDescent="0.35">
      <c r="A67" s="84"/>
      <c r="B67" s="84"/>
      <c r="C67" s="84"/>
      <c r="D67" s="84"/>
      <c r="E67" s="84"/>
      <c r="F67" s="84"/>
      <c r="G67" s="84"/>
      <c r="H67" s="84"/>
      <c r="I67" s="84"/>
      <c r="J67" s="84"/>
      <c r="K67" s="84"/>
      <c r="L67" s="84"/>
      <c r="M67" s="84"/>
      <c r="N67" s="84"/>
      <c r="O67" s="84"/>
      <c r="P67" s="84"/>
      <c r="Q67" s="84"/>
      <c r="R67" s="84"/>
      <c r="S67" s="84"/>
      <c r="T67" s="84"/>
      <c r="U67" s="84"/>
      <c r="V67" s="84"/>
      <c r="W67" s="84"/>
      <c r="X67" s="84"/>
      <c r="Y67" s="84"/>
      <c r="Z67" s="84"/>
      <c r="AA67" s="84"/>
      <c r="AB67" s="84"/>
    </row>
    <row r="68" spans="1:28" x14ac:dyDescent="0.35">
      <c r="A68" s="84"/>
      <c r="B68" s="84"/>
      <c r="C68" s="84"/>
      <c r="D68" s="84"/>
      <c r="E68" s="84"/>
      <c r="F68" s="84"/>
      <c r="G68" s="84"/>
      <c r="H68" s="84"/>
      <c r="I68" s="84"/>
      <c r="J68" s="84"/>
      <c r="K68" s="84"/>
      <c r="L68" s="84"/>
      <c r="M68" s="84"/>
      <c r="N68" s="84"/>
      <c r="O68" s="84"/>
      <c r="P68" s="84"/>
      <c r="Q68" s="84"/>
      <c r="R68" s="84"/>
      <c r="S68" s="84"/>
      <c r="T68" s="84"/>
      <c r="U68" s="84"/>
      <c r="V68" s="84"/>
      <c r="W68" s="84"/>
      <c r="X68" s="84"/>
      <c r="Y68" s="84"/>
      <c r="Z68" s="84"/>
      <c r="AA68" s="84"/>
      <c r="AB68" s="84"/>
    </row>
    <row r="69" spans="1:28" x14ac:dyDescent="0.35">
      <c r="A69" s="84"/>
      <c r="B69" s="84"/>
      <c r="C69" s="84"/>
      <c r="D69" s="84"/>
      <c r="E69" s="84"/>
      <c r="F69" s="84"/>
      <c r="G69" s="84"/>
      <c r="H69" s="84"/>
      <c r="I69" s="84"/>
      <c r="J69" s="84"/>
      <c r="K69" s="84"/>
      <c r="L69" s="84"/>
      <c r="M69" s="84"/>
      <c r="N69" s="84"/>
      <c r="O69" s="84"/>
      <c r="P69" s="84"/>
      <c r="Q69" s="84"/>
      <c r="R69" s="84"/>
      <c r="S69" s="84"/>
      <c r="T69" s="84"/>
      <c r="U69" s="84"/>
      <c r="V69" s="84"/>
      <c r="W69" s="84"/>
      <c r="X69" s="84"/>
      <c r="Y69" s="84"/>
      <c r="Z69" s="84"/>
      <c r="AA69" s="84"/>
      <c r="AB69" s="84"/>
    </row>
    <row r="70" spans="1:28" x14ac:dyDescent="0.35">
      <c r="A70" s="84"/>
      <c r="B70" s="84"/>
      <c r="C70" s="84"/>
      <c r="D70" s="84"/>
      <c r="E70" s="84"/>
      <c r="F70" s="84"/>
      <c r="G70" s="84"/>
      <c r="H70" s="84"/>
      <c r="I70" s="84"/>
      <c r="J70" s="84"/>
      <c r="K70" s="84"/>
      <c r="L70" s="84"/>
      <c r="M70" s="84"/>
      <c r="N70" s="84"/>
      <c r="O70" s="84"/>
      <c r="P70" s="84"/>
      <c r="Q70" s="84"/>
      <c r="R70" s="84"/>
      <c r="S70" s="84"/>
      <c r="T70" s="84"/>
      <c r="U70" s="84"/>
      <c r="V70" s="84"/>
      <c r="W70" s="84"/>
      <c r="X70" s="84"/>
      <c r="Y70" s="84"/>
      <c r="Z70" s="84"/>
      <c r="AA70" s="84"/>
      <c r="AB70" s="84"/>
    </row>
    <row r="71" spans="1:28" x14ac:dyDescent="0.35">
      <c r="A71" s="84"/>
      <c r="B71" s="84"/>
      <c r="C71" s="84"/>
      <c r="D71" s="84"/>
      <c r="E71" s="84"/>
      <c r="F71" s="84"/>
      <c r="G71" s="84"/>
      <c r="H71" s="84"/>
      <c r="I71" s="84"/>
      <c r="J71" s="84"/>
      <c r="K71" s="84"/>
      <c r="L71" s="84"/>
      <c r="M71" s="84"/>
      <c r="N71" s="84"/>
      <c r="O71" s="84"/>
      <c r="P71" s="84"/>
      <c r="Q71" s="84"/>
      <c r="R71" s="84"/>
      <c r="S71" s="84"/>
      <c r="T71" s="84"/>
      <c r="U71" s="84"/>
      <c r="V71" s="84"/>
      <c r="W71" s="84"/>
      <c r="X71" s="84"/>
      <c r="Y71" s="84"/>
      <c r="Z71" s="84"/>
      <c r="AA71" s="84"/>
      <c r="AB71" s="84"/>
    </row>
    <row r="72" spans="1:28" x14ac:dyDescent="0.35">
      <c r="A72" s="84"/>
      <c r="B72" s="84"/>
      <c r="C72" s="84"/>
      <c r="D72" s="84"/>
      <c r="E72" s="84"/>
      <c r="F72" s="84"/>
      <c r="G72" s="84"/>
      <c r="H72" s="84"/>
      <c r="I72" s="84"/>
      <c r="J72" s="84"/>
      <c r="K72" s="84"/>
      <c r="L72" s="84"/>
      <c r="M72" s="84"/>
      <c r="N72" s="84"/>
      <c r="O72" s="84"/>
      <c r="P72" s="84"/>
      <c r="Q72" s="84"/>
      <c r="R72" s="84"/>
      <c r="S72" s="84"/>
      <c r="T72" s="84"/>
      <c r="U72" s="84"/>
      <c r="V72" s="84"/>
      <c r="W72" s="84"/>
      <c r="X72" s="84"/>
      <c r="Y72" s="84"/>
      <c r="Z72" s="84"/>
      <c r="AA72" s="84"/>
      <c r="AB72" s="84"/>
    </row>
    <row r="73" spans="1:28" x14ac:dyDescent="0.35">
      <c r="A73" s="84"/>
      <c r="B73" s="84"/>
      <c r="C73" s="84"/>
      <c r="D73" s="84"/>
      <c r="E73" s="84"/>
      <c r="F73" s="84"/>
      <c r="G73" s="84"/>
      <c r="H73" s="84"/>
      <c r="I73" s="84"/>
      <c r="J73" s="84"/>
      <c r="K73" s="84"/>
      <c r="L73" s="84"/>
      <c r="M73" s="84"/>
      <c r="N73" s="84"/>
      <c r="O73" s="84"/>
      <c r="P73" s="84"/>
      <c r="Q73" s="84"/>
      <c r="R73" s="84"/>
      <c r="S73" s="84"/>
      <c r="T73" s="84"/>
      <c r="U73" s="84"/>
      <c r="V73" s="84"/>
      <c r="W73" s="84"/>
      <c r="X73" s="84"/>
      <c r="Y73" s="84"/>
      <c r="Z73" s="84"/>
      <c r="AA73" s="84"/>
      <c r="AB73" s="84"/>
    </row>
    <row r="74" spans="1:28" x14ac:dyDescent="0.35">
      <c r="A74" s="84"/>
      <c r="B74" s="84"/>
      <c r="C74" s="84"/>
      <c r="D74" s="84"/>
      <c r="E74" s="84"/>
      <c r="F74" s="84"/>
      <c r="G74" s="84"/>
      <c r="H74" s="84"/>
      <c r="I74" s="84"/>
      <c r="J74" s="84"/>
      <c r="K74" s="84"/>
      <c r="L74" s="84"/>
      <c r="M74" s="84"/>
      <c r="N74" s="84"/>
      <c r="O74" s="84"/>
      <c r="P74" s="84"/>
      <c r="Q74" s="84"/>
      <c r="R74" s="84"/>
      <c r="S74" s="84"/>
      <c r="T74" s="84"/>
      <c r="U74" s="84"/>
      <c r="V74" s="84"/>
      <c r="W74" s="84"/>
      <c r="X74" s="84"/>
      <c r="Y74" s="84"/>
      <c r="Z74" s="84"/>
      <c r="AA74" s="84"/>
      <c r="AB74" s="84"/>
    </row>
    <row r="75" spans="1:28" x14ac:dyDescent="0.35">
      <c r="A75" s="84"/>
      <c r="B75" s="84"/>
      <c r="C75" s="84"/>
      <c r="D75" s="84"/>
      <c r="E75" s="84"/>
      <c r="F75" s="84"/>
      <c r="G75" s="84"/>
      <c r="H75" s="84"/>
      <c r="I75" s="84"/>
      <c r="J75" s="84"/>
      <c r="K75" s="84"/>
      <c r="L75" s="84"/>
      <c r="M75" s="84"/>
      <c r="N75" s="84"/>
      <c r="O75" s="84"/>
      <c r="P75" s="84"/>
      <c r="Q75" s="84"/>
      <c r="R75" s="84"/>
      <c r="S75" s="84"/>
      <c r="T75" s="84"/>
      <c r="U75" s="84"/>
      <c r="V75" s="84"/>
      <c r="W75" s="84"/>
      <c r="X75" s="84"/>
      <c r="Y75" s="84"/>
      <c r="Z75" s="84"/>
      <c r="AA75" s="84"/>
      <c r="AB75" s="84"/>
    </row>
    <row r="76" spans="1:28" x14ac:dyDescent="0.35">
      <c r="A76" s="84"/>
      <c r="B76" s="84"/>
      <c r="C76" s="84"/>
      <c r="D76" s="84"/>
      <c r="E76" s="84"/>
      <c r="F76" s="84"/>
      <c r="G76" s="84"/>
      <c r="H76" s="84"/>
      <c r="I76" s="84"/>
      <c r="J76" s="84"/>
      <c r="K76" s="84"/>
      <c r="L76" s="84"/>
      <c r="M76" s="84"/>
      <c r="N76" s="84"/>
      <c r="O76" s="84"/>
      <c r="P76" s="84"/>
      <c r="Q76" s="84"/>
      <c r="R76" s="84"/>
      <c r="S76" s="84"/>
      <c r="T76" s="84"/>
      <c r="U76" s="84"/>
      <c r="V76" s="84"/>
      <c r="W76" s="84"/>
      <c r="X76" s="84"/>
      <c r="Y76" s="84"/>
      <c r="Z76" s="84"/>
      <c r="AA76" s="84"/>
      <c r="AB76" s="84"/>
    </row>
    <row r="77" spans="1:28" x14ac:dyDescent="0.35">
      <c r="A77" s="84"/>
      <c r="B77" s="84"/>
      <c r="C77" s="84"/>
      <c r="D77" s="84"/>
      <c r="E77" s="84"/>
      <c r="F77" s="84"/>
      <c r="G77" s="84"/>
      <c r="H77" s="84"/>
      <c r="I77" s="84"/>
      <c r="J77" s="84"/>
      <c r="K77" s="84"/>
      <c r="L77" s="84"/>
      <c r="M77" s="84"/>
      <c r="N77" s="84"/>
      <c r="O77" s="84"/>
      <c r="P77" s="84"/>
      <c r="Q77" s="84"/>
      <c r="R77" s="84"/>
      <c r="S77" s="84"/>
      <c r="T77" s="84"/>
      <c r="U77" s="84"/>
      <c r="V77" s="84"/>
      <c r="W77" s="84"/>
      <c r="X77" s="84"/>
      <c r="Y77" s="84"/>
      <c r="Z77" s="84"/>
      <c r="AA77" s="84"/>
      <c r="AB77" s="84"/>
    </row>
    <row r="78" spans="1:28" x14ac:dyDescent="0.35">
      <c r="A78" s="84"/>
      <c r="B78" s="84"/>
      <c r="C78" s="84"/>
      <c r="D78" s="84"/>
      <c r="E78" s="84"/>
      <c r="F78" s="84"/>
      <c r="G78" s="84"/>
      <c r="H78" s="84"/>
      <c r="I78" s="84"/>
      <c r="J78" s="84"/>
      <c r="K78" s="84"/>
      <c r="L78" s="84"/>
      <c r="M78" s="84"/>
      <c r="N78" s="84"/>
      <c r="O78" s="84"/>
      <c r="P78" s="84"/>
      <c r="Q78" s="84"/>
      <c r="R78" s="84"/>
      <c r="S78" s="84"/>
      <c r="T78" s="84"/>
      <c r="U78" s="84"/>
      <c r="V78" s="84"/>
      <c r="W78" s="84"/>
      <c r="X78" s="84"/>
      <c r="Y78" s="84"/>
      <c r="Z78" s="84"/>
      <c r="AA78" s="84"/>
      <c r="AB78" s="84"/>
    </row>
    <row r="79" spans="1:28" x14ac:dyDescent="0.35">
      <c r="A79" s="84"/>
      <c r="B79" s="84"/>
      <c r="C79" s="84"/>
      <c r="D79" s="84"/>
      <c r="E79" s="84"/>
      <c r="F79" s="84"/>
      <c r="G79" s="84"/>
      <c r="H79" s="84"/>
      <c r="I79" s="84"/>
      <c r="J79" s="84"/>
      <c r="K79" s="84"/>
      <c r="L79" s="84"/>
      <c r="M79" s="84"/>
      <c r="N79" s="84"/>
      <c r="O79" s="84"/>
      <c r="P79" s="84"/>
      <c r="Q79" s="84"/>
      <c r="R79" s="84"/>
      <c r="S79" s="84"/>
      <c r="T79" s="84"/>
      <c r="U79" s="84"/>
      <c r="V79" s="84"/>
      <c r="W79" s="84"/>
      <c r="X79" s="84"/>
      <c r="Y79" s="84"/>
      <c r="Z79" s="84"/>
      <c r="AA79" s="84"/>
      <c r="AB79" s="84"/>
    </row>
    <row r="80" spans="1:28" x14ac:dyDescent="0.35">
      <c r="A80" s="84"/>
      <c r="B80" s="84"/>
      <c r="C80" s="84"/>
      <c r="D80" s="84"/>
      <c r="E80" s="84"/>
      <c r="F80" s="84"/>
      <c r="G80" s="84"/>
      <c r="H80" s="84"/>
      <c r="I80" s="84"/>
      <c r="J80" s="84"/>
      <c r="K80" s="84"/>
      <c r="L80" s="84"/>
      <c r="M80" s="84"/>
      <c r="N80" s="84"/>
      <c r="O80" s="84"/>
      <c r="P80" s="84"/>
      <c r="Q80" s="84"/>
      <c r="R80" s="84"/>
      <c r="S80" s="84"/>
      <c r="T80" s="84"/>
      <c r="U80" s="84"/>
      <c r="V80" s="84"/>
      <c r="W80" s="84"/>
      <c r="X80" s="84"/>
      <c r="Y80" s="84"/>
      <c r="Z80" s="84"/>
      <c r="AA80" s="84"/>
      <c r="AB80" s="84"/>
    </row>
    <row r="81" spans="1:28" x14ac:dyDescent="0.35">
      <c r="A81" s="84"/>
      <c r="B81" s="84"/>
      <c r="C81" s="84"/>
      <c r="D81" s="84"/>
      <c r="E81" s="84"/>
      <c r="F81" s="84"/>
      <c r="G81" s="84"/>
      <c r="H81" s="84"/>
      <c r="I81" s="84"/>
      <c r="J81" s="84"/>
      <c r="K81" s="84"/>
      <c r="L81" s="84"/>
      <c r="M81" s="84"/>
      <c r="N81" s="84"/>
      <c r="O81" s="84"/>
      <c r="P81" s="84"/>
      <c r="Q81" s="84"/>
      <c r="R81" s="84"/>
      <c r="S81" s="84"/>
      <c r="T81" s="84"/>
      <c r="U81" s="84"/>
      <c r="V81" s="84"/>
      <c r="W81" s="84"/>
      <c r="X81" s="84"/>
      <c r="Y81" s="84"/>
      <c r="Z81" s="84"/>
      <c r="AA81" s="84"/>
      <c r="AB81" s="84"/>
    </row>
    <row r="82" spans="1:28" x14ac:dyDescent="0.35">
      <c r="A82" s="84"/>
      <c r="B82" s="84"/>
      <c r="C82" s="84"/>
      <c r="D82" s="84"/>
      <c r="E82" s="84"/>
      <c r="F82" s="84"/>
      <c r="G82" s="84"/>
      <c r="H82" s="84"/>
      <c r="I82" s="84"/>
      <c r="J82" s="84"/>
      <c r="K82" s="84"/>
      <c r="L82" s="84"/>
      <c r="M82" s="84"/>
      <c r="N82" s="84"/>
      <c r="O82" s="84"/>
      <c r="P82" s="84"/>
      <c r="Q82" s="84"/>
      <c r="R82" s="84"/>
      <c r="S82" s="84"/>
      <c r="T82" s="84"/>
      <c r="U82" s="84"/>
      <c r="V82" s="84"/>
      <c r="W82" s="84"/>
      <c r="X82" s="84"/>
      <c r="Y82" s="84"/>
      <c r="Z82" s="84"/>
      <c r="AA82" s="84"/>
      <c r="AB82" s="84"/>
    </row>
    <row r="83" spans="1:28" x14ac:dyDescent="0.35">
      <c r="A83" s="84"/>
      <c r="B83" s="84"/>
      <c r="C83" s="84"/>
      <c r="D83" s="84"/>
      <c r="E83" s="84"/>
      <c r="F83" s="84"/>
      <c r="G83" s="84"/>
      <c r="H83" s="84"/>
      <c r="I83" s="84"/>
      <c r="J83" s="84"/>
      <c r="K83" s="84"/>
      <c r="L83" s="84"/>
      <c r="M83" s="84"/>
      <c r="N83" s="84"/>
      <c r="O83" s="84"/>
      <c r="P83" s="84"/>
      <c r="Q83" s="84"/>
      <c r="R83" s="84"/>
      <c r="S83" s="84"/>
      <c r="T83" s="84"/>
      <c r="U83" s="84"/>
      <c r="V83" s="84"/>
      <c r="W83" s="84"/>
      <c r="X83" s="84"/>
      <c r="Y83" s="84"/>
      <c r="Z83" s="84"/>
      <c r="AA83" s="84"/>
      <c r="AB83" s="84"/>
    </row>
    <row r="84" spans="1:28" x14ac:dyDescent="0.35">
      <c r="A84" s="84"/>
      <c r="B84" s="84"/>
      <c r="C84" s="84"/>
      <c r="D84" s="84"/>
      <c r="E84" s="84"/>
      <c r="F84" s="84"/>
      <c r="G84" s="84"/>
      <c r="H84" s="84"/>
      <c r="I84" s="84"/>
      <c r="J84" s="84"/>
      <c r="K84" s="84"/>
      <c r="L84" s="84"/>
      <c r="M84" s="84"/>
      <c r="N84" s="84"/>
      <c r="O84" s="84"/>
      <c r="P84" s="84"/>
      <c r="Q84" s="84"/>
      <c r="R84" s="84"/>
      <c r="S84" s="84"/>
      <c r="T84" s="84"/>
      <c r="U84" s="84"/>
      <c r="V84" s="84"/>
      <c r="W84" s="84"/>
      <c r="X84" s="84"/>
      <c r="Y84" s="84"/>
      <c r="Z84" s="84"/>
      <c r="AA84" s="84"/>
      <c r="AB84" s="84"/>
    </row>
    <row r="85" spans="1:28" x14ac:dyDescent="0.35">
      <c r="A85" s="84"/>
      <c r="B85" s="84"/>
      <c r="C85" s="84"/>
      <c r="D85" s="84"/>
      <c r="E85" s="84"/>
      <c r="F85" s="84"/>
      <c r="G85" s="84"/>
      <c r="H85" s="84"/>
      <c r="I85" s="84"/>
      <c r="J85" s="84"/>
      <c r="K85" s="84"/>
      <c r="L85" s="84"/>
      <c r="M85" s="84"/>
      <c r="N85" s="84"/>
      <c r="O85" s="84"/>
      <c r="P85" s="84"/>
      <c r="Q85" s="84"/>
      <c r="R85" s="84"/>
      <c r="S85" s="84"/>
      <c r="T85" s="84"/>
      <c r="U85" s="84"/>
      <c r="V85" s="84"/>
      <c r="W85" s="84"/>
      <c r="X85" s="84"/>
      <c r="Y85" s="84"/>
      <c r="Z85" s="84"/>
      <c r="AA85" s="84"/>
      <c r="AB85" s="84"/>
    </row>
    <row r="86" spans="1:28" x14ac:dyDescent="0.35">
      <c r="A86" s="84"/>
      <c r="B86" s="84"/>
      <c r="C86" s="84"/>
      <c r="D86" s="84"/>
      <c r="E86" s="84"/>
      <c r="F86" s="84"/>
      <c r="G86" s="84"/>
      <c r="H86" s="84"/>
      <c r="I86" s="84"/>
      <c r="J86" s="84"/>
      <c r="K86" s="84"/>
      <c r="L86" s="84"/>
      <c r="M86" s="84"/>
      <c r="N86" s="84"/>
      <c r="O86" s="84"/>
      <c r="P86" s="84"/>
      <c r="Q86" s="84"/>
      <c r="R86" s="84"/>
      <c r="S86" s="84"/>
      <c r="T86" s="84"/>
      <c r="U86" s="84"/>
      <c r="V86" s="84"/>
      <c r="W86" s="84"/>
      <c r="X86" s="84"/>
      <c r="Y86" s="84"/>
      <c r="Z86" s="84"/>
      <c r="AA86" s="84"/>
      <c r="AB86" s="84"/>
    </row>
    <row r="87" spans="1:28" x14ac:dyDescent="0.35">
      <c r="A87" s="84"/>
      <c r="B87" s="84"/>
      <c r="C87" s="84"/>
      <c r="D87" s="84"/>
      <c r="E87" s="84"/>
      <c r="F87" s="84"/>
      <c r="G87" s="84"/>
      <c r="H87" s="84"/>
      <c r="I87" s="84"/>
      <c r="J87" s="84"/>
      <c r="K87" s="84"/>
      <c r="L87" s="84"/>
      <c r="M87" s="84"/>
      <c r="N87" s="84"/>
      <c r="O87" s="84"/>
      <c r="P87" s="84"/>
      <c r="Q87" s="84"/>
      <c r="R87" s="84"/>
      <c r="S87" s="84"/>
      <c r="T87" s="84"/>
      <c r="U87" s="84"/>
      <c r="V87" s="84"/>
      <c r="W87" s="84"/>
      <c r="X87" s="84"/>
      <c r="Y87" s="84"/>
      <c r="Z87" s="84"/>
      <c r="AA87" s="84"/>
      <c r="AB87" s="84"/>
    </row>
    <row r="88" spans="1:28" x14ac:dyDescent="0.35">
      <c r="A88" s="84"/>
      <c r="B88" s="84"/>
      <c r="C88" s="84"/>
      <c r="D88" s="84"/>
      <c r="E88" s="84"/>
      <c r="F88" s="84"/>
      <c r="G88" s="84"/>
      <c r="H88" s="84"/>
      <c r="I88" s="84"/>
      <c r="J88" s="84"/>
      <c r="K88" s="84"/>
      <c r="L88" s="84"/>
      <c r="M88" s="84"/>
      <c r="N88" s="84"/>
      <c r="O88" s="84"/>
      <c r="P88" s="84"/>
      <c r="Q88" s="84"/>
      <c r="R88" s="84"/>
      <c r="S88" s="84"/>
      <c r="T88" s="84"/>
      <c r="U88" s="84"/>
      <c r="V88" s="84"/>
      <c r="W88" s="84"/>
      <c r="X88" s="84"/>
      <c r="Y88" s="84"/>
      <c r="Z88" s="84"/>
      <c r="AA88" s="84"/>
      <c r="AB88" s="84"/>
    </row>
    <row r="89" spans="1:28" x14ac:dyDescent="0.35">
      <c r="A89" s="84"/>
      <c r="B89" s="84"/>
      <c r="C89" s="84"/>
      <c r="D89" s="84"/>
      <c r="E89" s="84"/>
      <c r="F89" s="84"/>
      <c r="G89" s="84"/>
      <c r="H89" s="84"/>
      <c r="I89" s="84"/>
      <c r="J89" s="84"/>
      <c r="K89" s="84"/>
      <c r="L89" s="84"/>
      <c r="M89" s="84"/>
      <c r="N89" s="84"/>
      <c r="O89" s="84"/>
      <c r="P89" s="84"/>
      <c r="Q89" s="84"/>
      <c r="R89" s="84"/>
      <c r="S89" s="84"/>
      <c r="T89" s="84"/>
      <c r="U89" s="84"/>
      <c r="V89" s="84"/>
      <c r="W89" s="84"/>
      <c r="X89" s="84"/>
      <c r="Y89" s="84"/>
      <c r="Z89" s="84"/>
      <c r="AA89" s="84"/>
      <c r="AB89" s="84"/>
    </row>
    <row r="90" spans="1:28" x14ac:dyDescent="0.35">
      <c r="A90" s="84"/>
      <c r="B90" s="84"/>
      <c r="C90" s="84"/>
      <c r="D90" s="84"/>
      <c r="E90" s="84"/>
      <c r="F90" s="84"/>
      <c r="G90" s="84"/>
      <c r="H90" s="84"/>
      <c r="I90" s="84"/>
      <c r="J90" s="84"/>
      <c r="K90" s="84"/>
      <c r="L90" s="84"/>
      <c r="M90" s="84"/>
      <c r="N90" s="84"/>
      <c r="O90" s="84"/>
      <c r="P90" s="84"/>
      <c r="Q90" s="84"/>
      <c r="R90" s="84"/>
      <c r="S90" s="84"/>
      <c r="T90" s="84"/>
      <c r="U90" s="84"/>
      <c r="V90" s="84"/>
      <c r="W90" s="84"/>
      <c r="X90" s="84"/>
      <c r="Y90" s="84"/>
      <c r="Z90" s="84"/>
      <c r="AA90" s="84"/>
      <c r="AB90" s="84"/>
    </row>
    <row r="91" spans="1:28" x14ac:dyDescent="0.35">
      <c r="A91" s="84"/>
      <c r="B91" s="84"/>
      <c r="C91" s="84"/>
      <c r="D91" s="84"/>
      <c r="E91" s="84"/>
      <c r="F91" s="84"/>
      <c r="G91" s="84"/>
      <c r="H91" s="84"/>
      <c r="I91" s="84"/>
      <c r="J91" s="84"/>
      <c r="K91" s="84"/>
      <c r="L91" s="84"/>
      <c r="M91" s="84"/>
      <c r="N91" s="84"/>
      <c r="O91" s="84"/>
      <c r="P91" s="84"/>
      <c r="Q91" s="84"/>
      <c r="R91" s="84"/>
      <c r="S91" s="84"/>
      <c r="T91" s="84"/>
      <c r="U91" s="84"/>
      <c r="V91" s="84"/>
      <c r="W91" s="84"/>
      <c r="X91" s="84"/>
      <c r="Y91" s="84"/>
      <c r="Z91" s="84"/>
      <c r="AA91" s="84"/>
      <c r="AB91" s="84"/>
    </row>
    <row r="92" spans="1:28" x14ac:dyDescent="0.35">
      <c r="A92" s="84"/>
      <c r="B92" s="84"/>
      <c r="C92" s="84"/>
      <c r="D92" s="84"/>
      <c r="E92" s="84"/>
      <c r="F92" s="84"/>
      <c r="G92" s="84"/>
      <c r="H92" s="84"/>
      <c r="I92" s="84"/>
      <c r="J92" s="84"/>
      <c r="K92" s="84"/>
      <c r="L92" s="84"/>
      <c r="M92" s="84"/>
      <c r="N92" s="84"/>
      <c r="O92" s="84"/>
      <c r="P92" s="84"/>
      <c r="Q92" s="84"/>
      <c r="R92" s="84"/>
      <c r="S92" s="84"/>
      <c r="T92" s="84"/>
      <c r="U92" s="84"/>
      <c r="V92" s="84"/>
      <c r="W92" s="84"/>
      <c r="X92" s="84"/>
      <c r="Y92" s="84"/>
      <c r="Z92" s="84"/>
      <c r="AA92" s="84"/>
      <c r="AB92" s="84"/>
    </row>
    <row r="93" spans="1:28" x14ac:dyDescent="0.35">
      <c r="A93" s="84"/>
      <c r="B93" s="84"/>
      <c r="C93" s="84"/>
      <c r="D93" s="84"/>
      <c r="E93" s="84"/>
      <c r="F93" s="84"/>
      <c r="G93" s="84"/>
      <c r="H93" s="84"/>
      <c r="I93" s="84"/>
      <c r="J93" s="84"/>
      <c r="K93" s="84"/>
      <c r="L93" s="84"/>
      <c r="M93" s="84"/>
      <c r="N93" s="84"/>
      <c r="O93" s="84"/>
      <c r="P93" s="84"/>
      <c r="Q93" s="84"/>
      <c r="R93" s="84"/>
      <c r="S93" s="84"/>
      <c r="T93" s="84"/>
      <c r="U93" s="84"/>
      <c r="V93" s="84"/>
      <c r="W93" s="84"/>
      <c r="X93" s="84"/>
      <c r="Y93" s="84"/>
      <c r="Z93" s="84"/>
      <c r="AA93" s="84"/>
      <c r="AB93" s="84"/>
    </row>
    <row r="94" spans="1:28" x14ac:dyDescent="0.35">
      <c r="A94" s="84"/>
      <c r="B94" s="84"/>
      <c r="C94" s="84"/>
      <c r="D94" s="84"/>
      <c r="E94" s="84"/>
      <c r="F94" s="84"/>
      <c r="G94" s="84"/>
      <c r="H94" s="84"/>
      <c r="I94" s="84"/>
      <c r="J94" s="84"/>
      <c r="K94" s="84"/>
      <c r="L94" s="84"/>
      <c r="M94" s="84"/>
      <c r="N94" s="84"/>
      <c r="O94" s="84"/>
      <c r="P94" s="84"/>
      <c r="Q94" s="84"/>
      <c r="R94" s="84"/>
      <c r="S94" s="84"/>
      <c r="T94" s="84"/>
      <c r="U94" s="84"/>
      <c r="V94" s="84"/>
      <c r="W94" s="84"/>
      <c r="X94" s="84"/>
      <c r="Y94" s="84"/>
      <c r="Z94" s="84"/>
      <c r="AA94" s="84"/>
      <c r="AB94" s="84"/>
    </row>
    <row r="95" spans="1:28" x14ac:dyDescent="0.35">
      <c r="A95" s="84"/>
      <c r="B95" s="84"/>
      <c r="C95" s="84"/>
      <c r="D95" s="84"/>
      <c r="E95" s="84"/>
      <c r="F95" s="84"/>
      <c r="G95" s="84"/>
      <c r="H95" s="84"/>
      <c r="I95" s="84"/>
      <c r="J95" s="84"/>
      <c r="K95" s="84"/>
      <c r="L95" s="84"/>
      <c r="M95" s="84"/>
      <c r="N95" s="84"/>
      <c r="O95" s="84"/>
      <c r="P95" s="84"/>
      <c r="Q95" s="84"/>
      <c r="R95" s="84"/>
      <c r="S95" s="84"/>
      <c r="T95" s="84"/>
      <c r="U95" s="84"/>
      <c r="V95" s="84"/>
      <c r="W95" s="84"/>
      <c r="X95" s="84"/>
      <c r="Y95" s="84"/>
      <c r="Z95" s="84"/>
      <c r="AA95" s="84"/>
      <c r="AB95" s="84"/>
    </row>
    <row r="96" spans="1:28" x14ac:dyDescent="0.35">
      <c r="A96" s="84"/>
      <c r="B96" s="84"/>
      <c r="C96" s="84"/>
      <c r="D96" s="84"/>
      <c r="E96" s="84"/>
      <c r="F96" s="84"/>
      <c r="G96" s="84"/>
      <c r="H96" s="84"/>
      <c r="I96" s="84"/>
      <c r="J96" s="84"/>
      <c r="K96" s="84"/>
      <c r="L96" s="84"/>
      <c r="M96" s="84"/>
      <c r="N96" s="84"/>
      <c r="O96" s="84"/>
      <c r="P96" s="84"/>
      <c r="Q96" s="84"/>
      <c r="R96" s="84"/>
      <c r="S96" s="84"/>
      <c r="T96" s="84"/>
      <c r="U96" s="84"/>
      <c r="V96" s="84"/>
      <c r="W96" s="84"/>
      <c r="X96" s="84"/>
      <c r="Y96" s="84"/>
      <c r="Z96" s="84"/>
      <c r="AA96" s="84"/>
      <c r="AB96" s="84"/>
    </row>
    <row r="97" spans="1:28" x14ac:dyDescent="0.35">
      <c r="A97" s="84"/>
      <c r="B97" s="84"/>
      <c r="C97" s="84"/>
      <c r="D97" s="84"/>
      <c r="E97" s="84"/>
      <c r="F97" s="84"/>
      <c r="G97" s="84"/>
      <c r="H97" s="84"/>
      <c r="I97" s="84"/>
      <c r="J97" s="84"/>
      <c r="K97" s="84"/>
      <c r="L97" s="84"/>
      <c r="M97" s="84"/>
      <c r="N97" s="84"/>
      <c r="O97" s="84"/>
      <c r="P97" s="84"/>
      <c r="Q97" s="84"/>
      <c r="R97" s="84"/>
      <c r="S97" s="84"/>
      <c r="T97" s="84"/>
      <c r="U97" s="84"/>
      <c r="V97" s="84"/>
      <c r="W97" s="84"/>
      <c r="X97" s="84"/>
      <c r="Y97" s="84"/>
      <c r="Z97" s="84"/>
      <c r="AA97" s="84"/>
      <c r="AB97" s="84"/>
    </row>
    <row r="98" spans="1:28" x14ac:dyDescent="0.35">
      <c r="A98" s="84"/>
      <c r="B98" s="84"/>
      <c r="C98" s="84"/>
      <c r="D98" s="84"/>
      <c r="E98" s="84"/>
      <c r="F98" s="84"/>
      <c r="G98" s="84"/>
      <c r="H98" s="84"/>
      <c r="I98" s="84"/>
      <c r="J98" s="84"/>
      <c r="K98" s="84"/>
      <c r="L98" s="84"/>
      <c r="M98" s="84"/>
      <c r="N98" s="84"/>
      <c r="O98" s="84"/>
      <c r="P98" s="84"/>
      <c r="Q98" s="84"/>
      <c r="R98" s="84"/>
      <c r="S98" s="84"/>
      <c r="T98" s="84"/>
      <c r="U98" s="84"/>
      <c r="V98" s="84"/>
      <c r="W98" s="84"/>
      <c r="X98" s="84"/>
      <c r="Y98" s="84"/>
      <c r="Z98" s="84"/>
      <c r="AA98" s="84"/>
      <c r="AB98" s="84"/>
    </row>
    <row r="99" spans="1:28" x14ac:dyDescent="0.35">
      <c r="A99" s="84"/>
      <c r="B99" s="84"/>
      <c r="C99" s="84"/>
      <c r="D99" s="84"/>
      <c r="E99" s="84"/>
      <c r="F99" s="84"/>
      <c r="G99" s="84"/>
      <c r="H99" s="84"/>
      <c r="I99" s="84"/>
      <c r="J99" s="84"/>
      <c r="K99" s="84"/>
      <c r="L99" s="84"/>
      <c r="M99" s="84"/>
      <c r="N99" s="84"/>
      <c r="O99" s="84"/>
      <c r="P99" s="84"/>
      <c r="Q99" s="84"/>
      <c r="R99" s="84"/>
      <c r="S99" s="84"/>
      <c r="T99" s="84"/>
      <c r="U99" s="84"/>
      <c r="V99" s="84"/>
      <c r="W99" s="84"/>
      <c r="X99" s="84"/>
      <c r="Y99" s="84"/>
      <c r="Z99" s="84"/>
      <c r="AA99" s="84"/>
      <c r="AB99" s="84"/>
    </row>
    <row r="100" spans="1:28" x14ac:dyDescent="0.35">
      <c r="A100" s="84"/>
      <c r="B100" s="84"/>
      <c r="C100" s="84"/>
      <c r="D100" s="84"/>
      <c r="E100" s="84"/>
      <c r="F100" s="84"/>
      <c r="G100" s="84"/>
      <c r="H100" s="84"/>
      <c r="I100" s="84"/>
      <c r="J100" s="84"/>
      <c r="K100" s="84"/>
      <c r="L100" s="84"/>
      <c r="M100" s="84"/>
      <c r="N100" s="84"/>
      <c r="O100" s="84"/>
      <c r="P100" s="84"/>
      <c r="Q100" s="84"/>
      <c r="R100" s="84"/>
      <c r="S100" s="84"/>
      <c r="T100" s="84"/>
      <c r="U100" s="84"/>
      <c r="V100" s="84"/>
      <c r="W100" s="84"/>
      <c r="X100" s="84"/>
      <c r="Y100" s="84"/>
      <c r="Z100" s="84"/>
      <c r="AA100" s="84"/>
      <c r="AB100" s="84"/>
    </row>
    <row r="101" spans="1:28" x14ac:dyDescent="0.35">
      <c r="A101" s="84"/>
      <c r="B101" s="84"/>
      <c r="C101" s="84"/>
      <c r="D101" s="84"/>
      <c r="E101" s="84"/>
      <c r="F101" s="84"/>
      <c r="G101" s="84"/>
      <c r="H101" s="84"/>
      <c r="I101" s="84"/>
      <c r="J101" s="84"/>
      <c r="K101" s="84"/>
      <c r="L101" s="84"/>
      <c r="M101" s="84"/>
      <c r="N101" s="84"/>
      <c r="O101" s="84"/>
      <c r="P101" s="84"/>
      <c r="Q101" s="84"/>
      <c r="R101" s="84"/>
      <c r="S101" s="84"/>
      <c r="T101" s="84"/>
      <c r="U101" s="84"/>
      <c r="V101" s="84"/>
      <c r="W101" s="84"/>
      <c r="X101" s="84"/>
      <c r="Y101" s="84"/>
      <c r="Z101" s="84"/>
      <c r="AA101" s="84"/>
      <c r="AB101" s="84"/>
    </row>
    <row r="102" spans="1:28" x14ac:dyDescent="0.35">
      <c r="A102" s="84"/>
      <c r="B102" s="84"/>
      <c r="C102" s="84"/>
      <c r="D102" s="84"/>
      <c r="E102" s="84"/>
      <c r="F102" s="84"/>
      <c r="G102" s="84"/>
      <c r="H102" s="84"/>
      <c r="I102" s="84"/>
      <c r="J102" s="84"/>
      <c r="K102" s="84"/>
      <c r="L102" s="84"/>
      <c r="M102" s="84"/>
      <c r="N102" s="84"/>
      <c r="O102" s="84"/>
      <c r="P102" s="84"/>
      <c r="Q102" s="84"/>
      <c r="R102" s="84"/>
      <c r="S102" s="84"/>
      <c r="T102" s="84"/>
      <c r="U102" s="84"/>
      <c r="V102" s="84"/>
      <c r="W102" s="84"/>
      <c r="X102" s="84"/>
      <c r="Y102" s="84"/>
      <c r="Z102" s="84"/>
      <c r="AA102" s="84"/>
      <c r="AB102" s="84"/>
    </row>
    <row r="103" spans="1:28" x14ac:dyDescent="0.35">
      <c r="A103" s="84"/>
      <c r="B103" s="84"/>
      <c r="C103" s="84"/>
      <c r="D103" s="84"/>
      <c r="E103" s="84"/>
      <c r="F103" s="84"/>
      <c r="G103" s="84"/>
      <c r="H103" s="84"/>
      <c r="I103" s="84"/>
      <c r="J103" s="84"/>
      <c r="K103" s="84"/>
      <c r="L103" s="84"/>
      <c r="M103" s="84"/>
      <c r="N103" s="84"/>
      <c r="O103" s="84"/>
      <c r="P103" s="84"/>
      <c r="Q103" s="84"/>
      <c r="R103" s="84"/>
      <c r="S103" s="84"/>
      <c r="T103" s="84"/>
      <c r="U103" s="84"/>
      <c r="V103" s="84"/>
      <c r="W103" s="84"/>
      <c r="X103" s="84"/>
      <c r="Y103" s="84"/>
      <c r="Z103" s="84"/>
      <c r="AA103" s="84"/>
      <c r="AB103" s="84"/>
    </row>
    <row r="104" spans="1:28" x14ac:dyDescent="0.35">
      <c r="A104" s="84"/>
      <c r="B104" s="84"/>
      <c r="C104" s="84"/>
      <c r="D104" s="84"/>
      <c r="E104" s="84"/>
      <c r="F104" s="84"/>
      <c r="G104" s="84"/>
      <c r="H104" s="84"/>
      <c r="I104" s="84"/>
      <c r="J104" s="84"/>
      <c r="K104" s="84"/>
      <c r="L104" s="84"/>
      <c r="M104" s="84"/>
      <c r="N104" s="84"/>
      <c r="O104" s="84"/>
      <c r="P104" s="84"/>
      <c r="Q104" s="84"/>
      <c r="R104" s="84"/>
      <c r="S104" s="84"/>
      <c r="T104" s="84"/>
      <c r="U104" s="84"/>
      <c r="V104" s="84"/>
      <c r="W104" s="84"/>
      <c r="X104" s="84"/>
      <c r="Y104" s="84"/>
      <c r="Z104" s="84"/>
      <c r="AA104" s="84"/>
      <c r="AB104" s="84"/>
    </row>
    <row r="105" spans="1:28" x14ac:dyDescent="0.35">
      <c r="A105" s="84"/>
      <c r="B105" s="84"/>
      <c r="C105" s="84"/>
      <c r="D105" s="84"/>
      <c r="E105" s="84"/>
      <c r="F105" s="84"/>
      <c r="G105" s="84"/>
      <c r="H105" s="84"/>
      <c r="I105" s="84"/>
      <c r="J105" s="84"/>
      <c r="K105" s="84"/>
      <c r="L105" s="84"/>
      <c r="M105" s="84"/>
      <c r="N105" s="84"/>
      <c r="O105" s="84"/>
      <c r="P105" s="84"/>
      <c r="Q105" s="84"/>
      <c r="R105" s="84"/>
      <c r="S105" s="84"/>
      <c r="T105" s="84"/>
      <c r="U105" s="84"/>
      <c r="V105" s="84"/>
      <c r="W105" s="84"/>
      <c r="X105" s="84"/>
      <c r="Y105" s="84"/>
      <c r="Z105" s="84"/>
      <c r="AA105" s="84"/>
      <c r="AB105" s="84"/>
    </row>
    <row r="106" spans="1:28" x14ac:dyDescent="0.35">
      <c r="A106" s="84"/>
      <c r="B106" s="84"/>
      <c r="C106" s="84"/>
      <c r="D106" s="84"/>
      <c r="E106" s="84"/>
      <c r="F106" s="84"/>
      <c r="G106" s="84"/>
      <c r="H106" s="84"/>
      <c r="I106" s="84"/>
      <c r="J106" s="84"/>
      <c r="K106" s="84"/>
      <c r="L106" s="84"/>
      <c r="M106" s="84"/>
      <c r="N106" s="84"/>
      <c r="O106" s="84"/>
      <c r="P106" s="84"/>
      <c r="Q106" s="84"/>
      <c r="R106" s="84"/>
      <c r="S106" s="84"/>
      <c r="T106" s="84"/>
      <c r="U106" s="84"/>
      <c r="V106" s="84"/>
      <c r="W106" s="84"/>
      <c r="X106" s="84"/>
      <c r="Y106" s="84"/>
      <c r="Z106" s="84"/>
      <c r="AA106" s="84"/>
      <c r="AB106" s="84"/>
    </row>
  </sheetData>
  <mergeCells count="3">
    <mergeCell ref="A1:J1"/>
    <mergeCell ref="M1:V1"/>
    <mergeCell ref="N2:U2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5"/>
  <sheetViews>
    <sheetView workbookViewId="0">
      <selection activeCell="P18" sqref="P18"/>
    </sheetView>
  </sheetViews>
  <sheetFormatPr defaultRowHeight="14.5" x14ac:dyDescent="0.35"/>
  <cols>
    <col min="1" max="1" width="23.7265625" customWidth="1"/>
    <col min="2" max="2" width="10.54296875" bestFit="1" customWidth="1"/>
    <col min="3" max="3" width="9.453125" bestFit="1" customWidth="1"/>
    <col min="4" max="4" width="10.54296875" bestFit="1" customWidth="1"/>
    <col min="5" max="5" width="9.453125" bestFit="1" customWidth="1"/>
    <col min="6" max="6" width="10.54296875" bestFit="1" customWidth="1"/>
    <col min="7" max="7" width="9.453125" bestFit="1" customWidth="1"/>
    <col min="8" max="8" width="10.54296875" bestFit="1" customWidth="1"/>
    <col min="9" max="9" width="9.453125" bestFit="1" customWidth="1"/>
    <col min="10" max="10" width="15.1796875" customWidth="1"/>
    <col min="12" max="12" width="19.54296875" customWidth="1"/>
    <col min="13" max="13" width="13.453125" customWidth="1"/>
    <col min="14" max="14" width="14" customWidth="1"/>
    <col min="15" max="15" width="17.7265625" customWidth="1"/>
    <col min="16" max="16" width="14.453125" customWidth="1"/>
    <col min="17" max="17" width="17.54296875" customWidth="1"/>
    <col min="18" max="18" width="19.7265625" customWidth="1"/>
  </cols>
  <sheetData>
    <row r="1" spans="1:18" x14ac:dyDescent="0.35">
      <c r="A1" s="209" t="s">
        <v>247</v>
      </c>
      <c r="B1" s="209"/>
      <c r="C1" s="209"/>
      <c r="D1" s="209"/>
      <c r="E1" s="209"/>
      <c r="F1" s="209"/>
      <c r="G1" s="209"/>
      <c r="H1" s="209"/>
      <c r="I1" s="209"/>
      <c r="J1" s="209"/>
      <c r="L1" s="208"/>
      <c r="M1" s="208"/>
      <c r="N1" s="208"/>
      <c r="O1" s="208"/>
      <c r="P1" s="208"/>
      <c r="Q1" s="208"/>
      <c r="R1" s="208"/>
    </row>
    <row r="2" spans="1:18" x14ac:dyDescent="0.35">
      <c r="A2" s="10" t="s">
        <v>137</v>
      </c>
      <c r="B2" s="10" t="s">
        <v>57</v>
      </c>
      <c r="C2" s="10" t="s">
        <v>138</v>
      </c>
      <c r="D2" s="10" t="s">
        <v>58</v>
      </c>
      <c r="E2" s="10" t="s">
        <v>138</v>
      </c>
      <c r="F2" s="10" t="s">
        <v>133</v>
      </c>
      <c r="G2" s="10" t="s">
        <v>138</v>
      </c>
      <c r="H2" s="10" t="s">
        <v>60</v>
      </c>
      <c r="I2" s="10" t="s">
        <v>139</v>
      </c>
      <c r="J2" s="10" t="s">
        <v>140</v>
      </c>
      <c r="L2" s="112"/>
      <c r="M2" s="208"/>
      <c r="N2" s="208"/>
      <c r="O2" s="208"/>
      <c r="P2" s="208"/>
      <c r="Q2" s="208"/>
      <c r="R2" s="208"/>
    </row>
    <row r="3" spans="1:18" x14ac:dyDescent="0.35">
      <c r="A3" s="10"/>
      <c r="B3" s="10"/>
      <c r="C3" s="10"/>
      <c r="D3" s="10"/>
      <c r="E3" s="10"/>
      <c r="F3" s="10"/>
      <c r="G3" s="10"/>
      <c r="H3" s="10"/>
      <c r="I3" s="10"/>
      <c r="J3" s="10"/>
      <c r="L3" s="113"/>
      <c r="M3" s="114"/>
      <c r="N3" s="114"/>
      <c r="O3" s="114"/>
      <c r="P3" s="114"/>
      <c r="Q3" s="114"/>
      <c r="R3" s="114"/>
    </row>
    <row r="4" spans="1:18" x14ac:dyDescent="0.35">
      <c r="A4" s="10" t="s">
        <v>141</v>
      </c>
      <c r="B4" s="101">
        <v>226752.82100000003</v>
      </c>
      <c r="C4" s="101">
        <v>64.289339862181492</v>
      </c>
      <c r="D4" s="101">
        <v>126467.27933333334</v>
      </c>
      <c r="E4" s="101">
        <v>54.738426885377436</v>
      </c>
      <c r="F4" s="101">
        <v>163643.696</v>
      </c>
      <c r="G4" s="101">
        <v>36.761929567744936</v>
      </c>
      <c r="H4" s="101">
        <v>186276.23766666665</v>
      </c>
      <c r="I4" s="101">
        <v>58.861302929231783</v>
      </c>
      <c r="J4" s="101">
        <v>175785.0085</v>
      </c>
      <c r="L4" s="112"/>
      <c r="M4" s="115"/>
      <c r="N4" s="116"/>
      <c r="O4" s="115"/>
      <c r="P4" s="115"/>
      <c r="Q4" s="115"/>
      <c r="R4" s="116"/>
    </row>
    <row r="5" spans="1:18" x14ac:dyDescent="0.35">
      <c r="A5" s="10" t="s">
        <v>142</v>
      </c>
      <c r="B5" s="101">
        <v>6453.8975416666663</v>
      </c>
      <c r="C5" s="101">
        <v>1.8298198481592691</v>
      </c>
      <c r="D5" s="101">
        <v>6572.0225416666663</v>
      </c>
      <c r="E5" s="101">
        <v>2.8445474377438824</v>
      </c>
      <c r="F5" s="101">
        <v>6500.7725416666663</v>
      </c>
      <c r="G5" s="101">
        <v>1.4603736541900165</v>
      </c>
      <c r="H5" s="101">
        <v>6690.1475416666663</v>
      </c>
      <c r="I5" s="101">
        <v>2.1140152175285434</v>
      </c>
      <c r="J5" s="101">
        <v>6554.2100416666663</v>
      </c>
      <c r="L5" s="112"/>
      <c r="M5" s="115"/>
      <c r="N5" s="116"/>
      <c r="O5" s="115"/>
      <c r="P5" s="115"/>
      <c r="Q5" s="116"/>
      <c r="R5" s="116"/>
    </row>
    <row r="6" spans="1:18" x14ac:dyDescent="0.35">
      <c r="A6" s="10" t="s">
        <v>143</v>
      </c>
      <c r="B6" s="101">
        <v>31500</v>
      </c>
      <c r="C6" s="101">
        <v>8.9309327960189613</v>
      </c>
      <c r="D6" s="101">
        <v>45000</v>
      </c>
      <c r="E6" s="101">
        <v>19.477205667954497</v>
      </c>
      <c r="F6" s="101">
        <v>81000</v>
      </c>
      <c r="G6" s="101">
        <v>18.196339778266434</v>
      </c>
      <c r="H6" s="101">
        <v>40500</v>
      </c>
      <c r="I6" s="101">
        <v>12.797567733248636</v>
      </c>
      <c r="J6" s="101">
        <v>49500</v>
      </c>
      <c r="L6" s="112"/>
      <c r="M6" s="115"/>
      <c r="N6" s="116"/>
      <c r="O6" s="116"/>
      <c r="P6" s="115"/>
      <c r="Q6" s="116"/>
      <c r="R6" s="116"/>
    </row>
    <row r="7" spans="1:18" x14ac:dyDescent="0.35">
      <c r="A7" s="10" t="s">
        <v>144</v>
      </c>
      <c r="B7" s="101">
        <v>0</v>
      </c>
      <c r="C7" s="101"/>
      <c r="D7" s="101">
        <v>0</v>
      </c>
      <c r="E7" s="101"/>
      <c r="F7" s="101">
        <v>0</v>
      </c>
      <c r="G7" s="101"/>
      <c r="H7" s="101">
        <v>0</v>
      </c>
      <c r="I7" s="101"/>
      <c r="J7" s="101">
        <v>0</v>
      </c>
      <c r="L7" s="112"/>
      <c r="M7" s="115"/>
      <c r="N7" s="116"/>
      <c r="O7" s="115"/>
      <c r="P7" s="115"/>
      <c r="Q7" s="115"/>
      <c r="R7" s="115"/>
    </row>
    <row r="8" spans="1:18" x14ac:dyDescent="0.35">
      <c r="A8" s="10" t="s">
        <v>146</v>
      </c>
      <c r="B8" s="101">
        <v>88000</v>
      </c>
      <c r="C8" s="101">
        <v>24.949907493640271</v>
      </c>
      <c r="D8" s="101">
        <v>53000</v>
      </c>
      <c r="E8" s="101">
        <v>22.939820008924183</v>
      </c>
      <c r="F8" s="101">
        <v>194000</v>
      </c>
      <c r="G8" s="101">
        <v>43.581356999798622</v>
      </c>
      <c r="H8" s="101">
        <v>83000</v>
      </c>
      <c r="I8" s="101">
        <v>26.227114119991036</v>
      </c>
      <c r="J8" s="101">
        <v>104500</v>
      </c>
      <c r="L8" s="112"/>
      <c r="M8" s="115"/>
      <c r="N8" s="116"/>
      <c r="O8" s="115"/>
      <c r="P8" s="115"/>
      <c r="Q8" s="115"/>
      <c r="R8" s="116"/>
    </row>
    <row r="9" spans="1:18" x14ac:dyDescent="0.35">
      <c r="A9" s="10" t="s">
        <v>27</v>
      </c>
      <c r="B9" s="101">
        <v>352706.71854166669</v>
      </c>
      <c r="C9" s="101"/>
      <c r="D9" s="101">
        <v>231039.301875</v>
      </c>
      <c r="E9" s="101"/>
      <c r="F9" s="101">
        <v>445144.46854166663</v>
      </c>
      <c r="G9" s="101"/>
      <c r="H9" s="101">
        <v>316466.38520833332</v>
      </c>
      <c r="I9" s="101"/>
      <c r="J9" s="101">
        <v>336339.21854166669</v>
      </c>
      <c r="L9" s="112"/>
      <c r="M9" s="115"/>
      <c r="N9" s="116"/>
      <c r="O9" s="115"/>
      <c r="P9" s="117"/>
      <c r="Q9" s="116"/>
      <c r="R9" s="116"/>
    </row>
    <row r="10" spans="1:18" x14ac:dyDescent="0.35">
      <c r="A10" s="10" t="s">
        <v>147</v>
      </c>
      <c r="B10" s="101">
        <v>99.973559677343161</v>
      </c>
      <c r="C10" s="101"/>
      <c r="D10" s="101">
        <v>48.253822446741857</v>
      </c>
      <c r="E10" s="101"/>
      <c r="F10" s="101">
        <v>134.40352311040658</v>
      </c>
      <c r="G10" s="101"/>
      <c r="H10" s="101">
        <v>40.88712987187769</v>
      </c>
      <c r="I10" s="101"/>
      <c r="J10" s="101">
        <v>80.879508776592317</v>
      </c>
      <c r="L10" s="118"/>
      <c r="M10" s="118"/>
      <c r="N10" s="118"/>
      <c r="O10" s="118"/>
      <c r="P10" s="118"/>
      <c r="Q10" s="118"/>
      <c r="R10" s="118"/>
    </row>
    <row r="11" spans="1:18" x14ac:dyDescent="0.35">
      <c r="A11" s="10" t="s">
        <v>148</v>
      </c>
      <c r="B11" s="101">
        <v>105.85435730542217</v>
      </c>
      <c r="C11" s="101"/>
      <c r="D11" s="101">
        <v>51.09228259066785</v>
      </c>
      <c r="E11" s="101"/>
      <c r="F11" s="101">
        <v>142.3096127051364</v>
      </c>
      <c r="G11" s="101"/>
      <c r="H11" s="101">
        <v>43.29225515845873</v>
      </c>
      <c r="I11" s="101"/>
      <c r="J11" s="101">
        <v>85.637126939921274</v>
      </c>
    </row>
    <row r="12" spans="1:18" x14ac:dyDescent="0.35">
      <c r="A12" s="10" t="s">
        <v>149</v>
      </c>
      <c r="B12" s="101">
        <v>1799.5240741921771</v>
      </c>
      <c r="C12" s="101"/>
      <c r="D12" s="101">
        <v>868.56880404135336</v>
      </c>
      <c r="E12" s="101"/>
      <c r="F12" s="101">
        <v>2419.2634159873187</v>
      </c>
      <c r="G12" s="101"/>
      <c r="H12" s="101">
        <v>735.96833769379839</v>
      </c>
      <c r="I12" s="101"/>
      <c r="J12" s="101">
        <v>1455.8311579786618</v>
      </c>
    </row>
    <row r="13" spans="1:18" x14ac:dyDescent="0.35">
      <c r="A13" s="7"/>
      <c r="B13" s="7"/>
      <c r="C13" s="7"/>
      <c r="D13" s="7"/>
      <c r="E13" s="7"/>
      <c r="F13" s="7"/>
      <c r="G13" s="7"/>
      <c r="H13" s="7"/>
      <c r="I13" s="7"/>
      <c r="J13" s="7"/>
    </row>
    <row r="15" spans="1:18" x14ac:dyDescent="0.35">
      <c r="A15" s="205" t="s">
        <v>248</v>
      </c>
      <c r="B15" s="205"/>
      <c r="C15" s="205"/>
      <c r="D15" s="205"/>
      <c r="E15" s="205"/>
      <c r="F15" s="205"/>
      <c r="G15" s="205"/>
      <c r="H15" s="205"/>
      <c r="I15" s="205"/>
      <c r="J15" s="205"/>
    </row>
    <row r="16" spans="1:18" x14ac:dyDescent="0.35">
      <c r="A16" s="10"/>
      <c r="B16" s="205" t="s">
        <v>136</v>
      </c>
      <c r="C16" s="205"/>
      <c r="D16" s="205"/>
      <c r="E16" s="205"/>
      <c r="F16" s="205"/>
      <c r="G16" s="205"/>
      <c r="H16" s="205"/>
      <c r="I16" s="205"/>
      <c r="J16" s="205"/>
    </row>
    <row r="17" spans="1:10" x14ac:dyDescent="0.35">
      <c r="A17" s="10" t="s">
        <v>137</v>
      </c>
      <c r="B17" s="10" t="s">
        <v>243</v>
      </c>
      <c r="C17" s="10" t="s">
        <v>138</v>
      </c>
      <c r="D17" s="10" t="s">
        <v>244</v>
      </c>
      <c r="E17" s="10" t="s">
        <v>138</v>
      </c>
      <c r="F17" s="10" t="s">
        <v>245</v>
      </c>
      <c r="G17" s="10" t="s">
        <v>138</v>
      </c>
      <c r="H17" s="10" t="s">
        <v>246</v>
      </c>
      <c r="I17" s="10" t="s">
        <v>139</v>
      </c>
      <c r="J17" s="10" t="s">
        <v>140</v>
      </c>
    </row>
    <row r="18" spans="1:10" x14ac:dyDescent="0.35">
      <c r="A18" s="10"/>
      <c r="B18" s="4"/>
      <c r="C18" s="4"/>
      <c r="D18" s="4"/>
      <c r="E18" s="4"/>
      <c r="F18" s="4"/>
      <c r="G18" s="4"/>
      <c r="H18" s="4"/>
      <c r="I18" s="4"/>
      <c r="J18" s="4"/>
    </row>
    <row r="19" spans="1:10" x14ac:dyDescent="0.35">
      <c r="A19" s="10" t="s">
        <v>141</v>
      </c>
      <c r="B19" s="101">
        <v>262143.9259375</v>
      </c>
      <c r="C19" s="101">
        <v>63.775610038962405</v>
      </c>
      <c r="D19" s="101">
        <v>202169.6759375</v>
      </c>
      <c r="E19" s="101">
        <v>28.407096583762321</v>
      </c>
      <c r="F19" s="101">
        <v>200629.1759375</v>
      </c>
      <c r="G19" s="101">
        <v>32.989166971651137</v>
      </c>
      <c r="H19" s="101">
        <v>120919.6759375</v>
      </c>
      <c r="I19" s="101">
        <v>53.112349866284973</v>
      </c>
      <c r="J19" s="101">
        <v>196465.6134375</v>
      </c>
    </row>
    <row r="20" spans="1:10" x14ac:dyDescent="0.35">
      <c r="A20" s="10" t="s">
        <v>142</v>
      </c>
      <c r="B20" s="101">
        <v>8597.1064843749991</v>
      </c>
      <c r="C20" s="101">
        <v>2.091544591964555</v>
      </c>
      <c r="D20" s="101">
        <v>6217.543984375</v>
      </c>
      <c r="E20" s="101">
        <v>0.87363434530375939</v>
      </c>
      <c r="F20" s="101">
        <v>5537.668984375</v>
      </c>
      <c r="G20" s="101">
        <v>0.91055095005818132</v>
      </c>
      <c r="H20" s="101">
        <v>4848.043984375</v>
      </c>
      <c r="I20" s="101">
        <v>2.1294384579590924</v>
      </c>
      <c r="J20" s="101">
        <v>6300.0908593749991</v>
      </c>
    </row>
    <row r="21" spans="1:10" x14ac:dyDescent="0.35">
      <c r="A21" s="10" t="s">
        <v>143</v>
      </c>
      <c r="B21" s="101">
        <v>48500</v>
      </c>
      <c r="C21" s="101">
        <v>11.799308627227676</v>
      </c>
      <c r="D21" s="101">
        <v>44000</v>
      </c>
      <c r="E21" s="101">
        <v>6.1824912360840294</v>
      </c>
      <c r="F21" s="101">
        <v>48500</v>
      </c>
      <c r="G21" s="101">
        <v>7.9747852756146713</v>
      </c>
      <c r="H21" s="101">
        <v>29000</v>
      </c>
      <c r="I21" s="101">
        <v>12.737862007820633</v>
      </c>
      <c r="J21" s="101">
        <v>42500</v>
      </c>
    </row>
    <row r="22" spans="1:10" x14ac:dyDescent="0.35">
      <c r="A22" s="10" t="s">
        <v>144</v>
      </c>
      <c r="B22" s="101">
        <v>0</v>
      </c>
      <c r="C22" s="101">
        <v>0</v>
      </c>
      <c r="D22" s="101">
        <v>412500</v>
      </c>
      <c r="E22" s="101">
        <v>57.960855338287779</v>
      </c>
      <c r="F22" s="101">
        <v>187500</v>
      </c>
      <c r="G22" s="101">
        <v>30.830355446963932</v>
      </c>
      <c r="H22" s="101">
        <v>0</v>
      </c>
      <c r="I22" s="101">
        <v>0</v>
      </c>
      <c r="J22" s="101">
        <v>150000</v>
      </c>
    </row>
    <row r="23" spans="1:10" x14ac:dyDescent="0.35">
      <c r="A23" s="10" t="s">
        <v>146</v>
      </c>
      <c r="B23" s="101">
        <v>91800</v>
      </c>
      <c r="C23" s="101">
        <v>22.333536741845371</v>
      </c>
      <c r="D23" s="101">
        <v>46800</v>
      </c>
      <c r="E23" s="101">
        <v>6.5759224965621046</v>
      </c>
      <c r="F23" s="101">
        <v>166000</v>
      </c>
      <c r="G23" s="101">
        <v>27.295141355712072</v>
      </c>
      <c r="H23" s="101">
        <v>72900</v>
      </c>
      <c r="I23" s="101">
        <v>32.020349667935314</v>
      </c>
      <c r="J23" s="101">
        <v>94375</v>
      </c>
    </row>
    <row r="24" spans="1:10" x14ac:dyDescent="0.35">
      <c r="A24" s="10" t="s">
        <v>27</v>
      </c>
      <c r="B24" s="101">
        <v>411041.03242187499</v>
      </c>
      <c r="C24" s="101"/>
      <c r="D24" s="101">
        <v>711687.21992187505</v>
      </c>
      <c r="E24" s="101"/>
      <c r="F24" s="101">
        <v>608166.84492187505</v>
      </c>
      <c r="G24" s="101"/>
      <c r="H24" s="101">
        <v>227667.71992187499</v>
      </c>
      <c r="I24" s="101"/>
      <c r="J24" s="101">
        <v>489640.70429687505</v>
      </c>
    </row>
    <row r="25" spans="1:10" x14ac:dyDescent="0.35">
      <c r="A25" s="10" t="s">
        <v>147</v>
      </c>
      <c r="B25" s="101">
        <v>115.81883133893349</v>
      </c>
      <c r="C25" s="101"/>
      <c r="D25" s="101">
        <v>242.07048296662416</v>
      </c>
      <c r="E25" s="101"/>
      <c r="F25" s="101">
        <v>410.64608029836262</v>
      </c>
      <c r="G25" s="101"/>
      <c r="H25" s="101">
        <v>162.15649567085114</v>
      </c>
      <c r="I25" s="101"/>
      <c r="J25" s="101">
        <v>232.67297256869284</v>
      </c>
    </row>
    <row r="26" spans="1:10" x14ac:dyDescent="0.35">
      <c r="A26" s="10" t="s">
        <v>148</v>
      </c>
      <c r="B26" s="101">
        <v>122.88222194973841</v>
      </c>
      <c r="C26" s="101"/>
      <c r="D26" s="101">
        <v>277.7858001256343</v>
      </c>
      <c r="E26" s="101"/>
      <c r="F26" s="101">
        <v>460.38368275690766</v>
      </c>
      <c r="G26" s="101"/>
      <c r="H26" s="101">
        <v>182.42605762970751</v>
      </c>
      <c r="I26" s="101"/>
      <c r="J26" s="101">
        <v>260.86944061549696</v>
      </c>
    </row>
    <row r="27" spans="1:10" x14ac:dyDescent="0.35">
      <c r="A27" s="10" t="s">
        <v>149</v>
      </c>
      <c r="B27" s="101">
        <v>2014.9070216758578</v>
      </c>
      <c r="C27" s="101"/>
      <c r="D27" s="101">
        <v>1882.7704230737436</v>
      </c>
      <c r="E27" s="101"/>
      <c r="F27" s="101">
        <v>3801.0427807617189</v>
      </c>
      <c r="G27" s="101"/>
      <c r="H27" s="101">
        <v>1459.4084610376601</v>
      </c>
      <c r="I27" s="101"/>
      <c r="J27" s="101">
        <v>2289.532171637245</v>
      </c>
    </row>
    <row r="29" spans="1:10" x14ac:dyDescent="0.35">
      <c r="A29" s="205" t="s">
        <v>224</v>
      </c>
      <c r="B29" s="205"/>
      <c r="C29" s="205"/>
      <c r="D29" s="205"/>
      <c r="E29" s="205"/>
      <c r="F29" s="205"/>
      <c r="G29" s="205"/>
      <c r="H29" s="205"/>
      <c r="I29" s="205"/>
      <c r="J29" s="205"/>
    </row>
    <row r="30" spans="1:10" x14ac:dyDescent="0.35">
      <c r="A30" s="10"/>
      <c r="B30" s="205" t="s">
        <v>136</v>
      </c>
      <c r="C30" s="205"/>
      <c r="D30" s="205"/>
      <c r="E30" s="205"/>
      <c r="F30" s="205"/>
      <c r="G30" s="205"/>
      <c r="H30" s="205"/>
      <c r="I30" s="205"/>
      <c r="J30" s="205"/>
    </row>
    <row r="31" spans="1:10" x14ac:dyDescent="0.35">
      <c r="A31" s="10" t="s">
        <v>137</v>
      </c>
      <c r="B31" s="10" t="s">
        <v>226</v>
      </c>
      <c r="C31" s="10" t="s">
        <v>139</v>
      </c>
      <c r="D31" s="10" t="s">
        <v>227</v>
      </c>
      <c r="E31" s="10" t="s">
        <v>249</v>
      </c>
      <c r="F31" s="10" t="s">
        <v>228</v>
      </c>
      <c r="G31" s="10" t="s">
        <v>249</v>
      </c>
      <c r="H31" s="10" t="s">
        <v>229</v>
      </c>
      <c r="I31" s="10" t="s">
        <v>249</v>
      </c>
      <c r="J31" s="10" t="s">
        <v>258</v>
      </c>
    </row>
    <row r="32" spans="1:10" x14ac:dyDescent="0.35">
      <c r="A32" s="4"/>
      <c r="B32" s="4"/>
      <c r="C32" s="4"/>
      <c r="D32" s="4"/>
      <c r="E32" s="4"/>
      <c r="F32" s="4"/>
      <c r="G32" s="4"/>
      <c r="H32" s="4"/>
      <c r="I32" s="4"/>
      <c r="J32" s="4"/>
    </row>
    <row r="33" spans="1:21" x14ac:dyDescent="0.35">
      <c r="A33" s="10" t="s">
        <v>141</v>
      </c>
      <c r="B33" s="101">
        <v>1126000</v>
      </c>
      <c r="C33" s="101">
        <v>91.007467292009196</v>
      </c>
      <c r="D33" s="101">
        <v>1171500</v>
      </c>
      <c r="E33" s="101">
        <v>90.57357473163799</v>
      </c>
      <c r="F33" s="101">
        <v>1429800</v>
      </c>
      <c r="G33" s="101">
        <v>90.989731352531805</v>
      </c>
      <c r="H33" s="101">
        <v>1126450</v>
      </c>
      <c r="I33" s="101">
        <v>90.703861887726873</v>
      </c>
      <c r="J33" s="101">
        <f>(B33+D33+F33+H33)/4</f>
        <v>1213437.5</v>
      </c>
    </row>
    <row r="34" spans="1:21" x14ac:dyDescent="0.35">
      <c r="A34" s="10" t="s">
        <v>142</v>
      </c>
      <c r="B34" s="101">
        <v>14011.11</v>
      </c>
      <c r="C34" s="101">
        <v>1.1324295160299671</v>
      </c>
      <c r="D34" s="101">
        <v>21423.61</v>
      </c>
      <c r="E34" s="101">
        <v>1.6563490749948502</v>
      </c>
      <c r="F34" s="101">
        <v>20961.11</v>
      </c>
      <c r="G34" s="101">
        <v>1.3339248620442496</v>
      </c>
      <c r="H34" s="101">
        <v>18573.61</v>
      </c>
      <c r="I34" s="101">
        <v>1.4955818333672184</v>
      </c>
      <c r="J34" s="101">
        <f t="shared" ref="J34:J40" si="0">(B34+D34+F34+H34)/4</f>
        <v>18742.36</v>
      </c>
    </row>
    <row r="35" spans="1:21" x14ac:dyDescent="0.35">
      <c r="A35" s="10" t="s">
        <v>143</v>
      </c>
      <c r="B35" s="101">
        <v>1250</v>
      </c>
      <c r="C35" s="101">
        <v>0.10102960400977931</v>
      </c>
      <c r="D35" s="101">
        <v>500</v>
      </c>
      <c r="E35" s="101">
        <v>3.865709548938881E-2</v>
      </c>
      <c r="F35" s="101">
        <v>625</v>
      </c>
      <c r="G35" s="101">
        <v>3.9773801997015232E-2</v>
      </c>
      <c r="H35" s="101">
        <v>875</v>
      </c>
      <c r="I35" s="101">
        <v>7.0456637357859661E-2</v>
      </c>
      <c r="J35" s="101">
        <f t="shared" si="0"/>
        <v>812.5</v>
      </c>
    </row>
    <row r="36" spans="1:21" x14ac:dyDescent="0.35">
      <c r="A36" s="10" t="s">
        <v>230</v>
      </c>
      <c r="B36" s="101">
        <v>96000</v>
      </c>
      <c r="C36" s="101">
        <v>7.7590735879510504</v>
      </c>
      <c r="D36" s="101">
        <v>100000</v>
      </c>
      <c r="E36" s="101">
        <v>7.7314190978777635</v>
      </c>
      <c r="F36" s="101">
        <v>120000</v>
      </c>
      <c r="G36" s="101">
        <v>7.6365699834269245</v>
      </c>
      <c r="H36" s="101">
        <v>96000</v>
      </c>
      <c r="I36" s="101">
        <v>7.7300996415480316</v>
      </c>
      <c r="J36" s="101">
        <f t="shared" si="0"/>
        <v>103000</v>
      </c>
    </row>
    <row r="37" spans="1:21" x14ac:dyDescent="0.35">
      <c r="A37" s="10" t="s">
        <v>27</v>
      </c>
      <c r="B37" s="101">
        <v>1237261.1100000001</v>
      </c>
      <c r="C37" s="101"/>
      <c r="D37" s="101">
        <v>1293423.6100000001</v>
      </c>
      <c r="E37" s="101"/>
      <c r="F37" s="101">
        <v>1571386.11</v>
      </c>
      <c r="G37" s="101"/>
      <c r="H37" s="101">
        <v>1241898.6100000001</v>
      </c>
      <c r="I37" s="101"/>
      <c r="J37" s="101">
        <f t="shared" si="0"/>
        <v>1335992.3600000001</v>
      </c>
    </row>
    <row r="38" spans="1:21" x14ac:dyDescent="0.35">
      <c r="A38" s="10" t="s">
        <v>231</v>
      </c>
      <c r="B38" s="101">
        <v>244966.26692913385</v>
      </c>
      <c r="C38" s="101"/>
      <c r="D38" s="101">
        <v>270752.18976377952</v>
      </c>
      <c r="E38" s="101"/>
      <c r="F38" s="101">
        <v>364519.1818897638</v>
      </c>
      <c r="G38" s="101"/>
      <c r="H38" s="101">
        <v>251998.79133858267</v>
      </c>
      <c r="I38" s="101"/>
      <c r="J38" s="101">
        <f t="shared" si="0"/>
        <v>283059.10748031497</v>
      </c>
    </row>
    <row r="39" spans="1:21" x14ac:dyDescent="0.35">
      <c r="A39" s="10" t="s">
        <v>250</v>
      </c>
      <c r="B39" s="101">
        <v>1482227.3769291339</v>
      </c>
      <c r="C39" s="101">
        <v>0</v>
      </c>
      <c r="D39" s="101">
        <v>1564175.7997637796</v>
      </c>
      <c r="E39" s="101">
        <v>0</v>
      </c>
      <c r="F39" s="101">
        <v>1935905.2918897639</v>
      </c>
      <c r="G39" s="101">
        <v>0</v>
      </c>
      <c r="H39" s="101">
        <v>1493897.4013385829</v>
      </c>
      <c r="I39" s="101"/>
      <c r="J39" s="101">
        <f t="shared" si="0"/>
        <v>1619051.4674803149</v>
      </c>
    </row>
    <row r="40" spans="1:21" x14ac:dyDescent="0.35">
      <c r="A40" s="10" t="s">
        <v>251</v>
      </c>
      <c r="B40" s="101">
        <v>168.85707187618294</v>
      </c>
      <c r="C40" s="101"/>
      <c r="D40" s="101">
        <v>161.221995440505</v>
      </c>
      <c r="E40" s="101"/>
      <c r="F40" s="101">
        <v>148.20894900396294</v>
      </c>
      <c r="G40" s="101"/>
      <c r="H40" s="101">
        <v>165.43714300538016</v>
      </c>
      <c r="I40" s="101"/>
      <c r="J40" s="101">
        <f t="shared" si="0"/>
        <v>160.93128983150774</v>
      </c>
    </row>
    <row r="41" spans="1:21" x14ac:dyDescent="0.35">
      <c r="A41" s="10" t="s">
        <v>234</v>
      </c>
      <c r="B41" s="101">
        <v>177.2999254699921</v>
      </c>
      <c r="C41" s="101"/>
      <c r="D41" s="101">
        <v>169.28309521253027</v>
      </c>
      <c r="E41" s="101"/>
      <c r="F41" s="101">
        <v>155.61939645416109</v>
      </c>
      <c r="G41" s="101"/>
      <c r="H41" s="101">
        <v>173.70900015564916</v>
      </c>
      <c r="I41" s="101"/>
      <c r="J41" s="101">
        <v>168.97785432308316</v>
      </c>
    </row>
    <row r="42" spans="1:21" x14ac:dyDescent="0.35">
      <c r="A42" s="10" t="s">
        <v>235</v>
      </c>
      <c r="B42" s="101">
        <v>3545.9985093998421</v>
      </c>
      <c r="C42" s="101"/>
      <c r="D42" s="101">
        <v>3385.6619042506054</v>
      </c>
      <c r="E42" s="101"/>
      <c r="F42" s="101">
        <v>3112.3879290832219</v>
      </c>
      <c r="G42" s="101"/>
      <c r="H42" s="101">
        <v>3474.1800031129833</v>
      </c>
      <c r="I42" s="101"/>
      <c r="J42" s="101">
        <v>3379.5570864616629</v>
      </c>
    </row>
    <row r="43" spans="1:21" x14ac:dyDescent="0.35">
      <c r="A43" s="100"/>
      <c r="B43" s="84"/>
      <c r="C43" s="84"/>
      <c r="D43" s="84"/>
      <c r="E43" s="84"/>
      <c r="F43" s="84"/>
      <c r="G43" s="84"/>
      <c r="H43" s="84"/>
      <c r="I43" s="84"/>
      <c r="J43" s="84"/>
    </row>
    <row r="44" spans="1:21" s="102" customFormat="1" ht="15" customHeight="1" x14ac:dyDescent="0.3">
      <c r="A44" s="205" t="s">
        <v>252</v>
      </c>
      <c r="B44" s="205"/>
      <c r="C44" s="205"/>
      <c r="D44" s="205"/>
      <c r="E44" s="205"/>
      <c r="F44" s="205"/>
      <c r="G44" s="205"/>
      <c r="H44" s="205"/>
      <c r="I44" s="205"/>
      <c r="J44" s="205"/>
      <c r="K44" s="100"/>
      <c r="L44" s="100"/>
      <c r="M44" s="100"/>
      <c r="N44" s="100"/>
      <c r="O44" s="100"/>
      <c r="P44" s="100"/>
      <c r="Q44" s="100"/>
      <c r="R44" s="100"/>
      <c r="S44" s="100"/>
      <c r="T44" s="100"/>
      <c r="U44" s="100"/>
    </row>
    <row r="45" spans="1:21" x14ac:dyDescent="0.35">
      <c r="A45" s="10"/>
      <c r="B45" s="205" t="s">
        <v>136</v>
      </c>
      <c r="C45" s="205"/>
      <c r="D45" s="205"/>
      <c r="E45" s="205"/>
      <c r="F45" s="205"/>
      <c r="G45" s="205"/>
      <c r="H45" s="205"/>
      <c r="I45" s="205"/>
      <c r="J45" s="205"/>
    </row>
    <row r="46" spans="1:21" x14ac:dyDescent="0.35">
      <c r="A46" s="10" t="s">
        <v>137</v>
      </c>
      <c r="B46" s="10" t="s">
        <v>253</v>
      </c>
      <c r="C46" s="10" t="s">
        <v>260</v>
      </c>
      <c r="D46" s="10" t="s">
        <v>254</v>
      </c>
      <c r="E46" s="10" t="s">
        <v>260</v>
      </c>
      <c r="F46" s="10" t="s">
        <v>255</v>
      </c>
      <c r="G46" s="10" t="s">
        <v>260</v>
      </c>
      <c r="H46" s="10" t="s">
        <v>256</v>
      </c>
      <c r="I46" s="10" t="s">
        <v>260</v>
      </c>
      <c r="J46" s="10" t="s">
        <v>259</v>
      </c>
    </row>
    <row r="47" spans="1:21" x14ac:dyDescent="0.35">
      <c r="A47" s="4"/>
      <c r="B47" s="4"/>
      <c r="C47" s="4"/>
      <c r="D47" s="4"/>
      <c r="E47" s="4"/>
      <c r="F47" s="4"/>
      <c r="G47" s="4"/>
      <c r="H47" s="4"/>
      <c r="I47" s="4"/>
      <c r="J47" s="4"/>
    </row>
    <row r="48" spans="1:21" x14ac:dyDescent="0.35">
      <c r="A48" s="10" t="s">
        <v>141</v>
      </c>
      <c r="B48" s="101">
        <v>462528.75</v>
      </c>
      <c r="C48" s="101">
        <v>89.147203401196109</v>
      </c>
      <c r="D48" s="101">
        <v>390481.25</v>
      </c>
      <c r="E48" s="101">
        <v>88.513976189239358</v>
      </c>
      <c r="F48" s="101">
        <v>457481.25</v>
      </c>
      <c r="G48" s="101">
        <v>89.500026492441506</v>
      </c>
      <c r="H48" s="101">
        <v>448346.25</v>
      </c>
      <c r="I48" s="101">
        <v>89.998042849878217</v>
      </c>
      <c r="J48" s="101">
        <f>(B48+D48+F48+H48)/4</f>
        <v>439709.375</v>
      </c>
    </row>
    <row r="49" spans="1:10" x14ac:dyDescent="0.35">
      <c r="A49" s="10" t="s">
        <v>142</v>
      </c>
      <c r="B49" s="101">
        <v>17908.333333333336</v>
      </c>
      <c r="C49" s="101">
        <v>3.4516294051841907</v>
      </c>
      <c r="D49" s="101">
        <v>14389.583333333334</v>
      </c>
      <c r="E49" s="101">
        <v>3.261819195005502</v>
      </c>
      <c r="F49" s="101">
        <v>15983.333333333334</v>
      </c>
      <c r="G49" s="101">
        <v>3.1269232493590868</v>
      </c>
      <c r="H49" s="101">
        <v>12827.083333333334</v>
      </c>
      <c r="I49" s="101">
        <v>2.5748233546556758</v>
      </c>
      <c r="J49" s="101">
        <f t="shared" ref="J49:J55" si="1">(B49+D49+F49+H49)/4</f>
        <v>15277.083333333336</v>
      </c>
    </row>
    <row r="50" spans="1:10" x14ac:dyDescent="0.35">
      <c r="A50" s="10" t="s">
        <v>143</v>
      </c>
      <c r="B50" s="101">
        <v>2400</v>
      </c>
      <c r="C50" s="101">
        <v>0.46257294960123163</v>
      </c>
      <c r="D50" s="101">
        <v>281.25</v>
      </c>
      <c r="E50" s="101">
        <v>6.3753524153140687E-2</v>
      </c>
      <c r="F50" s="101">
        <v>1687.5</v>
      </c>
      <c r="G50" s="101">
        <v>0.33013657872534674</v>
      </c>
      <c r="H50" s="101">
        <v>1000.0000000000001</v>
      </c>
      <c r="I50" s="101">
        <v>0.20073334582340821</v>
      </c>
      <c r="J50" s="101">
        <f t="shared" si="1"/>
        <v>1342.1875</v>
      </c>
    </row>
    <row r="51" spans="1:10" x14ac:dyDescent="0.35">
      <c r="A51" s="10" t="s">
        <v>230</v>
      </c>
      <c r="B51" s="101">
        <v>36000</v>
      </c>
      <c r="C51" s="101">
        <v>6.938594244018474</v>
      </c>
      <c r="D51" s="101">
        <v>36000</v>
      </c>
      <c r="E51" s="101">
        <v>8.1604510916020079</v>
      </c>
      <c r="F51" s="101">
        <v>36000</v>
      </c>
      <c r="G51" s="101">
        <v>7.0429136794740641</v>
      </c>
      <c r="H51" s="101">
        <v>36000</v>
      </c>
      <c r="I51" s="101">
        <v>7.2264004496426946</v>
      </c>
      <c r="J51" s="101">
        <f t="shared" si="1"/>
        <v>36000</v>
      </c>
    </row>
    <row r="52" spans="1:10" x14ac:dyDescent="0.35">
      <c r="A52" s="10" t="s">
        <v>27</v>
      </c>
      <c r="B52" s="101">
        <v>518837.08333333331</v>
      </c>
      <c r="C52" s="101"/>
      <c r="D52" s="101">
        <v>441152.08333333331</v>
      </c>
      <c r="E52" s="101"/>
      <c r="F52" s="101">
        <v>511152.08333333331</v>
      </c>
      <c r="G52" s="101"/>
      <c r="H52" s="101">
        <v>498173.33333333331</v>
      </c>
      <c r="I52" s="101"/>
      <c r="J52" s="101">
        <f t="shared" si="1"/>
        <v>492328.64583333331</v>
      </c>
    </row>
    <row r="53" spans="1:10" x14ac:dyDescent="0.35">
      <c r="A53" s="10" t="s">
        <v>257</v>
      </c>
      <c r="B53" s="101">
        <v>266.07029914529915</v>
      </c>
      <c r="C53" s="101"/>
      <c r="D53" s="101">
        <v>244.81247687754345</v>
      </c>
      <c r="E53" s="101"/>
      <c r="F53" s="101">
        <v>269.87966385075674</v>
      </c>
      <c r="G53" s="101"/>
      <c r="H53" s="101">
        <v>300.10441767068272</v>
      </c>
      <c r="I53" s="101"/>
      <c r="J53" s="101">
        <f t="shared" si="1"/>
        <v>270.21671438607052</v>
      </c>
    </row>
    <row r="54" spans="1:10" x14ac:dyDescent="0.35">
      <c r="A54" s="10" t="s">
        <v>148</v>
      </c>
      <c r="B54" s="101">
        <v>305.19828431372548</v>
      </c>
      <c r="C54" s="101"/>
      <c r="D54" s="101">
        <v>275.72005208333331</v>
      </c>
      <c r="E54" s="101"/>
      <c r="F54" s="101">
        <v>309.7891414141414</v>
      </c>
      <c r="G54" s="101"/>
      <c r="H54" s="101">
        <v>345.9537037037037</v>
      </c>
      <c r="I54" s="101"/>
      <c r="J54" s="101">
        <f t="shared" si="1"/>
        <v>309.16529537872594</v>
      </c>
    </row>
    <row r="55" spans="1:10" x14ac:dyDescent="0.35">
      <c r="A55" s="10" t="s">
        <v>235</v>
      </c>
      <c r="B55" s="101">
        <v>2075.3483333333334</v>
      </c>
      <c r="C55" s="101"/>
      <c r="D55" s="101">
        <v>2183.921204620462</v>
      </c>
      <c r="E55" s="101"/>
      <c r="F55" s="101">
        <v>2094.8855874316937</v>
      </c>
      <c r="G55" s="101"/>
      <c r="H55" s="101">
        <v>2264.4242424242425</v>
      </c>
      <c r="I55" s="101"/>
      <c r="J55" s="101">
        <f t="shared" si="1"/>
        <v>2154.6448419524327</v>
      </c>
    </row>
  </sheetData>
  <mergeCells count="10">
    <mergeCell ref="B45:J45"/>
    <mergeCell ref="A44:J44"/>
    <mergeCell ref="A1:J1"/>
    <mergeCell ref="A15:J15"/>
    <mergeCell ref="B16:J16"/>
    <mergeCell ref="L1:R1"/>
    <mergeCell ref="M2:O2"/>
    <mergeCell ref="P2:R2"/>
    <mergeCell ref="A29:J29"/>
    <mergeCell ref="B30:J3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3"/>
  <sheetViews>
    <sheetView topLeftCell="J1" workbookViewId="0">
      <selection activeCell="L11" sqref="L11:M11"/>
    </sheetView>
  </sheetViews>
  <sheetFormatPr defaultRowHeight="14.5" x14ac:dyDescent="0.35"/>
  <cols>
    <col min="1" max="1" width="16" customWidth="1"/>
    <col min="2" max="3" width="13.453125" customWidth="1"/>
    <col min="14" max="14" width="6.54296875" customWidth="1"/>
    <col min="15" max="15" width="11.453125" customWidth="1"/>
  </cols>
  <sheetData>
    <row r="1" spans="1:27" ht="15" x14ac:dyDescent="0.35">
      <c r="A1" s="152" t="s">
        <v>61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2"/>
      <c r="O1" s="152" t="s">
        <v>61</v>
      </c>
      <c r="P1" s="152"/>
      <c r="Q1" s="152"/>
      <c r="R1" s="152"/>
      <c r="S1" s="152"/>
      <c r="T1" s="152"/>
      <c r="U1" s="152"/>
      <c r="V1" s="152"/>
      <c r="W1" s="152"/>
      <c r="X1" s="152"/>
      <c r="Y1" s="152"/>
      <c r="Z1" s="152"/>
      <c r="AA1" s="152"/>
    </row>
    <row r="2" spans="1:27" ht="26" x14ac:dyDescent="0.35">
      <c r="A2" s="153" t="s">
        <v>42</v>
      </c>
      <c r="B2" s="17" t="s">
        <v>15</v>
      </c>
      <c r="C2" s="154" t="s">
        <v>16</v>
      </c>
      <c r="D2" s="154" t="s">
        <v>17</v>
      </c>
      <c r="E2" s="155" t="s">
        <v>18</v>
      </c>
      <c r="F2" s="131" t="s">
        <v>19</v>
      </c>
      <c r="G2" s="131"/>
      <c r="H2" s="131"/>
      <c r="I2" s="131"/>
      <c r="J2" s="131"/>
      <c r="K2" s="131"/>
      <c r="L2" s="131"/>
      <c r="M2" s="131"/>
      <c r="O2" s="153" t="s">
        <v>42</v>
      </c>
      <c r="P2" s="17" t="s">
        <v>15</v>
      </c>
      <c r="Q2" s="154" t="s">
        <v>16</v>
      </c>
      <c r="R2" s="154" t="s">
        <v>17</v>
      </c>
      <c r="S2" s="155" t="s">
        <v>18</v>
      </c>
      <c r="T2" s="131" t="s">
        <v>19</v>
      </c>
      <c r="U2" s="131"/>
      <c r="V2" s="131"/>
      <c r="W2" s="131"/>
      <c r="X2" s="131"/>
      <c r="Y2" s="131"/>
      <c r="Z2" s="131"/>
      <c r="AA2" s="131"/>
    </row>
    <row r="3" spans="1:27" ht="91" x14ac:dyDescent="0.35">
      <c r="A3" s="153"/>
      <c r="B3" s="17" t="s">
        <v>20</v>
      </c>
      <c r="C3" s="154"/>
      <c r="D3" s="154"/>
      <c r="E3" s="154"/>
      <c r="F3" s="17" t="s">
        <v>21</v>
      </c>
      <c r="G3" s="17" t="s">
        <v>22</v>
      </c>
      <c r="H3" s="17" t="s">
        <v>23</v>
      </c>
      <c r="I3" s="17" t="s">
        <v>24</v>
      </c>
      <c r="J3" s="17" t="s">
        <v>25</v>
      </c>
      <c r="K3" s="17" t="s">
        <v>26</v>
      </c>
      <c r="L3" s="156" t="s">
        <v>27</v>
      </c>
      <c r="M3" s="157"/>
      <c r="O3" s="153"/>
      <c r="P3" s="17" t="s">
        <v>20</v>
      </c>
      <c r="Q3" s="154"/>
      <c r="R3" s="154"/>
      <c r="S3" s="154"/>
      <c r="T3" s="17" t="s">
        <v>21</v>
      </c>
      <c r="U3" s="17" t="s">
        <v>22</v>
      </c>
      <c r="V3" s="17" t="s">
        <v>23</v>
      </c>
      <c r="W3" s="17" t="s">
        <v>24</v>
      </c>
      <c r="X3" s="17" t="s">
        <v>25</v>
      </c>
      <c r="Y3" s="17" t="s">
        <v>26</v>
      </c>
      <c r="Z3" s="156" t="s">
        <v>27</v>
      </c>
      <c r="AA3" s="157"/>
    </row>
    <row r="4" spans="1:27" x14ac:dyDescent="0.35">
      <c r="A4" s="140" t="s">
        <v>57</v>
      </c>
      <c r="B4" s="141"/>
      <c r="C4" s="141"/>
      <c r="D4" s="141"/>
      <c r="E4" s="141"/>
      <c r="F4" s="141"/>
      <c r="G4" s="141"/>
      <c r="H4" s="141"/>
      <c r="I4" s="141"/>
      <c r="J4" s="141"/>
      <c r="K4" s="141"/>
      <c r="L4" s="141"/>
      <c r="M4" s="142"/>
      <c r="O4" s="140" t="s">
        <v>57</v>
      </c>
      <c r="P4" s="141"/>
      <c r="Q4" s="141"/>
      <c r="R4" s="141"/>
      <c r="S4" s="141"/>
      <c r="T4" s="141"/>
      <c r="U4" s="141"/>
      <c r="V4" s="141"/>
      <c r="W4" s="141"/>
      <c r="X4" s="141"/>
      <c r="Y4" s="141"/>
      <c r="Z4" s="141"/>
      <c r="AA4" s="142"/>
    </row>
    <row r="5" spans="1:27" x14ac:dyDescent="0.35">
      <c r="A5" s="22"/>
      <c r="B5" s="22" t="s">
        <v>40</v>
      </c>
      <c r="C5" s="22"/>
      <c r="D5" s="22"/>
      <c r="E5" s="22"/>
      <c r="F5" s="22"/>
      <c r="G5" s="22"/>
      <c r="H5" s="22"/>
      <c r="I5" s="22"/>
      <c r="J5" s="22"/>
      <c r="K5" s="22"/>
      <c r="L5" s="150">
        <v>0</v>
      </c>
      <c r="M5" s="151"/>
      <c r="O5" s="22"/>
      <c r="P5" s="22" t="s">
        <v>40</v>
      </c>
      <c r="Q5" s="22"/>
      <c r="R5" s="22"/>
      <c r="S5" s="22"/>
      <c r="T5" s="22"/>
      <c r="U5" s="22"/>
      <c r="V5" s="22"/>
      <c r="W5" s="22"/>
      <c r="X5" s="22"/>
      <c r="Y5" s="22"/>
      <c r="Z5" s="150"/>
      <c r="AA5" s="151"/>
    </row>
    <row r="6" spans="1:27" x14ac:dyDescent="0.35">
      <c r="A6" s="143" t="s">
        <v>58</v>
      </c>
      <c r="B6" s="144"/>
      <c r="C6" s="144"/>
      <c r="D6" s="144"/>
      <c r="E6" s="144"/>
      <c r="F6" s="144"/>
      <c r="G6" s="144"/>
      <c r="H6" s="144"/>
      <c r="I6" s="144"/>
      <c r="J6" s="144"/>
      <c r="K6" s="144"/>
      <c r="L6" s="144"/>
      <c r="M6" s="145"/>
      <c r="O6" s="143" t="s">
        <v>58</v>
      </c>
      <c r="P6" s="144"/>
      <c r="Q6" s="144"/>
      <c r="R6" s="144"/>
      <c r="S6" s="144"/>
      <c r="T6" s="144"/>
      <c r="U6" s="144"/>
      <c r="V6" s="144"/>
      <c r="W6" s="144"/>
      <c r="X6" s="144"/>
      <c r="Y6" s="144"/>
      <c r="Z6" s="144"/>
      <c r="AA6" s="145"/>
    </row>
    <row r="7" spans="1:27" x14ac:dyDescent="0.35">
      <c r="A7" s="7"/>
      <c r="B7" s="7" t="s">
        <v>40</v>
      </c>
      <c r="C7" s="7"/>
      <c r="D7" s="7"/>
      <c r="E7" s="7"/>
      <c r="F7" s="7"/>
      <c r="G7" s="7"/>
      <c r="H7" s="7"/>
      <c r="I7" s="7"/>
      <c r="J7" s="7"/>
      <c r="K7" s="7"/>
      <c r="L7" s="138">
        <v>0</v>
      </c>
      <c r="M7" s="139"/>
      <c r="O7" s="7"/>
      <c r="P7" s="7" t="s">
        <v>40</v>
      </c>
      <c r="Q7" s="7"/>
      <c r="R7" s="7"/>
      <c r="S7" s="7"/>
      <c r="T7" s="7"/>
      <c r="U7" s="7"/>
      <c r="V7" s="7"/>
      <c r="W7" s="7"/>
      <c r="X7" s="7"/>
      <c r="Y7" s="7"/>
      <c r="Z7" s="138"/>
      <c r="AA7" s="139"/>
    </row>
    <row r="8" spans="1:27" x14ac:dyDescent="0.35">
      <c r="A8" s="146" t="s">
        <v>62</v>
      </c>
      <c r="B8" s="147"/>
      <c r="C8" s="147"/>
      <c r="D8" s="147"/>
      <c r="E8" s="147"/>
      <c r="F8" s="147"/>
      <c r="G8" s="147"/>
      <c r="H8" s="147"/>
      <c r="I8" s="147"/>
      <c r="J8" s="147"/>
      <c r="K8" s="147"/>
      <c r="L8" s="147"/>
      <c r="M8" s="148"/>
      <c r="O8" s="146" t="s">
        <v>62</v>
      </c>
      <c r="P8" s="147"/>
      <c r="Q8" s="147"/>
      <c r="R8" s="147"/>
      <c r="S8" s="147"/>
      <c r="T8" s="147"/>
      <c r="U8" s="147"/>
      <c r="V8" s="147"/>
      <c r="W8" s="147"/>
      <c r="X8" s="147"/>
      <c r="Y8" s="147"/>
      <c r="Z8" s="147"/>
      <c r="AA8" s="148"/>
    </row>
    <row r="9" spans="1:27" x14ac:dyDescent="0.35">
      <c r="A9" s="7"/>
      <c r="B9" s="7" t="s">
        <v>40</v>
      </c>
      <c r="C9" s="7"/>
      <c r="D9" s="7"/>
      <c r="E9" s="7"/>
      <c r="F9" s="7"/>
      <c r="G9" s="7"/>
      <c r="H9" s="7"/>
      <c r="I9" s="7"/>
      <c r="J9" s="7"/>
      <c r="K9" s="7"/>
      <c r="L9" s="138">
        <v>0</v>
      </c>
      <c r="M9" s="139"/>
      <c r="O9" s="7"/>
      <c r="P9" s="7" t="s">
        <v>40</v>
      </c>
      <c r="Q9" s="7"/>
      <c r="R9" s="7"/>
      <c r="S9" s="7"/>
      <c r="T9" s="7"/>
      <c r="U9" s="7"/>
      <c r="V9" s="7"/>
      <c r="W9" s="7"/>
      <c r="X9" s="7"/>
      <c r="Y9" s="7"/>
      <c r="Z9" s="138"/>
      <c r="AA9" s="139"/>
    </row>
    <row r="10" spans="1:27" x14ac:dyDescent="0.35">
      <c r="A10" s="149" t="s">
        <v>60</v>
      </c>
      <c r="B10" s="147"/>
      <c r="C10" s="147"/>
      <c r="D10" s="147"/>
      <c r="E10" s="147"/>
      <c r="F10" s="147"/>
      <c r="G10" s="147"/>
      <c r="H10" s="147"/>
      <c r="I10" s="147"/>
      <c r="J10" s="147"/>
      <c r="K10" s="147"/>
      <c r="L10" s="147"/>
      <c r="M10" s="148"/>
      <c r="O10" s="149" t="s">
        <v>60</v>
      </c>
      <c r="P10" s="147"/>
      <c r="Q10" s="147"/>
      <c r="R10" s="147"/>
      <c r="S10" s="147"/>
      <c r="T10" s="147"/>
      <c r="U10" s="147"/>
      <c r="V10" s="147"/>
      <c r="W10" s="147"/>
      <c r="X10" s="147"/>
      <c r="Y10" s="147"/>
      <c r="Z10" s="147"/>
      <c r="AA10" s="148"/>
    </row>
    <row r="11" spans="1:27" x14ac:dyDescent="0.35">
      <c r="A11" s="7"/>
      <c r="B11" s="7" t="s">
        <v>40</v>
      </c>
      <c r="C11" s="7"/>
      <c r="D11" s="7"/>
      <c r="E11" s="7"/>
      <c r="F11" s="7"/>
      <c r="G11" s="7"/>
      <c r="H11" s="7"/>
      <c r="I11" s="7"/>
      <c r="J11" s="7"/>
      <c r="K11" s="7"/>
      <c r="L11" s="138">
        <v>0</v>
      </c>
      <c r="M11" s="139"/>
      <c r="O11" s="7"/>
      <c r="P11" s="7" t="s">
        <v>40</v>
      </c>
      <c r="Q11" s="7"/>
      <c r="R11" s="7"/>
      <c r="S11" s="7"/>
      <c r="T11" s="7"/>
      <c r="U11" s="7"/>
      <c r="V11" s="7"/>
      <c r="W11" s="7"/>
      <c r="X11" s="7"/>
      <c r="Y11" s="7"/>
      <c r="Z11" s="138"/>
      <c r="AA11" s="139"/>
    </row>
    <row r="13" spans="1:27" x14ac:dyDescent="0.35">
      <c r="A13" s="27"/>
    </row>
  </sheetData>
  <mergeCells count="30">
    <mergeCell ref="Z9:AA9"/>
    <mergeCell ref="O10:AA10"/>
    <mergeCell ref="Z11:AA11"/>
    <mergeCell ref="O4:AA4"/>
    <mergeCell ref="Z5:AA5"/>
    <mergeCell ref="O6:AA6"/>
    <mergeCell ref="Z7:AA7"/>
    <mergeCell ref="O8:AA8"/>
    <mergeCell ref="A1:M1"/>
    <mergeCell ref="A2:A3"/>
    <mergeCell ref="C2:C3"/>
    <mergeCell ref="D2:D3"/>
    <mergeCell ref="E2:E3"/>
    <mergeCell ref="F2:M2"/>
    <mergeCell ref="L3:M3"/>
    <mergeCell ref="O1:AA1"/>
    <mergeCell ref="O2:O3"/>
    <mergeCell ref="Q2:Q3"/>
    <mergeCell ref="R2:R3"/>
    <mergeCell ref="S2:S3"/>
    <mergeCell ref="T2:AA2"/>
    <mergeCell ref="Z3:AA3"/>
    <mergeCell ref="L11:M11"/>
    <mergeCell ref="A4:M4"/>
    <mergeCell ref="A6:M6"/>
    <mergeCell ref="A8:M8"/>
    <mergeCell ref="A10:M10"/>
    <mergeCell ref="L7:M7"/>
    <mergeCell ref="L9:M9"/>
    <mergeCell ref="L5:M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"/>
  <sheetViews>
    <sheetView workbookViewId="0">
      <selection activeCell="M8" sqref="M8"/>
    </sheetView>
  </sheetViews>
  <sheetFormatPr defaultRowHeight="14.5" x14ac:dyDescent="0.35"/>
  <cols>
    <col min="5" max="5" width="13.453125" customWidth="1"/>
  </cols>
  <sheetData>
    <row r="1" spans="2:11" x14ac:dyDescent="0.35">
      <c r="B1" s="158" t="s">
        <v>134</v>
      </c>
      <c r="C1" s="158"/>
      <c r="D1" s="158"/>
      <c r="E1" s="158"/>
      <c r="H1" s="158" t="s">
        <v>135</v>
      </c>
      <c r="I1" s="158"/>
      <c r="J1" s="158"/>
      <c r="K1" s="158"/>
    </row>
    <row r="2" spans="2:11" x14ac:dyDescent="0.35">
      <c r="B2" t="s">
        <v>131</v>
      </c>
      <c r="C2" t="s">
        <v>132</v>
      </c>
      <c r="D2" t="s">
        <v>133</v>
      </c>
      <c r="E2" t="s">
        <v>60</v>
      </c>
      <c r="H2" t="s">
        <v>131</v>
      </c>
      <c r="I2" t="s">
        <v>132</v>
      </c>
      <c r="J2" t="s">
        <v>133</v>
      </c>
      <c r="K2" t="s">
        <v>60</v>
      </c>
    </row>
  </sheetData>
  <mergeCells count="2">
    <mergeCell ref="B1:E1"/>
    <mergeCell ref="H1:K1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4"/>
  <sheetViews>
    <sheetView workbookViewId="0">
      <selection activeCell="U11" sqref="U11"/>
    </sheetView>
  </sheetViews>
  <sheetFormatPr defaultRowHeight="14.5" x14ac:dyDescent="0.35"/>
  <cols>
    <col min="1" max="1" width="11.453125" customWidth="1"/>
    <col min="2" max="2" width="11" customWidth="1"/>
    <col min="4" max="4" width="16.7265625" customWidth="1"/>
    <col min="6" max="6" width="14.7265625" customWidth="1"/>
    <col min="14" max="14" width="23.54296875" customWidth="1"/>
    <col min="20" max="20" width="9" customWidth="1"/>
    <col min="21" max="21" width="13" customWidth="1"/>
  </cols>
  <sheetData>
    <row r="1" spans="1:28" x14ac:dyDescent="0.35">
      <c r="A1" s="119" t="s">
        <v>261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1"/>
      <c r="P1" s="119" t="s">
        <v>261</v>
      </c>
      <c r="Q1" s="120"/>
      <c r="R1" s="120"/>
      <c r="S1" s="120"/>
      <c r="T1" s="120"/>
      <c r="U1" s="120"/>
      <c r="V1" s="120"/>
      <c r="W1" s="120"/>
      <c r="X1" s="120"/>
      <c r="Y1" s="120"/>
      <c r="Z1" s="120"/>
      <c r="AA1" s="120"/>
      <c r="AB1" s="121"/>
    </row>
    <row r="2" spans="1:28" x14ac:dyDescent="0.35">
      <c r="A2" s="159" t="s">
        <v>3</v>
      </c>
      <c r="B2" s="159" t="s">
        <v>4</v>
      </c>
      <c r="C2" s="161" t="s">
        <v>5</v>
      </c>
      <c r="D2" s="161" t="s">
        <v>152</v>
      </c>
      <c r="E2" s="161" t="s">
        <v>6</v>
      </c>
      <c r="F2" s="159" t="s">
        <v>1</v>
      </c>
      <c r="G2" s="68"/>
      <c r="H2" s="70"/>
      <c r="I2" s="70"/>
      <c r="J2" s="163" t="s">
        <v>153</v>
      </c>
      <c r="K2" s="73"/>
      <c r="L2" s="73"/>
      <c r="M2" s="163" t="s">
        <v>154</v>
      </c>
      <c r="N2" s="163" t="s">
        <v>10</v>
      </c>
      <c r="P2" s="159" t="s">
        <v>3</v>
      </c>
      <c r="Q2" s="159" t="s">
        <v>4</v>
      </c>
      <c r="R2" s="161" t="s">
        <v>5</v>
      </c>
      <c r="S2" s="161" t="s">
        <v>152</v>
      </c>
      <c r="T2" s="161" t="s">
        <v>6</v>
      </c>
      <c r="U2" s="161" t="s">
        <v>1</v>
      </c>
      <c r="V2" s="68"/>
      <c r="W2" s="70"/>
      <c r="X2" s="70"/>
      <c r="Y2" s="163" t="s">
        <v>153</v>
      </c>
      <c r="Z2" s="73"/>
      <c r="AA2" s="73"/>
      <c r="AB2" s="163" t="s">
        <v>154</v>
      </c>
    </row>
    <row r="3" spans="1:28" x14ac:dyDescent="0.35">
      <c r="A3" s="160"/>
      <c r="B3" s="160"/>
      <c r="C3" s="162"/>
      <c r="D3" s="162"/>
      <c r="E3" s="162"/>
      <c r="F3" s="160"/>
      <c r="G3" s="69"/>
      <c r="H3" s="71"/>
      <c r="I3" s="71"/>
      <c r="J3" s="164"/>
      <c r="K3" s="74"/>
      <c r="L3" s="74"/>
      <c r="M3" s="164"/>
      <c r="N3" s="164"/>
      <c r="P3" s="160"/>
      <c r="Q3" s="160"/>
      <c r="R3" s="162"/>
      <c r="S3" s="162"/>
      <c r="T3" s="162"/>
      <c r="U3" s="162"/>
      <c r="V3" s="69"/>
      <c r="W3" s="71"/>
      <c r="X3" s="71"/>
      <c r="Y3" s="164"/>
      <c r="Z3" s="74"/>
      <c r="AA3" s="74"/>
      <c r="AB3" s="164"/>
    </row>
    <row r="4" spans="1:28" ht="65" x14ac:dyDescent="0.35">
      <c r="A4" s="128"/>
      <c r="B4" s="128"/>
      <c r="C4" s="130"/>
      <c r="D4" s="130"/>
      <c r="E4" s="130"/>
      <c r="F4" s="128"/>
      <c r="G4" s="72" t="s">
        <v>155</v>
      </c>
      <c r="H4" s="72" t="s">
        <v>156</v>
      </c>
      <c r="I4" s="72" t="s">
        <v>157</v>
      </c>
      <c r="J4" s="165"/>
      <c r="K4" s="75" t="s">
        <v>158</v>
      </c>
      <c r="L4" s="75" t="s">
        <v>159</v>
      </c>
      <c r="M4" s="165"/>
      <c r="N4" s="165"/>
      <c r="P4" s="128"/>
      <c r="Q4" s="128"/>
      <c r="R4" s="130"/>
      <c r="S4" s="130"/>
      <c r="T4" s="130"/>
      <c r="U4" s="130"/>
      <c r="V4" s="72" t="s">
        <v>155</v>
      </c>
      <c r="W4" s="72" t="s">
        <v>156</v>
      </c>
      <c r="X4" s="72" t="s">
        <v>157</v>
      </c>
      <c r="Y4" s="165"/>
      <c r="Z4" s="75" t="s">
        <v>158</v>
      </c>
      <c r="AA4" s="75" t="s">
        <v>159</v>
      </c>
      <c r="AB4" s="165"/>
    </row>
    <row r="5" spans="1:28" x14ac:dyDescent="0.35">
      <c r="A5" t="s">
        <v>57</v>
      </c>
      <c r="B5" s="7" t="s">
        <v>187</v>
      </c>
      <c r="C5" s="7">
        <v>1</v>
      </c>
      <c r="D5" s="7">
        <v>1</v>
      </c>
      <c r="E5" s="7">
        <v>18000</v>
      </c>
      <c r="F5" s="7">
        <f>E5/30/8</f>
        <v>75</v>
      </c>
      <c r="G5" s="7">
        <f>F5*12</f>
        <v>900</v>
      </c>
      <c r="H5" s="7">
        <v>30</v>
      </c>
      <c r="I5" s="7">
        <f>2*12</f>
        <v>24</v>
      </c>
      <c r="J5" s="7">
        <f>F5/2*24</f>
        <v>900</v>
      </c>
      <c r="K5" s="7">
        <v>305</v>
      </c>
      <c r="L5" s="7">
        <f>K5/8/60*H5*I5</f>
        <v>457.5</v>
      </c>
      <c r="M5" s="94">
        <f>J5+L5</f>
        <v>1357.5</v>
      </c>
      <c r="N5" s="7"/>
      <c r="P5" s="7">
        <v>1</v>
      </c>
      <c r="Q5" s="7" t="s">
        <v>187</v>
      </c>
      <c r="R5" s="7">
        <v>1</v>
      </c>
      <c r="S5" s="7">
        <v>1</v>
      </c>
      <c r="T5" s="7">
        <v>18000</v>
      </c>
      <c r="U5" s="7">
        <f>T5/30/8</f>
        <v>75</v>
      </c>
      <c r="V5" s="94">
        <f>U5*S5*12</f>
        <v>900</v>
      </c>
      <c r="W5" s="7">
        <v>30</v>
      </c>
      <c r="X5" s="7">
        <f>2*12</f>
        <v>24</v>
      </c>
      <c r="Y5" s="7">
        <f>U5/2*X5</f>
        <v>900</v>
      </c>
      <c r="Z5" s="7">
        <v>305</v>
      </c>
      <c r="AA5" s="7">
        <f>Z5/8/60*W5*X5</f>
        <v>457.5</v>
      </c>
      <c r="AB5" s="94">
        <f>Y5+AA5</f>
        <v>1357.5</v>
      </c>
    </row>
    <row r="6" spans="1:28" x14ac:dyDescent="0.35">
      <c r="A6" t="s">
        <v>58</v>
      </c>
      <c r="B6" s="7" t="s">
        <v>187</v>
      </c>
      <c r="C6" s="7">
        <v>1</v>
      </c>
      <c r="D6" s="7">
        <v>5</v>
      </c>
      <c r="E6" s="7">
        <v>17500</v>
      </c>
      <c r="F6" s="82">
        <f t="shared" ref="F6:F8" si="0">E6/30/8</f>
        <v>72.916666666666671</v>
      </c>
      <c r="G6" s="7">
        <f>F6*D6*12</f>
        <v>4375</v>
      </c>
      <c r="H6" s="7">
        <v>30</v>
      </c>
      <c r="I6" s="7">
        <v>24</v>
      </c>
      <c r="J6" s="7">
        <f>F6/2*24</f>
        <v>875</v>
      </c>
      <c r="K6" s="7">
        <v>352.5</v>
      </c>
      <c r="L6" s="7">
        <f t="shared" ref="L6:L8" si="1">K6/8/60*H6*I6</f>
        <v>528.75</v>
      </c>
      <c r="M6" s="94">
        <f t="shared" ref="M6:M8" si="2">J6+L6</f>
        <v>1403.75</v>
      </c>
      <c r="N6" s="7"/>
      <c r="P6" s="7">
        <v>2</v>
      </c>
      <c r="Q6" s="7" t="s">
        <v>187</v>
      </c>
      <c r="R6" s="7">
        <v>1</v>
      </c>
      <c r="S6" s="7">
        <v>5</v>
      </c>
      <c r="T6">
        <v>18937.5</v>
      </c>
      <c r="U6" s="7">
        <f t="shared" ref="U6:U8" si="3">T6/30/8</f>
        <v>78.90625</v>
      </c>
      <c r="V6" s="94">
        <f t="shared" ref="V6:V8" si="4">U6*S6*12</f>
        <v>4734.375</v>
      </c>
      <c r="W6" s="7">
        <v>30</v>
      </c>
      <c r="X6" s="7">
        <v>24</v>
      </c>
      <c r="Y6" s="7">
        <f t="shared" ref="Y6:Y8" si="5">U6/2*X6</f>
        <v>946.875</v>
      </c>
      <c r="Z6" s="7">
        <v>352.5</v>
      </c>
      <c r="AA6" s="7">
        <f t="shared" ref="AA6:AA8" si="6">Z6/8/60*W6*X6</f>
        <v>528.75</v>
      </c>
      <c r="AB6" s="94">
        <f t="shared" ref="AB6:AB8" si="7">Y6+AA6</f>
        <v>1475.625</v>
      </c>
    </row>
    <row r="7" spans="1:28" x14ac:dyDescent="0.35">
      <c r="A7" t="s">
        <v>175</v>
      </c>
      <c r="B7" s="7" t="s">
        <v>187</v>
      </c>
      <c r="C7" s="7">
        <v>1</v>
      </c>
      <c r="D7" s="7">
        <v>5</v>
      </c>
      <c r="E7" s="7">
        <v>17500</v>
      </c>
      <c r="F7" s="82">
        <f t="shared" si="0"/>
        <v>72.916666666666671</v>
      </c>
      <c r="G7" s="7">
        <f t="shared" ref="G7:G8" si="8">F7*D7*12</f>
        <v>4375</v>
      </c>
      <c r="H7" s="7">
        <v>30</v>
      </c>
      <c r="I7" s="7">
        <v>24</v>
      </c>
      <c r="J7" s="7">
        <f t="shared" ref="J7:J8" si="9">F7/2*24</f>
        <v>875</v>
      </c>
      <c r="K7" s="7">
        <f>K5</f>
        <v>305</v>
      </c>
      <c r="L7" s="7">
        <f t="shared" si="1"/>
        <v>457.5</v>
      </c>
      <c r="M7" s="94">
        <f t="shared" si="2"/>
        <v>1332.5</v>
      </c>
      <c r="N7" s="7"/>
      <c r="P7" s="7">
        <v>3</v>
      </c>
      <c r="Q7" s="7" t="s">
        <v>187</v>
      </c>
      <c r="R7" s="7">
        <v>1</v>
      </c>
      <c r="S7" s="7">
        <v>5</v>
      </c>
      <c r="T7" s="7">
        <v>18937.5</v>
      </c>
      <c r="U7" s="7">
        <f t="shared" si="3"/>
        <v>78.90625</v>
      </c>
      <c r="V7" s="94">
        <f t="shared" si="4"/>
        <v>4734.375</v>
      </c>
      <c r="W7" s="7">
        <v>30</v>
      </c>
      <c r="X7" s="7">
        <v>24</v>
      </c>
      <c r="Y7" s="7">
        <f t="shared" si="5"/>
        <v>946.875</v>
      </c>
      <c r="Z7" s="7">
        <v>305</v>
      </c>
      <c r="AA7" s="7">
        <f t="shared" si="6"/>
        <v>457.5</v>
      </c>
      <c r="AB7" s="94">
        <f t="shared" si="7"/>
        <v>1404.375</v>
      </c>
    </row>
    <row r="8" spans="1:28" x14ac:dyDescent="0.35">
      <c r="A8" t="s">
        <v>60</v>
      </c>
      <c r="B8" s="7" t="s">
        <v>187</v>
      </c>
      <c r="C8" s="7">
        <v>1</v>
      </c>
      <c r="D8" s="7">
        <v>5</v>
      </c>
      <c r="E8" s="7">
        <v>17000</v>
      </c>
      <c r="F8" s="82">
        <f t="shared" si="0"/>
        <v>70.833333333333329</v>
      </c>
      <c r="G8" s="7">
        <f t="shared" si="8"/>
        <v>4250</v>
      </c>
      <c r="H8" s="7">
        <v>30</v>
      </c>
      <c r="I8" s="7">
        <f>12*2</f>
        <v>24</v>
      </c>
      <c r="J8" s="7">
        <f t="shared" si="9"/>
        <v>850</v>
      </c>
      <c r="K8" s="7">
        <v>400</v>
      </c>
      <c r="L8" s="7">
        <f t="shared" si="1"/>
        <v>600</v>
      </c>
      <c r="M8" s="94">
        <f t="shared" si="2"/>
        <v>1450</v>
      </c>
      <c r="N8" s="7"/>
      <c r="P8" s="7">
        <v>4</v>
      </c>
      <c r="Q8" s="7" t="s">
        <v>187</v>
      </c>
      <c r="R8" s="7">
        <v>1</v>
      </c>
      <c r="S8" s="7">
        <v>5</v>
      </c>
      <c r="T8" s="7">
        <v>19875</v>
      </c>
      <c r="U8" s="7">
        <f t="shared" si="3"/>
        <v>82.8125</v>
      </c>
      <c r="V8" s="94">
        <f t="shared" si="4"/>
        <v>4968.75</v>
      </c>
      <c r="W8" s="7">
        <v>30</v>
      </c>
      <c r="X8" s="7">
        <f>12*2</f>
        <v>24</v>
      </c>
      <c r="Y8" s="7">
        <f t="shared" si="5"/>
        <v>993.75</v>
      </c>
      <c r="Z8" s="7">
        <v>400</v>
      </c>
      <c r="AA8" s="7">
        <f t="shared" si="6"/>
        <v>600</v>
      </c>
      <c r="AB8" s="94">
        <f t="shared" si="7"/>
        <v>1593.75</v>
      </c>
    </row>
    <row r="10" spans="1:28" x14ac:dyDescent="0.35">
      <c r="I10">
        <v>900</v>
      </c>
      <c r="L10">
        <v>1357.5</v>
      </c>
    </row>
    <row r="11" spans="1:28" x14ac:dyDescent="0.35">
      <c r="I11">
        <v>4375</v>
      </c>
      <c r="L11">
        <v>1403.75</v>
      </c>
      <c r="V11">
        <v>900</v>
      </c>
      <c r="AA11">
        <v>1357.5</v>
      </c>
    </row>
    <row r="12" spans="1:28" x14ac:dyDescent="0.35">
      <c r="I12">
        <v>4375</v>
      </c>
      <c r="L12">
        <v>1332.5</v>
      </c>
      <c r="V12">
        <v>4734.375</v>
      </c>
      <c r="AA12">
        <v>1475.625</v>
      </c>
    </row>
    <row r="13" spans="1:28" x14ac:dyDescent="0.35">
      <c r="I13">
        <v>4250</v>
      </c>
      <c r="L13">
        <v>1450</v>
      </c>
      <c r="V13">
        <v>4734.375</v>
      </c>
      <c r="AA13">
        <v>1404.375</v>
      </c>
    </row>
    <row r="14" spans="1:28" x14ac:dyDescent="0.35">
      <c r="V14">
        <v>4968.75</v>
      </c>
      <c r="AA14">
        <v>1593.75</v>
      </c>
    </row>
  </sheetData>
  <mergeCells count="19">
    <mergeCell ref="F2:F4"/>
    <mergeCell ref="J2:J4"/>
    <mergeCell ref="M2:M4"/>
    <mergeCell ref="A1:N1"/>
    <mergeCell ref="N2:N4"/>
    <mergeCell ref="A2:A4"/>
    <mergeCell ref="B2:B4"/>
    <mergeCell ref="C2:C4"/>
    <mergeCell ref="D2:D4"/>
    <mergeCell ref="E2:E4"/>
    <mergeCell ref="P1:AB1"/>
    <mergeCell ref="P2:P4"/>
    <mergeCell ref="Q2:Q4"/>
    <mergeCell ref="R2:R4"/>
    <mergeCell ref="S2:S4"/>
    <mergeCell ref="T2:T4"/>
    <mergeCell ref="U2:U4"/>
    <mergeCell ref="Y2:Y4"/>
    <mergeCell ref="AB2:AB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2"/>
  <sheetViews>
    <sheetView tabSelected="1" zoomScale="64" zoomScaleNormal="64" workbookViewId="0">
      <selection activeCell="C14" sqref="C14"/>
    </sheetView>
  </sheetViews>
  <sheetFormatPr defaultRowHeight="14.5" x14ac:dyDescent="0.35"/>
  <cols>
    <col min="2" max="2" width="21.7265625" customWidth="1"/>
    <col min="3" max="3" width="17" customWidth="1"/>
    <col min="4" max="4" width="15.7265625" customWidth="1"/>
    <col min="5" max="5" width="13.81640625" customWidth="1"/>
    <col min="6" max="6" width="16.81640625" customWidth="1"/>
    <col min="7" max="7" width="13.26953125" customWidth="1"/>
    <col min="8" max="8" width="18.1796875" customWidth="1"/>
    <col min="9" max="9" width="22.1796875" customWidth="1"/>
    <col min="12" max="12" width="24.453125" customWidth="1"/>
    <col min="19" max="19" width="14.54296875" customWidth="1"/>
    <col min="25" max="25" width="13.1796875" customWidth="1"/>
  </cols>
  <sheetData>
    <row r="1" spans="1:31" x14ac:dyDescent="0.35">
      <c r="A1" s="119" t="s">
        <v>53</v>
      </c>
      <c r="B1" s="120"/>
      <c r="C1" s="120"/>
      <c r="D1" s="120"/>
      <c r="E1" s="120"/>
      <c r="F1" s="120"/>
      <c r="G1" s="120"/>
      <c r="H1" s="120"/>
      <c r="I1" s="121"/>
      <c r="K1" s="119" t="s">
        <v>54</v>
      </c>
      <c r="L1" s="120"/>
      <c r="M1" s="120"/>
      <c r="N1" s="120"/>
      <c r="O1" s="120"/>
      <c r="P1" s="120"/>
      <c r="Q1" s="120"/>
      <c r="R1" s="120"/>
      <c r="S1" s="121"/>
    </row>
    <row r="2" spans="1:31" x14ac:dyDescent="0.35">
      <c r="A2" s="159" t="s">
        <v>3</v>
      </c>
      <c r="B2" s="159" t="s">
        <v>4</v>
      </c>
      <c r="C2" s="161" t="s">
        <v>5</v>
      </c>
      <c r="D2" s="161" t="s">
        <v>47</v>
      </c>
      <c r="E2" s="161" t="s">
        <v>6</v>
      </c>
      <c r="F2" s="159" t="s">
        <v>0</v>
      </c>
      <c r="G2" s="161" t="s">
        <v>1</v>
      </c>
      <c r="H2" s="163" t="s">
        <v>220</v>
      </c>
      <c r="I2" s="163" t="s">
        <v>52</v>
      </c>
      <c r="K2" s="159" t="s">
        <v>3</v>
      </c>
      <c r="L2" s="159" t="s">
        <v>4</v>
      </c>
      <c r="M2" s="161" t="s">
        <v>5</v>
      </c>
      <c r="N2" s="161" t="s">
        <v>47</v>
      </c>
      <c r="O2" s="161" t="s">
        <v>6</v>
      </c>
      <c r="P2" s="159" t="s">
        <v>0</v>
      </c>
      <c r="Q2" s="161" t="s">
        <v>1</v>
      </c>
      <c r="R2" s="163" t="s">
        <v>2</v>
      </c>
      <c r="S2" s="163" t="s">
        <v>52</v>
      </c>
    </row>
    <row r="3" spans="1:31" ht="36" customHeight="1" x14ac:dyDescent="0.35">
      <c r="A3" s="160"/>
      <c r="B3" s="160"/>
      <c r="C3" s="162"/>
      <c r="D3" s="162"/>
      <c r="E3" s="162"/>
      <c r="F3" s="160"/>
      <c r="G3" s="162"/>
      <c r="H3" s="164"/>
      <c r="I3" s="164"/>
      <c r="K3" s="160"/>
      <c r="L3" s="160"/>
      <c r="M3" s="162"/>
      <c r="N3" s="162"/>
      <c r="O3" s="162"/>
      <c r="P3" s="160"/>
      <c r="Q3" s="162"/>
      <c r="R3" s="164"/>
      <c r="S3" s="164"/>
    </row>
    <row r="4" spans="1:31" ht="49.5" customHeight="1" x14ac:dyDescent="0.35">
      <c r="A4" s="128"/>
      <c r="B4" s="128"/>
      <c r="C4" s="130"/>
      <c r="D4" s="130"/>
      <c r="E4" s="130"/>
      <c r="F4" s="128"/>
      <c r="G4" s="130"/>
      <c r="H4" s="165"/>
      <c r="I4" s="165"/>
      <c r="K4" s="128"/>
      <c r="L4" s="128"/>
      <c r="M4" s="130"/>
      <c r="N4" s="130"/>
      <c r="O4" s="130"/>
      <c r="P4" s="128"/>
      <c r="Q4" s="130"/>
      <c r="R4" s="165"/>
      <c r="S4" s="165"/>
    </row>
    <row r="5" spans="1:31" x14ac:dyDescent="0.35">
      <c r="A5" s="168" t="s">
        <v>55</v>
      </c>
      <c r="B5" s="169"/>
      <c r="C5" s="169"/>
      <c r="D5" s="169"/>
      <c r="E5" s="169"/>
      <c r="F5" s="169"/>
      <c r="G5" s="169"/>
      <c r="H5" s="169"/>
      <c r="I5" s="170"/>
      <c r="K5" s="168" t="s">
        <v>55</v>
      </c>
      <c r="L5" s="169"/>
      <c r="M5" s="169"/>
      <c r="N5" s="169"/>
      <c r="O5" s="169"/>
      <c r="P5" s="169"/>
      <c r="Q5" s="169"/>
      <c r="R5" s="169"/>
      <c r="S5" s="170"/>
    </row>
    <row r="6" spans="1:31" ht="22.5" customHeight="1" x14ac:dyDescent="0.35">
      <c r="A6" s="26">
        <v>1</v>
      </c>
      <c r="B6" s="12" t="s">
        <v>7</v>
      </c>
      <c r="C6" s="12">
        <v>4</v>
      </c>
      <c r="D6" s="11">
        <v>4</v>
      </c>
      <c r="E6" s="13" t="s">
        <v>190</v>
      </c>
      <c r="F6" s="4"/>
      <c r="G6" s="4"/>
      <c r="H6" s="4"/>
      <c r="I6" s="4">
        <f>U7</f>
        <v>72127.199999999997</v>
      </c>
      <c r="K6" s="26">
        <v>1</v>
      </c>
      <c r="L6" s="12" t="s">
        <v>7</v>
      </c>
      <c r="M6" s="12">
        <v>4</v>
      </c>
      <c r="N6" s="11">
        <v>4</v>
      </c>
      <c r="O6" s="13" t="s">
        <v>191</v>
      </c>
      <c r="P6" s="4"/>
      <c r="Q6" s="4"/>
      <c r="R6" s="4"/>
      <c r="S6" s="4">
        <f>V7</f>
        <v>66066.666666666701</v>
      </c>
    </row>
    <row r="7" spans="1:31" x14ac:dyDescent="0.35">
      <c r="A7" s="5">
        <v>2</v>
      </c>
      <c r="B7" s="2" t="s">
        <v>48</v>
      </c>
      <c r="C7" s="2"/>
      <c r="D7" s="3"/>
      <c r="E7" s="4"/>
      <c r="F7" s="4"/>
      <c r="G7" s="4"/>
      <c r="H7" s="4"/>
      <c r="I7" s="4">
        <v>0</v>
      </c>
      <c r="K7" s="5">
        <v>2</v>
      </c>
      <c r="L7" s="2" t="s">
        <v>48</v>
      </c>
      <c r="M7" s="2"/>
      <c r="N7" s="3"/>
      <c r="O7" s="4"/>
      <c r="P7" s="4"/>
      <c r="Q7" s="4"/>
      <c r="R7" s="4"/>
      <c r="S7" s="4">
        <v>0</v>
      </c>
      <c r="U7">
        <v>72127.199999999997</v>
      </c>
      <c r="V7">
        <v>66066.666666666701</v>
      </c>
      <c r="X7" t="s">
        <v>216</v>
      </c>
      <c r="Y7" t="s">
        <v>217</v>
      </c>
      <c r="Z7" t="s">
        <v>218</v>
      </c>
      <c r="AA7" t="s">
        <v>219</v>
      </c>
    </row>
    <row r="8" spans="1:31" x14ac:dyDescent="0.35">
      <c r="A8" s="5">
        <v>3</v>
      </c>
      <c r="B8" s="2" t="s">
        <v>8</v>
      </c>
      <c r="C8" s="2">
        <v>6</v>
      </c>
      <c r="D8" s="3">
        <v>9</v>
      </c>
      <c r="E8" s="2">
        <v>7850</v>
      </c>
      <c r="F8" s="4"/>
      <c r="G8" s="4">
        <f>E8/30/8</f>
        <v>32.708333333333336</v>
      </c>
      <c r="H8" s="4">
        <f>G8*D8*C8*12</f>
        <v>21195</v>
      </c>
      <c r="I8" s="4">
        <f>H8</f>
        <v>21195</v>
      </c>
      <c r="K8" s="5">
        <v>3</v>
      </c>
      <c r="L8" s="2" t="s">
        <v>8</v>
      </c>
      <c r="M8" s="2">
        <v>6</v>
      </c>
      <c r="N8" s="3">
        <v>9</v>
      </c>
      <c r="O8" s="2">
        <v>8475</v>
      </c>
      <c r="P8" s="4"/>
      <c r="Q8" s="4">
        <f>O8/30/8</f>
        <v>35.3125</v>
      </c>
      <c r="R8" s="4"/>
      <c r="S8" s="4">
        <f>Q8*9*6*12</f>
        <v>22882.5</v>
      </c>
      <c r="U8">
        <v>42127.199999999997</v>
      </c>
      <c r="V8">
        <v>50200</v>
      </c>
      <c r="X8">
        <v>80000</v>
      </c>
      <c r="Y8">
        <v>90000</v>
      </c>
      <c r="Z8">
        <v>90000</v>
      </c>
      <c r="AA8">
        <f>AB8</f>
        <v>70333.333333333328</v>
      </c>
      <c r="AB8">
        <f>(X8+X9+X10+X11+Y8+Y10+Y11+Z8+Z10)/9</f>
        <v>70333.333333333328</v>
      </c>
    </row>
    <row r="9" spans="1:31" x14ac:dyDescent="0.35">
      <c r="A9" s="5">
        <v>4</v>
      </c>
      <c r="B9" s="2" t="s">
        <v>188</v>
      </c>
      <c r="C9" s="2">
        <v>12</v>
      </c>
      <c r="D9" s="3">
        <v>4</v>
      </c>
      <c r="E9" s="2"/>
      <c r="F9" s="4"/>
      <c r="G9" s="4"/>
      <c r="H9" s="4"/>
      <c r="I9" s="4">
        <v>117600</v>
      </c>
      <c r="K9" s="5">
        <v>4</v>
      </c>
      <c r="L9" s="2" t="s">
        <v>188</v>
      </c>
      <c r="M9" s="2">
        <v>12</v>
      </c>
      <c r="N9" s="3">
        <v>4</v>
      </c>
      <c r="O9" s="2"/>
      <c r="P9" s="4"/>
      <c r="Q9" s="4"/>
      <c r="R9" s="4"/>
      <c r="S9" s="4">
        <v>123032</v>
      </c>
      <c r="U9">
        <v>63000</v>
      </c>
      <c r="V9">
        <v>56066.666666666664</v>
      </c>
      <c r="X9">
        <v>40000</v>
      </c>
      <c r="Y9">
        <f>AB8</f>
        <v>70333.333333333328</v>
      </c>
      <c r="Z9">
        <f>AB8</f>
        <v>70333.333333333328</v>
      </c>
      <c r="AA9">
        <f>AB8</f>
        <v>70333.333333333328</v>
      </c>
    </row>
    <row r="10" spans="1:31" x14ac:dyDescent="0.35">
      <c r="A10" s="5">
        <v>5</v>
      </c>
      <c r="B10" s="2" t="s">
        <v>189</v>
      </c>
      <c r="C10" s="2">
        <v>2</v>
      </c>
      <c r="D10" s="3">
        <v>4</v>
      </c>
      <c r="E10" s="2"/>
      <c r="F10" s="4"/>
      <c r="G10" s="4"/>
      <c r="H10" s="4"/>
      <c r="I10" s="4">
        <v>6800</v>
      </c>
      <c r="K10" s="5">
        <v>5</v>
      </c>
      <c r="L10" s="2" t="s">
        <v>189</v>
      </c>
      <c r="M10" s="2">
        <v>2</v>
      </c>
      <c r="N10" s="3">
        <v>4</v>
      </c>
      <c r="O10" s="2"/>
      <c r="P10" s="4"/>
      <c r="Q10" s="4"/>
      <c r="R10" s="4"/>
      <c r="S10" s="4">
        <v>7600</v>
      </c>
      <c r="U10">
        <v>64654.399999999994</v>
      </c>
      <c r="V10">
        <v>52733.333333333299</v>
      </c>
      <c r="X10">
        <v>70000</v>
      </c>
      <c r="Y10">
        <v>70000</v>
      </c>
      <c r="Z10">
        <v>70000</v>
      </c>
      <c r="AA10">
        <f>AB8</f>
        <v>70333.333333333328</v>
      </c>
    </row>
    <row r="11" spans="1:31" ht="15" customHeight="1" x14ac:dyDescent="0.35">
      <c r="A11" s="166" t="s">
        <v>9</v>
      </c>
      <c r="B11" s="174"/>
      <c r="C11" s="174"/>
      <c r="D11" s="174"/>
      <c r="E11" s="174"/>
      <c r="F11" s="174"/>
      <c r="G11" s="174"/>
      <c r="H11" s="167"/>
      <c r="I11" s="10">
        <f>SUM(I6:I10)</f>
        <v>217722.2</v>
      </c>
      <c r="K11" s="166" t="s">
        <v>9</v>
      </c>
      <c r="L11" s="167"/>
      <c r="M11" s="4"/>
      <c r="N11" s="4"/>
      <c r="O11" s="4"/>
      <c r="P11" s="4"/>
      <c r="Q11" s="4"/>
      <c r="R11" s="4"/>
      <c r="S11" s="10">
        <f>SUM(S6:S10)</f>
        <v>219581.16666666669</v>
      </c>
      <c r="X11">
        <v>78000</v>
      </c>
      <c r="Y11">
        <v>45000</v>
      </c>
      <c r="Z11">
        <f>AB8</f>
        <v>70333.333333333328</v>
      </c>
      <c r="AA11">
        <f>AB8</f>
        <v>70333.333333333328</v>
      </c>
    </row>
    <row r="12" spans="1:31" ht="15" customHeight="1" x14ac:dyDescent="0.35">
      <c r="A12" s="32" t="s">
        <v>49</v>
      </c>
      <c r="B12" s="33"/>
      <c r="C12" s="33"/>
      <c r="D12" s="33"/>
      <c r="E12" s="33"/>
      <c r="F12" s="33"/>
      <c r="G12" s="33"/>
      <c r="H12" s="33"/>
      <c r="I12" s="34"/>
      <c r="K12" s="32" t="s">
        <v>49</v>
      </c>
      <c r="L12" s="33"/>
      <c r="M12" s="33"/>
      <c r="N12" s="33"/>
      <c r="O12" s="33"/>
      <c r="P12" s="33"/>
      <c r="Q12" s="33"/>
      <c r="R12" s="33"/>
      <c r="S12" s="34"/>
      <c r="AC12">
        <f>SUM(X8:AA8)</f>
        <v>330333.33333333331</v>
      </c>
      <c r="AD12">
        <f>AC12/30/8</f>
        <v>1376.3888888888889</v>
      </c>
      <c r="AE12">
        <f>AD12*4</f>
        <v>5505.5555555555557</v>
      </c>
    </row>
    <row r="13" spans="1:31" x14ac:dyDescent="0.35">
      <c r="A13" s="26">
        <v>1</v>
      </c>
      <c r="B13" s="12" t="s">
        <v>7</v>
      </c>
      <c r="C13" s="6">
        <v>3</v>
      </c>
      <c r="D13" s="2">
        <v>4</v>
      </c>
      <c r="E13" s="2" t="s">
        <v>202</v>
      </c>
      <c r="F13" s="4"/>
      <c r="G13" s="4"/>
      <c r="H13" s="4"/>
      <c r="I13" s="4">
        <f>U8</f>
        <v>42127.199999999997</v>
      </c>
      <c r="K13" s="26">
        <v>1</v>
      </c>
      <c r="L13" s="12" t="s">
        <v>7</v>
      </c>
      <c r="M13" s="6">
        <v>4</v>
      </c>
      <c r="N13" s="2">
        <v>4</v>
      </c>
      <c r="O13" s="2" t="s">
        <v>201</v>
      </c>
      <c r="P13" s="4"/>
      <c r="Q13" s="4"/>
      <c r="R13" s="4"/>
      <c r="S13" s="4">
        <f>V8</f>
        <v>50200</v>
      </c>
      <c r="AE13">
        <f>AE12*12</f>
        <v>66066.666666666672</v>
      </c>
    </row>
    <row r="14" spans="1:31" x14ac:dyDescent="0.35">
      <c r="A14" s="5">
        <v>2</v>
      </c>
      <c r="B14" s="2" t="s">
        <v>48</v>
      </c>
      <c r="C14" s="6">
        <v>0</v>
      </c>
      <c r="D14" s="2"/>
      <c r="E14" s="2"/>
      <c r="F14" s="4"/>
      <c r="G14" s="4"/>
      <c r="H14" s="4"/>
      <c r="I14" s="4">
        <v>0</v>
      </c>
      <c r="K14" s="5">
        <v>2</v>
      </c>
      <c r="L14" s="2" t="s">
        <v>48</v>
      </c>
      <c r="M14" s="6"/>
      <c r="N14" s="2"/>
      <c r="O14" s="2"/>
      <c r="P14" s="4"/>
      <c r="Q14" s="4"/>
      <c r="R14" s="4"/>
      <c r="S14" s="4">
        <v>0</v>
      </c>
      <c r="U14">
        <f>S11</f>
        <v>219581.16666666669</v>
      </c>
      <c r="V14">
        <f>S18</f>
        <v>115461.25</v>
      </c>
      <c r="W14">
        <f>S25</f>
        <v>152637.66666666666</v>
      </c>
      <c r="X14">
        <f>S32</f>
        <v>175035.83333333331</v>
      </c>
    </row>
    <row r="15" spans="1:31" x14ac:dyDescent="0.35">
      <c r="A15" s="5">
        <v>3</v>
      </c>
      <c r="B15" s="2" t="s">
        <v>8</v>
      </c>
      <c r="C15" s="6">
        <v>3</v>
      </c>
      <c r="D15" s="2">
        <v>9</v>
      </c>
      <c r="E15" s="2">
        <v>7850</v>
      </c>
      <c r="F15" s="4"/>
      <c r="G15" s="4"/>
      <c r="H15" s="4"/>
      <c r="I15" s="4">
        <f>G8*9*3*12</f>
        <v>10597.5</v>
      </c>
      <c r="K15" s="5">
        <v>3</v>
      </c>
      <c r="L15" s="2" t="s">
        <v>8</v>
      </c>
      <c r="M15" s="6">
        <v>3</v>
      </c>
      <c r="N15" s="2">
        <v>9</v>
      </c>
      <c r="O15" s="2">
        <v>8475</v>
      </c>
      <c r="P15" s="4"/>
      <c r="Q15" s="4"/>
      <c r="R15" s="4"/>
      <c r="S15" s="4">
        <f>Q8*9*3*12</f>
        <v>11441.25</v>
      </c>
      <c r="Z15">
        <f>SUM(X11:AA11)</f>
        <v>263666.66666666663</v>
      </c>
    </row>
    <row r="16" spans="1:31" x14ac:dyDescent="0.35">
      <c r="A16" s="5">
        <v>4</v>
      </c>
      <c r="B16" s="2" t="s">
        <v>188</v>
      </c>
      <c r="C16" s="6">
        <v>5</v>
      </c>
      <c r="D16" s="2">
        <v>4</v>
      </c>
      <c r="E16" s="2"/>
      <c r="F16" s="4"/>
      <c r="G16" s="4"/>
      <c r="H16" s="4"/>
      <c r="I16" s="4">
        <v>47800</v>
      </c>
      <c r="K16" s="5">
        <v>4</v>
      </c>
      <c r="L16" s="2" t="s">
        <v>188</v>
      </c>
      <c r="M16" s="6">
        <v>5</v>
      </c>
      <c r="N16" s="2">
        <v>4</v>
      </c>
      <c r="O16" s="2"/>
      <c r="P16" s="4"/>
      <c r="Q16" s="4"/>
      <c r="R16" s="4"/>
      <c r="S16" s="4">
        <v>47800</v>
      </c>
    </row>
    <row r="17" spans="1:26" x14ac:dyDescent="0.35">
      <c r="A17" s="5">
        <v>5</v>
      </c>
      <c r="B17" s="2" t="s">
        <v>189</v>
      </c>
      <c r="C17" s="6">
        <v>2</v>
      </c>
      <c r="D17" s="2">
        <v>4</v>
      </c>
      <c r="E17" s="2"/>
      <c r="F17" s="4"/>
      <c r="G17" s="4"/>
      <c r="H17" s="4"/>
      <c r="I17" s="4">
        <v>6020</v>
      </c>
      <c r="K17" s="5">
        <v>5</v>
      </c>
      <c r="L17" s="2" t="s">
        <v>189</v>
      </c>
      <c r="M17" s="6">
        <v>2</v>
      </c>
      <c r="N17" s="2">
        <v>4</v>
      </c>
      <c r="O17" s="2"/>
      <c r="P17" s="4"/>
      <c r="Q17" s="4"/>
      <c r="R17" s="4"/>
      <c r="S17" s="4">
        <v>6020</v>
      </c>
    </row>
    <row r="18" spans="1:26" x14ac:dyDescent="0.35">
      <c r="A18" s="171" t="s">
        <v>9</v>
      </c>
      <c r="B18" s="172"/>
      <c r="C18" s="172"/>
      <c r="D18" s="172"/>
      <c r="E18" s="172"/>
      <c r="F18" s="172"/>
      <c r="G18" s="172"/>
      <c r="H18" s="173"/>
      <c r="I18" s="10">
        <f>SUM(I13:I17)</f>
        <v>106544.7</v>
      </c>
      <c r="K18" s="5"/>
      <c r="L18" s="6"/>
      <c r="M18" s="7"/>
      <c r="N18" s="7"/>
      <c r="O18" s="7"/>
      <c r="P18" s="4"/>
      <c r="Q18" s="4"/>
      <c r="R18" s="4"/>
      <c r="S18" s="10">
        <f>SUM(S13:S17)</f>
        <v>115461.25</v>
      </c>
      <c r="Z18">
        <f>Z15/30/8*4*12</f>
        <v>52733.333333333321</v>
      </c>
    </row>
    <row r="19" spans="1:26" x14ac:dyDescent="0.35">
      <c r="A19" s="32" t="s">
        <v>50</v>
      </c>
      <c r="B19" s="33"/>
      <c r="C19" s="33"/>
      <c r="D19" s="33"/>
      <c r="E19" s="33"/>
      <c r="F19" s="33"/>
      <c r="G19" s="33"/>
      <c r="H19" s="33"/>
      <c r="I19" s="34"/>
      <c r="K19" s="32" t="s">
        <v>50</v>
      </c>
      <c r="L19" s="33"/>
      <c r="M19" s="33"/>
      <c r="N19" s="33"/>
      <c r="O19" s="33"/>
      <c r="P19" s="33"/>
      <c r="Q19" s="33"/>
      <c r="R19" s="33"/>
      <c r="S19" s="34"/>
    </row>
    <row r="20" spans="1:26" x14ac:dyDescent="0.35">
      <c r="A20" s="26">
        <v>1</v>
      </c>
      <c r="B20" s="12" t="s">
        <v>7</v>
      </c>
      <c r="C20" s="6">
        <v>4</v>
      </c>
      <c r="D20">
        <v>1</v>
      </c>
      <c r="E20" s="2" t="s">
        <v>205</v>
      </c>
      <c r="F20" s="4"/>
      <c r="G20" s="4"/>
      <c r="H20" s="4"/>
      <c r="I20" s="4">
        <v>15750</v>
      </c>
      <c r="K20" s="26">
        <v>1</v>
      </c>
      <c r="L20" s="12" t="s">
        <v>7</v>
      </c>
      <c r="M20" s="6">
        <v>4</v>
      </c>
      <c r="N20" s="106">
        <v>4</v>
      </c>
      <c r="O20" s="23" t="s">
        <v>206</v>
      </c>
      <c r="P20" s="2"/>
      <c r="Q20" s="4"/>
      <c r="R20" s="4"/>
      <c r="S20" s="4">
        <f>V9</f>
        <v>56066.666666666664</v>
      </c>
    </row>
    <row r="21" spans="1:26" x14ac:dyDescent="0.35">
      <c r="A21" s="5">
        <v>2</v>
      </c>
      <c r="B21" s="2" t="s">
        <v>48</v>
      </c>
      <c r="C21" s="6"/>
      <c r="D21" s="2"/>
      <c r="E21" s="24"/>
      <c r="F21" s="4"/>
      <c r="G21" s="4"/>
      <c r="H21" s="4"/>
      <c r="I21" s="4">
        <f>184*100</f>
        <v>18400</v>
      </c>
      <c r="K21" s="5">
        <v>2</v>
      </c>
      <c r="L21" s="2" t="s">
        <v>48</v>
      </c>
      <c r="M21" s="6"/>
      <c r="N21" s="2"/>
      <c r="O21" s="24"/>
      <c r="P21" s="4"/>
      <c r="Q21" s="4"/>
      <c r="R21" s="4"/>
      <c r="S21" s="4">
        <v>0</v>
      </c>
      <c r="U21">
        <f>S11</f>
        <v>219581.16666666669</v>
      </c>
      <c r="V21">
        <f>S18</f>
        <v>115461.25</v>
      </c>
      <c r="W21">
        <f>S25</f>
        <v>152637.66666666666</v>
      </c>
      <c r="X21">
        <f>S32</f>
        <v>175035.83333333331</v>
      </c>
    </row>
    <row r="22" spans="1:26" x14ac:dyDescent="0.35">
      <c r="A22" s="5">
        <v>3</v>
      </c>
      <c r="B22" s="2" t="s">
        <v>8</v>
      </c>
      <c r="C22" s="6">
        <v>4</v>
      </c>
      <c r="D22" s="2">
        <v>5</v>
      </c>
      <c r="E22" s="2">
        <v>7850</v>
      </c>
      <c r="F22" s="4"/>
      <c r="G22" s="4"/>
      <c r="H22" s="4"/>
      <c r="I22" s="4">
        <f>G8*5*4*12</f>
        <v>7850.0000000000009</v>
      </c>
      <c r="K22" s="5">
        <v>3</v>
      </c>
      <c r="L22" s="2" t="s">
        <v>8</v>
      </c>
      <c r="M22" s="6">
        <v>4</v>
      </c>
      <c r="N22" s="2">
        <v>9</v>
      </c>
      <c r="O22" s="2">
        <v>8475</v>
      </c>
      <c r="P22" s="4"/>
      <c r="Q22" s="4"/>
      <c r="R22" s="4"/>
      <c r="S22" s="4">
        <f>Q8*9*4*12</f>
        <v>15255</v>
      </c>
    </row>
    <row r="23" spans="1:26" x14ac:dyDescent="0.35">
      <c r="A23" s="5">
        <v>4</v>
      </c>
      <c r="B23" s="2" t="s">
        <v>188</v>
      </c>
      <c r="C23" s="6">
        <v>7</v>
      </c>
      <c r="D23" s="2"/>
      <c r="E23" s="2"/>
      <c r="F23" s="4"/>
      <c r="G23" s="4"/>
      <c r="H23" s="4"/>
      <c r="I23" s="4">
        <v>0</v>
      </c>
      <c r="K23" s="5">
        <v>4</v>
      </c>
      <c r="L23" s="2" t="s">
        <v>207</v>
      </c>
      <c r="M23" s="6">
        <v>7</v>
      </c>
      <c r="N23" s="2">
        <v>4</v>
      </c>
      <c r="O23" s="2"/>
      <c r="P23" s="4"/>
      <c r="Q23" s="4"/>
      <c r="R23" s="4"/>
      <c r="S23" s="4">
        <v>66516</v>
      </c>
    </row>
    <row r="24" spans="1:26" x14ac:dyDescent="0.35">
      <c r="A24" s="5">
        <v>5</v>
      </c>
      <c r="B24" s="2" t="s">
        <v>189</v>
      </c>
      <c r="C24" s="6">
        <v>5</v>
      </c>
      <c r="D24" s="3"/>
      <c r="E24" s="2"/>
      <c r="F24" s="4"/>
      <c r="G24" s="4"/>
      <c r="H24" s="4"/>
      <c r="I24" s="4">
        <v>0</v>
      </c>
      <c r="K24" s="5">
        <v>5</v>
      </c>
      <c r="L24" s="2" t="s">
        <v>189</v>
      </c>
      <c r="M24" s="6">
        <v>5</v>
      </c>
      <c r="N24" s="3">
        <v>4</v>
      </c>
      <c r="O24" s="2"/>
      <c r="P24" s="4"/>
      <c r="Q24" s="4"/>
      <c r="R24" s="4"/>
      <c r="S24" s="4">
        <v>14800</v>
      </c>
    </row>
    <row r="25" spans="1:26" x14ac:dyDescent="0.35">
      <c r="A25" s="171" t="s">
        <v>9</v>
      </c>
      <c r="B25" s="172"/>
      <c r="C25" s="172"/>
      <c r="D25" s="172"/>
      <c r="E25" s="172"/>
      <c r="F25" s="172"/>
      <c r="G25" s="172"/>
      <c r="H25" s="173"/>
      <c r="I25" s="10">
        <f>SUM(I20:I24)</f>
        <v>42000</v>
      </c>
      <c r="K25" s="5"/>
      <c r="L25" s="8"/>
      <c r="M25" s="8"/>
      <c r="N25" s="9"/>
      <c r="O25" s="21"/>
      <c r="P25" s="4"/>
      <c r="Q25" s="4"/>
      <c r="R25" s="4"/>
      <c r="S25" s="10">
        <f>SUM(S20:S24)</f>
        <v>152637.66666666666</v>
      </c>
    </row>
    <row r="26" spans="1:26" x14ac:dyDescent="0.35">
      <c r="A26" s="32" t="s">
        <v>51</v>
      </c>
      <c r="B26" s="33"/>
      <c r="C26" s="33"/>
      <c r="D26" s="33"/>
      <c r="E26" s="33"/>
      <c r="F26" s="33"/>
      <c r="G26" s="33"/>
      <c r="H26" s="33"/>
      <c r="I26" s="34"/>
      <c r="K26" s="32" t="s">
        <v>51</v>
      </c>
      <c r="L26" s="33"/>
      <c r="M26" s="33"/>
      <c r="N26" s="33"/>
      <c r="O26" s="33"/>
      <c r="P26" s="33"/>
      <c r="Q26" s="33"/>
      <c r="R26" s="33"/>
      <c r="S26" s="34"/>
    </row>
    <row r="27" spans="1:26" x14ac:dyDescent="0.35">
      <c r="A27" s="26">
        <v>1</v>
      </c>
      <c r="B27" s="12" t="s">
        <v>7</v>
      </c>
      <c r="C27" s="6">
        <v>4</v>
      </c>
      <c r="D27" s="2">
        <v>1</v>
      </c>
      <c r="E27" s="3" t="s">
        <v>203</v>
      </c>
      <c r="F27" s="4"/>
      <c r="G27" s="4"/>
      <c r="H27" s="4"/>
      <c r="I27" s="4">
        <v>13923</v>
      </c>
      <c r="K27" s="26">
        <v>1</v>
      </c>
      <c r="L27" s="12" t="s">
        <v>7</v>
      </c>
      <c r="M27">
        <v>4</v>
      </c>
      <c r="N27" s="2">
        <v>4</v>
      </c>
      <c r="O27" s="6" t="s">
        <v>204</v>
      </c>
      <c r="P27" s="4"/>
      <c r="Q27" s="4"/>
      <c r="R27" s="4"/>
      <c r="S27" s="4">
        <f>V10</f>
        <v>52733.333333333299</v>
      </c>
    </row>
    <row r="28" spans="1:26" x14ac:dyDescent="0.35">
      <c r="A28" s="5">
        <v>2</v>
      </c>
      <c r="B28" s="2" t="s">
        <v>48</v>
      </c>
      <c r="C28" s="6"/>
      <c r="D28" s="2"/>
      <c r="E28" s="2"/>
      <c r="F28" s="4"/>
      <c r="G28" s="4"/>
      <c r="H28" s="4"/>
      <c r="I28" s="4">
        <f>430*100</f>
        <v>43000</v>
      </c>
      <c r="K28" s="5">
        <v>2</v>
      </c>
      <c r="L28" s="2" t="s">
        <v>48</v>
      </c>
      <c r="M28" s="6"/>
      <c r="N28" s="2"/>
      <c r="O28" s="2"/>
      <c r="P28" s="4"/>
      <c r="Q28" s="4"/>
      <c r="R28" s="4"/>
      <c r="S28" s="4">
        <v>0</v>
      </c>
    </row>
    <row r="29" spans="1:26" x14ac:dyDescent="0.35">
      <c r="A29" s="5">
        <v>3</v>
      </c>
      <c r="B29" s="2" t="s">
        <v>8</v>
      </c>
      <c r="C29" s="6">
        <v>6</v>
      </c>
      <c r="D29" s="2">
        <v>5</v>
      </c>
      <c r="E29" s="2">
        <v>7850</v>
      </c>
      <c r="F29" s="4"/>
      <c r="G29" s="4"/>
      <c r="H29" s="4"/>
      <c r="I29" s="4">
        <f>G8*5*6*12</f>
        <v>11775.000000000002</v>
      </c>
      <c r="K29" s="5">
        <v>3</v>
      </c>
      <c r="L29" s="2" t="s">
        <v>8</v>
      </c>
      <c r="M29" s="6">
        <v>6</v>
      </c>
      <c r="N29" s="2">
        <v>9</v>
      </c>
      <c r="O29" s="2">
        <v>8475</v>
      </c>
      <c r="P29" s="4"/>
      <c r="Q29" s="4"/>
      <c r="R29" s="4"/>
      <c r="S29" s="4">
        <f>Q8*9*6*12</f>
        <v>22882.5</v>
      </c>
    </row>
    <row r="30" spans="1:26" x14ac:dyDescent="0.35">
      <c r="A30" s="5">
        <v>4</v>
      </c>
      <c r="B30" s="2" t="s">
        <v>188</v>
      </c>
      <c r="C30" s="6">
        <v>9</v>
      </c>
      <c r="D30" s="2"/>
      <c r="E30" s="2"/>
      <c r="F30" s="4"/>
      <c r="G30" s="4"/>
      <c r="H30" s="4"/>
      <c r="I30" s="4">
        <v>0</v>
      </c>
      <c r="K30" s="5">
        <v>4</v>
      </c>
      <c r="L30" s="2" t="s">
        <v>188</v>
      </c>
      <c r="M30" s="6">
        <v>9</v>
      </c>
      <c r="N30" s="2">
        <v>4</v>
      </c>
      <c r="O30" s="2"/>
      <c r="P30" s="4"/>
      <c r="Q30" s="4"/>
      <c r="R30" s="4"/>
      <c r="S30" s="4">
        <v>89400</v>
      </c>
    </row>
    <row r="31" spans="1:26" x14ac:dyDescent="0.35">
      <c r="A31" s="5">
        <v>5</v>
      </c>
      <c r="B31" s="2" t="s">
        <v>189</v>
      </c>
      <c r="C31" s="6">
        <v>3</v>
      </c>
      <c r="D31" s="2"/>
      <c r="E31" s="2"/>
      <c r="F31" s="4"/>
      <c r="G31" s="4"/>
      <c r="H31" s="4"/>
      <c r="I31" s="4">
        <v>0</v>
      </c>
      <c r="K31" s="5">
        <v>5</v>
      </c>
      <c r="L31" s="2" t="s">
        <v>189</v>
      </c>
      <c r="M31" s="6">
        <v>3</v>
      </c>
      <c r="N31" s="2">
        <v>4</v>
      </c>
      <c r="O31" s="2"/>
      <c r="P31" s="4"/>
      <c r="Q31" s="4"/>
      <c r="R31" s="4"/>
      <c r="S31" s="4">
        <v>10020</v>
      </c>
    </row>
    <row r="32" spans="1:26" x14ac:dyDescent="0.35">
      <c r="A32" s="171" t="s">
        <v>9</v>
      </c>
      <c r="B32" s="172"/>
      <c r="C32" s="172"/>
      <c r="D32" s="172"/>
      <c r="E32" s="172"/>
      <c r="F32" s="172"/>
      <c r="G32" s="172"/>
      <c r="H32" s="173"/>
      <c r="I32" s="10">
        <f>SUM(I27:I31)</f>
        <v>68698</v>
      </c>
      <c r="K32" s="5"/>
      <c r="L32" s="16"/>
      <c r="M32" s="4"/>
      <c r="N32" s="25"/>
      <c r="O32" s="4"/>
      <c r="P32" s="4"/>
      <c r="Q32" s="4"/>
      <c r="R32" s="4"/>
      <c r="S32" s="10">
        <f>SUM(S27:S31)</f>
        <v>175035.83333333331</v>
      </c>
    </row>
  </sheetData>
  <mergeCells count="27">
    <mergeCell ref="A32:H32"/>
    <mergeCell ref="A5:I5"/>
    <mergeCell ref="A18:H18"/>
    <mergeCell ref="A11:H11"/>
    <mergeCell ref="A25:H25"/>
    <mergeCell ref="A1:I1"/>
    <mergeCell ref="A2:A4"/>
    <mergeCell ref="B2:B4"/>
    <mergeCell ref="C2:C4"/>
    <mergeCell ref="F2:F4"/>
    <mergeCell ref="G2:G4"/>
    <mergeCell ref="H2:H4"/>
    <mergeCell ref="D2:D4"/>
    <mergeCell ref="I2:I4"/>
    <mergeCell ref="E2:E4"/>
    <mergeCell ref="K1:S1"/>
    <mergeCell ref="N2:N4"/>
    <mergeCell ref="O2:O4"/>
    <mergeCell ref="P2:P4"/>
    <mergeCell ref="Q2:Q4"/>
    <mergeCell ref="K11:L11"/>
    <mergeCell ref="K5:S5"/>
    <mergeCell ref="K2:K4"/>
    <mergeCell ref="L2:L4"/>
    <mergeCell ref="M2:M4"/>
    <mergeCell ref="R2:R4"/>
    <mergeCell ref="S2:S4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6"/>
  <sheetViews>
    <sheetView workbookViewId="0">
      <selection activeCell="M19" sqref="M19"/>
    </sheetView>
  </sheetViews>
  <sheetFormatPr defaultRowHeight="14.5" x14ac:dyDescent="0.35"/>
  <cols>
    <col min="1" max="1" width="19.26953125" customWidth="1"/>
    <col min="2" max="2" width="10.7265625" customWidth="1"/>
    <col min="3" max="3" width="11.1796875" customWidth="1"/>
    <col min="4" max="4" width="11.453125" customWidth="1"/>
    <col min="7" max="7" width="15.54296875" customWidth="1"/>
    <col min="8" max="8" width="12.81640625" customWidth="1"/>
    <col min="9" max="9" width="16" customWidth="1"/>
    <col min="10" max="11" width="17.26953125" customWidth="1"/>
    <col min="13" max="13" width="20.453125" customWidth="1"/>
    <col min="14" max="14" width="12.1796875" customWidth="1"/>
    <col min="15" max="15" width="10.1796875" customWidth="1"/>
    <col min="16" max="16" width="10.81640625" customWidth="1"/>
    <col min="17" max="17" width="13.81640625" customWidth="1"/>
    <col min="21" max="21" width="10.7265625" customWidth="1"/>
    <col min="22" max="22" width="13.54296875" customWidth="1"/>
  </cols>
  <sheetData>
    <row r="1" spans="1:23" x14ac:dyDescent="0.35">
      <c r="A1" s="181" t="s">
        <v>56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  <c r="M1" s="181" t="s">
        <v>28</v>
      </c>
      <c r="N1" s="181"/>
      <c r="O1" s="181"/>
      <c r="P1" s="181"/>
      <c r="Q1" s="181"/>
      <c r="R1" s="181"/>
      <c r="S1" s="181"/>
      <c r="T1" s="181"/>
      <c r="U1" s="181"/>
      <c r="V1" s="181"/>
      <c r="W1" s="181"/>
    </row>
    <row r="2" spans="1:23" x14ac:dyDescent="0.35">
      <c r="A2" s="129" t="s">
        <v>46</v>
      </c>
      <c r="B2" s="131" t="s">
        <v>30</v>
      </c>
      <c r="C2" s="131" t="s">
        <v>31</v>
      </c>
      <c r="D2" s="131" t="s">
        <v>32</v>
      </c>
      <c r="E2" s="131" t="s">
        <v>33</v>
      </c>
      <c r="F2" s="135" t="s">
        <v>34</v>
      </c>
      <c r="G2" s="135"/>
      <c r="H2" s="135"/>
      <c r="I2" s="135"/>
      <c r="J2" s="129" t="s">
        <v>38</v>
      </c>
      <c r="K2" s="182" t="s">
        <v>41</v>
      </c>
      <c r="M2" s="129" t="s">
        <v>29</v>
      </c>
      <c r="N2" s="131" t="s">
        <v>30</v>
      </c>
      <c r="O2" s="131" t="s">
        <v>43</v>
      </c>
      <c r="P2" s="131" t="s">
        <v>32</v>
      </c>
      <c r="Q2" s="131" t="s">
        <v>33</v>
      </c>
      <c r="R2" s="135" t="s">
        <v>34</v>
      </c>
      <c r="S2" s="135"/>
      <c r="T2" s="135"/>
      <c r="U2" s="135"/>
      <c r="V2" s="129" t="s">
        <v>38</v>
      </c>
      <c r="W2" s="182" t="s">
        <v>41</v>
      </c>
    </row>
    <row r="3" spans="1:23" x14ac:dyDescent="0.35">
      <c r="A3" s="160"/>
      <c r="B3" s="131"/>
      <c r="C3" s="131"/>
      <c r="D3" s="131"/>
      <c r="E3" s="131"/>
      <c r="F3" s="131" t="s">
        <v>35</v>
      </c>
      <c r="G3" s="131" t="s">
        <v>36</v>
      </c>
      <c r="H3" s="1" t="s">
        <v>37</v>
      </c>
      <c r="I3" s="129" t="s">
        <v>27</v>
      </c>
      <c r="J3" s="129"/>
      <c r="K3" s="182"/>
      <c r="M3" s="129"/>
      <c r="N3" s="131"/>
      <c r="O3" s="131"/>
      <c r="P3" s="131"/>
      <c r="Q3" s="131"/>
      <c r="R3" s="131" t="s">
        <v>35</v>
      </c>
      <c r="S3" s="131" t="s">
        <v>36</v>
      </c>
      <c r="T3" s="1" t="s">
        <v>37</v>
      </c>
      <c r="U3" s="129" t="s">
        <v>27</v>
      </c>
      <c r="V3" s="129"/>
      <c r="W3" s="182"/>
    </row>
    <row r="4" spans="1:23" ht="22.5" customHeight="1" x14ac:dyDescent="0.35">
      <c r="A4" s="128"/>
      <c r="B4" s="131"/>
      <c r="C4" s="131"/>
      <c r="D4" s="131"/>
      <c r="E4" s="131"/>
      <c r="F4" s="131"/>
      <c r="G4" s="131"/>
      <c r="H4" s="1" t="s">
        <v>39</v>
      </c>
      <c r="I4" s="129"/>
      <c r="J4" s="129"/>
      <c r="K4" s="182"/>
      <c r="M4" s="129"/>
      <c r="N4" s="131"/>
      <c r="O4" s="131"/>
      <c r="P4" s="131"/>
      <c r="Q4" s="131"/>
      <c r="R4" s="131"/>
      <c r="S4" s="131"/>
      <c r="T4" s="1" t="s">
        <v>39</v>
      </c>
      <c r="U4" s="129"/>
      <c r="V4" s="129"/>
      <c r="W4" s="182"/>
    </row>
    <row r="5" spans="1:23" x14ac:dyDescent="0.35">
      <c r="A5" s="175" t="s">
        <v>57</v>
      </c>
      <c r="B5" s="176"/>
      <c r="C5" s="176"/>
      <c r="D5" s="176"/>
      <c r="E5" s="176"/>
      <c r="F5" s="176"/>
      <c r="G5" s="176"/>
      <c r="H5" s="176"/>
      <c r="I5" s="176"/>
      <c r="J5" s="176"/>
      <c r="K5" s="177"/>
      <c r="M5" s="175" t="s">
        <v>57</v>
      </c>
      <c r="N5" s="176"/>
      <c r="O5" s="176"/>
      <c r="P5" s="176"/>
      <c r="Q5" s="176"/>
      <c r="R5" s="176"/>
      <c r="S5" s="176"/>
      <c r="T5" s="176"/>
      <c r="U5" s="176"/>
      <c r="V5" s="176"/>
      <c r="W5" s="177"/>
    </row>
    <row r="6" spans="1:23" x14ac:dyDescent="0.35">
      <c r="A6" s="18" t="s">
        <v>44</v>
      </c>
      <c r="B6" s="20" t="s">
        <v>45</v>
      </c>
      <c r="C6" s="18">
        <v>38</v>
      </c>
      <c r="D6" s="18"/>
      <c r="E6" s="18"/>
      <c r="F6" s="18"/>
      <c r="G6" s="18"/>
      <c r="H6" s="18"/>
      <c r="I6" s="19"/>
      <c r="J6" s="7"/>
      <c r="K6" s="7">
        <f>C6*500</f>
        <v>19000</v>
      </c>
      <c r="M6" s="18" t="s">
        <v>44</v>
      </c>
      <c r="N6" s="20" t="s">
        <v>45</v>
      </c>
      <c r="O6" s="18">
        <v>63</v>
      </c>
      <c r="P6" s="18"/>
      <c r="Q6" s="18"/>
      <c r="R6" s="18"/>
      <c r="S6" s="18"/>
      <c r="T6" s="18"/>
      <c r="U6" s="19"/>
      <c r="V6" s="7"/>
      <c r="W6" s="7">
        <f>500*63</f>
        <v>31500</v>
      </c>
    </row>
    <row r="7" spans="1:23" x14ac:dyDescent="0.35">
      <c r="A7" s="28" t="s">
        <v>58</v>
      </c>
      <c r="B7" s="29"/>
      <c r="C7" s="30"/>
      <c r="D7" s="30"/>
      <c r="E7" s="30"/>
      <c r="F7" s="30"/>
      <c r="G7" s="30"/>
      <c r="H7" s="30"/>
      <c r="I7" s="31"/>
      <c r="J7" s="28"/>
      <c r="K7" s="28"/>
      <c r="M7" s="28" t="s">
        <v>58</v>
      </c>
      <c r="N7" s="29"/>
      <c r="O7" s="30"/>
      <c r="P7" s="30"/>
      <c r="Q7" s="30"/>
      <c r="R7" s="30"/>
      <c r="S7" s="30"/>
      <c r="T7" s="30"/>
      <c r="U7" s="31"/>
      <c r="V7" s="28"/>
      <c r="W7" s="28"/>
    </row>
    <row r="8" spans="1:23" x14ac:dyDescent="0.35">
      <c r="A8" s="18" t="s">
        <v>44</v>
      </c>
      <c r="B8" s="20" t="s">
        <v>45</v>
      </c>
      <c r="C8" s="7">
        <v>65</v>
      </c>
      <c r="D8" s="7"/>
      <c r="E8" s="7"/>
      <c r="F8" s="7"/>
      <c r="G8" s="7"/>
      <c r="H8" s="7"/>
      <c r="I8" s="7"/>
      <c r="J8" s="7"/>
      <c r="K8" s="7">
        <f>65*500</f>
        <v>32500</v>
      </c>
      <c r="M8" s="18" t="s">
        <v>44</v>
      </c>
      <c r="N8" s="20" t="s">
        <v>45</v>
      </c>
      <c r="O8" s="7">
        <v>90</v>
      </c>
      <c r="P8" s="7"/>
      <c r="Q8" s="7"/>
      <c r="R8" s="7"/>
      <c r="S8" s="7"/>
      <c r="T8" s="7"/>
      <c r="U8" s="7"/>
      <c r="V8" s="7"/>
      <c r="W8" s="7">
        <f>500*90</f>
        <v>45000</v>
      </c>
    </row>
    <row r="9" spans="1:23" x14ac:dyDescent="0.35">
      <c r="A9" s="178" t="s">
        <v>59</v>
      </c>
      <c r="B9" s="179"/>
      <c r="C9" s="179"/>
      <c r="D9" s="179"/>
      <c r="E9" s="179"/>
      <c r="F9" s="179"/>
      <c r="G9" s="179"/>
      <c r="H9" s="179"/>
      <c r="I9" s="179"/>
      <c r="J9" s="179"/>
      <c r="K9" s="180"/>
      <c r="M9" s="178" t="s">
        <v>59</v>
      </c>
      <c r="N9" s="179"/>
      <c r="O9" s="179"/>
      <c r="P9" s="179"/>
      <c r="Q9" s="179"/>
      <c r="R9" s="179"/>
      <c r="S9" s="179"/>
      <c r="T9" s="179"/>
      <c r="U9" s="179"/>
      <c r="V9" s="179"/>
      <c r="W9" s="180"/>
    </row>
    <row r="10" spans="1:23" x14ac:dyDescent="0.35">
      <c r="A10" s="18" t="s">
        <v>44</v>
      </c>
      <c r="B10" s="20" t="s">
        <v>45</v>
      </c>
      <c r="C10" s="7"/>
      <c r="D10" s="7"/>
      <c r="E10" s="7"/>
      <c r="F10" s="7"/>
      <c r="G10" s="7"/>
      <c r="H10" s="7"/>
      <c r="I10" s="7"/>
      <c r="J10" s="7"/>
      <c r="K10" s="7">
        <v>0</v>
      </c>
      <c r="M10" s="18" t="s">
        <v>44</v>
      </c>
      <c r="N10" s="20" t="s">
        <v>45</v>
      </c>
      <c r="O10" s="7">
        <v>162</v>
      </c>
      <c r="P10" s="7"/>
      <c r="Q10" s="7"/>
      <c r="R10" s="7"/>
      <c r="S10" s="7"/>
      <c r="T10" s="7"/>
      <c r="U10" s="7"/>
      <c r="V10" s="7"/>
      <c r="W10" s="7">
        <f>O10*500</f>
        <v>81000</v>
      </c>
    </row>
    <row r="11" spans="1:23" x14ac:dyDescent="0.35">
      <c r="A11" s="178" t="s">
        <v>60</v>
      </c>
      <c r="B11" s="179"/>
      <c r="C11" s="179"/>
      <c r="D11" s="179"/>
      <c r="E11" s="179"/>
      <c r="F11" s="179"/>
      <c r="G11" s="179"/>
      <c r="H11" s="179"/>
      <c r="I11" s="179"/>
      <c r="J11" s="179"/>
      <c r="K11" s="180"/>
      <c r="M11" s="178" t="s">
        <v>60</v>
      </c>
      <c r="N11" s="179"/>
      <c r="O11" s="179"/>
      <c r="P11" s="179"/>
      <c r="Q11" s="179"/>
      <c r="R11" s="179"/>
      <c r="S11" s="179"/>
      <c r="T11" s="179"/>
      <c r="U11" s="179"/>
      <c r="V11" s="179"/>
      <c r="W11" s="180"/>
    </row>
    <row r="12" spans="1:23" x14ac:dyDescent="0.35">
      <c r="A12" s="18" t="s">
        <v>44</v>
      </c>
      <c r="B12" s="20" t="s">
        <v>45</v>
      </c>
      <c r="C12" s="7"/>
      <c r="D12" s="7"/>
      <c r="E12" s="7"/>
      <c r="F12" s="7"/>
      <c r="G12" s="7"/>
      <c r="H12" s="7"/>
      <c r="I12" s="7"/>
      <c r="J12" s="7"/>
      <c r="K12" s="7">
        <v>0</v>
      </c>
      <c r="M12" s="18" t="s">
        <v>44</v>
      </c>
      <c r="N12" s="20" t="s">
        <v>45</v>
      </c>
      <c r="O12" s="7">
        <v>81</v>
      </c>
      <c r="P12" s="7"/>
      <c r="Q12" s="7"/>
      <c r="R12" s="7"/>
      <c r="S12" s="7"/>
      <c r="T12" s="7"/>
      <c r="U12" s="7"/>
      <c r="V12" s="7"/>
      <c r="W12" s="7">
        <f>O12*500</f>
        <v>40500</v>
      </c>
    </row>
    <row r="13" spans="1:23" x14ac:dyDescent="0.35">
      <c r="K13">
        <f>K6+K8</f>
        <v>51500</v>
      </c>
      <c r="W13">
        <f>W6+W8+W10+W12</f>
        <v>198000</v>
      </c>
    </row>
    <row r="16" spans="1:23" x14ac:dyDescent="0.35">
      <c r="O16">
        <f>W6</f>
        <v>31500</v>
      </c>
      <c r="P16">
        <f>W8</f>
        <v>45000</v>
      </c>
      <c r="Q16">
        <f>W10</f>
        <v>81000</v>
      </c>
      <c r="R16">
        <f>W12</f>
        <v>40500</v>
      </c>
    </row>
  </sheetData>
  <mergeCells count="30">
    <mergeCell ref="I3:I4"/>
    <mergeCell ref="J2:J4"/>
    <mergeCell ref="K2:K4"/>
    <mergeCell ref="A1:K1"/>
    <mergeCell ref="A2:A4"/>
    <mergeCell ref="B2:B4"/>
    <mergeCell ref="C2:C4"/>
    <mergeCell ref="D2:D4"/>
    <mergeCell ref="E2:E4"/>
    <mergeCell ref="F2:I2"/>
    <mergeCell ref="F3:F4"/>
    <mergeCell ref="G3:G4"/>
    <mergeCell ref="M1:W1"/>
    <mergeCell ref="M2:M4"/>
    <mergeCell ref="N2:N4"/>
    <mergeCell ref="O2:O4"/>
    <mergeCell ref="P2:P4"/>
    <mergeCell ref="Q2:Q4"/>
    <mergeCell ref="R2:U2"/>
    <mergeCell ref="V2:V4"/>
    <mergeCell ref="W2:W4"/>
    <mergeCell ref="R3:R4"/>
    <mergeCell ref="S3:S4"/>
    <mergeCell ref="U3:U4"/>
    <mergeCell ref="M5:W5"/>
    <mergeCell ref="M9:W9"/>
    <mergeCell ref="M11:W11"/>
    <mergeCell ref="A5:K5"/>
    <mergeCell ref="A9:K9"/>
    <mergeCell ref="A11:K1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52"/>
  <sheetViews>
    <sheetView zoomScale="73" zoomScaleNormal="73" workbookViewId="0">
      <pane ySplit="1" topLeftCell="A2" activePane="bottomLeft" state="frozen"/>
      <selection pane="bottomLeft" activeCell="S5" sqref="S5"/>
    </sheetView>
  </sheetViews>
  <sheetFormatPr defaultRowHeight="20.5" x14ac:dyDescent="0.35"/>
  <cols>
    <col min="1" max="1" width="21.81640625" style="38" customWidth="1"/>
    <col min="2" max="3" width="20" style="38" customWidth="1"/>
    <col min="4" max="4" width="29.81640625" style="38" customWidth="1"/>
    <col min="5" max="5" width="17.54296875" customWidth="1"/>
    <col min="6" max="6" width="15.81640625" customWidth="1"/>
    <col min="7" max="7" width="17.1796875" customWidth="1"/>
    <col min="8" max="8" width="13.26953125" customWidth="1"/>
    <col min="9" max="9" width="15.54296875" customWidth="1"/>
    <col min="10" max="10" width="22.26953125" customWidth="1"/>
    <col min="11" max="11" width="19" customWidth="1"/>
    <col min="12" max="12" width="19.81640625" customWidth="1"/>
    <col min="15" max="15" width="17" customWidth="1"/>
    <col min="16" max="17" width="17.81640625" customWidth="1"/>
    <col min="31" max="31" width="7.1796875" bestFit="1" customWidth="1"/>
    <col min="32" max="32" width="10.453125" customWidth="1"/>
  </cols>
  <sheetData>
    <row r="1" spans="1:46" ht="15" customHeight="1" x14ac:dyDescent="0.35">
      <c r="A1" s="47" t="s">
        <v>65</v>
      </c>
      <c r="B1" s="47" t="s">
        <v>66</v>
      </c>
      <c r="C1" s="48" t="s">
        <v>67</v>
      </c>
      <c r="D1" s="47" t="s">
        <v>68</v>
      </c>
      <c r="E1" s="10" t="s">
        <v>124</v>
      </c>
      <c r="F1" s="10" t="s">
        <v>125</v>
      </c>
      <c r="G1" s="10" t="s">
        <v>126</v>
      </c>
      <c r="H1" s="186" t="s">
        <v>127</v>
      </c>
      <c r="I1" s="187"/>
      <c r="J1" s="186" t="s">
        <v>128</v>
      </c>
      <c r="K1" s="187"/>
      <c r="L1" s="49" t="s">
        <v>10</v>
      </c>
      <c r="O1" s="199" t="s">
        <v>208</v>
      </c>
      <c r="P1" s="199"/>
      <c r="Q1" s="81"/>
      <c r="V1" t="s">
        <v>210</v>
      </c>
      <c r="AA1" s="199" t="s">
        <v>57</v>
      </c>
      <c r="AB1" s="199"/>
      <c r="AC1" s="199"/>
      <c r="AD1" s="199"/>
      <c r="AE1" s="199"/>
      <c r="AF1" s="199"/>
      <c r="AG1" s="199"/>
      <c r="AK1" s="189" t="s">
        <v>64</v>
      </c>
      <c r="AL1" s="189"/>
      <c r="AM1" s="189"/>
      <c r="AN1" s="189"/>
      <c r="AO1" s="189"/>
      <c r="AP1" s="189"/>
      <c r="AQ1" s="189"/>
      <c r="AR1" s="189"/>
      <c r="AS1" s="189"/>
      <c r="AT1" s="189"/>
    </row>
    <row r="2" spans="1:46" x14ac:dyDescent="0.35">
      <c r="A2" s="35" t="s">
        <v>69</v>
      </c>
      <c r="B2" s="195" t="s">
        <v>70</v>
      </c>
      <c r="C2" s="183" t="s">
        <v>71</v>
      </c>
      <c r="D2" s="36" t="s">
        <v>72</v>
      </c>
      <c r="E2" s="7"/>
      <c r="F2" s="7"/>
      <c r="G2" s="7"/>
      <c r="H2" s="7"/>
      <c r="I2" s="7"/>
      <c r="J2" s="46"/>
      <c r="K2" s="7"/>
      <c r="L2" s="188"/>
      <c r="O2" t="s">
        <v>192</v>
      </c>
      <c r="P2" t="s">
        <v>199</v>
      </c>
      <c r="AA2">
        <v>55000</v>
      </c>
      <c r="AB2">
        <f>AA2/30/8*4*12</f>
        <v>11000</v>
      </c>
      <c r="AC2">
        <v>17000</v>
      </c>
      <c r="AD2">
        <f>AC2/30/8*4*12</f>
        <v>3400</v>
      </c>
      <c r="AE2">
        <v>49395</v>
      </c>
      <c r="AF2">
        <f>AE2/30/8*4*12</f>
        <v>9879</v>
      </c>
      <c r="AG2">
        <v>19000</v>
      </c>
      <c r="AH2">
        <f>AG2/30/8*4*12</f>
        <v>3800</v>
      </c>
      <c r="AL2" t="s">
        <v>216</v>
      </c>
      <c r="AN2" t="s">
        <v>217</v>
      </c>
      <c r="AP2" t="s">
        <v>218</v>
      </c>
      <c r="AR2" t="s">
        <v>219</v>
      </c>
      <c r="AT2" t="s">
        <v>151</v>
      </c>
    </row>
    <row r="3" spans="1:46" x14ac:dyDescent="0.35">
      <c r="A3" s="35" t="s">
        <v>69</v>
      </c>
      <c r="B3" s="195"/>
      <c r="C3" s="184"/>
      <c r="D3" s="36" t="s">
        <v>73</v>
      </c>
      <c r="E3" s="7"/>
      <c r="F3" s="7"/>
      <c r="G3" s="7"/>
      <c r="I3" s="7"/>
      <c r="J3" s="7"/>
      <c r="K3" s="7"/>
      <c r="L3" s="188"/>
      <c r="N3" t="s">
        <v>193</v>
      </c>
      <c r="O3" t="s">
        <v>197</v>
      </c>
      <c r="P3">
        <v>45000</v>
      </c>
      <c r="Q3">
        <f>P3/30/8*4*12</f>
        <v>9000</v>
      </c>
      <c r="R3">
        <v>16000</v>
      </c>
      <c r="S3">
        <f>R3/30/8*4*12</f>
        <v>3200</v>
      </c>
      <c r="AA3">
        <v>55000</v>
      </c>
      <c r="AB3">
        <f t="shared" ref="AB3:AB13" si="0">AA3/30/8*4*12</f>
        <v>11000</v>
      </c>
      <c r="AC3">
        <v>17000</v>
      </c>
      <c r="AD3">
        <f>AC3/30/8*4*12</f>
        <v>3400</v>
      </c>
      <c r="AE3">
        <v>49395</v>
      </c>
      <c r="AF3">
        <f>AE3/30/8*4*12</f>
        <v>9879</v>
      </c>
      <c r="AG3">
        <v>19000</v>
      </c>
      <c r="AH3">
        <f>AG3/30/8*4*12</f>
        <v>3800</v>
      </c>
      <c r="AK3" t="s">
        <v>212</v>
      </c>
      <c r="AL3">
        <v>90000</v>
      </c>
      <c r="AM3">
        <f>AL3/30/8*4*12</f>
        <v>18000</v>
      </c>
      <c r="AN3">
        <v>90000</v>
      </c>
      <c r="AO3">
        <f>AN3/30/8*4*12</f>
        <v>18000</v>
      </c>
      <c r="AP3">
        <v>100000</v>
      </c>
      <c r="AQ3">
        <f>AP3/30/8*4*12</f>
        <v>20000</v>
      </c>
      <c r="AR3">
        <v>80636</v>
      </c>
      <c r="AS3">
        <f>AR3/30/8*4*12</f>
        <v>16127.2</v>
      </c>
      <c r="AT3" s="80">
        <f>AM3+AO3+AQ3+AS3</f>
        <v>72127.199999999997</v>
      </c>
    </row>
    <row r="4" spans="1:46" x14ac:dyDescent="0.35">
      <c r="A4" s="35" t="s">
        <v>69</v>
      </c>
      <c r="B4" s="195"/>
      <c r="C4" s="184"/>
      <c r="D4" s="36" t="s">
        <v>74</v>
      </c>
      <c r="E4" s="7"/>
      <c r="F4" s="7"/>
      <c r="G4" s="7"/>
      <c r="H4" s="7"/>
      <c r="I4" s="7"/>
      <c r="J4" s="7"/>
      <c r="K4" s="7"/>
      <c r="L4" s="188"/>
      <c r="N4" t="s">
        <v>194</v>
      </c>
      <c r="O4" t="s">
        <v>198</v>
      </c>
      <c r="P4" s="83">
        <v>50000</v>
      </c>
      <c r="Q4">
        <f t="shared" ref="Q4:Q5" si="1">P4/30/8*4*12</f>
        <v>10000</v>
      </c>
      <c r="R4">
        <v>14100</v>
      </c>
      <c r="S4">
        <f>R4/30/8*4*12</f>
        <v>2820</v>
      </c>
      <c r="AA4">
        <v>55000</v>
      </c>
      <c r="AB4">
        <f t="shared" si="0"/>
        <v>11000</v>
      </c>
      <c r="AE4">
        <v>55000</v>
      </c>
      <c r="AF4">
        <f t="shared" ref="AF4:AF13" si="2">AE4/30/8*4*12</f>
        <v>11000</v>
      </c>
      <c r="AK4" t="s">
        <v>213</v>
      </c>
      <c r="AL4">
        <v>40000</v>
      </c>
      <c r="AM4">
        <f t="shared" ref="AM4:AM6" si="3">AL4/30/8*4*12</f>
        <v>8000</v>
      </c>
      <c r="AN4">
        <v>90000</v>
      </c>
      <c r="AO4">
        <f t="shared" ref="AO4:AO6" si="4">AN4/30/8*4*12</f>
        <v>18000</v>
      </c>
      <c r="AP4">
        <v>80636</v>
      </c>
      <c r="AQ4">
        <f t="shared" ref="AQ4:AQ6" si="5">AP4/30/8*4*12</f>
        <v>16127.2</v>
      </c>
      <c r="AS4">
        <f t="shared" ref="AS4:AS6" si="6">AR4/30/8*4*12</f>
        <v>0</v>
      </c>
      <c r="AT4" s="80">
        <f t="shared" ref="AT4:AT6" si="7">AM4+AO4+AQ4+AS4</f>
        <v>42127.199999999997</v>
      </c>
    </row>
    <row r="5" spans="1:46" x14ac:dyDescent="0.35">
      <c r="A5" s="35" t="s">
        <v>69</v>
      </c>
      <c r="B5" s="195"/>
      <c r="C5" s="184"/>
      <c r="D5" s="36" t="s">
        <v>75</v>
      </c>
      <c r="E5" s="7"/>
      <c r="F5" s="7"/>
      <c r="G5" s="7"/>
      <c r="H5" s="7"/>
      <c r="I5" s="7"/>
      <c r="J5" s="7"/>
      <c r="K5" s="7"/>
      <c r="L5" s="188"/>
      <c r="N5" t="s">
        <v>195</v>
      </c>
      <c r="O5" t="s">
        <v>200</v>
      </c>
      <c r="P5">
        <v>50000</v>
      </c>
      <c r="Q5">
        <f t="shared" si="1"/>
        <v>10000</v>
      </c>
      <c r="V5">
        <v>45000</v>
      </c>
      <c r="W5">
        <f>V5/30/8*4*12</f>
        <v>9000</v>
      </c>
      <c r="X5">
        <v>18000</v>
      </c>
      <c r="Y5">
        <f>X5/30/8*4*12</f>
        <v>3600</v>
      </c>
      <c r="AA5">
        <v>47000</v>
      </c>
      <c r="AB5">
        <f t="shared" si="0"/>
        <v>9400</v>
      </c>
      <c r="AE5">
        <v>49395</v>
      </c>
      <c r="AF5">
        <f t="shared" si="2"/>
        <v>9879</v>
      </c>
      <c r="AK5" t="s">
        <v>214</v>
      </c>
      <c r="AL5">
        <v>90000</v>
      </c>
      <c r="AM5">
        <f t="shared" si="3"/>
        <v>18000</v>
      </c>
      <c r="AN5">
        <v>90000</v>
      </c>
      <c r="AO5">
        <f t="shared" si="4"/>
        <v>18000</v>
      </c>
      <c r="AP5">
        <v>70000</v>
      </c>
      <c r="AQ5">
        <f t="shared" si="5"/>
        <v>14000</v>
      </c>
      <c r="AR5">
        <v>65000</v>
      </c>
      <c r="AS5">
        <f t="shared" si="6"/>
        <v>13000</v>
      </c>
      <c r="AT5" s="80">
        <f t="shared" si="7"/>
        <v>63000</v>
      </c>
    </row>
    <row r="6" spans="1:46" x14ac:dyDescent="0.35">
      <c r="A6" s="35" t="s">
        <v>69</v>
      </c>
      <c r="B6" s="195"/>
      <c r="C6" s="185"/>
      <c r="D6" s="36" t="s">
        <v>76</v>
      </c>
      <c r="E6" s="7"/>
      <c r="F6" s="7"/>
      <c r="G6" s="7"/>
      <c r="H6" s="7"/>
      <c r="I6" s="7"/>
      <c r="J6" s="7"/>
      <c r="K6" s="7"/>
      <c r="L6" s="188"/>
      <c r="N6" t="s">
        <v>196</v>
      </c>
      <c r="O6" t="s">
        <v>198</v>
      </c>
      <c r="P6">
        <v>47000</v>
      </c>
      <c r="Q6">
        <f>P6/30/8*4*12</f>
        <v>9400</v>
      </c>
      <c r="V6">
        <v>45000</v>
      </c>
      <c r="W6">
        <f t="shared" ref="W6:W11" si="8">V6/30/8*4*12</f>
        <v>9000</v>
      </c>
      <c r="X6">
        <v>18000</v>
      </c>
      <c r="Y6">
        <f t="shared" ref="Y6:Y9" si="9">X6/30/8*4*12</f>
        <v>3600</v>
      </c>
      <c r="AA6">
        <v>47000</v>
      </c>
      <c r="AB6">
        <f t="shared" si="0"/>
        <v>9400</v>
      </c>
      <c r="AE6">
        <v>55000</v>
      </c>
      <c r="AF6">
        <f t="shared" si="2"/>
        <v>11000</v>
      </c>
      <c r="AK6" t="s">
        <v>215</v>
      </c>
      <c r="AL6">
        <v>72000</v>
      </c>
      <c r="AM6">
        <f t="shared" si="3"/>
        <v>14400</v>
      </c>
      <c r="AN6">
        <v>90000</v>
      </c>
      <c r="AO6">
        <f t="shared" si="4"/>
        <v>18000</v>
      </c>
      <c r="AP6">
        <v>80636</v>
      </c>
      <c r="AQ6">
        <f t="shared" si="5"/>
        <v>16127.2</v>
      </c>
      <c r="AR6">
        <v>80636</v>
      </c>
      <c r="AS6">
        <f t="shared" si="6"/>
        <v>16127.2</v>
      </c>
      <c r="AT6" s="80">
        <f t="shared" si="7"/>
        <v>64654.399999999994</v>
      </c>
    </row>
    <row r="7" spans="1:46" x14ac:dyDescent="0.35">
      <c r="A7" s="35"/>
      <c r="B7" s="195"/>
      <c r="C7" s="37"/>
      <c r="D7" s="36">
        <v>5</v>
      </c>
      <c r="E7" s="7"/>
      <c r="F7" s="7"/>
      <c r="G7" s="7"/>
      <c r="H7" s="7"/>
      <c r="I7" s="7"/>
      <c r="J7" s="7"/>
      <c r="K7" s="7"/>
      <c r="L7" s="188"/>
      <c r="P7">
        <v>47000</v>
      </c>
      <c r="Q7">
        <f>P7/30/8*4*12</f>
        <v>9400</v>
      </c>
      <c r="V7">
        <v>45000</v>
      </c>
      <c r="W7">
        <f t="shared" si="8"/>
        <v>9000</v>
      </c>
      <c r="X7">
        <v>10000</v>
      </c>
      <c r="Y7">
        <f t="shared" si="9"/>
        <v>2000</v>
      </c>
      <c r="AA7">
        <v>47000</v>
      </c>
      <c r="AB7">
        <f t="shared" si="0"/>
        <v>9400</v>
      </c>
      <c r="AE7">
        <v>55000</v>
      </c>
      <c r="AF7">
        <f t="shared" si="2"/>
        <v>11000</v>
      </c>
      <c r="AM7" s="80"/>
      <c r="AO7" s="80"/>
      <c r="AQ7" s="80"/>
      <c r="AS7" s="80"/>
      <c r="AT7" s="80"/>
    </row>
    <row r="8" spans="1:46" x14ac:dyDescent="0.35">
      <c r="A8" s="35" t="s">
        <v>69</v>
      </c>
      <c r="B8" s="195"/>
      <c r="C8" s="183" t="s">
        <v>77</v>
      </c>
      <c r="D8" s="36" t="s">
        <v>78</v>
      </c>
      <c r="E8" s="7"/>
      <c r="F8" s="7"/>
      <c r="G8" s="7"/>
      <c r="H8" s="7"/>
      <c r="I8" s="7"/>
      <c r="J8" s="7"/>
      <c r="K8" s="7"/>
      <c r="L8" s="188"/>
      <c r="Q8" s="80">
        <f>SUM(Q3:Q7)</f>
        <v>47800</v>
      </c>
      <c r="S8" s="80">
        <f>SUM(S3:S4)</f>
        <v>6020</v>
      </c>
      <c r="V8">
        <v>49395</v>
      </c>
      <c r="W8">
        <f t="shared" si="8"/>
        <v>9879</v>
      </c>
      <c r="X8">
        <v>10000</v>
      </c>
      <c r="Y8">
        <f t="shared" si="9"/>
        <v>2000</v>
      </c>
      <c r="AA8">
        <v>47000</v>
      </c>
      <c r="AB8">
        <f t="shared" si="0"/>
        <v>9400</v>
      </c>
      <c r="AE8">
        <v>55000</v>
      </c>
      <c r="AF8">
        <f t="shared" si="2"/>
        <v>11000</v>
      </c>
      <c r="AT8" s="80"/>
    </row>
    <row r="9" spans="1:46" x14ac:dyDescent="0.35">
      <c r="A9" s="35" t="s">
        <v>69</v>
      </c>
      <c r="B9" s="195"/>
      <c r="C9" s="184"/>
      <c r="D9" s="35" t="s">
        <v>79</v>
      </c>
      <c r="E9" s="7"/>
      <c r="F9" s="7"/>
      <c r="G9" s="7"/>
      <c r="H9" s="7"/>
      <c r="I9" s="7"/>
      <c r="J9" s="7"/>
      <c r="K9" s="7"/>
      <c r="L9" s="188"/>
      <c r="V9">
        <v>49395</v>
      </c>
      <c r="W9">
        <f t="shared" si="8"/>
        <v>9879</v>
      </c>
      <c r="X9">
        <v>18000</v>
      </c>
      <c r="Y9">
        <f t="shared" si="9"/>
        <v>3600</v>
      </c>
      <c r="AA9">
        <v>47000</v>
      </c>
      <c r="AB9">
        <f t="shared" si="0"/>
        <v>9400</v>
      </c>
      <c r="AE9">
        <v>49395</v>
      </c>
      <c r="AF9">
        <f t="shared" si="2"/>
        <v>9879</v>
      </c>
      <c r="AT9" s="80"/>
    </row>
    <row r="10" spans="1:46" x14ac:dyDescent="0.35">
      <c r="A10" s="35" t="s">
        <v>69</v>
      </c>
      <c r="B10" s="195"/>
      <c r="C10" s="184"/>
      <c r="D10" s="35" t="s">
        <v>80</v>
      </c>
      <c r="E10" s="7"/>
      <c r="F10" s="7"/>
      <c r="G10" s="7"/>
      <c r="H10" s="7"/>
      <c r="I10" s="7"/>
      <c r="J10" s="7"/>
      <c r="K10" s="7"/>
      <c r="L10" s="188"/>
      <c r="V10">
        <v>49395</v>
      </c>
      <c r="W10">
        <f t="shared" si="8"/>
        <v>9879</v>
      </c>
      <c r="AA10">
        <v>47000</v>
      </c>
      <c r="AB10">
        <f t="shared" si="0"/>
        <v>9400</v>
      </c>
      <c r="AE10">
        <v>49395</v>
      </c>
      <c r="AF10">
        <f t="shared" si="2"/>
        <v>9879</v>
      </c>
      <c r="AK10" t="s">
        <v>214</v>
      </c>
      <c r="AL10">
        <v>90000</v>
      </c>
      <c r="AM10">
        <f>AL10/30/8*12</f>
        <v>4500</v>
      </c>
      <c r="AN10">
        <v>90000</v>
      </c>
      <c r="AO10">
        <f>AN10/30/8*12</f>
        <v>4500</v>
      </c>
      <c r="AP10">
        <v>70000</v>
      </c>
      <c r="AQ10">
        <f>AP10/30/8*12</f>
        <v>3500</v>
      </c>
      <c r="AR10">
        <v>65000</v>
      </c>
      <c r="AS10">
        <f>AR10/30/8*12</f>
        <v>3250</v>
      </c>
      <c r="AT10" s="80">
        <f>SUM(AM10+AO10+AQ10+AS10)</f>
        <v>15750</v>
      </c>
    </row>
    <row r="11" spans="1:46" x14ac:dyDescent="0.35">
      <c r="A11" s="35" t="s">
        <v>69</v>
      </c>
      <c r="B11" s="195"/>
      <c r="C11" s="184"/>
      <c r="D11" s="35" t="s">
        <v>81</v>
      </c>
      <c r="E11" s="7"/>
      <c r="F11" s="7"/>
      <c r="G11" s="7"/>
      <c r="H11" s="7"/>
      <c r="I11" s="7"/>
      <c r="J11" s="7"/>
      <c r="K11" s="7"/>
      <c r="L11" s="188"/>
      <c r="V11">
        <v>49395</v>
      </c>
      <c r="W11">
        <f t="shared" si="8"/>
        <v>9879</v>
      </c>
      <c r="AA11">
        <v>47000</v>
      </c>
      <c r="AB11">
        <f>AA11/30/8*4*12</f>
        <v>9400</v>
      </c>
      <c r="AE11">
        <v>49395</v>
      </c>
      <c r="AF11">
        <f>AE11/30/8*4*12</f>
        <v>9879</v>
      </c>
      <c r="AK11" t="s">
        <v>215</v>
      </c>
      <c r="AL11">
        <v>72000</v>
      </c>
      <c r="AM11">
        <f>AL11/30/8*12</f>
        <v>3600</v>
      </c>
      <c r="AN11">
        <v>90000</v>
      </c>
      <c r="AO11">
        <f>AN11/30/8*12</f>
        <v>4500</v>
      </c>
      <c r="AP11">
        <v>80636</v>
      </c>
      <c r="AQ11">
        <f>AP11/30/8*12</f>
        <v>4031.8</v>
      </c>
      <c r="AR11">
        <v>80636</v>
      </c>
      <c r="AS11">
        <f>AR11/30/12*8</f>
        <v>1791.9111111111113</v>
      </c>
      <c r="AT11" s="80">
        <f>SUM(AM11+AO11+AQ11+AS11)</f>
        <v>13923.71111111111</v>
      </c>
    </row>
    <row r="12" spans="1:46" x14ac:dyDescent="0.35">
      <c r="A12" s="35"/>
      <c r="B12" s="195"/>
      <c r="C12" s="184"/>
      <c r="D12" s="35" t="s">
        <v>82</v>
      </c>
      <c r="E12" s="7"/>
      <c r="F12" s="7"/>
      <c r="G12" s="7"/>
      <c r="H12" s="7"/>
      <c r="I12" s="7"/>
      <c r="J12" s="7"/>
      <c r="K12" s="7"/>
      <c r="L12" s="188"/>
      <c r="O12" t="s">
        <v>209</v>
      </c>
      <c r="W12" s="80">
        <f>SUM(W5:W11)</f>
        <v>66516</v>
      </c>
      <c r="Y12" s="80">
        <f>SUM(Y5:Y9)</f>
        <v>14800</v>
      </c>
      <c r="AA12">
        <v>47000</v>
      </c>
      <c r="AB12">
        <f t="shared" si="0"/>
        <v>9400</v>
      </c>
      <c r="AE12">
        <v>49395</v>
      </c>
      <c r="AF12">
        <f t="shared" si="2"/>
        <v>9879</v>
      </c>
      <c r="AS12">
        <f t="shared" ref="AS12:AS13" si="10">AR12/30/8*4*12</f>
        <v>0</v>
      </c>
    </row>
    <row r="13" spans="1:46" x14ac:dyDescent="0.35">
      <c r="A13" s="35" t="s">
        <v>69</v>
      </c>
      <c r="B13" s="195"/>
      <c r="C13" s="184"/>
      <c r="D13" s="35" t="s">
        <v>83</v>
      </c>
      <c r="E13" s="7"/>
      <c r="F13" s="7"/>
      <c r="G13" s="7"/>
      <c r="H13" s="7"/>
      <c r="I13" s="7"/>
      <c r="J13" s="7"/>
      <c r="K13" s="7"/>
      <c r="L13" s="188"/>
      <c r="AA13">
        <v>47000</v>
      </c>
      <c r="AB13">
        <f t="shared" si="0"/>
        <v>9400</v>
      </c>
      <c r="AE13">
        <v>49395</v>
      </c>
      <c r="AF13">
        <f t="shared" si="2"/>
        <v>9879</v>
      </c>
      <c r="AS13">
        <f t="shared" si="10"/>
        <v>0</v>
      </c>
    </row>
    <row r="14" spans="1:46" x14ac:dyDescent="0.35">
      <c r="A14" s="35"/>
      <c r="B14" s="195"/>
      <c r="C14" s="184"/>
      <c r="D14" s="36" t="s">
        <v>84</v>
      </c>
      <c r="E14" s="7"/>
      <c r="F14" s="7"/>
      <c r="G14" s="7"/>
      <c r="H14" s="7"/>
      <c r="I14" s="7"/>
      <c r="J14" s="7"/>
      <c r="K14" s="7"/>
      <c r="L14" s="188"/>
      <c r="P14">
        <v>50000</v>
      </c>
      <c r="Q14">
        <f>P14/30/8*4*12</f>
        <v>10000</v>
      </c>
      <c r="R14">
        <v>18000</v>
      </c>
      <c r="S14">
        <f>R14/30/8*4*12</f>
        <v>3600</v>
      </c>
      <c r="V14" t="s">
        <v>211</v>
      </c>
      <c r="AB14" s="80">
        <f>SUM(AB2:AB13)</f>
        <v>117600</v>
      </c>
      <c r="AD14" s="80">
        <f>SUM(AD2:AD3)</f>
        <v>6800</v>
      </c>
      <c r="AF14" s="80">
        <f>SUM(AF2:AF13)</f>
        <v>123032</v>
      </c>
      <c r="AH14" s="80">
        <f>SUM(AH2:AH3)</f>
        <v>7600</v>
      </c>
    </row>
    <row r="15" spans="1:46" x14ac:dyDescent="0.35">
      <c r="A15" s="35"/>
      <c r="B15" s="35"/>
      <c r="C15" s="37"/>
      <c r="D15" s="36">
        <v>7</v>
      </c>
      <c r="E15" s="7"/>
      <c r="F15" s="7"/>
      <c r="G15" s="7"/>
      <c r="H15" s="7"/>
      <c r="I15" s="7"/>
      <c r="J15" s="7"/>
      <c r="K15" s="7"/>
      <c r="P15">
        <v>52000</v>
      </c>
      <c r="Q15">
        <f t="shared" ref="Q15:Q22" si="11">P15/30/8*4*12</f>
        <v>10400</v>
      </c>
      <c r="R15">
        <v>18000</v>
      </c>
      <c r="S15">
        <f t="shared" ref="S15:S16" si="12">R15/30/8*4*12</f>
        <v>3600</v>
      </c>
      <c r="AK15" s="189" t="s">
        <v>239</v>
      </c>
      <c r="AL15" s="189"/>
      <c r="AM15" s="189"/>
      <c r="AN15" s="189"/>
      <c r="AO15" s="189"/>
      <c r="AP15" s="189"/>
      <c r="AQ15" s="189"/>
      <c r="AR15" s="189"/>
      <c r="AS15" s="189"/>
      <c r="AT15" s="189"/>
    </row>
    <row r="16" spans="1:46" x14ac:dyDescent="0.35">
      <c r="A16" s="35" t="s">
        <v>69</v>
      </c>
      <c r="B16" s="195" t="s">
        <v>85</v>
      </c>
      <c r="C16" s="183" t="s">
        <v>86</v>
      </c>
      <c r="D16" s="36" t="s">
        <v>87</v>
      </c>
      <c r="E16" s="7"/>
      <c r="F16" s="7"/>
      <c r="G16" s="7"/>
      <c r="H16" s="7"/>
      <c r="I16" s="7"/>
      <c r="J16" s="7"/>
      <c r="K16" s="7"/>
      <c r="P16">
        <v>65000</v>
      </c>
      <c r="Q16">
        <f t="shared" si="11"/>
        <v>13000</v>
      </c>
      <c r="R16">
        <v>14100</v>
      </c>
      <c r="S16">
        <f t="shared" si="12"/>
        <v>2820</v>
      </c>
      <c r="X16">
        <f>W12+Y12</f>
        <v>81316</v>
      </c>
      <c r="AL16" t="s">
        <v>216</v>
      </c>
      <c r="AN16" t="s">
        <v>217</v>
      </c>
      <c r="AP16" t="s">
        <v>218</v>
      </c>
      <c r="AR16" t="s">
        <v>219</v>
      </c>
      <c r="AT16" t="s">
        <v>151</v>
      </c>
    </row>
    <row r="17" spans="1:46" x14ac:dyDescent="0.35">
      <c r="A17" s="35" t="s">
        <v>69</v>
      </c>
      <c r="B17" s="195"/>
      <c r="C17" s="184"/>
      <c r="D17" s="36" t="s">
        <v>88</v>
      </c>
      <c r="E17" s="7"/>
      <c r="F17" s="7"/>
      <c r="G17" s="7"/>
      <c r="H17" s="7"/>
      <c r="I17" s="7"/>
      <c r="J17" s="7"/>
      <c r="K17" s="7"/>
      <c r="P17">
        <v>45000</v>
      </c>
      <c r="Q17">
        <f t="shared" si="11"/>
        <v>9000</v>
      </c>
      <c r="S17" s="80">
        <f>SUM(S14:S16)</f>
        <v>10020</v>
      </c>
      <c r="AL17" t="s">
        <v>216</v>
      </c>
    </row>
    <row r="18" spans="1:46" x14ac:dyDescent="0.35">
      <c r="A18" s="35" t="s">
        <v>69</v>
      </c>
      <c r="B18" s="195"/>
      <c r="C18" s="185"/>
      <c r="D18" s="36" t="s">
        <v>89</v>
      </c>
      <c r="E18" s="7"/>
      <c r="F18" s="7"/>
      <c r="G18" s="7"/>
      <c r="H18" s="7"/>
      <c r="I18" s="7"/>
      <c r="J18" s="7"/>
      <c r="K18" s="7"/>
      <c r="P18">
        <v>47000</v>
      </c>
      <c r="Q18">
        <f t="shared" si="11"/>
        <v>9400</v>
      </c>
      <c r="AK18" t="s">
        <v>212</v>
      </c>
      <c r="AL18">
        <v>80000</v>
      </c>
      <c r="AM18">
        <f>AL18/30/8*4*12</f>
        <v>16000</v>
      </c>
      <c r="AN18">
        <v>90000</v>
      </c>
      <c r="AO18">
        <f>AN18/30/8*4*12</f>
        <v>18000</v>
      </c>
      <c r="AP18">
        <v>90000</v>
      </c>
      <c r="AQ18">
        <f>AP18/30/8*4*12</f>
        <v>18000</v>
      </c>
      <c r="AR18">
        <v>70333.333333333328</v>
      </c>
      <c r="AS18">
        <f>AR18/30/8*4*12</f>
        <v>14066.666666666666</v>
      </c>
      <c r="AT18">
        <f>SUM(AM18+AO18+AQ18+AS18)</f>
        <v>66066.666666666672</v>
      </c>
    </row>
    <row r="19" spans="1:46" x14ac:dyDescent="0.35">
      <c r="A19" s="35"/>
      <c r="B19" s="195"/>
      <c r="C19" s="37"/>
      <c r="D19" s="36">
        <v>3</v>
      </c>
      <c r="E19" s="7"/>
      <c r="F19" s="7"/>
      <c r="G19" s="7"/>
      <c r="H19" s="7"/>
      <c r="I19" s="7"/>
      <c r="J19" s="7"/>
      <c r="K19" s="7"/>
      <c r="P19">
        <v>47000</v>
      </c>
      <c r="Q19">
        <f t="shared" si="11"/>
        <v>9400</v>
      </c>
      <c r="AK19" t="s">
        <v>213</v>
      </c>
      <c r="AL19">
        <v>40000</v>
      </c>
      <c r="AM19">
        <f t="shared" ref="AM19:AM21" si="13">AL19/30/8*4*12</f>
        <v>8000</v>
      </c>
      <c r="AN19">
        <v>70333.333333333328</v>
      </c>
      <c r="AO19">
        <f t="shared" ref="AO19:AO21" si="14">AN19/30/8*4*12</f>
        <v>14066.666666666666</v>
      </c>
      <c r="AP19">
        <v>70333.333333333328</v>
      </c>
      <c r="AQ19">
        <f t="shared" ref="AQ19:AQ21" si="15">AP19/30/8*4*12</f>
        <v>14066.666666666666</v>
      </c>
      <c r="AR19">
        <v>70333.333333333328</v>
      </c>
      <c r="AS19">
        <f t="shared" ref="AS19:AS21" si="16">AR19/30/8*4*12</f>
        <v>14066.666666666666</v>
      </c>
      <c r="AT19">
        <f>SUM(AM19+AO19+AQ19+AS19)</f>
        <v>50199.999999999993</v>
      </c>
    </row>
    <row r="20" spans="1:46" x14ac:dyDescent="0.35">
      <c r="A20" s="35" t="s">
        <v>69</v>
      </c>
      <c r="B20" s="195"/>
      <c r="C20" s="183" t="s">
        <v>90</v>
      </c>
      <c r="D20" s="36" t="s">
        <v>91</v>
      </c>
      <c r="E20" s="7"/>
      <c r="F20" s="7"/>
      <c r="G20" s="7"/>
      <c r="H20" s="7"/>
      <c r="I20" s="7"/>
      <c r="J20" s="7"/>
      <c r="K20" s="7"/>
      <c r="P20">
        <v>47000</v>
      </c>
      <c r="Q20">
        <f t="shared" si="11"/>
        <v>9400</v>
      </c>
      <c r="AK20" t="s">
        <v>214</v>
      </c>
      <c r="AL20">
        <v>70000</v>
      </c>
      <c r="AM20">
        <f t="shared" si="13"/>
        <v>14000</v>
      </c>
      <c r="AN20">
        <v>70000</v>
      </c>
      <c r="AO20">
        <f t="shared" si="14"/>
        <v>14000</v>
      </c>
      <c r="AP20">
        <v>70000</v>
      </c>
      <c r="AQ20">
        <f t="shared" si="15"/>
        <v>14000</v>
      </c>
      <c r="AR20">
        <v>70333.333333333328</v>
      </c>
      <c r="AS20">
        <f t="shared" si="16"/>
        <v>14066.666666666666</v>
      </c>
      <c r="AT20">
        <f>SUM(AM20+AO20+AQ20+AS20)</f>
        <v>56066.666666666664</v>
      </c>
    </row>
    <row r="21" spans="1:46" x14ac:dyDescent="0.35">
      <c r="A21" s="35" t="s">
        <v>69</v>
      </c>
      <c r="B21" s="195"/>
      <c r="C21" s="184"/>
      <c r="D21" s="36" t="s">
        <v>92</v>
      </c>
      <c r="E21" s="7"/>
      <c r="F21" s="7"/>
      <c r="G21" s="7"/>
      <c r="H21" s="7"/>
      <c r="I21" s="7"/>
      <c r="J21" s="7"/>
      <c r="K21" s="7"/>
      <c r="P21">
        <v>47000</v>
      </c>
      <c r="Q21">
        <f t="shared" si="11"/>
        <v>9400</v>
      </c>
      <c r="AK21" t="s">
        <v>215</v>
      </c>
      <c r="AL21">
        <v>78000</v>
      </c>
      <c r="AM21">
        <f t="shared" si="13"/>
        <v>15600</v>
      </c>
      <c r="AN21">
        <v>45000</v>
      </c>
      <c r="AO21">
        <f t="shared" si="14"/>
        <v>9000</v>
      </c>
      <c r="AP21">
        <v>70333.333333333328</v>
      </c>
      <c r="AQ21">
        <f t="shared" si="15"/>
        <v>14066.666666666666</v>
      </c>
      <c r="AR21">
        <v>70333.333333333328</v>
      </c>
      <c r="AS21">
        <f t="shared" si="16"/>
        <v>14066.666666666666</v>
      </c>
      <c r="AT21">
        <f>SUM(AM21+AO21+AQ21+AS21)</f>
        <v>52733.333333333328</v>
      </c>
    </row>
    <row r="22" spans="1:46" x14ac:dyDescent="0.35">
      <c r="A22" s="35" t="s">
        <v>69</v>
      </c>
      <c r="B22" s="195"/>
      <c r="C22" s="184"/>
      <c r="D22" s="36" t="s">
        <v>93</v>
      </c>
      <c r="E22" s="7"/>
      <c r="F22" s="7"/>
      <c r="G22" s="7"/>
      <c r="H22" s="7"/>
      <c r="I22" s="7"/>
      <c r="J22" s="7"/>
      <c r="K22" s="7"/>
      <c r="P22">
        <v>47000</v>
      </c>
      <c r="Q22">
        <f t="shared" si="11"/>
        <v>9400</v>
      </c>
    </row>
    <row r="23" spans="1:46" x14ac:dyDescent="0.35">
      <c r="A23" s="35" t="s">
        <v>69</v>
      </c>
      <c r="B23" s="195"/>
      <c r="C23" s="185"/>
      <c r="D23" s="36" t="s">
        <v>94</v>
      </c>
      <c r="E23" s="7"/>
      <c r="F23" s="7"/>
      <c r="G23" s="7"/>
      <c r="H23" s="7"/>
      <c r="I23" s="7"/>
      <c r="J23" s="7"/>
      <c r="K23" s="7"/>
      <c r="Q23" s="80">
        <f>SUM(Q14:Q22)</f>
        <v>89400</v>
      </c>
    </row>
    <row r="24" spans="1:46" x14ac:dyDescent="0.35">
      <c r="A24" s="35"/>
      <c r="B24" s="35"/>
      <c r="C24" s="37"/>
      <c r="D24" s="37">
        <v>4</v>
      </c>
      <c r="E24" s="7"/>
      <c r="F24" s="7"/>
      <c r="G24" s="7"/>
      <c r="H24" s="138"/>
      <c r="I24" s="139"/>
      <c r="J24" s="138"/>
      <c r="K24" s="139"/>
    </row>
    <row r="25" spans="1:46" s="63" customFormat="1" x14ac:dyDescent="0.35">
      <c r="A25" s="60"/>
      <c r="B25" s="196" t="s">
        <v>95</v>
      </c>
      <c r="C25" s="198" t="s">
        <v>96</v>
      </c>
      <c r="D25" s="61" t="s">
        <v>129</v>
      </c>
      <c r="E25" s="62"/>
      <c r="F25" s="62"/>
      <c r="G25" s="62"/>
      <c r="H25" s="62"/>
      <c r="I25" s="62"/>
      <c r="J25" s="62"/>
      <c r="K25" s="62"/>
    </row>
    <row r="26" spans="1:46" s="63" customFormat="1" x14ac:dyDescent="0.35">
      <c r="A26" s="60"/>
      <c r="B26" s="196"/>
      <c r="C26" s="198"/>
      <c r="D26" s="64" t="s">
        <v>97</v>
      </c>
      <c r="E26" s="62"/>
      <c r="F26" s="62"/>
      <c r="G26" s="62"/>
      <c r="H26" s="62"/>
      <c r="I26" s="62"/>
      <c r="J26" s="62"/>
      <c r="K26" s="62"/>
    </row>
    <row r="27" spans="1:46" s="63" customFormat="1" x14ac:dyDescent="0.35">
      <c r="A27" s="60"/>
      <c r="B27" s="196"/>
      <c r="C27" s="198"/>
      <c r="D27" s="64" t="s">
        <v>98</v>
      </c>
      <c r="E27" s="62"/>
      <c r="F27" s="62"/>
      <c r="G27" s="62"/>
      <c r="H27" s="62"/>
      <c r="I27" s="62"/>
      <c r="J27" s="62"/>
      <c r="K27" s="62"/>
    </row>
    <row r="28" spans="1:46" s="63" customFormat="1" x14ac:dyDescent="0.35">
      <c r="A28" s="60"/>
      <c r="B28" s="196"/>
      <c r="C28" s="198"/>
      <c r="D28" s="64" t="s">
        <v>99</v>
      </c>
      <c r="E28" s="62"/>
      <c r="F28" s="62"/>
      <c r="G28" s="62"/>
      <c r="H28" s="62"/>
      <c r="I28" s="62"/>
      <c r="J28" s="62"/>
      <c r="K28" s="62"/>
    </row>
    <row r="29" spans="1:46" s="63" customFormat="1" x14ac:dyDescent="0.35">
      <c r="A29" s="60"/>
      <c r="B29" s="196"/>
      <c r="C29" s="198"/>
      <c r="D29" s="65" t="s">
        <v>100</v>
      </c>
      <c r="E29" s="62"/>
      <c r="F29" s="62"/>
      <c r="G29" s="62"/>
      <c r="H29" s="62"/>
      <c r="I29" s="62"/>
      <c r="J29" s="62"/>
      <c r="K29" s="62" t="s">
        <v>130</v>
      </c>
    </row>
    <row r="30" spans="1:46" s="63" customFormat="1" x14ac:dyDescent="0.35">
      <c r="A30" s="60"/>
      <c r="B30" s="196"/>
      <c r="C30" s="66"/>
      <c r="D30" s="67">
        <v>5</v>
      </c>
      <c r="E30" s="62"/>
      <c r="F30" s="62"/>
      <c r="G30" s="62"/>
      <c r="H30" s="62"/>
      <c r="I30" s="62"/>
      <c r="J30" s="62"/>
      <c r="K30" s="62"/>
    </row>
    <row r="31" spans="1:46" s="57" customFormat="1" x14ac:dyDescent="0.35">
      <c r="A31" s="54"/>
      <c r="B31" s="196"/>
      <c r="C31" s="193" t="s">
        <v>101</v>
      </c>
      <c r="D31" s="59" t="s">
        <v>102</v>
      </c>
      <c r="E31" s="56"/>
      <c r="F31" s="56"/>
      <c r="G31" s="56"/>
      <c r="H31" s="56"/>
      <c r="I31" s="56"/>
      <c r="J31" s="56"/>
      <c r="K31" s="56"/>
    </row>
    <row r="32" spans="1:46" s="57" customFormat="1" x14ac:dyDescent="0.35">
      <c r="A32" s="54"/>
      <c r="B32" s="196"/>
      <c r="C32" s="193"/>
      <c r="D32" s="55" t="s">
        <v>103</v>
      </c>
      <c r="E32" s="56"/>
      <c r="F32" s="56"/>
      <c r="G32" s="56"/>
      <c r="H32" s="56"/>
      <c r="I32" s="56"/>
      <c r="J32" s="56"/>
      <c r="K32" s="56"/>
    </row>
    <row r="33" spans="1:11" s="57" customFormat="1" x14ac:dyDescent="0.35">
      <c r="A33" s="54"/>
      <c r="B33" s="196"/>
      <c r="C33" s="193"/>
      <c r="D33" s="55" t="s">
        <v>104</v>
      </c>
      <c r="E33" s="56"/>
      <c r="F33" s="56"/>
      <c r="G33" s="56"/>
      <c r="H33" s="56"/>
      <c r="I33" s="56"/>
      <c r="J33" s="56"/>
      <c r="K33" s="56"/>
    </row>
    <row r="34" spans="1:11" s="57" customFormat="1" x14ac:dyDescent="0.35">
      <c r="A34" s="54"/>
      <c r="B34" s="196"/>
      <c r="C34" s="193"/>
      <c r="D34" s="55" t="s">
        <v>105</v>
      </c>
      <c r="E34" s="56"/>
      <c r="F34" s="56"/>
      <c r="G34" s="56"/>
      <c r="H34" s="56"/>
      <c r="I34" s="56"/>
      <c r="J34" s="56"/>
      <c r="K34" s="56"/>
    </row>
    <row r="35" spans="1:11" s="57" customFormat="1" x14ac:dyDescent="0.35">
      <c r="A35" s="54"/>
      <c r="B35" s="197"/>
      <c r="C35" s="193"/>
      <c r="D35" s="58" t="s">
        <v>106</v>
      </c>
      <c r="E35" s="56"/>
      <c r="F35" s="56"/>
      <c r="G35" s="56"/>
      <c r="H35" s="56"/>
      <c r="I35" s="56"/>
      <c r="J35" s="56"/>
      <c r="K35" s="56"/>
    </row>
    <row r="36" spans="1:11" x14ac:dyDescent="0.35">
      <c r="A36" s="50"/>
      <c r="B36" s="42"/>
      <c r="C36" s="51"/>
      <c r="D36" s="43">
        <v>5</v>
      </c>
      <c r="E36" s="7"/>
      <c r="F36" s="7"/>
      <c r="G36" s="7"/>
      <c r="H36" s="7"/>
      <c r="I36" s="7"/>
      <c r="J36" s="7"/>
      <c r="K36" s="7"/>
    </row>
    <row r="37" spans="1:11" x14ac:dyDescent="0.35">
      <c r="B37" s="190" t="s">
        <v>107</v>
      </c>
      <c r="C37" s="193" t="s">
        <v>108</v>
      </c>
      <c r="D37" s="39" t="s">
        <v>109</v>
      </c>
      <c r="E37" s="7"/>
      <c r="F37" s="7"/>
      <c r="G37" s="7"/>
      <c r="H37" s="7"/>
      <c r="I37" s="7"/>
      <c r="J37" s="7"/>
      <c r="K37" s="7"/>
    </row>
    <row r="38" spans="1:11" x14ac:dyDescent="0.35">
      <c r="B38" s="191"/>
      <c r="C38" s="193"/>
      <c r="D38" s="39" t="s">
        <v>110</v>
      </c>
      <c r="E38" s="7"/>
      <c r="F38" s="7"/>
      <c r="G38" s="7"/>
      <c r="H38" s="7"/>
      <c r="I38" s="7"/>
      <c r="J38" s="7"/>
      <c r="K38" s="7"/>
    </row>
    <row r="39" spans="1:11" x14ac:dyDescent="0.35">
      <c r="B39" s="191"/>
      <c r="C39" s="193"/>
      <c r="D39" s="40" t="s">
        <v>111</v>
      </c>
      <c r="E39" s="7"/>
      <c r="F39" s="7"/>
      <c r="G39" s="7"/>
      <c r="H39" s="7"/>
      <c r="I39" s="7"/>
      <c r="J39" s="7"/>
      <c r="K39" s="7"/>
    </row>
    <row r="40" spans="1:11" x14ac:dyDescent="0.35">
      <c r="B40" s="191"/>
      <c r="C40" s="193"/>
      <c r="D40" s="40" t="s">
        <v>112</v>
      </c>
      <c r="E40" s="7"/>
      <c r="F40" s="7"/>
      <c r="G40" s="7"/>
      <c r="H40" s="7"/>
      <c r="I40" s="7"/>
      <c r="J40" s="7"/>
      <c r="K40" s="7"/>
    </row>
    <row r="41" spans="1:11" x14ac:dyDescent="0.35">
      <c r="B41" s="191"/>
      <c r="C41" s="193"/>
      <c r="D41" s="39" t="s">
        <v>113</v>
      </c>
      <c r="E41" s="7"/>
      <c r="F41" s="7"/>
      <c r="G41" s="7"/>
      <c r="H41" s="7"/>
      <c r="I41" s="7"/>
      <c r="J41" s="7"/>
      <c r="K41" s="7"/>
    </row>
    <row r="42" spans="1:11" x14ac:dyDescent="0.35">
      <c r="B42" s="191"/>
      <c r="C42" s="193"/>
      <c r="D42" s="39" t="s">
        <v>114</v>
      </c>
      <c r="E42" s="7"/>
      <c r="F42" s="7"/>
      <c r="G42" s="7"/>
      <c r="H42" s="7"/>
      <c r="I42" s="7"/>
      <c r="J42" s="7"/>
      <c r="K42" s="7"/>
    </row>
    <row r="43" spans="1:11" ht="35" x14ac:dyDescent="0.35">
      <c r="B43" s="191"/>
      <c r="C43" s="193"/>
      <c r="D43" s="44" t="s">
        <v>115</v>
      </c>
      <c r="E43" s="7"/>
      <c r="F43" s="7"/>
      <c r="G43" s="7"/>
      <c r="H43" s="7"/>
      <c r="I43" s="7"/>
      <c r="J43" s="7"/>
      <c r="K43" s="7"/>
    </row>
    <row r="44" spans="1:11" x14ac:dyDescent="0.35">
      <c r="B44" s="191"/>
      <c r="C44" s="41"/>
      <c r="D44" s="45">
        <v>7</v>
      </c>
      <c r="E44" s="7"/>
      <c r="F44" s="7"/>
      <c r="G44" s="7"/>
      <c r="H44" s="7"/>
      <c r="I44" s="7"/>
      <c r="J44" s="7"/>
      <c r="K44" s="7"/>
    </row>
    <row r="45" spans="1:11" s="57" customFormat="1" x14ac:dyDescent="0.35">
      <c r="A45" s="54"/>
      <c r="B45" s="191"/>
      <c r="C45" s="194" t="s">
        <v>116</v>
      </c>
      <c r="D45" s="59" t="s">
        <v>117</v>
      </c>
      <c r="E45" s="56"/>
      <c r="F45" s="56"/>
      <c r="G45" s="56"/>
      <c r="H45" s="56"/>
      <c r="I45" s="56"/>
      <c r="J45" s="56"/>
      <c r="K45" s="56"/>
    </row>
    <row r="46" spans="1:11" s="57" customFormat="1" x14ac:dyDescent="0.35">
      <c r="A46" s="54"/>
      <c r="B46" s="191"/>
      <c r="C46" s="194"/>
      <c r="D46" s="59" t="s">
        <v>118</v>
      </c>
      <c r="E46" s="56"/>
      <c r="F46" s="56"/>
      <c r="G46" s="56"/>
      <c r="H46" s="56"/>
      <c r="I46" s="56"/>
      <c r="J46" s="56"/>
      <c r="K46" s="56"/>
    </row>
    <row r="47" spans="1:11" s="57" customFormat="1" x14ac:dyDescent="0.35">
      <c r="A47" s="54"/>
      <c r="B47" s="191"/>
      <c r="C47" s="194"/>
      <c r="D47" s="59" t="s">
        <v>119</v>
      </c>
      <c r="E47" s="56"/>
      <c r="F47" s="56"/>
      <c r="G47" s="56"/>
      <c r="H47" s="56"/>
      <c r="I47" s="56"/>
      <c r="J47" s="56"/>
      <c r="K47" s="56"/>
    </row>
    <row r="48" spans="1:11" s="57" customFormat="1" x14ac:dyDescent="0.35">
      <c r="A48" s="54"/>
      <c r="B48" s="191"/>
      <c r="C48" s="194"/>
      <c r="D48" s="59" t="s">
        <v>120</v>
      </c>
      <c r="E48" s="56"/>
      <c r="F48" s="56"/>
      <c r="G48" s="56"/>
      <c r="H48" s="56"/>
      <c r="I48" s="56"/>
      <c r="J48" s="56"/>
      <c r="K48" s="56"/>
    </row>
    <row r="49" spans="1:11" s="57" customFormat="1" x14ac:dyDescent="0.35">
      <c r="A49" s="54"/>
      <c r="B49" s="191"/>
      <c r="C49" s="194"/>
      <c r="D49" s="59" t="s">
        <v>121</v>
      </c>
      <c r="E49" s="56"/>
      <c r="F49" s="56"/>
      <c r="G49" s="56"/>
      <c r="H49" s="56"/>
      <c r="I49" s="56"/>
      <c r="J49" s="56"/>
      <c r="K49" s="56"/>
    </row>
    <row r="50" spans="1:11" s="57" customFormat="1" x14ac:dyDescent="0.35">
      <c r="A50" s="54"/>
      <c r="B50" s="191"/>
      <c r="C50" s="194"/>
      <c r="D50" s="59" t="s">
        <v>122</v>
      </c>
      <c r="E50" s="56"/>
      <c r="F50" s="56"/>
      <c r="G50" s="56"/>
      <c r="H50" s="56"/>
      <c r="I50" s="56"/>
      <c r="J50" s="56"/>
      <c r="K50" s="56"/>
    </row>
    <row r="51" spans="1:11" s="57" customFormat="1" ht="35" x14ac:dyDescent="0.35">
      <c r="A51" s="54"/>
      <c r="B51" s="192"/>
      <c r="C51" s="194"/>
      <c r="D51" s="59" t="s">
        <v>123</v>
      </c>
      <c r="E51" s="56"/>
      <c r="F51" s="56"/>
      <c r="G51" s="56"/>
      <c r="H51" s="56"/>
      <c r="I51" s="56"/>
      <c r="J51" s="56"/>
      <c r="K51" s="56"/>
    </row>
    <row r="52" spans="1:11" x14ac:dyDescent="0.35">
      <c r="A52" s="35"/>
      <c r="B52" s="52"/>
      <c r="C52" s="35"/>
      <c r="D52" s="53">
        <v>7</v>
      </c>
      <c r="E52" s="7"/>
      <c r="F52" s="7"/>
      <c r="G52" s="7"/>
      <c r="H52" s="7"/>
      <c r="I52" s="7"/>
      <c r="J52" s="7"/>
      <c r="K52" s="7"/>
    </row>
  </sheetData>
  <mergeCells count="21">
    <mergeCell ref="AK1:AT1"/>
    <mergeCell ref="AK15:AT15"/>
    <mergeCell ref="H24:I24"/>
    <mergeCell ref="J24:K24"/>
    <mergeCell ref="B37:B51"/>
    <mergeCell ref="C37:C43"/>
    <mergeCell ref="C45:C51"/>
    <mergeCell ref="B16:B23"/>
    <mergeCell ref="C16:C18"/>
    <mergeCell ref="C20:C23"/>
    <mergeCell ref="B25:B35"/>
    <mergeCell ref="C25:C29"/>
    <mergeCell ref="C31:C35"/>
    <mergeCell ref="O1:P1"/>
    <mergeCell ref="AA1:AG1"/>
    <mergeCell ref="B2:B14"/>
    <mergeCell ref="C2:C6"/>
    <mergeCell ref="C8:C14"/>
    <mergeCell ref="H1:I1"/>
    <mergeCell ref="J1:K1"/>
    <mergeCell ref="L2:L14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23"/>
  <sheetViews>
    <sheetView topLeftCell="X1" workbookViewId="0">
      <selection activeCell="G16" sqref="G16"/>
    </sheetView>
  </sheetViews>
  <sheetFormatPr defaultRowHeight="14.5" x14ac:dyDescent="0.35"/>
  <cols>
    <col min="1" max="1" width="20.81640625" customWidth="1"/>
    <col min="7" max="7" width="22.7265625" customWidth="1"/>
    <col min="8" max="8" width="10.7265625" bestFit="1" customWidth="1"/>
    <col min="10" max="10" width="10.7265625" bestFit="1" customWidth="1"/>
    <col min="12" max="12" width="10.7265625" bestFit="1" customWidth="1"/>
    <col min="14" max="14" width="10.7265625" bestFit="1" customWidth="1"/>
    <col min="16" max="16" width="14.54296875" customWidth="1"/>
    <col min="31" max="31" width="13.453125" customWidth="1"/>
    <col min="36" max="36" width="12" customWidth="1"/>
    <col min="37" max="37" width="15.7265625" customWidth="1"/>
    <col min="38" max="38" width="14.7265625" customWidth="1"/>
  </cols>
  <sheetData>
    <row r="1" spans="1:39" x14ac:dyDescent="0.35">
      <c r="A1" s="84" t="s">
        <v>136</v>
      </c>
      <c r="B1" s="84" t="s">
        <v>57</v>
      </c>
      <c r="C1" s="84" t="s">
        <v>58</v>
      </c>
      <c r="D1" s="84" t="s">
        <v>133</v>
      </c>
      <c r="E1" s="84" t="s">
        <v>60</v>
      </c>
      <c r="F1" s="84"/>
      <c r="G1" s="200" t="s">
        <v>262</v>
      </c>
      <c r="H1" s="189"/>
      <c r="I1" s="189"/>
      <c r="J1" s="189"/>
      <c r="K1" s="189"/>
      <c r="L1" s="189"/>
      <c r="M1" s="189"/>
      <c r="N1" s="189"/>
      <c r="O1" s="189"/>
      <c r="P1" s="189"/>
      <c r="Q1" s="189"/>
      <c r="S1" t="s">
        <v>223</v>
      </c>
    </row>
    <row r="2" spans="1:39" x14ac:dyDescent="0.35">
      <c r="A2" s="84" t="s">
        <v>137</v>
      </c>
      <c r="B2" s="84"/>
      <c r="C2" s="84"/>
      <c r="D2" s="84"/>
      <c r="E2" s="84"/>
      <c r="F2" s="84"/>
      <c r="G2" s="10" t="s">
        <v>137</v>
      </c>
      <c r="H2" s="10" t="s">
        <v>57</v>
      </c>
      <c r="I2" s="10" t="s">
        <v>138</v>
      </c>
      <c r="J2" s="10" t="s">
        <v>58</v>
      </c>
      <c r="K2" s="10" t="s">
        <v>138</v>
      </c>
      <c r="L2" s="10" t="s">
        <v>133</v>
      </c>
      <c r="M2" s="10" t="s">
        <v>138</v>
      </c>
      <c r="N2" s="10" t="s">
        <v>60</v>
      </c>
      <c r="O2" s="10" t="s">
        <v>139</v>
      </c>
      <c r="P2" s="10" t="s">
        <v>140</v>
      </c>
      <c r="Q2" s="10" t="s">
        <v>263</v>
      </c>
      <c r="T2" t="s">
        <v>57</v>
      </c>
      <c r="U2" t="s">
        <v>58</v>
      </c>
      <c r="V2" t="s">
        <v>133</v>
      </c>
      <c r="W2" t="s">
        <v>60</v>
      </c>
      <c r="X2" t="s">
        <v>243</v>
      </c>
      <c r="Y2" t="s">
        <v>244</v>
      </c>
      <c r="Z2" t="s">
        <v>245</v>
      </c>
      <c r="AA2" t="s">
        <v>246</v>
      </c>
      <c r="AE2" t="s">
        <v>141</v>
      </c>
      <c r="AF2" t="s">
        <v>142</v>
      </c>
      <c r="AG2" t="s">
        <v>143</v>
      </c>
      <c r="AH2" t="s">
        <v>144</v>
      </c>
      <c r="AI2" t="s">
        <v>146</v>
      </c>
      <c r="AJ2" t="s">
        <v>27</v>
      </c>
      <c r="AK2" t="s">
        <v>147</v>
      </c>
      <c r="AL2" t="s">
        <v>148</v>
      </c>
      <c r="AM2" t="s">
        <v>149</v>
      </c>
    </row>
    <row r="3" spans="1:39" x14ac:dyDescent="0.35">
      <c r="A3" s="84"/>
      <c r="B3" s="84"/>
      <c r="C3" s="84"/>
      <c r="D3" s="84"/>
      <c r="E3" s="84"/>
      <c r="F3" s="84"/>
      <c r="G3" s="4"/>
      <c r="H3" s="85"/>
      <c r="I3" s="85"/>
      <c r="J3" s="85"/>
      <c r="K3" s="85"/>
      <c r="L3" s="85"/>
      <c r="M3" s="85"/>
      <c r="N3" s="85"/>
      <c r="O3" s="85"/>
      <c r="P3" s="85"/>
      <c r="Q3" s="4"/>
      <c r="AC3" t="s">
        <v>57</v>
      </c>
      <c r="AE3">
        <v>226752.82100000003</v>
      </c>
      <c r="AF3">
        <v>6453.8975416666663</v>
      </c>
      <c r="AG3">
        <v>31500</v>
      </c>
      <c r="AH3">
        <v>0</v>
      </c>
      <c r="AI3">
        <v>88000</v>
      </c>
      <c r="AJ3">
        <v>352706.71854166669</v>
      </c>
      <c r="AK3">
        <v>99.973559677343161</v>
      </c>
      <c r="AL3">
        <v>105.85435730542217</v>
      </c>
      <c r="AM3">
        <v>1799.5240741921771</v>
      </c>
    </row>
    <row r="4" spans="1:39" x14ac:dyDescent="0.35">
      <c r="A4" s="84" t="s">
        <v>141</v>
      </c>
      <c r="B4" s="84">
        <v>226752.82100000003</v>
      </c>
      <c r="C4" s="84">
        <v>126467.27933333334</v>
      </c>
      <c r="D4" s="84">
        <v>163643.696</v>
      </c>
      <c r="E4" s="84">
        <v>186276.23766666665</v>
      </c>
      <c r="F4" s="84"/>
      <c r="G4" s="10" t="s">
        <v>141</v>
      </c>
      <c r="H4" s="92">
        <v>226752.82100000003</v>
      </c>
      <c r="I4" s="103">
        <f>H4/H9*100</f>
        <v>64.289339862181492</v>
      </c>
      <c r="J4" s="92">
        <v>126467.27933333334</v>
      </c>
      <c r="K4" s="103">
        <f>J4/J9*100</f>
        <v>54.738426885377436</v>
      </c>
      <c r="L4" s="92">
        <v>163643.696</v>
      </c>
      <c r="M4" s="103">
        <f>L4/L9*100</f>
        <v>36.761929567744936</v>
      </c>
      <c r="N4" s="92">
        <v>186276.23766666665</v>
      </c>
      <c r="O4" s="103">
        <f>N4/N9*100</f>
        <v>58.861302929231783</v>
      </c>
      <c r="P4" s="110">
        <f>(H4+J4+L4+N4)/4</f>
        <v>175785.0085</v>
      </c>
      <c r="Q4" s="111">
        <f>P4/P9*100</f>
        <v>52.264201975073341</v>
      </c>
      <c r="S4" t="s">
        <v>141</v>
      </c>
      <c r="T4">
        <v>226752.82100000003</v>
      </c>
      <c r="U4">
        <v>126467.27933333334</v>
      </c>
      <c r="V4">
        <v>163643.696</v>
      </c>
      <c r="W4">
        <v>186276.23766666665</v>
      </c>
      <c r="X4">
        <v>262143.9259375</v>
      </c>
      <c r="Y4">
        <v>202169.6759375</v>
      </c>
      <c r="Z4">
        <v>200629.1759375</v>
      </c>
      <c r="AA4">
        <v>120919.6759375</v>
      </c>
      <c r="AC4" t="s">
        <v>58</v>
      </c>
      <c r="AE4">
        <v>126467.27933333334</v>
      </c>
      <c r="AF4">
        <v>6572.0225416666663</v>
      </c>
      <c r="AG4">
        <v>45000</v>
      </c>
      <c r="AH4">
        <v>0</v>
      </c>
      <c r="AI4">
        <v>53000</v>
      </c>
      <c r="AJ4">
        <v>231039.301875</v>
      </c>
      <c r="AK4">
        <v>48.253822446741857</v>
      </c>
      <c r="AL4">
        <v>51.09228259066785</v>
      </c>
      <c r="AM4">
        <v>868.56880404135336</v>
      </c>
    </row>
    <row r="5" spans="1:39" x14ac:dyDescent="0.35">
      <c r="A5" s="84" t="s">
        <v>142</v>
      </c>
      <c r="B5" s="84">
        <v>6453.8975416666663</v>
      </c>
      <c r="C5" s="84">
        <v>6572.0225416666663</v>
      </c>
      <c r="D5" s="84">
        <v>6500.7725416666663</v>
      </c>
      <c r="E5" s="84">
        <v>6690.1475416666663</v>
      </c>
      <c r="F5" s="84"/>
      <c r="G5" s="10" t="s">
        <v>142</v>
      </c>
      <c r="H5" s="92">
        <v>6453.8975416666663</v>
      </c>
      <c r="I5" s="103">
        <f>H5/H9*100</f>
        <v>1.8298198481592691</v>
      </c>
      <c r="J5" s="92">
        <v>6572.0225416666663</v>
      </c>
      <c r="K5" s="103">
        <f>J5/J9*100</f>
        <v>2.8445474377438824</v>
      </c>
      <c r="L5" s="92">
        <v>6500.7725416666663</v>
      </c>
      <c r="M5" s="103">
        <f>L5/L9*100</f>
        <v>1.4603736541900165</v>
      </c>
      <c r="N5" s="92">
        <v>6690.1475416666663</v>
      </c>
      <c r="O5" s="103">
        <f>N5/N9*100</f>
        <v>2.1140152175285434</v>
      </c>
      <c r="P5" s="110">
        <f t="shared" ref="P5:P12" si="0">(H5+J5+L5+N5)/4</f>
        <v>6554.2100416666663</v>
      </c>
      <c r="Q5" s="111">
        <f>P5/P9*100</f>
        <v>1.948690393610673</v>
      </c>
      <c r="S5" t="s">
        <v>142</v>
      </c>
      <c r="T5">
        <v>6453.8975416666663</v>
      </c>
      <c r="U5">
        <v>6572.0225416666663</v>
      </c>
      <c r="V5">
        <v>6500.7725416666663</v>
      </c>
      <c r="W5">
        <v>6690.1475416666663</v>
      </c>
      <c r="X5">
        <v>8597.1064843749991</v>
      </c>
      <c r="Y5">
        <v>6217.543984375</v>
      </c>
      <c r="Z5">
        <v>5537.668984375</v>
      </c>
      <c r="AA5">
        <v>4848.043984375</v>
      </c>
      <c r="AC5" t="s">
        <v>133</v>
      </c>
      <c r="AE5">
        <v>163643.696</v>
      </c>
      <c r="AF5">
        <v>6500.7725416666663</v>
      </c>
      <c r="AG5">
        <v>81000</v>
      </c>
      <c r="AH5">
        <v>0</v>
      </c>
      <c r="AI5">
        <v>194000</v>
      </c>
      <c r="AJ5">
        <v>445144.46854166663</v>
      </c>
      <c r="AK5">
        <v>134.40352311040658</v>
      </c>
      <c r="AL5">
        <v>142.3096127051364</v>
      </c>
      <c r="AM5">
        <v>2419.2634159873187</v>
      </c>
    </row>
    <row r="6" spans="1:39" x14ac:dyDescent="0.35">
      <c r="A6" s="84" t="s">
        <v>143</v>
      </c>
      <c r="B6" s="84">
        <v>31500</v>
      </c>
      <c r="C6" s="84">
        <v>45000</v>
      </c>
      <c r="D6" s="84">
        <v>81000</v>
      </c>
      <c r="E6" s="84">
        <v>40500</v>
      </c>
      <c r="F6" s="84"/>
      <c r="G6" s="10" t="s">
        <v>143</v>
      </c>
      <c r="H6" s="92">
        <v>31500</v>
      </c>
      <c r="I6" s="103">
        <f>H6/H9*100</f>
        <v>8.9309327960189613</v>
      </c>
      <c r="J6" s="92">
        <v>45000</v>
      </c>
      <c r="K6" s="103">
        <f>J6/J9*100</f>
        <v>19.477205667954497</v>
      </c>
      <c r="L6" s="92">
        <v>81000</v>
      </c>
      <c r="M6" s="103">
        <f>L6/L9*100</f>
        <v>18.196339778266434</v>
      </c>
      <c r="N6" s="92">
        <v>40500</v>
      </c>
      <c r="O6" s="103">
        <f>N6/N9*100</f>
        <v>12.797567733248636</v>
      </c>
      <c r="P6" s="110">
        <f t="shared" si="0"/>
        <v>49500</v>
      </c>
      <c r="Q6" s="111">
        <f>P6/P9*100</f>
        <v>14.717284595780136</v>
      </c>
      <c r="S6" t="s">
        <v>143</v>
      </c>
      <c r="T6">
        <v>31500</v>
      </c>
      <c r="U6">
        <v>45000</v>
      </c>
      <c r="V6">
        <v>81000</v>
      </c>
      <c r="W6">
        <v>40500</v>
      </c>
      <c r="X6">
        <v>48500</v>
      </c>
      <c r="Y6">
        <v>44000</v>
      </c>
      <c r="Z6">
        <v>48500</v>
      </c>
      <c r="AA6">
        <v>29000</v>
      </c>
      <c r="AC6" t="s">
        <v>60</v>
      </c>
      <c r="AE6">
        <v>186276.23766666665</v>
      </c>
      <c r="AF6">
        <v>6690.1475416666663</v>
      </c>
      <c r="AG6">
        <v>40500</v>
      </c>
      <c r="AH6">
        <v>0</v>
      </c>
      <c r="AI6">
        <v>83000</v>
      </c>
      <c r="AJ6">
        <v>316466.38520833332</v>
      </c>
      <c r="AK6">
        <v>40.88712987187769</v>
      </c>
      <c r="AL6">
        <v>43.29225515845873</v>
      </c>
      <c r="AM6">
        <v>735.96833769379839</v>
      </c>
    </row>
    <row r="7" spans="1:39" x14ac:dyDescent="0.35">
      <c r="A7" s="84" t="s">
        <v>144</v>
      </c>
      <c r="B7" s="84">
        <v>0</v>
      </c>
      <c r="C7" s="84">
        <v>0</v>
      </c>
      <c r="D7" s="84">
        <v>0</v>
      </c>
      <c r="E7" s="84">
        <v>0</v>
      </c>
      <c r="F7" s="84"/>
      <c r="G7" s="10" t="s">
        <v>144</v>
      </c>
      <c r="H7" s="92">
        <v>0</v>
      </c>
      <c r="I7" s="103"/>
      <c r="J7" s="92">
        <v>0</v>
      </c>
      <c r="K7" s="103"/>
      <c r="L7" s="92">
        <v>0</v>
      </c>
      <c r="M7" s="103"/>
      <c r="N7" s="92">
        <v>0</v>
      </c>
      <c r="O7" s="103"/>
      <c r="P7" s="110">
        <f t="shared" si="0"/>
        <v>0</v>
      </c>
      <c r="Q7" s="111">
        <f>P7/P9*100</f>
        <v>0</v>
      </c>
      <c r="S7" t="s">
        <v>144</v>
      </c>
      <c r="T7">
        <v>0</v>
      </c>
      <c r="U7">
        <v>0</v>
      </c>
      <c r="V7">
        <v>0</v>
      </c>
      <c r="W7">
        <v>0</v>
      </c>
      <c r="X7">
        <v>0</v>
      </c>
      <c r="Y7">
        <v>412500</v>
      </c>
      <c r="Z7">
        <v>187500</v>
      </c>
      <c r="AA7">
        <v>0</v>
      </c>
      <c r="AC7" t="s">
        <v>243</v>
      </c>
      <c r="AE7">
        <v>262143.9259375</v>
      </c>
      <c r="AF7">
        <v>8597.1064843749991</v>
      </c>
      <c r="AG7">
        <v>48500</v>
      </c>
      <c r="AH7">
        <v>0</v>
      </c>
      <c r="AI7">
        <v>91800</v>
      </c>
      <c r="AJ7">
        <v>411041.03242187499</v>
      </c>
      <c r="AK7">
        <v>115.81883133893349</v>
      </c>
      <c r="AL7">
        <v>122.88222194973841</v>
      </c>
      <c r="AM7">
        <v>2014.9070216758578</v>
      </c>
    </row>
    <row r="8" spans="1:39" x14ac:dyDescent="0.35">
      <c r="A8" s="84" t="s">
        <v>145</v>
      </c>
      <c r="B8" s="84">
        <v>88000</v>
      </c>
      <c r="C8" s="84">
        <v>53000</v>
      </c>
      <c r="D8" s="84">
        <v>194000</v>
      </c>
      <c r="E8" s="84">
        <v>83000</v>
      </c>
      <c r="F8" s="84"/>
      <c r="G8" s="10" t="s">
        <v>146</v>
      </c>
      <c r="H8" s="92">
        <v>88000</v>
      </c>
      <c r="I8" s="103">
        <f>H8/H9*100</f>
        <v>24.949907493640271</v>
      </c>
      <c r="J8" s="92">
        <v>53000</v>
      </c>
      <c r="K8" s="103">
        <f>J8/J9*100</f>
        <v>22.939820008924183</v>
      </c>
      <c r="L8" s="92">
        <v>194000</v>
      </c>
      <c r="M8" s="103">
        <f>L8/L9*100</f>
        <v>43.581356999798622</v>
      </c>
      <c r="N8" s="92">
        <v>83000</v>
      </c>
      <c r="O8" s="103">
        <f>N8/N9*100</f>
        <v>26.227114119991036</v>
      </c>
      <c r="P8" s="110">
        <f t="shared" si="0"/>
        <v>104500</v>
      </c>
      <c r="Q8" s="111">
        <f>P8/P9*100</f>
        <v>31.069823035535844</v>
      </c>
      <c r="S8" t="s">
        <v>146</v>
      </c>
      <c r="T8">
        <v>88000</v>
      </c>
      <c r="U8">
        <v>53000</v>
      </c>
      <c r="V8">
        <v>194000</v>
      </c>
      <c r="W8">
        <v>83000</v>
      </c>
      <c r="X8">
        <v>91800</v>
      </c>
      <c r="Y8">
        <v>46800</v>
      </c>
      <c r="Z8">
        <v>166000</v>
      </c>
      <c r="AA8">
        <v>72900</v>
      </c>
      <c r="AC8" t="s">
        <v>244</v>
      </c>
      <c r="AE8">
        <v>202169.6759375</v>
      </c>
      <c r="AF8">
        <v>6217.543984375</v>
      </c>
      <c r="AG8">
        <v>44000</v>
      </c>
      <c r="AH8">
        <v>412500</v>
      </c>
      <c r="AI8">
        <v>46800</v>
      </c>
      <c r="AJ8">
        <v>711687.21992187505</v>
      </c>
      <c r="AK8">
        <v>242.07048296662416</v>
      </c>
      <c r="AL8">
        <v>277.7858001256343</v>
      </c>
      <c r="AM8">
        <v>1882.7704230737436</v>
      </c>
    </row>
    <row r="9" spans="1:39" x14ac:dyDescent="0.35">
      <c r="A9" s="84" t="s">
        <v>27</v>
      </c>
      <c r="B9" s="84">
        <f>SUM(B4:B8)</f>
        <v>352706.71854166669</v>
      </c>
      <c r="C9" s="84">
        <f>SUM(C4:C8)</f>
        <v>231039.301875</v>
      </c>
      <c r="D9" s="84">
        <f>SUM(D4:D8)</f>
        <v>445144.46854166663</v>
      </c>
      <c r="E9" s="84">
        <f>SUM(E4:E8)</f>
        <v>316466.38520833332</v>
      </c>
      <c r="F9" s="84"/>
      <c r="G9" s="107" t="s">
        <v>27</v>
      </c>
      <c r="H9" s="108">
        <v>352706.71854166669</v>
      </c>
      <c r="I9" s="109"/>
      <c r="J9" s="108">
        <v>231039.301875</v>
      </c>
      <c r="K9" s="109"/>
      <c r="L9" s="108">
        <v>445144.46854166663</v>
      </c>
      <c r="M9" s="109"/>
      <c r="N9" s="108">
        <v>316466.38520833332</v>
      </c>
      <c r="O9" s="109"/>
      <c r="P9" s="108">
        <f t="shared" si="0"/>
        <v>336339.21854166669</v>
      </c>
      <c r="Q9" s="4"/>
      <c r="S9" t="s">
        <v>27</v>
      </c>
      <c r="T9">
        <v>352706.71854166669</v>
      </c>
      <c r="U9">
        <v>231039.301875</v>
      </c>
      <c r="V9">
        <v>445144.46854166663</v>
      </c>
      <c r="W9">
        <v>316466.38520833332</v>
      </c>
      <c r="X9">
        <v>411041.03242187499</v>
      </c>
      <c r="Y9">
        <v>711687.21992187505</v>
      </c>
      <c r="Z9">
        <v>608166.84492187505</v>
      </c>
      <c r="AA9">
        <v>227667.71992187499</v>
      </c>
      <c r="AC9" t="s">
        <v>245</v>
      </c>
      <c r="AE9">
        <v>200629.1759375</v>
      </c>
      <c r="AF9">
        <v>5537.668984375</v>
      </c>
      <c r="AG9">
        <v>48500</v>
      </c>
      <c r="AH9">
        <v>187500</v>
      </c>
      <c r="AI9">
        <v>166000</v>
      </c>
      <c r="AJ9">
        <v>608166.84492187505</v>
      </c>
      <c r="AK9">
        <v>410.64608029836262</v>
      </c>
      <c r="AL9">
        <v>460.38368275690766</v>
      </c>
      <c r="AM9">
        <v>3801.0427807617189</v>
      </c>
    </row>
    <row r="10" spans="1:39" x14ac:dyDescent="0.35">
      <c r="A10" s="84" t="s">
        <v>186</v>
      </c>
      <c r="B10" s="84"/>
      <c r="C10" s="84"/>
      <c r="D10" s="84"/>
      <c r="E10" s="84"/>
      <c r="F10" s="84"/>
      <c r="G10" s="10" t="s">
        <v>147</v>
      </c>
      <c r="H10" s="93">
        <f>H9/I16</f>
        <v>99.973559677343161</v>
      </c>
      <c r="I10" s="93"/>
      <c r="J10" s="93">
        <f>J9/J16</f>
        <v>48.253822446741857</v>
      </c>
      <c r="K10" s="93"/>
      <c r="L10" s="93">
        <f>L9/K16</f>
        <v>134.40352311040658</v>
      </c>
      <c r="M10" s="93"/>
      <c r="N10" s="93">
        <f>N9/L16</f>
        <v>40.88712987187769</v>
      </c>
      <c r="O10" s="93"/>
      <c r="P10" s="104">
        <f t="shared" si="0"/>
        <v>80.879508776592317</v>
      </c>
      <c r="Q10" s="4"/>
      <c r="S10" t="s">
        <v>147</v>
      </c>
      <c r="T10">
        <v>99.973559677343161</v>
      </c>
      <c r="U10">
        <v>48.253822446741857</v>
      </c>
      <c r="V10">
        <v>134.40352311040658</v>
      </c>
      <c r="W10">
        <v>40.88712987187769</v>
      </c>
      <c r="X10">
        <v>115.81883133893349</v>
      </c>
      <c r="Y10">
        <v>242.07048296662416</v>
      </c>
      <c r="Z10">
        <v>410.64608029836262</v>
      </c>
      <c r="AA10">
        <v>162.15649567085114</v>
      </c>
      <c r="AC10" t="s">
        <v>246</v>
      </c>
      <c r="AE10">
        <v>120919.6759375</v>
      </c>
      <c r="AF10">
        <v>4848.043984375</v>
      </c>
      <c r="AG10">
        <v>29000</v>
      </c>
      <c r="AH10">
        <v>0</v>
      </c>
      <c r="AI10">
        <v>72900</v>
      </c>
      <c r="AJ10">
        <v>227667.71992187499</v>
      </c>
      <c r="AK10">
        <v>162.15649567085114</v>
      </c>
      <c r="AL10">
        <v>182.42605762970751</v>
      </c>
      <c r="AM10">
        <v>1459.4084610376601</v>
      </c>
    </row>
    <row r="11" spans="1:39" x14ac:dyDescent="0.35">
      <c r="A11" s="84"/>
      <c r="B11" s="84"/>
      <c r="C11" s="84"/>
      <c r="D11" s="84"/>
      <c r="E11" s="84"/>
      <c r="F11" s="84"/>
      <c r="G11" s="10" t="s">
        <v>148</v>
      </c>
      <c r="H11" s="92">
        <f>H9/I14</f>
        <v>105.85435730542217</v>
      </c>
      <c r="I11" s="92"/>
      <c r="J11" s="92">
        <f>J9/J14</f>
        <v>51.09228259066785</v>
      </c>
      <c r="K11" s="92"/>
      <c r="L11" s="92">
        <f>L9/K14</f>
        <v>142.3096127051364</v>
      </c>
      <c r="M11" s="92"/>
      <c r="N11" s="92">
        <f>N9/L14</f>
        <v>43.29225515845873</v>
      </c>
      <c r="O11" s="92"/>
      <c r="P11" s="104">
        <f t="shared" si="0"/>
        <v>85.637126939921274</v>
      </c>
      <c r="Q11" s="4"/>
      <c r="S11" t="s">
        <v>148</v>
      </c>
      <c r="T11">
        <v>105.85435730542217</v>
      </c>
      <c r="U11">
        <v>51.09228259066785</v>
      </c>
      <c r="V11">
        <v>142.3096127051364</v>
      </c>
      <c r="W11">
        <v>43.29225515845873</v>
      </c>
      <c r="X11">
        <v>122.88222194973841</v>
      </c>
      <c r="Y11">
        <v>277.7858001256343</v>
      </c>
      <c r="Z11">
        <v>460.38368275690766</v>
      </c>
      <c r="AA11">
        <v>182.42605762970751</v>
      </c>
    </row>
    <row r="12" spans="1:39" x14ac:dyDescent="0.35">
      <c r="A12" s="84" t="s">
        <v>182</v>
      </c>
      <c r="B12" s="84">
        <v>219581.16666666669</v>
      </c>
      <c r="C12" s="84">
        <v>115461.25</v>
      </c>
      <c r="D12" s="84">
        <v>152637.66666666666</v>
      </c>
      <c r="E12" s="84">
        <v>175035.83333333331</v>
      </c>
      <c r="F12" s="84"/>
      <c r="G12" s="10" t="s">
        <v>149</v>
      </c>
      <c r="H12" s="92">
        <f>H9/I15</f>
        <v>1799.5240741921771</v>
      </c>
      <c r="I12" s="92"/>
      <c r="J12" s="92">
        <f>J9/J15</f>
        <v>868.56880404135336</v>
      </c>
      <c r="K12" s="92"/>
      <c r="L12" s="92">
        <f>L9/K15</f>
        <v>2419.2634159873187</v>
      </c>
      <c r="M12" s="92"/>
      <c r="N12" s="92">
        <f>N9/L15</f>
        <v>735.96833769379839</v>
      </c>
      <c r="O12" s="92"/>
      <c r="P12" s="104">
        <f t="shared" si="0"/>
        <v>1455.8311579786618</v>
      </c>
      <c r="Q12" s="4"/>
      <c r="S12" t="s">
        <v>149</v>
      </c>
      <c r="T12">
        <v>1799.5240741921771</v>
      </c>
      <c r="U12">
        <v>868.56880404135336</v>
      </c>
      <c r="V12">
        <v>2419.2634159873187</v>
      </c>
      <c r="W12">
        <v>735.96833769379839</v>
      </c>
      <c r="X12">
        <v>2014.9070216758578</v>
      </c>
      <c r="Y12">
        <v>1882.7704230737436</v>
      </c>
      <c r="Z12">
        <v>3801.0427807617189</v>
      </c>
      <c r="AA12">
        <v>1459.4084610376601</v>
      </c>
    </row>
    <row r="13" spans="1:39" x14ac:dyDescent="0.35">
      <c r="A13" s="84" t="s">
        <v>180</v>
      </c>
      <c r="B13" s="84">
        <v>6271.6543333333339</v>
      </c>
      <c r="C13" s="84">
        <v>6271.6543333333339</v>
      </c>
      <c r="D13" s="84">
        <v>6271.6543333333339</v>
      </c>
      <c r="E13" s="84">
        <v>6271.6543333333339</v>
      </c>
      <c r="F13" s="84"/>
      <c r="G13" s="84"/>
      <c r="H13" s="84"/>
      <c r="I13" s="84"/>
      <c r="J13" s="84"/>
      <c r="K13" s="84"/>
      <c r="L13" s="84"/>
      <c r="M13" s="84"/>
      <c r="N13" s="84"/>
      <c r="O13" s="84"/>
      <c r="P13" s="84"/>
      <c r="Q13" s="84"/>
    </row>
    <row r="14" spans="1:39" x14ac:dyDescent="0.35">
      <c r="A14" s="84" t="s">
        <v>45</v>
      </c>
      <c r="B14">
        <v>900</v>
      </c>
      <c r="C14">
        <v>4734.375</v>
      </c>
      <c r="D14">
        <v>4734.375</v>
      </c>
      <c r="E14">
        <v>4968.75</v>
      </c>
      <c r="F14" s="84"/>
      <c r="G14" s="84"/>
      <c r="H14" s="84" t="s">
        <v>183</v>
      </c>
      <c r="I14" s="84">
        <v>3332</v>
      </c>
      <c r="J14" s="84">
        <v>4522</v>
      </c>
      <c r="K14" s="84">
        <v>3128</v>
      </c>
      <c r="L14" s="84">
        <v>7310</v>
      </c>
      <c r="M14" s="84"/>
      <c r="N14" s="84"/>
      <c r="O14" s="84"/>
      <c r="P14" s="84"/>
      <c r="Q14" s="84"/>
    </row>
    <row r="15" spans="1:39" x14ac:dyDescent="0.35">
      <c r="A15" s="84" t="s">
        <v>151</v>
      </c>
      <c r="B15" s="84">
        <f>SUM(B12:B14)</f>
        <v>226752.82100000003</v>
      </c>
      <c r="C15" s="84">
        <f t="shared" ref="C15:E15" si="1">SUM(C12:C14)</f>
        <v>126467.27933333334</v>
      </c>
      <c r="D15" s="84">
        <f t="shared" si="1"/>
        <v>163643.696</v>
      </c>
      <c r="E15" s="84">
        <f t="shared" si="1"/>
        <v>186276.23766666665</v>
      </c>
      <c r="F15" s="84"/>
      <c r="G15" s="84"/>
      <c r="H15" s="84" t="s">
        <v>184</v>
      </c>
      <c r="I15" s="84">
        <v>196</v>
      </c>
      <c r="J15" s="84">
        <v>266</v>
      </c>
      <c r="K15" s="84">
        <v>184</v>
      </c>
      <c r="L15" s="84">
        <v>430</v>
      </c>
      <c r="M15" s="84"/>
      <c r="N15" s="84" t="s">
        <v>222</v>
      </c>
      <c r="O15" s="84"/>
      <c r="P15" s="84"/>
      <c r="Q15" s="84"/>
    </row>
    <row r="16" spans="1:39" x14ac:dyDescent="0.35">
      <c r="A16" s="84"/>
      <c r="B16" s="84"/>
      <c r="C16" s="84">
        <f>SUM(C13:C15)</f>
        <v>137473.30866666668</v>
      </c>
      <c r="D16" s="84">
        <f t="shared" ref="D16" si="2">SUM(D13:D15)</f>
        <v>174649.72533333334</v>
      </c>
      <c r="E16" s="84">
        <f t="shared" ref="E16" si="3">SUM(E13:E15)</f>
        <v>197516.64199999999</v>
      </c>
      <c r="F16" s="84">
        <f t="shared" ref="F16" si="4">SUM(F13:F15)</f>
        <v>0</v>
      </c>
      <c r="G16" s="84"/>
      <c r="H16" s="84" t="s">
        <v>185</v>
      </c>
      <c r="I16" s="84">
        <v>3528</v>
      </c>
      <c r="J16" s="84">
        <v>4788</v>
      </c>
      <c r="K16" s="84">
        <v>3312</v>
      </c>
      <c r="L16" s="84">
        <v>7740</v>
      </c>
      <c r="M16" s="84"/>
      <c r="N16" s="84"/>
      <c r="O16" s="84"/>
      <c r="P16" s="84"/>
      <c r="Q16" s="84"/>
    </row>
    <row r="17" spans="1:17" x14ac:dyDescent="0.35">
      <c r="A17" s="84" t="s">
        <v>181</v>
      </c>
      <c r="B17" s="84">
        <v>5096.3975416666663</v>
      </c>
      <c r="C17" s="84">
        <v>5096.3975416666663</v>
      </c>
      <c r="D17" s="84">
        <v>5096.3975416666663</v>
      </c>
      <c r="E17" s="84">
        <v>5096.3975416666663</v>
      </c>
      <c r="F17" s="84"/>
      <c r="G17" s="84"/>
      <c r="H17" s="84"/>
      <c r="I17" s="84"/>
      <c r="J17" s="84"/>
      <c r="K17" s="84"/>
      <c r="L17" s="84"/>
      <c r="M17" s="84"/>
      <c r="N17" s="84"/>
      <c r="O17" s="84"/>
      <c r="P17" s="84"/>
      <c r="Q17" s="84"/>
    </row>
    <row r="18" spans="1:17" x14ac:dyDescent="0.35">
      <c r="A18" s="84" t="s">
        <v>45</v>
      </c>
      <c r="B18">
        <v>1357.5</v>
      </c>
      <c r="C18">
        <v>1475.625</v>
      </c>
      <c r="D18">
        <v>1404.375</v>
      </c>
      <c r="E18">
        <v>1593.75</v>
      </c>
      <c r="F18" s="84"/>
      <c r="G18" s="84"/>
      <c r="H18" s="84" t="s">
        <v>184</v>
      </c>
      <c r="I18" s="84">
        <v>2940</v>
      </c>
      <c r="J18" s="84">
        <v>3990</v>
      </c>
      <c r="K18" s="84">
        <v>2760</v>
      </c>
      <c r="L18" s="84">
        <v>6450</v>
      </c>
      <c r="M18" s="84"/>
      <c r="N18" s="84"/>
      <c r="O18" s="84"/>
      <c r="P18" s="84"/>
      <c r="Q18" s="84"/>
    </row>
    <row r="19" spans="1:17" x14ac:dyDescent="0.35">
      <c r="A19" s="84" t="s">
        <v>151</v>
      </c>
      <c r="B19" s="84">
        <f>SUM(B17:B18)</f>
        <v>6453.8975416666663</v>
      </c>
      <c r="C19" s="84">
        <f>SUM(C17:C18)</f>
        <v>6572.0225416666663</v>
      </c>
      <c r="D19" s="84">
        <f>SUM(D17:D18)</f>
        <v>6500.7725416666663</v>
      </c>
      <c r="E19" s="84">
        <f>SUM(E17:E18)</f>
        <v>6690.1475416666663</v>
      </c>
      <c r="F19" s="84"/>
      <c r="G19" s="84"/>
      <c r="H19" s="84"/>
      <c r="I19" s="84">
        <v>187973.97750000001</v>
      </c>
      <c r="J19" s="84">
        <v>422952.72750000004</v>
      </c>
      <c r="K19" s="84">
        <v>185068.97750000001</v>
      </c>
      <c r="L19" s="84">
        <v>46618.877500000002</v>
      </c>
      <c r="M19" s="84"/>
      <c r="N19" s="84"/>
      <c r="O19" s="84"/>
      <c r="P19" s="84"/>
      <c r="Q19" s="84"/>
    </row>
    <row r="20" spans="1:17" x14ac:dyDescent="0.35">
      <c r="A20" s="84"/>
      <c r="B20" s="84"/>
      <c r="C20" s="84"/>
      <c r="D20" s="84"/>
      <c r="E20" s="84"/>
      <c r="F20" s="84"/>
      <c r="G20" s="84"/>
      <c r="H20" s="84"/>
      <c r="I20" s="84">
        <v>63.936727040816329</v>
      </c>
      <c r="J20" s="84">
        <v>106.00318984962406</v>
      </c>
      <c r="K20" s="84">
        <v>67.053977355072462</v>
      </c>
      <c r="L20" s="84">
        <v>7.2277329457364345</v>
      </c>
      <c r="M20" s="84"/>
      <c r="N20" s="84"/>
      <c r="O20" s="84"/>
      <c r="P20" s="84"/>
      <c r="Q20" s="84"/>
    </row>
    <row r="21" spans="1:17" x14ac:dyDescent="0.35">
      <c r="A21" s="84"/>
      <c r="B21" s="84"/>
      <c r="C21" s="84"/>
      <c r="D21" s="84"/>
      <c r="E21" s="84"/>
      <c r="F21" s="84"/>
      <c r="G21" s="84"/>
      <c r="H21" s="84"/>
      <c r="I21" s="84"/>
      <c r="J21" s="84"/>
      <c r="K21" s="84"/>
      <c r="L21" s="84"/>
      <c r="M21" s="84"/>
      <c r="N21" s="84"/>
      <c r="O21" s="84"/>
      <c r="P21" s="84"/>
      <c r="Q21" s="84"/>
    </row>
    <row r="22" spans="1:17" x14ac:dyDescent="0.35">
      <c r="A22" s="84"/>
      <c r="B22" s="84"/>
      <c r="C22" s="84"/>
      <c r="D22" s="84"/>
      <c r="E22" s="84"/>
      <c r="F22" s="84"/>
      <c r="G22" s="84"/>
      <c r="H22" s="201" t="s">
        <v>264</v>
      </c>
      <c r="I22" s="202"/>
      <c r="J22" s="202"/>
      <c r="K22" s="202"/>
      <c r="L22" s="202"/>
      <c r="M22" s="202"/>
      <c r="N22" s="202"/>
      <c r="O22" s="84"/>
      <c r="P22" s="84"/>
      <c r="Q22" s="84"/>
    </row>
    <row r="23" spans="1:17" x14ac:dyDescent="0.35">
      <c r="H23" s="202"/>
      <c r="I23" s="202"/>
      <c r="J23" s="202"/>
      <c r="K23" s="202"/>
      <c r="L23" s="202"/>
      <c r="M23" s="202"/>
      <c r="N23" s="202"/>
    </row>
  </sheetData>
  <mergeCells count="2">
    <mergeCell ref="G1:Q1"/>
    <mergeCell ref="H22:N23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1"/>
  <sheetViews>
    <sheetView topLeftCell="F1" workbookViewId="0">
      <selection activeCell="S14" sqref="S14"/>
    </sheetView>
  </sheetViews>
  <sheetFormatPr defaultRowHeight="14.5" x14ac:dyDescent="0.35"/>
  <cols>
    <col min="1" max="1" width="21.7265625" customWidth="1"/>
    <col min="2" max="2" width="19.26953125" customWidth="1"/>
    <col min="3" max="3" width="18.81640625" customWidth="1"/>
    <col min="4" max="4" width="23.26953125" customWidth="1"/>
    <col min="5" max="5" width="24.81640625" customWidth="1"/>
    <col min="6" max="6" width="15.26953125" customWidth="1"/>
    <col min="7" max="7" width="23.54296875" customWidth="1"/>
    <col min="8" max="8" width="14.54296875" customWidth="1"/>
    <col min="10" max="10" width="14" customWidth="1"/>
    <col min="12" max="12" width="13.453125" customWidth="1"/>
    <col min="14" max="14" width="11.453125" customWidth="1"/>
    <col min="16" max="16" width="15" customWidth="1"/>
  </cols>
  <sheetData>
    <row r="1" spans="1:17" x14ac:dyDescent="0.35">
      <c r="A1" s="203" t="s">
        <v>150</v>
      </c>
      <c r="B1" s="203"/>
      <c r="C1" s="203"/>
      <c r="D1" s="203"/>
      <c r="E1" s="203"/>
      <c r="G1" s="204" t="s">
        <v>150</v>
      </c>
      <c r="H1" s="204"/>
      <c r="I1" s="204"/>
      <c r="J1" s="204"/>
      <c r="K1" s="204"/>
      <c r="L1" s="204"/>
      <c r="M1" s="204"/>
      <c r="N1" s="204"/>
      <c r="O1" s="204"/>
      <c r="P1" s="204"/>
      <c r="Q1" s="204"/>
    </row>
    <row r="2" spans="1:17" x14ac:dyDescent="0.35">
      <c r="A2" t="s">
        <v>136</v>
      </c>
      <c r="B2" t="s">
        <v>57</v>
      </c>
      <c r="C2" t="s">
        <v>58</v>
      </c>
      <c r="D2" t="s">
        <v>133</v>
      </c>
      <c r="E2" t="s">
        <v>60</v>
      </c>
      <c r="G2" s="10"/>
      <c r="H2" s="205" t="s">
        <v>136</v>
      </c>
      <c r="I2" s="205"/>
      <c r="J2" s="205"/>
      <c r="K2" s="205"/>
      <c r="L2" s="205"/>
      <c r="M2" s="205"/>
      <c r="N2" s="205"/>
      <c r="O2" s="205"/>
      <c r="P2" s="205"/>
      <c r="Q2" s="205"/>
    </row>
    <row r="3" spans="1:17" x14ac:dyDescent="0.35">
      <c r="A3" t="s">
        <v>137</v>
      </c>
      <c r="G3" s="102" t="s">
        <v>137</v>
      </c>
      <c r="H3" s="102" t="str">
        <f>B2</f>
        <v>Dindori</v>
      </c>
      <c r="I3" s="102" t="s">
        <v>138</v>
      </c>
      <c r="J3" s="102" t="str">
        <f>C2</f>
        <v>Nandgaon</v>
      </c>
      <c r="K3" s="102" t="s">
        <v>138</v>
      </c>
      <c r="L3" s="102" t="str">
        <f>D2</f>
        <v>Sinnar</v>
      </c>
      <c r="M3" s="102" t="s">
        <v>138</v>
      </c>
      <c r="N3" s="102" t="str">
        <f>E2</f>
        <v>Surgana</v>
      </c>
      <c r="O3" s="102" t="s">
        <v>139</v>
      </c>
      <c r="P3" s="102" t="s">
        <v>140</v>
      </c>
      <c r="Q3" s="10" t="s">
        <v>263</v>
      </c>
    </row>
    <row r="4" spans="1:17" x14ac:dyDescent="0.35">
      <c r="G4" s="10"/>
      <c r="H4" s="4"/>
      <c r="I4" s="4"/>
      <c r="J4" s="4"/>
      <c r="K4" s="4"/>
      <c r="L4" s="4"/>
      <c r="M4" s="4"/>
      <c r="N4" s="4"/>
      <c r="O4" s="4"/>
      <c r="P4" s="4"/>
      <c r="Q4" s="7"/>
    </row>
    <row r="5" spans="1:17" x14ac:dyDescent="0.35">
      <c r="A5" t="s">
        <v>141</v>
      </c>
      <c r="B5">
        <v>224683.38200000001</v>
      </c>
      <c r="C5">
        <v>116980.882</v>
      </c>
      <c r="D5">
        <v>52436.182000000001</v>
      </c>
      <c r="E5">
        <v>79009.182000000001</v>
      </c>
      <c r="G5" s="10" t="s">
        <v>141</v>
      </c>
      <c r="H5" s="101">
        <v>224683.38200000001</v>
      </c>
      <c r="I5" s="89">
        <f>H5/H10*100</f>
        <v>61.216723252219708</v>
      </c>
      <c r="J5" s="101">
        <v>116980.882</v>
      </c>
      <c r="K5" s="89">
        <f>J5/J10*100</f>
        <v>37.034130942105627</v>
      </c>
      <c r="L5" s="101">
        <v>52436.182000000001</v>
      </c>
      <c r="M5" s="89">
        <f>L5/L10*100</f>
        <v>89.242114154786918</v>
      </c>
      <c r="N5" s="101">
        <v>79009.182000000001</v>
      </c>
      <c r="O5" s="89">
        <f>N5/N10*100</f>
        <v>92.46494285328545</v>
      </c>
      <c r="P5" s="101">
        <f>(H5+J5+L5+N5)/4</f>
        <v>118277.40700000001</v>
      </c>
      <c r="Q5" s="89">
        <f>P5/P10*100</f>
        <v>57.200499260365198</v>
      </c>
    </row>
    <row r="6" spans="1:17" x14ac:dyDescent="0.35">
      <c r="A6" t="s">
        <v>142</v>
      </c>
      <c r="B6">
        <v>6346.0342499999997</v>
      </c>
      <c r="C6">
        <v>6392.2842499999997</v>
      </c>
      <c r="D6">
        <v>6321.0342499999997</v>
      </c>
      <c r="E6">
        <v>6438.5342499999997</v>
      </c>
      <c r="G6" s="10" t="s">
        <v>142</v>
      </c>
      <c r="H6" s="101">
        <v>6346.0342499999997</v>
      </c>
      <c r="I6" s="89">
        <f>H6/H10*100</f>
        <v>1.7290260586844721</v>
      </c>
      <c r="J6" s="101">
        <v>6392.2842499999997</v>
      </c>
      <c r="K6" s="89">
        <f>J6/J10*100</f>
        <v>2.0236870152309114</v>
      </c>
      <c r="L6" s="101">
        <v>6321.0342499999997</v>
      </c>
      <c r="M6" s="89">
        <f>L6/L10*100</f>
        <v>10.757885845213098</v>
      </c>
      <c r="N6" s="101">
        <v>6438.5342499999997</v>
      </c>
      <c r="O6" s="89">
        <f>N6/N10*100</f>
        <v>7.5350571467145562</v>
      </c>
      <c r="P6" s="101">
        <f t="shared" ref="P6:P8" si="0">(H6+J6+L6+N6)/4</f>
        <v>6374.4717499999997</v>
      </c>
      <c r="Q6" s="89">
        <f>P6/P10*100</f>
        <v>3.0827778175851774</v>
      </c>
    </row>
    <row r="7" spans="1:17" x14ac:dyDescent="0.35">
      <c r="A7" t="s">
        <v>143</v>
      </c>
      <c r="B7">
        <v>19000</v>
      </c>
      <c r="C7">
        <v>32500</v>
      </c>
      <c r="D7">
        <v>0</v>
      </c>
      <c r="E7">
        <v>0</v>
      </c>
      <c r="G7" s="10" t="s">
        <v>143</v>
      </c>
      <c r="H7" s="101">
        <v>19000</v>
      </c>
      <c r="I7" s="89">
        <f>H7/H10*100</f>
        <v>5.1766967874472103</v>
      </c>
      <c r="J7" s="101">
        <v>32500</v>
      </c>
      <c r="K7" s="89">
        <f>J7/J10*100</f>
        <v>10.288939825384739</v>
      </c>
      <c r="L7" s="101">
        <v>0</v>
      </c>
      <c r="M7" s="101"/>
      <c r="N7" s="101">
        <v>0</v>
      </c>
      <c r="O7" s="101"/>
      <c r="P7" s="101">
        <f t="shared" si="0"/>
        <v>12875</v>
      </c>
      <c r="Q7" s="89">
        <f>P7/P10*100</f>
        <v>6.2265182054354797</v>
      </c>
    </row>
    <row r="8" spans="1:17" x14ac:dyDescent="0.35">
      <c r="A8" t="s">
        <v>144</v>
      </c>
      <c r="B8">
        <v>0</v>
      </c>
      <c r="C8">
        <v>0</v>
      </c>
      <c r="D8">
        <v>0</v>
      </c>
      <c r="E8">
        <v>0</v>
      </c>
      <c r="G8" s="10" t="s">
        <v>144</v>
      </c>
      <c r="H8" s="101">
        <v>0</v>
      </c>
      <c r="I8" s="89"/>
      <c r="J8" s="101">
        <v>0</v>
      </c>
      <c r="K8" s="89"/>
      <c r="L8" s="101">
        <v>0</v>
      </c>
      <c r="M8" s="101"/>
      <c r="N8" s="101">
        <v>0</v>
      </c>
      <c r="O8" s="101"/>
      <c r="P8" s="101">
        <f t="shared" si="0"/>
        <v>0</v>
      </c>
      <c r="Q8" s="89">
        <f>P8/P10*100</f>
        <v>0</v>
      </c>
    </row>
    <row r="9" spans="1:17" x14ac:dyDescent="0.35">
      <c r="A9" t="s">
        <v>145</v>
      </c>
      <c r="B9">
        <v>117000</v>
      </c>
      <c r="C9">
        <v>160000</v>
      </c>
      <c r="D9">
        <v>0</v>
      </c>
      <c r="E9">
        <v>0</v>
      </c>
      <c r="G9" s="10" t="s">
        <v>146</v>
      </c>
      <c r="H9" s="101">
        <v>117000</v>
      </c>
      <c r="I9" s="89">
        <f>H9/H10*100</f>
        <v>31.877553901648607</v>
      </c>
      <c r="J9" s="101">
        <v>160000</v>
      </c>
      <c r="K9" s="89">
        <f>J9/J10*100</f>
        <v>50.653242217278716</v>
      </c>
      <c r="L9" s="101">
        <v>0</v>
      </c>
      <c r="M9" s="101"/>
      <c r="N9" s="101">
        <v>0</v>
      </c>
      <c r="O9" s="101"/>
      <c r="P9" s="101">
        <f>(H9+J9+L9+N9)/4</f>
        <v>69250</v>
      </c>
      <c r="Q9" s="89">
        <f>P9/P10*100</f>
        <v>33.490204716614137</v>
      </c>
    </row>
    <row r="10" spans="1:17" x14ac:dyDescent="0.35">
      <c r="A10" t="s">
        <v>27</v>
      </c>
      <c r="B10" s="98">
        <f>SUM(B5:B9)</f>
        <v>367029.41625000001</v>
      </c>
      <c r="C10" s="98">
        <f t="shared" ref="C10:D10" si="1">SUM(C5:C9)</f>
        <v>315873.16625000001</v>
      </c>
      <c r="D10" s="98">
        <f t="shared" si="1"/>
        <v>58757.216249999998</v>
      </c>
      <c r="E10" s="98">
        <f>SUM(E5:E9)</f>
        <v>85447.716249999998</v>
      </c>
      <c r="G10" s="10" t="s">
        <v>27</v>
      </c>
      <c r="H10" s="99">
        <f>SUM(H5:H9)</f>
        <v>367029.41625000001</v>
      </c>
      <c r="I10" s="99"/>
      <c r="J10" s="99">
        <f t="shared" ref="J10" si="2">SUM(J5:J9)</f>
        <v>315873.16625000001</v>
      </c>
      <c r="K10" s="99"/>
      <c r="L10" s="99">
        <f t="shared" ref="L10" si="3">SUM(L5:L9)</f>
        <v>58757.216249999998</v>
      </c>
      <c r="M10" s="99"/>
      <c r="N10" s="99">
        <f t="shared" ref="N10" si="4">SUM(N5:N9)</f>
        <v>85447.716249999998</v>
      </c>
      <c r="O10" s="99"/>
      <c r="P10" s="105">
        <f>(H10+J10+L10+N10)/4</f>
        <v>206776.87875000003</v>
      </c>
      <c r="Q10" s="7"/>
    </row>
    <row r="11" spans="1:17" x14ac:dyDescent="0.35">
      <c r="A11" s="79" t="s">
        <v>221</v>
      </c>
      <c r="B11" s="79"/>
      <c r="C11" s="79"/>
      <c r="D11" s="79"/>
      <c r="E11" s="79"/>
      <c r="G11" s="10" t="s">
        <v>147</v>
      </c>
      <c r="H11" s="99">
        <f>H10/I17</f>
        <v>104.03328125</v>
      </c>
      <c r="I11" s="99"/>
      <c r="J11" s="99">
        <f>J10/J17</f>
        <v>65.971839233500418</v>
      </c>
      <c r="K11" s="99"/>
      <c r="L11" s="99">
        <f>L10/K17</f>
        <v>17.740705389492753</v>
      </c>
      <c r="M11" s="99"/>
      <c r="N11" s="99">
        <f>N10/L17</f>
        <v>11.039756621447028</v>
      </c>
      <c r="O11" s="99"/>
      <c r="P11" s="99">
        <f>(H11+J11+L11+N11)/4</f>
        <v>49.696395623610051</v>
      </c>
      <c r="Q11" s="7"/>
    </row>
    <row r="12" spans="1:17" x14ac:dyDescent="0.35">
      <c r="G12" s="10" t="s">
        <v>148</v>
      </c>
      <c r="H12" s="101">
        <f>H10/I15</f>
        <v>110.15288602941176</v>
      </c>
      <c r="I12" s="101"/>
      <c r="J12" s="101">
        <f>J10/J15</f>
        <v>69.852535659000438</v>
      </c>
      <c r="K12" s="101"/>
      <c r="L12" s="101">
        <f>L10/K15</f>
        <v>18.784276294757031</v>
      </c>
      <c r="M12" s="101"/>
      <c r="N12" s="101">
        <f>N10/L15</f>
        <v>11.689154069767442</v>
      </c>
      <c r="O12" s="101"/>
      <c r="P12" s="99">
        <f t="shared" ref="P12" si="5">(H12+J12+L12+N12)/4</f>
        <v>52.619713013234168</v>
      </c>
      <c r="Q12" s="7"/>
    </row>
    <row r="13" spans="1:17" x14ac:dyDescent="0.35">
      <c r="A13" t="s">
        <v>182</v>
      </c>
      <c r="B13">
        <v>217722.2</v>
      </c>
      <c r="C13">
        <v>106544.7</v>
      </c>
      <c r="D13">
        <v>42000</v>
      </c>
      <c r="E13">
        <v>68698</v>
      </c>
      <c r="G13" s="10" t="s">
        <v>149</v>
      </c>
      <c r="H13" s="101">
        <f>H10/I16</f>
        <v>1872.5990624999999</v>
      </c>
      <c r="I13" s="101"/>
      <c r="J13" s="101">
        <f>J10/J16</f>
        <v>1187.4931062030075</v>
      </c>
      <c r="K13" s="101"/>
      <c r="L13" s="101">
        <f>L10/K16</f>
        <v>319.33269701086954</v>
      </c>
      <c r="M13" s="101"/>
      <c r="N13" s="101">
        <f>N10/L16</f>
        <v>198.7156191860465</v>
      </c>
      <c r="O13" s="101"/>
      <c r="P13" s="99">
        <f>(H13+J13+L13+N13)/4</f>
        <v>894.53512122498091</v>
      </c>
      <c r="Q13" s="7"/>
    </row>
    <row r="14" spans="1:17" x14ac:dyDescent="0.35">
      <c r="A14" t="s">
        <v>180</v>
      </c>
      <c r="B14">
        <v>6061.1820000000007</v>
      </c>
      <c r="C14">
        <v>6061.1820000000007</v>
      </c>
      <c r="D14">
        <v>6061.1820000000007</v>
      </c>
      <c r="E14">
        <v>6061.1820000000007</v>
      </c>
    </row>
    <row r="15" spans="1:17" x14ac:dyDescent="0.35">
      <c r="A15" t="s">
        <v>45</v>
      </c>
      <c r="B15">
        <v>900</v>
      </c>
      <c r="C15">
        <v>4375</v>
      </c>
      <c r="D15">
        <v>4375</v>
      </c>
      <c r="E15">
        <v>4250</v>
      </c>
      <c r="H15" t="s">
        <v>183</v>
      </c>
      <c r="I15">
        <v>3332</v>
      </c>
      <c r="J15">
        <v>4522</v>
      </c>
      <c r="K15">
        <v>3128</v>
      </c>
      <c r="L15">
        <v>7310</v>
      </c>
    </row>
    <row r="16" spans="1:17" x14ac:dyDescent="0.35">
      <c r="A16" t="s">
        <v>151</v>
      </c>
      <c r="B16">
        <f>SUM(B13:B15)</f>
        <v>224683.38200000001</v>
      </c>
      <c r="C16">
        <f>SUM(C13:C15)</f>
        <v>116980.882</v>
      </c>
      <c r="D16">
        <f>SUM(D13:D15)</f>
        <v>52436.182000000001</v>
      </c>
      <c r="E16">
        <f>SUM(E13:E15)</f>
        <v>79009.182000000001</v>
      </c>
      <c r="H16" t="s">
        <v>184</v>
      </c>
      <c r="I16">
        <v>196</v>
      </c>
      <c r="J16">
        <v>266</v>
      </c>
      <c r="K16">
        <v>184</v>
      </c>
      <c r="L16">
        <v>430</v>
      </c>
    </row>
    <row r="17" spans="1:12" x14ac:dyDescent="0.35">
      <c r="H17" t="s">
        <v>185</v>
      </c>
      <c r="I17">
        <v>3528</v>
      </c>
      <c r="J17">
        <v>4788</v>
      </c>
      <c r="K17">
        <v>3312</v>
      </c>
      <c r="L17">
        <v>7740</v>
      </c>
    </row>
    <row r="18" spans="1:12" x14ac:dyDescent="0.35">
      <c r="A18" t="s">
        <v>181</v>
      </c>
      <c r="B18">
        <v>4988.5342499999997</v>
      </c>
      <c r="C18">
        <v>4988.5342499999997</v>
      </c>
      <c r="D18">
        <v>4988.5342499999997</v>
      </c>
      <c r="E18">
        <v>4988.5342499999997</v>
      </c>
    </row>
    <row r="19" spans="1:12" x14ac:dyDescent="0.35">
      <c r="A19" t="s">
        <v>45</v>
      </c>
      <c r="B19">
        <v>1357.5</v>
      </c>
      <c r="C19">
        <v>1403.75</v>
      </c>
      <c r="D19">
        <v>1332.5</v>
      </c>
      <c r="E19">
        <v>1450</v>
      </c>
      <c r="H19" s="80" t="s">
        <v>184</v>
      </c>
      <c r="I19" s="80">
        <f>I16*15</f>
        <v>2940</v>
      </c>
      <c r="J19" s="80">
        <f>J16*15</f>
        <v>3990</v>
      </c>
      <c r="K19" s="80">
        <f>K16*15</f>
        <v>2760</v>
      </c>
      <c r="L19" s="80">
        <f>L16*15</f>
        <v>6450</v>
      </c>
    </row>
    <row r="20" spans="1:12" x14ac:dyDescent="0.35">
      <c r="A20" t="s">
        <v>151</v>
      </c>
      <c r="B20">
        <f>SUM(B18:B19)</f>
        <v>6346.0342499999997</v>
      </c>
      <c r="C20">
        <f>SUM(C18:C19)</f>
        <v>6392.2842499999997</v>
      </c>
      <c r="D20">
        <f>SUM(D18:D19)</f>
        <v>6321.0342499999997</v>
      </c>
      <c r="E20">
        <f>SUM(E18:E19)</f>
        <v>6438.5342499999997</v>
      </c>
      <c r="H20" s="80"/>
      <c r="I20" s="80">
        <v>187973.97750000001</v>
      </c>
      <c r="J20" s="80">
        <v>422952.72750000004</v>
      </c>
      <c r="K20" s="80">
        <v>185068.97750000001</v>
      </c>
      <c r="L20" s="80">
        <v>46618.877500000002</v>
      </c>
    </row>
    <row r="21" spans="1:12" x14ac:dyDescent="0.35">
      <c r="H21" s="80"/>
      <c r="I21" s="80">
        <f>I20/I19</f>
        <v>63.936727040816329</v>
      </c>
      <c r="J21" s="80">
        <f>J20/J19</f>
        <v>106.00318984962406</v>
      </c>
      <c r="K21" s="80">
        <f>K20/K19</f>
        <v>67.053977355072462</v>
      </c>
      <c r="L21" s="80">
        <f>L20/L19</f>
        <v>7.2277329457364345</v>
      </c>
    </row>
  </sheetData>
  <mergeCells count="3">
    <mergeCell ref="A1:E1"/>
    <mergeCell ref="G1:Q1"/>
    <mergeCell ref="H2:Q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District level staff</vt:lpstr>
      <vt:lpstr>Training</vt:lpstr>
      <vt:lpstr>Incentives</vt:lpstr>
      <vt:lpstr>BCM</vt:lpstr>
      <vt:lpstr>HR</vt:lpstr>
      <vt:lpstr>Meeting </vt:lpstr>
      <vt:lpstr>ANM info</vt:lpstr>
      <vt:lpstr>Calculation 2020-21</vt:lpstr>
      <vt:lpstr>Calculation 2019-20</vt:lpstr>
      <vt:lpstr>Sheet2</vt:lpstr>
      <vt:lpstr>Print me</vt:lpstr>
      <vt:lpstr>Tables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Priya Amrit</dc:creator>
  <cp:lastModifiedBy>sarit rout</cp:lastModifiedBy>
  <dcterms:created xsi:type="dcterms:W3CDTF">2022-05-06T08:30:39Z</dcterms:created>
  <dcterms:modified xsi:type="dcterms:W3CDTF">2024-08-22T02:54:31Z</dcterms:modified>
</cp:coreProperties>
</file>