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Sarit\MRC\Manuscript\BMC\"/>
    </mc:Choice>
  </mc:AlternateContent>
  <bookViews>
    <workbookView xWindow="0" yWindow="0" windowWidth="19200" windowHeight="7050"/>
  </bookViews>
  <sheets>
    <sheet name="HR Community level" sheetId="9" r:id="rId1"/>
    <sheet name="HR+ Moni District Level correct" sheetId="31" r:id="rId2"/>
    <sheet name="Calculation_2019-20" sheetId="27" r:id="rId3"/>
    <sheet name="Calculation 2020-21" sheetId="26" r:id="rId4"/>
    <sheet name="without NGO costs_05062023" sheetId="40" r:id="rId5"/>
    <sheet name="without NGO District" sheetId="41" r:id="rId6"/>
    <sheet name="Sheet3" sheetId="39" r:id="rId7"/>
    <sheet name="Meeting " sheetId="4" r:id="rId8"/>
    <sheet name="Training" sheetId="3" r:id="rId9"/>
    <sheet name="Sheet1" sheetId="33" r:id="rId10"/>
    <sheet name="Final table" sheetId="35" r:id="rId11"/>
    <sheet name="HR +Moni  Block Level corrected" sheetId="32" r:id="rId12"/>
    <sheet name="Sheet2" sheetId="36" r:id="rId13"/>
    <sheet name="Admin Cost." sheetId="25" r:id="rId14"/>
    <sheet name="New Calculation" sheetId="38" r:id="rId15"/>
    <sheet name="Footfall" sheetId="7" r:id="rId16"/>
  </sheets>
  <externalReferences>
    <externalReference r:id="rId1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9" i="26" l="1"/>
  <c r="L72" i="26"/>
  <c r="H79" i="26"/>
  <c r="H80" i="26"/>
  <c r="H78" i="26"/>
  <c r="E80" i="26"/>
  <c r="F80" i="26"/>
  <c r="G80" i="26"/>
  <c r="D80" i="26"/>
  <c r="Q3" i="31"/>
  <c r="O3" i="31"/>
  <c r="I3" i="31"/>
  <c r="N3" i="31"/>
  <c r="M3" i="31"/>
  <c r="E67" i="40"/>
  <c r="L68" i="40"/>
  <c r="L64" i="40"/>
  <c r="E25" i="40"/>
  <c r="D25" i="40"/>
  <c r="C25" i="40"/>
  <c r="B25" i="40"/>
  <c r="E17" i="40"/>
  <c r="D17" i="40"/>
  <c r="C17" i="40"/>
  <c r="B17" i="40"/>
  <c r="E23" i="26"/>
  <c r="D23" i="26"/>
  <c r="C23" i="26"/>
  <c r="B23" i="40"/>
  <c r="X19" i="32"/>
  <c r="V19" i="32"/>
  <c r="W19" i="32"/>
  <c r="E15" i="40"/>
  <c r="D15" i="40"/>
  <c r="C15" i="40"/>
  <c r="B15" i="40"/>
  <c r="R5" i="31"/>
  <c r="O5" i="31"/>
  <c r="N5" i="31"/>
  <c r="M5" i="31"/>
  <c r="Q5" i="31"/>
  <c r="Q4" i="41"/>
  <c r="R4" i="41"/>
  <c r="R5" i="41"/>
  <c r="B12" i="26"/>
  <c r="B15" i="26" s="1"/>
  <c r="B14" i="27"/>
  <c r="B27" i="27"/>
  <c r="B18" i="27"/>
  <c r="B29" i="27"/>
  <c r="B20" i="27"/>
  <c r="R6" i="41"/>
  <c r="O6" i="41"/>
  <c r="G23" i="41"/>
  <c r="G19" i="41"/>
  <c r="AI5" i="41"/>
  <c r="AD5" i="41"/>
  <c r="AE5" i="41" s="1"/>
  <c r="AF5" i="41" s="1"/>
  <c r="AA5" i="41"/>
  <c r="Z5" i="41"/>
  <c r="Y5" i="41"/>
  <c r="Q5" i="41"/>
  <c r="K5" i="41"/>
  <c r="L5" i="41" s="1"/>
  <c r="M5" i="41" s="1"/>
  <c r="N5" i="41" s="1"/>
  <c r="H5" i="41"/>
  <c r="G5" i="41"/>
  <c r="F5" i="41"/>
  <c r="I5" i="41" s="1"/>
  <c r="AD4" i="41"/>
  <c r="AE4" i="41" s="1"/>
  <c r="AF4" i="41" s="1"/>
  <c r="AA4" i="41"/>
  <c r="Z4" i="41"/>
  <c r="AB4" i="41" s="1"/>
  <c r="K4" i="41"/>
  <c r="L4" i="41" s="1"/>
  <c r="H4" i="41"/>
  <c r="G4" i="41"/>
  <c r="I4" i="41" s="1"/>
  <c r="AD3" i="41"/>
  <c r="AI3" i="41" s="1"/>
  <c r="AJ3" i="41" s="1"/>
  <c r="AB3" i="41"/>
  <c r="AA3" i="41"/>
  <c r="Z3" i="41"/>
  <c r="K3" i="41"/>
  <c r="L3" i="41" s="1"/>
  <c r="H3" i="41"/>
  <c r="G3" i="41"/>
  <c r="I3" i="41" s="1"/>
  <c r="Q6" i="31"/>
  <c r="Q4" i="31"/>
  <c r="AI6" i="31"/>
  <c r="L66" i="40"/>
  <c r="E23" i="40"/>
  <c r="D23" i="40"/>
  <c r="C23" i="40"/>
  <c r="L69" i="40"/>
  <c r="L67" i="40"/>
  <c r="M59" i="40"/>
  <c r="M58" i="40"/>
  <c r="L56" i="40"/>
  <c r="F44" i="40"/>
  <c r="F42" i="40"/>
  <c r="F41" i="40"/>
  <c r="F40" i="40"/>
  <c r="F45" i="40" s="1"/>
  <c r="P39" i="40"/>
  <c r="O39" i="40"/>
  <c r="N39" i="40"/>
  <c r="M39" i="40"/>
  <c r="K24" i="40"/>
  <c r="J24" i="40"/>
  <c r="I24" i="40"/>
  <c r="H24" i="40"/>
  <c r="C24" i="40"/>
  <c r="D24" i="40" s="1"/>
  <c r="E24" i="40" s="1"/>
  <c r="M22" i="40"/>
  <c r="N18" i="40"/>
  <c r="P19" i="40" s="1"/>
  <c r="M11" i="40"/>
  <c r="K11" i="40"/>
  <c r="I11" i="40"/>
  <c r="N8" i="40"/>
  <c r="U34" i="40" s="1"/>
  <c r="L8" i="40"/>
  <c r="Q34" i="40" s="1"/>
  <c r="C8" i="40"/>
  <c r="M57" i="40" s="1"/>
  <c r="B8" i="40"/>
  <c r="M56" i="40" s="1"/>
  <c r="N7" i="40"/>
  <c r="U33" i="40" s="1"/>
  <c r="L7" i="40"/>
  <c r="E7" i="40"/>
  <c r="L59" i="40" s="1"/>
  <c r="D7" i="40"/>
  <c r="L58" i="40" s="1"/>
  <c r="C7" i="40"/>
  <c r="J7" i="40" s="1"/>
  <c r="B7" i="40"/>
  <c r="H7" i="40" s="1"/>
  <c r="B26" i="26"/>
  <c r="B23" i="26" s="1"/>
  <c r="B25" i="26" s="1"/>
  <c r="E26" i="26"/>
  <c r="D26" i="26"/>
  <c r="C26" i="26"/>
  <c r="C15" i="26"/>
  <c r="D16" i="26"/>
  <c r="E12" i="26"/>
  <c r="E15" i="26" s="1"/>
  <c r="D12" i="26"/>
  <c r="D15" i="26" s="1"/>
  <c r="D17" i="26" s="1"/>
  <c r="C12" i="26"/>
  <c r="B30" i="27"/>
  <c r="I12" i="32"/>
  <c r="J12" i="32"/>
  <c r="E18" i="27"/>
  <c r="D18" i="27"/>
  <c r="C18" i="27"/>
  <c r="E27" i="27"/>
  <c r="D27" i="27"/>
  <c r="C27" i="27"/>
  <c r="C30" i="27"/>
  <c r="D30" i="27"/>
  <c r="E30" i="27"/>
  <c r="D14" i="27"/>
  <c r="AI4" i="41" l="1"/>
  <c r="AJ4" i="41" s="1"/>
  <c r="AB5" i="41"/>
  <c r="AG5" i="41" s="1"/>
  <c r="AJ5" i="41"/>
  <c r="AJ6" i="41"/>
  <c r="M3" i="41"/>
  <c r="N3" i="41" s="1"/>
  <c r="O3" i="41" s="1"/>
  <c r="Q3" i="41"/>
  <c r="R3" i="41" s="1"/>
  <c r="M4" i="41"/>
  <c r="N4" i="41" s="1"/>
  <c r="O4" i="41" s="1"/>
  <c r="AG4" i="41"/>
  <c r="O5" i="41"/>
  <c r="AE3" i="41"/>
  <c r="AF3" i="41" s="1"/>
  <c r="AG3" i="41" s="1"/>
  <c r="AG6" i="41" s="1"/>
  <c r="J64" i="40"/>
  <c r="F64" i="40"/>
  <c r="D64" i="40"/>
  <c r="D5" i="40"/>
  <c r="H64" i="40"/>
  <c r="B6" i="40"/>
  <c r="D65" i="40"/>
  <c r="N10" i="40"/>
  <c r="N59" i="40" s="1"/>
  <c r="H10" i="40"/>
  <c r="N56" i="40" s="1"/>
  <c r="L10" i="40"/>
  <c r="N58" i="40" s="1"/>
  <c r="J10" i="40"/>
  <c r="N57" i="40" s="1"/>
  <c r="C6" i="40"/>
  <c r="F65" i="40"/>
  <c r="I33" i="40"/>
  <c r="M33" i="40"/>
  <c r="Q33" i="40"/>
  <c r="F8" i="40"/>
  <c r="F7" i="40"/>
  <c r="H8" i="40"/>
  <c r="L57" i="40"/>
  <c r="J8" i="40"/>
  <c r="C19" i="27"/>
  <c r="F73" i="27"/>
  <c r="E14" i="27"/>
  <c r="C14" i="27"/>
  <c r="E18" i="32"/>
  <c r="D18" i="32"/>
  <c r="C18" i="32"/>
  <c r="G21" i="25"/>
  <c r="F21" i="25"/>
  <c r="E21" i="25"/>
  <c r="D21" i="25"/>
  <c r="R5" i="32"/>
  <c r="P5" i="32"/>
  <c r="K37" i="27"/>
  <c r="J37" i="27"/>
  <c r="I37" i="27"/>
  <c r="H37" i="27"/>
  <c r="H39" i="27"/>
  <c r="N34" i="27"/>
  <c r="L67" i="26"/>
  <c r="D65" i="26"/>
  <c r="B6" i="26"/>
  <c r="J56" i="26" s="1"/>
  <c r="H64" i="26"/>
  <c r="Q20" i="9"/>
  <c r="R18" i="9"/>
  <c r="P20" i="9"/>
  <c r="O20" i="9"/>
  <c r="N20" i="9"/>
  <c r="E29" i="27"/>
  <c r="L74" i="27" s="1"/>
  <c r="D29" i="27"/>
  <c r="J74" i="27" s="1"/>
  <c r="C29" i="27"/>
  <c r="H74" i="27" s="1"/>
  <c r="F74" i="27"/>
  <c r="B6" i="27"/>
  <c r="D54" i="27" s="1"/>
  <c r="G20" i="9"/>
  <c r="F20" i="9"/>
  <c r="E20" i="9"/>
  <c r="D20" i="9"/>
  <c r="L21" i="25"/>
  <c r="K21" i="25"/>
  <c r="J21" i="25"/>
  <c r="I21" i="25"/>
  <c r="R6" i="9"/>
  <c r="R10" i="9"/>
  <c r="R14" i="9"/>
  <c r="H18" i="9"/>
  <c r="H14" i="9"/>
  <c r="H10" i="9"/>
  <c r="H6" i="9"/>
  <c r="L68" i="26"/>
  <c r="L66" i="26"/>
  <c r="L70" i="26"/>
  <c r="N75" i="27"/>
  <c r="N76" i="27"/>
  <c r="N77" i="27"/>
  <c r="N78" i="27"/>
  <c r="N79" i="27"/>
  <c r="K78" i="27"/>
  <c r="G89" i="27"/>
  <c r="F89" i="27"/>
  <c r="I89" i="27"/>
  <c r="H89" i="27"/>
  <c r="L87" i="27"/>
  <c r="F92" i="27" s="1"/>
  <c r="N18" i="26"/>
  <c r="P19" i="26" s="1"/>
  <c r="K24" i="26"/>
  <c r="J24" i="26"/>
  <c r="I24" i="26"/>
  <c r="H24" i="26"/>
  <c r="M59" i="26"/>
  <c r="M58" i="26"/>
  <c r="E54" i="27"/>
  <c r="F54" i="27"/>
  <c r="G54" i="27"/>
  <c r="C55" i="27"/>
  <c r="E55" i="27"/>
  <c r="F55" i="27"/>
  <c r="E56" i="27"/>
  <c r="F56" i="27"/>
  <c r="G56" i="27"/>
  <c r="E57" i="27"/>
  <c r="F57" i="27"/>
  <c r="H11" i="27"/>
  <c r="I54" i="27" s="1"/>
  <c r="J36" i="27"/>
  <c r="I36" i="27"/>
  <c r="H36" i="27"/>
  <c r="N11" i="27"/>
  <c r="I57" i="27" s="1"/>
  <c r="J11" i="27"/>
  <c r="I55" i="27" s="1"/>
  <c r="AI5" i="31"/>
  <c r="K36" i="27"/>
  <c r="I11" i="26"/>
  <c r="K11" i="26"/>
  <c r="M11" i="26"/>
  <c r="M22" i="26"/>
  <c r="C24" i="26"/>
  <c r="C25" i="26" s="1"/>
  <c r="F65" i="26" s="1"/>
  <c r="C28" i="27"/>
  <c r="C6" i="27" s="1"/>
  <c r="D55" i="27" s="1"/>
  <c r="G24" i="31"/>
  <c r="G20" i="31"/>
  <c r="U6" i="35"/>
  <c r="U7" i="35"/>
  <c r="U8" i="35"/>
  <c r="U9" i="35"/>
  <c r="U10" i="35"/>
  <c r="G5" i="35"/>
  <c r="G10" i="35"/>
  <c r="G6" i="35"/>
  <c r="G7" i="35"/>
  <c r="G8" i="35"/>
  <c r="G9" i="35"/>
  <c r="P6" i="33"/>
  <c r="P7" i="33"/>
  <c r="P8" i="33"/>
  <c r="P9" i="33"/>
  <c r="P5" i="33"/>
  <c r="F4" i="33"/>
  <c r="B2" i="33"/>
  <c r="C2" i="33"/>
  <c r="B3" i="33"/>
  <c r="C3" i="33"/>
  <c r="B4" i="33"/>
  <c r="C4" i="33"/>
  <c r="D4" i="33"/>
  <c r="E4" i="33"/>
  <c r="B6" i="33"/>
  <c r="B7" i="33"/>
  <c r="B8" i="33"/>
  <c r="B9" i="33"/>
  <c r="B10" i="33"/>
  <c r="B11" i="33"/>
  <c r="B12" i="33"/>
  <c r="J68" i="27"/>
  <c r="H68" i="27"/>
  <c r="G68" i="27"/>
  <c r="P39" i="26"/>
  <c r="N39" i="26"/>
  <c r="O39" i="26"/>
  <c r="M39" i="26"/>
  <c r="D68" i="40" l="1"/>
  <c r="E5" i="40"/>
  <c r="N5" i="40" s="1"/>
  <c r="E64" i="40"/>
  <c r="G27" i="41"/>
  <c r="C5" i="40"/>
  <c r="C9" i="40" s="1"/>
  <c r="J9" i="40" s="1"/>
  <c r="K8" i="40" s="1"/>
  <c r="B5" i="40"/>
  <c r="B9" i="40" s="1"/>
  <c r="H65" i="40"/>
  <c r="H68" i="40" s="1"/>
  <c r="D6" i="40"/>
  <c r="J65" i="40"/>
  <c r="J68" i="40" s="1"/>
  <c r="E6" i="40"/>
  <c r="J56" i="40"/>
  <c r="H6" i="40"/>
  <c r="E65" i="40"/>
  <c r="I34" i="40"/>
  <c r="J6" i="40"/>
  <c r="J57" i="40"/>
  <c r="F68" i="40"/>
  <c r="G64" i="40" s="1"/>
  <c r="M34" i="40"/>
  <c r="I58" i="40"/>
  <c r="L5" i="40"/>
  <c r="C6" i="26"/>
  <c r="J57" i="26" s="1"/>
  <c r="N74" i="27"/>
  <c r="F80" i="27"/>
  <c r="F82" i="27" s="1"/>
  <c r="N12" i="27"/>
  <c r="H57" i="27" s="1"/>
  <c r="H12" i="27"/>
  <c r="H54" i="27" s="1"/>
  <c r="L10" i="26"/>
  <c r="N58" i="26" s="1"/>
  <c r="N10" i="26"/>
  <c r="N59" i="26" s="1"/>
  <c r="H10" i="26"/>
  <c r="N56" i="26" s="1"/>
  <c r="J10" i="26"/>
  <c r="N57" i="26" s="1"/>
  <c r="F90" i="27"/>
  <c r="I90" i="27"/>
  <c r="H90" i="27"/>
  <c r="G90" i="27"/>
  <c r="J12" i="27"/>
  <c r="H55" i="27" s="1"/>
  <c r="L12" i="27"/>
  <c r="H56" i="27" s="1"/>
  <c r="D28" i="27"/>
  <c r="D6" i="27" s="1"/>
  <c r="D56" i="27" s="1"/>
  <c r="D24" i="26"/>
  <c r="D25" i="26" s="1"/>
  <c r="H65" i="26" s="1"/>
  <c r="H69" i="26" s="1"/>
  <c r="I68" i="26" s="1"/>
  <c r="F7" i="27"/>
  <c r="J46" i="27" s="1"/>
  <c r="L46" i="27" s="1"/>
  <c r="M46" i="27" s="1"/>
  <c r="F8" i="27"/>
  <c r="J47" i="27" s="1"/>
  <c r="L47" i="27" s="1"/>
  <c r="M47" i="27" s="1"/>
  <c r="C9" i="27"/>
  <c r="G55" i="27" s="1"/>
  <c r="E9" i="27"/>
  <c r="G57" i="27" s="1"/>
  <c r="D13" i="25"/>
  <c r="F17" i="25"/>
  <c r="J5" i="40" l="1"/>
  <c r="K5" i="40" s="1"/>
  <c r="I59" i="40"/>
  <c r="M64" i="40"/>
  <c r="I57" i="40"/>
  <c r="F6" i="40"/>
  <c r="D9" i="40"/>
  <c r="L9" i="40" s="1"/>
  <c r="M8" i="40" s="1"/>
  <c r="F5" i="40"/>
  <c r="H5" i="40"/>
  <c r="I31" i="40" s="1"/>
  <c r="I56" i="40"/>
  <c r="G65" i="40"/>
  <c r="H71" i="40"/>
  <c r="H70" i="40"/>
  <c r="I67" i="40"/>
  <c r="I66" i="40"/>
  <c r="I64" i="40"/>
  <c r="J71" i="40"/>
  <c r="J70" i="40"/>
  <c r="K67" i="40"/>
  <c r="K66" i="40"/>
  <c r="I32" i="40"/>
  <c r="F71" i="40"/>
  <c r="F70" i="40"/>
  <c r="G67" i="40"/>
  <c r="G66" i="40"/>
  <c r="M32" i="40"/>
  <c r="K6" i="40"/>
  <c r="H9" i="40"/>
  <c r="U31" i="40"/>
  <c r="N6" i="40"/>
  <c r="J59" i="40"/>
  <c r="E9" i="40"/>
  <c r="N9" i="40" s="1"/>
  <c r="K65" i="40"/>
  <c r="Q31" i="40"/>
  <c r="L65" i="40"/>
  <c r="M35" i="40"/>
  <c r="N33" i="40" s="1"/>
  <c r="J11" i="40"/>
  <c r="J12" i="40" s="1"/>
  <c r="K7" i="40"/>
  <c r="D71" i="40"/>
  <c r="D70" i="40"/>
  <c r="E66" i="40"/>
  <c r="K64" i="40"/>
  <c r="J58" i="40"/>
  <c r="L6" i="40"/>
  <c r="I65" i="40"/>
  <c r="H72" i="26"/>
  <c r="I65" i="26"/>
  <c r="I66" i="26"/>
  <c r="I64" i="26"/>
  <c r="H71" i="26"/>
  <c r="I67" i="26"/>
  <c r="G76" i="27"/>
  <c r="G73" i="27"/>
  <c r="G75" i="27"/>
  <c r="G79" i="27"/>
  <c r="G77" i="27"/>
  <c r="G74" i="27"/>
  <c r="F81" i="27"/>
  <c r="F83" i="27"/>
  <c r="G78" i="27"/>
  <c r="G17" i="25"/>
  <c r="E28" i="27"/>
  <c r="F9" i="27"/>
  <c r="J48" i="27" s="1"/>
  <c r="L48" i="27" s="1"/>
  <c r="E24" i="26"/>
  <c r="D6" i="26"/>
  <c r="C17" i="25"/>
  <c r="D17" i="25"/>
  <c r="E25" i="26" l="1"/>
  <c r="J65" i="26" s="1"/>
  <c r="M31" i="40"/>
  <c r="N31" i="40" s="1"/>
  <c r="M7" i="40"/>
  <c r="L11" i="40"/>
  <c r="L12" i="40" s="1"/>
  <c r="Q35" i="40"/>
  <c r="R34" i="40" s="1"/>
  <c r="M5" i="40"/>
  <c r="I5" i="40"/>
  <c r="L70" i="40"/>
  <c r="L71" i="40"/>
  <c r="N32" i="40"/>
  <c r="N34" i="40"/>
  <c r="M67" i="40"/>
  <c r="M66" i="40"/>
  <c r="N11" i="40"/>
  <c r="N12" i="40" s="1"/>
  <c r="U35" i="40"/>
  <c r="O8" i="40"/>
  <c r="O7" i="40"/>
  <c r="M6" i="40"/>
  <c r="Q32" i="40"/>
  <c r="O6" i="40"/>
  <c r="U32" i="40"/>
  <c r="O5" i="40"/>
  <c r="M65" i="40"/>
  <c r="H11" i="40"/>
  <c r="H12" i="40" s="1"/>
  <c r="I35" i="40"/>
  <c r="J32" i="40" s="1"/>
  <c r="I7" i="40"/>
  <c r="I8" i="40"/>
  <c r="F9" i="40"/>
  <c r="I6" i="40"/>
  <c r="J58" i="26"/>
  <c r="Y5" i="31"/>
  <c r="F5" i="31"/>
  <c r="M48" i="27"/>
  <c r="F44" i="26"/>
  <c r="F41" i="26"/>
  <c r="F42" i="26"/>
  <c r="F40" i="26"/>
  <c r="M22" i="32"/>
  <c r="L22" i="32"/>
  <c r="N8" i="26"/>
  <c r="U34" i="26" s="1"/>
  <c r="L6" i="26"/>
  <c r="Q32" i="26" s="1"/>
  <c r="L8" i="26"/>
  <c r="Q34" i="26" s="1"/>
  <c r="J6" i="26"/>
  <c r="M32" i="26" s="1"/>
  <c r="H6" i="26"/>
  <c r="E6" i="27"/>
  <c r="D57" i="27" s="1"/>
  <c r="J8" i="4"/>
  <c r="J7" i="4"/>
  <c r="K14" i="25"/>
  <c r="I14" i="25"/>
  <c r="J14" i="25"/>
  <c r="G14" i="25"/>
  <c r="F14" i="25"/>
  <c r="E14" i="25"/>
  <c r="D14" i="25"/>
  <c r="D15" i="25" s="1"/>
  <c r="G13" i="25"/>
  <c r="G15" i="25" s="1"/>
  <c r="E13" i="25"/>
  <c r="H14" i="25"/>
  <c r="Q22" i="27"/>
  <c r="N8" i="27"/>
  <c r="N7" i="27"/>
  <c r="F8" i="33" s="1"/>
  <c r="L9" i="27"/>
  <c r="L8" i="27"/>
  <c r="L7" i="27"/>
  <c r="L6" i="27"/>
  <c r="E7" i="33" s="1"/>
  <c r="J9" i="27"/>
  <c r="J8" i="27"/>
  <c r="J7" i="27"/>
  <c r="J6" i="27"/>
  <c r="B19" i="32"/>
  <c r="R12" i="32"/>
  <c r="E19" i="32" s="1"/>
  <c r="R10" i="32"/>
  <c r="D19" i="32" s="1"/>
  <c r="AL13" i="32"/>
  <c r="AL10" i="32"/>
  <c r="AG13" i="32"/>
  <c r="AH13" i="32" s="1"/>
  <c r="Y13" i="32"/>
  <c r="X13" i="32"/>
  <c r="Z13" i="32" s="1"/>
  <c r="AA13" i="32" s="1"/>
  <c r="AF13" i="32" s="1"/>
  <c r="L13" i="32"/>
  <c r="M13" i="32" s="1"/>
  <c r="R13" i="32" s="1"/>
  <c r="G13" i="32"/>
  <c r="F13" i="32"/>
  <c r="AG12" i="32"/>
  <c r="AH12" i="32" s="1"/>
  <c r="AL12" i="32" s="1"/>
  <c r="Y12" i="32"/>
  <c r="X12" i="32"/>
  <c r="Z12" i="32" s="1"/>
  <c r="AA12" i="32" s="1"/>
  <c r="AF12" i="32" s="1"/>
  <c r="L12" i="32"/>
  <c r="M12" i="32" s="1"/>
  <c r="G12" i="32"/>
  <c r="F12" i="32"/>
  <c r="AG10" i="32"/>
  <c r="AH10" i="32" s="1"/>
  <c r="Y10" i="32"/>
  <c r="X10" i="32"/>
  <c r="Z10" i="32" s="1"/>
  <c r="AA10" i="32" s="1"/>
  <c r="AF10" i="32" s="1"/>
  <c r="L10" i="32"/>
  <c r="M10" i="32" s="1"/>
  <c r="G10" i="32"/>
  <c r="F10" i="32"/>
  <c r="I10" i="32" s="1"/>
  <c r="J10" i="32" s="1"/>
  <c r="AG8" i="32"/>
  <c r="AH8" i="32" s="1"/>
  <c r="AL8" i="32" s="1"/>
  <c r="Y8" i="32"/>
  <c r="X8" i="32"/>
  <c r="Z8" i="32" s="1"/>
  <c r="AA8" i="32" s="1"/>
  <c r="AF8" i="32" s="1"/>
  <c r="N8" i="32"/>
  <c r="O8" i="32" s="1"/>
  <c r="L8" i="32"/>
  <c r="M8" i="32" s="1"/>
  <c r="R8" i="32" s="1"/>
  <c r="G8" i="32"/>
  <c r="F8" i="32"/>
  <c r="I8" i="32" s="1"/>
  <c r="J8" i="32" s="1"/>
  <c r="AG7" i="32"/>
  <c r="AH7" i="32" s="1"/>
  <c r="AL7" i="32" s="1"/>
  <c r="Y7" i="32"/>
  <c r="X7" i="32"/>
  <c r="L7" i="32"/>
  <c r="M7" i="32" s="1"/>
  <c r="R7" i="32" s="1"/>
  <c r="G7" i="32"/>
  <c r="F7" i="32"/>
  <c r="AG5" i="32"/>
  <c r="AH5" i="32" s="1"/>
  <c r="Y5" i="32"/>
  <c r="X5" i="32"/>
  <c r="Z5" i="32" s="1"/>
  <c r="AA5" i="32" s="1"/>
  <c r="AF5" i="32" s="1"/>
  <c r="L5" i="32"/>
  <c r="M5" i="32" s="1"/>
  <c r="F5" i="32"/>
  <c r="I5" i="32" s="1"/>
  <c r="J5" i="32" s="1"/>
  <c r="J10" i="4"/>
  <c r="AJ6" i="31"/>
  <c r="R6" i="31"/>
  <c r="AD5" i="31"/>
  <c r="AE5" i="31" s="1"/>
  <c r="AF5" i="31" s="1"/>
  <c r="AJ5" i="31" s="1"/>
  <c r="AD4" i="31"/>
  <c r="AI4" i="31" s="1"/>
  <c r="AJ4" i="31" s="1"/>
  <c r="AD3" i="31"/>
  <c r="AE3" i="31" s="1"/>
  <c r="AF3" i="31" s="1"/>
  <c r="AA5" i="31"/>
  <c r="AA4" i="31"/>
  <c r="AA3" i="31"/>
  <c r="Z4" i="31"/>
  <c r="Z5" i="31"/>
  <c r="Z3" i="31"/>
  <c r="H5" i="31"/>
  <c r="G5" i="31"/>
  <c r="G3" i="31"/>
  <c r="G4" i="31"/>
  <c r="H3" i="31"/>
  <c r="K5" i="31"/>
  <c r="L5" i="31" s="1"/>
  <c r="K4" i="31"/>
  <c r="L4" i="31" s="1"/>
  <c r="M4" i="31" s="1"/>
  <c r="K3" i="31"/>
  <c r="L3" i="31" s="1"/>
  <c r="H4" i="31"/>
  <c r="L65" i="26" l="1"/>
  <c r="E6" i="26"/>
  <c r="R33" i="40"/>
  <c r="R31" i="40"/>
  <c r="R32" i="40"/>
  <c r="J31" i="40"/>
  <c r="J33" i="40"/>
  <c r="J34" i="40"/>
  <c r="V34" i="40"/>
  <c r="V33" i="40"/>
  <c r="V31" i="40"/>
  <c r="V32" i="40"/>
  <c r="R14" i="32"/>
  <c r="AI5" i="32"/>
  <c r="AJ5" i="32" s="1"/>
  <c r="AL5" i="32"/>
  <c r="C19" i="32"/>
  <c r="N5" i="32"/>
  <c r="N7" i="32"/>
  <c r="N6" i="27"/>
  <c r="F6" i="27"/>
  <c r="J45" i="27" s="1"/>
  <c r="L45" i="27" s="1"/>
  <c r="M45" i="27" s="1"/>
  <c r="F45" i="26"/>
  <c r="L20" i="27"/>
  <c r="D7" i="33"/>
  <c r="L21" i="27"/>
  <c r="D8" i="33"/>
  <c r="P21" i="27"/>
  <c r="E8" i="33"/>
  <c r="L22" i="27"/>
  <c r="D9" i="33"/>
  <c r="T22" i="27"/>
  <c r="F9" i="33"/>
  <c r="P22" i="27"/>
  <c r="E9" i="33"/>
  <c r="L23" i="27"/>
  <c r="D10" i="33"/>
  <c r="P23" i="27"/>
  <c r="E10" i="33"/>
  <c r="AB3" i="31"/>
  <c r="AG3" i="31" s="1"/>
  <c r="AB5" i="31"/>
  <c r="AG5" i="31" s="1"/>
  <c r="I5" i="31"/>
  <c r="AI3" i="31"/>
  <c r="AJ3" i="31" s="1"/>
  <c r="AJ7" i="31" s="1"/>
  <c r="R3" i="31"/>
  <c r="AB4" i="31"/>
  <c r="R4" i="31"/>
  <c r="P20" i="27"/>
  <c r="T21" i="27"/>
  <c r="I32" i="26"/>
  <c r="N9" i="27"/>
  <c r="AE4" i="31"/>
  <c r="P8" i="32"/>
  <c r="Z7" i="32"/>
  <c r="AA7" i="32" s="1"/>
  <c r="AF7" i="32" s="1"/>
  <c r="AK7" i="32" s="1"/>
  <c r="V18" i="32" s="1"/>
  <c r="I13" i="32"/>
  <c r="J13" i="32" s="1"/>
  <c r="P13" i="32" s="1"/>
  <c r="I7" i="32"/>
  <c r="J7" i="32" s="1"/>
  <c r="N13" i="32"/>
  <c r="O13" i="32" s="1"/>
  <c r="AK5" i="32"/>
  <c r="U18" i="32" s="1"/>
  <c r="AI13" i="32"/>
  <c r="AJ13" i="32" s="1"/>
  <c r="AK13" i="32" s="1"/>
  <c r="AI7" i="32"/>
  <c r="AJ7" i="32" s="1"/>
  <c r="O5" i="32"/>
  <c r="AI8" i="32"/>
  <c r="AJ8" i="32" s="1"/>
  <c r="AK8" i="32" s="1"/>
  <c r="N10" i="32"/>
  <c r="O10" i="32" s="1"/>
  <c r="P10" i="32" s="1"/>
  <c r="AI12" i="32"/>
  <c r="AJ12" i="32" s="1"/>
  <c r="AK12" i="32" s="1"/>
  <c r="X18" i="32" s="1"/>
  <c r="O7" i="32"/>
  <c r="AI10" i="32"/>
  <c r="AJ10" i="32" s="1"/>
  <c r="AK10" i="32" s="1"/>
  <c r="W18" i="32" s="1"/>
  <c r="N12" i="32"/>
  <c r="O12" i="32" s="1"/>
  <c r="N4" i="31"/>
  <c r="I4" i="31"/>
  <c r="J5" i="4"/>
  <c r="J59" i="26" l="1"/>
  <c r="F6" i="26"/>
  <c r="N6" i="26"/>
  <c r="U32" i="26" s="1"/>
  <c r="G28" i="31"/>
  <c r="U19" i="32"/>
  <c r="AL14" i="32"/>
  <c r="Y18" i="32"/>
  <c r="M21" i="32" s="1"/>
  <c r="M23" i="32" s="1"/>
  <c r="R7" i="31"/>
  <c r="C16" i="26" s="1"/>
  <c r="P12" i="32"/>
  <c r="F7" i="33"/>
  <c r="T20" i="27"/>
  <c r="T23" i="27"/>
  <c r="F10" i="33"/>
  <c r="AF4" i="31"/>
  <c r="AG4" i="31" s="1"/>
  <c r="AG7" i="31" s="1"/>
  <c r="B19" i="27"/>
  <c r="B5" i="27" s="1"/>
  <c r="C54" i="27" s="1"/>
  <c r="C20" i="27"/>
  <c r="E19" i="27"/>
  <c r="E20" i="27" s="1"/>
  <c r="D19" i="27"/>
  <c r="D20" i="27" s="1"/>
  <c r="B18" i="32"/>
  <c r="P7" i="32"/>
  <c r="AK14" i="32"/>
  <c r="O4" i="31"/>
  <c r="O7" i="31" s="1"/>
  <c r="H9" i="27"/>
  <c r="H8" i="27"/>
  <c r="H7" i="27"/>
  <c r="H6" i="27"/>
  <c r="E7" i="26"/>
  <c r="L59" i="26" s="1"/>
  <c r="D7" i="26"/>
  <c r="L58" i="26" s="1"/>
  <c r="C7" i="26"/>
  <c r="L57" i="26" s="1"/>
  <c r="B7" i="26"/>
  <c r="L56" i="26" s="1"/>
  <c r="J6" i="4"/>
  <c r="K5" i="4" s="1"/>
  <c r="P5" i="9"/>
  <c r="P9" i="9" s="1"/>
  <c r="P13" i="9" s="1"/>
  <c r="P17" i="9" s="1"/>
  <c r="F17" i="9"/>
  <c r="G17" i="9" s="1"/>
  <c r="H17" i="9" s="1"/>
  <c r="F13" i="9"/>
  <c r="G13" i="9" s="1"/>
  <c r="H13" i="9" s="1"/>
  <c r="F9" i="9"/>
  <c r="G9" i="9" s="1"/>
  <c r="H9" i="9" s="1"/>
  <c r="F5" i="9"/>
  <c r="G5" i="9" s="1"/>
  <c r="R8" i="9"/>
  <c r="C17" i="26" l="1"/>
  <c r="F64" i="26" s="1"/>
  <c r="E5" i="27"/>
  <c r="C57" i="27" s="1"/>
  <c r="L73" i="27"/>
  <c r="D5" i="27"/>
  <c r="C56" i="27" s="1"/>
  <c r="J73" i="27"/>
  <c r="C5" i="27"/>
  <c r="H73" i="27"/>
  <c r="E16" i="26"/>
  <c r="B16" i="26"/>
  <c r="D5" i="26"/>
  <c r="L5" i="26" s="1"/>
  <c r="Q31" i="26" s="1"/>
  <c r="Q5" i="9"/>
  <c r="C10" i="33"/>
  <c r="G10" i="33" s="1"/>
  <c r="F7" i="26"/>
  <c r="H20" i="27"/>
  <c r="C7" i="33"/>
  <c r="G7" i="33" s="1"/>
  <c r="H21" i="27"/>
  <c r="C8" i="33"/>
  <c r="G8" i="33" s="1"/>
  <c r="H22" i="27"/>
  <c r="C9" i="33"/>
  <c r="G9" i="33" s="1"/>
  <c r="B10" i="27"/>
  <c r="H10" i="27" s="1"/>
  <c r="H13" i="27" s="1"/>
  <c r="H14" i="27" s="1"/>
  <c r="H5" i="27"/>
  <c r="D10" i="27"/>
  <c r="L10" i="27" s="1"/>
  <c r="L13" i="27" s="1"/>
  <c r="L14" i="27" s="1"/>
  <c r="L5" i="27"/>
  <c r="C10" i="27"/>
  <c r="J10" i="27" s="1"/>
  <c r="J13" i="27" s="1"/>
  <c r="J14" i="27" s="1"/>
  <c r="N7" i="26"/>
  <c r="U33" i="26" s="1"/>
  <c r="J7" i="26"/>
  <c r="M33" i="26" s="1"/>
  <c r="H7" i="26"/>
  <c r="L7" i="26"/>
  <c r="H23" i="27"/>
  <c r="P14" i="32"/>
  <c r="L21" i="32" s="1"/>
  <c r="L23" i="32" s="1"/>
  <c r="H5" i="9"/>
  <c r="C8" i="26"/>
  <c r="M57" i="26" s="1"/>
  <c r="B8" i="26"/>
  <c r="Q22" i="4"/>
  <c r="P22" i="4"/>
  <c r="O22" i="4"/>
  <c r="N22" i="4"/>
  <c r="B22" i="4"/>
  <c r="V11" i="4"/>
  <c r="V7" i="4"/>
  <c r="V9" i="4"/>
  <c r="V5" i="4"/>
  <c r="V13" i="4" s="1"/>
  <c r="K11" i="4"/>
  <c r="E22" i="4" s="1"/>
  <c r="K9" i="4"/>
  <c r="D22" i="4" s="1"/>
  <c r="K7" i="4"/>
  <c r="C22" i="4" s="1"/>
  <c r="J11" i="4"/>
  <c r="J9" i="4"/>
  <c r="J12" i="4"/>
  <c r="F69" i="26" l="1"/>
  <c r="G64" i="26"/>
  <c r="C5" i="26"/>
  <c r="B17" i="26"/>
  <c r="D64" i="26" s="1"/>
  <c r="E17" i="26"/>
  <c r="J64" i="26" s="1"/>
  <c r="I58" i="26"/>
  <c r="L80" i="27"/>
  <c r="N5" i="27"/>
  <c r="T19" i="27" s="1"/>
  <c r="E10" i="27"/>
  <c r="N10" i="27" s="1"/>
  <c r="N13" i="27" s="1"/>
  <c r="N14" i="27" s="1"/>
  <c r="F12" i="33" s="1"/>
  <c r="F5" i="27"/>
  <c r="J44" i="27" s="1"/>
  <c r="L44" i="27" s="1"/>
  <c r="M44" i="27" s="1"/>
  <c r="J80" i="27"/>
  <c r="J5" i="27"/>
  <c r="L19" i="27" s="1"/>
  <c r="H80" i="27"/>
  <c r="I73" i="27" s="1"/>
  <c r="N73" i="27"/>
  <c r="D9" i="26"/>
  <c r="L9" i="26" s="1"/>
  <c r="L11" i="26" s="1"/>
  <c r="L12" i="26" s="1"/>
  <c r="R5" i="9"/>
  <c r="Q9" i="9"/>
  <c r="K13" i="4"/>
  <c r="C9" i="26"/>
  <c r="J9" i="26" s="1"/>
  <c r="J11" i="26" s="1"/>
  <c r="J12" i="26" s="1"/>
  <c r="M56" i="26"/>
  <c r="E12" i="33"/>
  <c r="H8" i="26"/>
  <c r="I34" i="26" s="1"/>
  <c r="F8" i="26"/>
  <c r="D11" i="33"/>
  <c r="D12" i="33"/>
  <c r="K9" i="27"/>
  <c r="K8" i="27"/>
  <c r="M22" i="27" s="1"/>
  <c r="P24" i="27"/>
  <c r="E11" i="33"/>
  <c r="M9" i="27"/>
  <c r="Q23" i="27" s="1"/>
  <c r="M6" i="27"/>
  <c r="Q20" i="27" s="1"/>
  <c r="M7" i="27"/>
  <c r="Q21" i="27" s="1"/>
  <c r="C6" i="33"/>
  <c r="H19" i="27"/>
  <c r="L24" i="27"/>
  <c r="L25" i="27" s="1"/>
  <c r="F6" i="33"/>
  <c r="K7" i="27"/>
  <c r="M21" i="27" s="1"/>
  <c r="K6" i="27"/>
  <c r="M20" i="27" s="1"/>
  <c r="K5" i="27"/>
  <c r="M19" i="27" s="1"/>
  <c r="P19" i="27"/>
  <c r="E6" i="33"/>
  <c r="M5" i="27"/>
  <c r="Q19" i="27" s="1"/>
  <c r="I33" i="26"/>
  <c r="J8" i="26"/>
  <c r="M34" i="26" s="1"/>
  <c r="Q33" i="26"/>
  <c r="Z8" i="3"/>
  <c r="G67" i="26" l="1"/>
  <c r="G65" i="26"/>
  <c r="G66" i="26"/>
  <c r="F72" i="26"/>
  <c r="F71" i="26"/>
  <c r="G68" i="26"/>
  <c r="J69" i="26"/>
  <c r="E5" i="26"/>
  <c r="L64" i="26"/>
  <c r="D69" i="26"/>
  <c r="E64" i="26"/>
  <c r="B5" i="26"/>
  <c r="J5" i="26"/>
  <c r="M31" i="26" s="1"/>
  <c r="I57" i="26"/>
  <c r="O5" i="27"/>
  <c r="O9" i="27"/>
  <c r="O6" i="27"/>
  <c r="O8" i="27"/>
  <c r="F10" i="27"/>
  <c r="J49" i="27" s="1"/>
  <c r="L49" i="27" s="1"/>
  <c r="M49" i="27" s="1"/>
  <c r="T24" i="27"/>
  <c r="O7" i="27"/>
  <c r="L82" i="27"/>
  <c r="M74" i="27"/>
  <c r="L81" i="27"/>
  <c r="M75" i="27"/>
  <c r="M76" i="27"/>
  <c r="M77" i="27"/>
  <c r="M79" i="27"/>
  <c r="M78" i="27"/>
  <c r="L83" i="27"/>
  <c r="F11" i="33"/>
  <c r="M73" i="27"/>
  <c r="J81" i="27"/>
  <c r="K77" i="27"/>
  <c r="K75" i="27"/>
  <c r="K74" i="27"/>
  <c r="J83" i="27"/>
  <c r="J82" i="27"/>
  <c r="K79" i="27"/>
  <c r="K73" i="27"/>
  <c r="D6" i="33"/>
  <c r="G6" i="33" s="1"/>
  <c r="I74" i="27"/>
  <c r="H83" i="27"/>
  <c r="I78" i="27"/>
  <c r="I77" i="27"/>
  <c r="I75" i="27"/>
  <c r="H81" i="27"/>
  <c r="H82" i="27"/>
  <c r="I79" i="27"/>
  <c r="I76" i="27"/>
  <c r="N80" i="27"/>
  <c r="O73" i="27" s="1"/>
  <c r="M8" i="26"/>
  <c r="M6" i="26"/>
  <c r="M7" i="26"/>
  <c r="M5" i="26"/>
  <c r="Q35" i="26"/>
  <c r="R34" i="26" s="1"/>
  <c r="R9" i="9"/>
  <c r="Q13" i="9"/>
  <c r="M23" i="27"/>
  <c r="I7" i="27"/>
  <c r="I21" i="27" s="1"/>
  <c r="I6" i="27"/>
  <c r="I20" i="27" s="1"/>
  <c r="C12" i="33"/>
  <c r="C11" i="33"/>
  <c r="H24" i="27"/>
  <c r="H25" i="27" s="1"/>
  <c r="I9" i="27"/>
  <c r="I8" i="27"/>
  <c r="I22" i="27" s="1"/>
  <c r="I5" i="27"/>
  <c r="I19" i="27" s="1"/>
  <c r="K7" i="26"/>
  <c r="K6" i="26"/>
  <c r="M35" i="26"/>
  <c r="N32" i="26" s="1"/>
  <c r="K8" i="26"/>
  <c r="K5" i="26"/>
  <c r="R32" i="26"/>
  <c r="F15" i="25"/>
  <c r="H15" i="25"/>
  <c r="K15" i="25"/>
  <c r="J15" i="25"/>
  <c r="I15" i="25"/>
  <c r="E15" i="25"/>
  <c r="D72" i="26" l="1"/>
  <c r="E66" i="26"/>
  <c r="E68" i="26"/>
  <c r="E65" i="26"/>
  <c r="E67" i="26"/>
  <c r="D71" i="26"/>
  <c r="L71" i="26" s="1"/>
  <c r="E9" i="26"/>
  <c r="N9" i="26" s="1"/>
  <c r="I59" i="26"/>
  <c r="N5" i="26"/>
  <c r="J72" i="26"/>
  <c r="K66" i="26"/>
  <c r="K67" i="26"/>
  <c r="K68" i="26"/>
  <c r="J71" i="26"/>
  <c r="K65" i="26"/>
  <c r="M64" i="26"/>
  <c r="K64" i="26"/>
  <c r="I56" i="26"/>
  <c r="H5" i="26"/>
  <c r="F5" i="26"/>
  <c r="B9" i="26"/>
  <c r="R33" i="26"/>
  <c r="N81" i="27"/>
  <c r="G11" i="33"/>
  <c r="N83" i="27"/>
  <c r="N82" i="27"/>
  <c r="O78" i="27"/>
  <c r="O79" i="27"/>
  <c r="O77" i="27"/>
  <c r="O75" i="27"/>
  <c r="O74" i="27"/>
  <c r="O76" i="27"/>
  <c r="R31" i="26"/>
  <c r="R13" i="9"/>
  <c r="Q17" i="9"/>
  <c r="R17" i="9" s="1"/>
  <c r="I23" i="27"/>
  <c r="N31" i="26"/>
  <c r="N33" i="26"/>
  <c r="N34" i="26"/>
  <c r="H9" i="26" l="1"/>
  <c r="F9" i="26"/>
  <c r="U31" i="26"/>
  <c r="O5" i="26"/>
  <c r="N11" i="26"/>
  <c r="N12" i="26" s="1"/>
  <c r="O6" i="26"/>
  <c r="O7" i="26"/>
  <c r="U35" i="26"/>
  <c r="O8" i="26"/>
  <c r="I31" i="26"/>
  <c r="I5" i="26"/>
  <c r="M65" i="26"/>
  <c r="M66" i="26"/>
  <c r="M67" i="26"/>
  <c r="M68" i="26"/>
  <c r="U6" i="9"/>
  <c r="V34" i="26" l="1"/>
  <c r="V33" i="26"/>
  <c r="V32" i="26"/>
  <c r="V31" i="26"/>
  <c r="H11" i="26"/>
  <c r="H12" i="26" s="1"/>
  <c r="I6" i="26"/>
  <c r="I7" i="26"/>
  <c r="I35" i="26"/>
  <c r="I8" i="26"/>
  <c r="J31" i="26" l="1"/>
  <c r="J33" i="26"/>
  <c r="J34" i="26"/>
  <c r="J32" i="26"/>
</calcChain>
</file>

<file path=xl/sharedStrings.xml><?xml version="1.0" encoding="utf-8"?>
<sst xmlns="http://schemas.openxmlformats.org/spreadsheetml/2006/main" count="1345" uniqueCount="356">
  <si>
    <t>Per day's salary</t>
  </si>
  <si>
    <t>Per hour's salary</t>
  </si>
  <si>
    <t>S. No</t>
  </si>
  <si>
    <t>A. Personnel</t>
  </si>
  <si>
    <t>G. Gross salary per month (INR)</t>
  </si>
  <si>
    <t>Asha F.</t>
  </si>
  <si>
    <t>BPM</t>
  </si>
  <si>
    <t>TOTAL</t>
  </si>
  <si>
    <t>ASHA Facilitor</t>
  </si>
  <si>
    <t>ASHA FACILITATOR</t>
  </si>
  <si>
    <t>CHMO</t>
  </si>
  <si>
    <t>DPM</t>
  </si>
  <si>
    <t>RKSK Coordinator</t>
  </si>
  <si>
    <t xml:space="preserve">Total </t>
  </si>
  <si>
    <t>ASHA Facilitator</t>
  </si>
  <si>
    <t>Level of training</t>
  </si>
  <si>
    <t>Duration of training (in hrs.)</t>
  </si>
  <si>
    <t>No of trainees trained</t>
  </si>
  <si>
    <t>Type of Trainer - (Hired/ department personnel)</t>
  </si>
  <si>
    <t>Expenditure incurred in Training Activities.</t>
  </si>
  <si>
    <t xml:space="preserve"> (State level/District level/Block level/ any other training)  </t>
  </si>
  <si>
    <t>Trainer (TA/DA, Accomodation etc.)</t>
  </si>
  <si>
    <t xml:space="preserve">Trainees (TA/DA, Accomodation etc.)  </t>
  </si>
  <si>
    <t xml:space="preserve"> Development of training materials </t>
  </si>
  <si>
    <t>Printing of training material</t>
  </si>
  <si>
    <t>Venue cost</t>
  </si>
  <si>
    <t>Any other cost (Food expenses etc.)</t>
  </si>
  <si>
    <t>Total Cost</t>
  </si>
  <si>
    <t>AFHC FOOTFALL (April 2020-March 2021)</t>
  </si>
  <si>
    <t>Total</t>
  </si>
  <si>
    <t>Sl. no</t>
  </si>
  <si>
    <t>Name of the meeting /Workshop</t>
  </si>
  <si>
    <t xml:space="preserve"> Level (District/Block/Sub centre)</t>
  </si>
  <si>
    <t xml:space="preserve"> No of meetings in a year</t>
  </si>
  <si>
    <t xml:space="preserve"> No. of participants in the meeting</t>
  </si>
  <si>
    <t>Duration of meeting in hrs.</t>
  </si>
  <si>
    <t>Expenditure (incurred during meetings)</t>
  </si>
  <si>
    <t>Venue Cost</t>
  </si>
  <si>
    <t>Accommodation Cost (If any)</t>
  </si>
  <si>
    <t>Transport</t>
  </si>
  <si>
    <t>cost (if any)</t>
  </si>
  <si>
    <t>Block</t>
  </si>
  <si>
    <t xml:space="preserve">Block </t>
  </si>
  <si>
    <t>Total cost for the year</t>
  </si>
  <si>
    <t>Human Resource Cost for the year 2020-21 :  Panna</t>
  </si>
  <si>
    <t>ASHA incentive for 78 PE</t>
  </si>
  <si>
    <t>ASHA incentive for 80 PE</t>
  </si>
  <si>
    <t xml:space="preserve">BPM </t>
  </si>
  <si>
    <t>ASHA (incentive for 180  PE)</t>
  </si>
  <si>
    <t>Training Cost for 2020-21 (PANNA)</t>
  </si>
  <si>
    <t>Meeting Cost for 2020-21 (PANNA)</t>
  </si>
  <si>
    <t>Ajaigarh</t>
  </si>
  <si>
    <t>Devendranagar</t>
  </si>
  <si>
    <t>Pawai</t>
  </si>
  <si>
    <t>Shahnagar</t>
  </si>
  <si>
    <t>Block Level Meeting /samiksha Baithak</t>
  </si>
  <si>
    <t>Name of the Block</t>
  </si>
  <si>
    <t xml:space="preserve">Pawai </t>
  </si>
  <si>
    <t>B</t>
  </si>
  <si>
    <t>Training Cost for 2019-20 (PANNA)</t>
  </si>
  <si>
    <t>CHC Ajaygarh</t>
  </si>
  <si>
    <t>CHC Pawai</t>
  </si>
  <si>
    <t>CHC Shahnagar</t>
  </si>
  <si>
    <t xml:space="preserve">Male </t>
  </si>
  <si>
    <t xml:space="preserve">Female </t>
  </si>
  <si>
    <t>In School</t>
  </si>
  <si>
    <t>Out School</t>
  </si>
  <si>
    <t xml:space="preserve">AFHC Clinic </t>
  </si>
  <si>
    <t>No.</t>
  </si>
  <si>
    <t>Indicators</t>
  </si>
  <si>
    <t>Total Number of Clients Registered in Clinics</t>
  </si>
  <si>
    <t xml:space="preserve">Total Number of Clients who Received Clinical Services </t>
  </si>
  <si>
    <t xml:space="preserve">Total Number of Clients who Received Counseling Services </t>
  </si>
  <si>
    <t xml:space="preserve">Total Number of Clients Referred to other Facilities </t>
  </si>
  <si>
    <t xml:space="preserve">Number of Out-reach Activities </t>
  </si>
  <si>
    <t xml:space="preserve">Total Number of Clients Participated in the Out- reach Session </t>
  </si>
  <si>
    <t>CHC Devendranagar</t>
  </si>
  <si>
    <t xml:space="preserve"> BLOCK 1 : Ajaigarh</t>
  </si>
  <si>
    <t xml:space="preserve"> BLOCK 2 : Devendranagar</t>
  </si>
  <si>
    <t xml:space="preserve"> BLOCK 3 : Pawai </t>
  </si>
  <si>
    <t xml:space="preserve"> BLOCK 4 : Shahnagar</t>
  </si>
  <si>
    <t>Personnel</t>
  </si>
  <si>
    <t xml:space="preserve">No. of personnel </t>
  </si>
  <si>
    <t>Gross salary per month (INR)</t>
  </si>
  <si>
    <t>Total Appportioned cost cost For an year</t>
  </si>
  <si>
    <t>Monitoring</t>
  </si>
  <si>
    <t>Meetings</t>
  </si>
  <si>
    <t>Administrative cost</t>
  </si>
  <si>
    <t>Meeting Cost for 2019-20 (PANNA)</t>
  </si>
  <si>
    <t>AFC</t>
  </si>
  <si>
    <t>Transport (TA/DA to ASHA and PE)</t>
  </si>
  <si>
    <t>40 per PE/ASHA</t>
  </si>
  <si>
    <r>
      <t xml:space="preserve">NOTE: </t>
    </r>
    <r>
      <rPr>
        <sz val="11"/>
        <color rgb="FF000000"/>
        <rFont val="Calibri"/>
        <family val="2"/>
        <scheme val="minor"/>
      </rPr>
      <t>No trainings were conducted  in this year.</t>
    </r>
  </si>
  <si>
    <t>Per day salary</t>
  </si>
  <si>
    <t>A</t>
  </si>
  <si>
    <t>D</t>
  </si>
  <si>
    <t>P</t>
  </si>
  <si>
    <t>Programme Activity</t>
  </si>
  <si>
    <t xml:space="preserve">Remarks </t>
  </si>
  <si>
    <t xml:space="preserve">D. Total no. of Visits for RKSK </t>
  </si>
  <si>
    <t>Time contribtion for PE prog in each visit</t>
  </si>
  <si>
    <t>Mobility Support (Per month)</t>
  </si>
  <si>
    <t>Total monitoring cost for a year</t>
  </si>
  <si>
    <t>Apportioned cost from the mobility support for a month</t>
  </si>
  <si>
    <t>Total Apportioned cost from the mobility support for a year</t>
  </si>
  <si>
    <t xml:space="preserve">Block 1 </t>
  </si>
  <si>
    <t>BCM</t>
  </si>
  <si>
    <t xml:space="preserve">Block 2 </t>
  </si>
  <si>
    <t>30 min</t>
  </si>
  <si>
    <t>Block 3</t>
  </si>
  <si>
    <t>Block 4</t>
  </si>
  <si>
    <t xml:space="preserve">BCM </t>
  </si>
  <si>
    <t xml:space="preserve">Total no of visits for monitoring
in a month. </t>
  </si>
  <si>
    <t>15 min</t>
  </si>
  <si>
    <t>BPM (BPM is also the incharge BCM)</t>
  </si>
  <si>
    <t xml:space="preserve">30 min </t>
  </si>
  <si>
    <t>20min</t>
  </si>
  <si>
    <t>20 min</t>
  </si>
  <si>
    <t>Time contri for the prog apart from monitoring in a month (hr)</t>
  </si>
  <si>
    <t xml:space="preserve"> Apportioned salary from monitoring for a visit</t>
  </si>
  <si>
    <t>Time contri for the prog apart from monitoring
(hrs)</t>
  </si>
  <si>
    <t>2019-20</t>
  </si>
  <si>
    <t>2020-21</t>
  </si>
  <si>
    <t>check CHMOand dpm damoh</t>
  </si>
  <si>
    <t>Programme Coordinator</t>
  </si>
  <si>
    <t xml:space="preserve">15 days </t>
  </si>
  <si>
    <t>NA</t>
  </si>
  <si>
    <t>S. no.</t>
  </si>
  <si>
    <t xml:space="preserve">Activity Name </t>
  </si>
  <si>
    <t>Expenditure (Rs)</t>
  </si>
  <si>
    <t>Total expenditure for 2019-20 (April 2019 to March 2020)</t>
  </si>
  <si>
    <t>Total expenditure for 2020-21 (April 2020 to March 2021)</t>
  </si>
  <si>
    <t>BLOCK NAME</t>
  </si>
  <si>
    <t>Peer Educator Training</t>
  </si>
  <si>
    <t>Expenditure on Training</t>
  </si>
  <si>
    <t xml:space="preserve">Administrative cost </t>
  </si>
  <si>
    <t>Total expenditure</t>
  </si>
  <si>
    <t>Expenditure on salary</t>
  </si>
  <si>
    <t>Supportive supervision by the trainers (mentors)</t>
  </si>
  <si>
    <t>Training</t>
  </si>
  <si>
    <t>Supportive Supervision</t>
  </si>
  <si>
    <t>BLOCKS</t>
  </si>
  <si>
    <t>Human Resource Cost</t>
  </si>
  <si>
    <t xml:space="preserve">Meetings </t>
  </si>
  <si>
    <t>HR</t>
  </si>
  <si>
    <t>B level</t>
  </si>
  <si>
    <t>D level</t>
  </si>
  <si>
    <t>Total HR</t>
  </si>
  <si>
    <t>Total Programme Cost : Block Ajaigarh  (2020-21)</t>
  </si>
  <si>
    <t>Total Programme cost for Panna (2020-2021)</t>
  </si>
  <si>
    <t>Total Programme Cost : Block Devendranagar (2020-21)</t>
  </si>
  <si>
    <t>Total Programme Cost : Block Shahnagar (2020-21)</t>
  </si>
  <si>
    <t>Total Programme Cost : Block Pawai (2020-21)</t>
  </si>
  <si>
    <t>Total Programme cost for Panna (2019-2020)</t>
  </si>
  <si>
    <t>Total Programme Cost : Block Ajaigarh  (2019-20)</t>
  </si>
  <si>
    <t>Total Programme Cost : Block Devendranagar (2019-20)</t>
  </si>
  <si>
    <t>Total Programme Cost : Block Pawai (2019-20)</t>
  </si>
  <si>
    <t>Total Programme Cost : Block Shahnagar (2019-20)</t>
  </si>
  <si>
    <t>NGO Admin Costs</t>
  </si>
  <si>
    <t>Aministration Cost (NGO) 2019-20</t>
  </si>
  <si>
    <t>Aministration Cost (NGO) 2020-21</t>
  </si>
  <si>
    <t xml:space="preserve"> Apportioned salary from monitoring for a visit </t>
  </si>
  <si>
    <t>Prog Coordi. (NGO)</t>
  </si>
  <si>
    <t>HR cost for an Year</t>
  </si>
  <si>
    <t>HR cost (yearly) for a block</t>
  </si>
  <si>
    <t>HR Cost yearly Per Block</t>
  </si>
  <si>
    <t>S</t>
  </si>
  <si>
    <t>Moni</t>
  </si>
  <si>
    <t>Community Level</t>
  </si>
  <si>
    <t>Human Resource Cost for the year 2019-20 :  Panna</t>
  </si>
  <si>
    <t>ASHA incentive for 53 PE</t>
  </si>
  <si>
    <t>ASHA incentive for 29 PE</t>
  </si>
  <si>
    <t>ASHA (incentive for 0 PE)</t>
  </si>
  <si>
    <t>ASHA incentive (for 47  PE)</t>
  </si>
  <si>
    <t>ASHA incentive (for 60  PE)</t>
  </si>
  <si>
    <t>Time Contribution for PE programme in  a month (in hrs)</t>
  </si>
  <si>
    <t>Time Contribution for PE programme in a month (in hrs)</t>
  </si>
  <si>
    <t>Per hour salary</t>
  </si>
  <si>
    <t xml:space="preserve">2 hrs </t>
  </si>
  <si>
    <t>Mobility Support )</t>
  </si>
  <si>
    <t>Total monitoring time in a month (in min)</t>
  </si>
  <si>
    <t>Total monitoring time for PE prog in a month (in min)</t>
  </si>
  <si>
    <t>Total Apportioned cost for monitoring in a year from mobility support in a year</t>
  </si>
  <si>
    <t>Apportioned salary for monitoring for a month</t>
  </si>
  <si>
    <r>
      <rPr>
        <b/>
        <sz val="10"/>
        <rFont val="Times New Roman"/>
        <family val="1"/>
      </rPr>
      <t xml:space="preserve">Total appotioned cost for  </t>
    </r>
    <r>
      <rPr>
        <b/>
        <sz val="10"/>
        <color theme="0"/>
        <rFont val="Times New Roman"/>
        <family val="1"/>
      </rPr>
      <t xml:space="preserve">monitoring </t>
    </r>
    <r>
      <rPr>
        <b/>
        <sz val="10"/>
        <rFont val="Times New Roman"/>
        <family val="1"/>
      </rPr>
      <t>from</t>
    </r>
    <r>
      <rPr>
        <b/>
        <sz val="10"/>
        <color theme="0"/>
        <rFont val="Times New Roman"/>
        <family val="1"/>
      </rPr>
      <t xml:space="preserve"> salary</t>
    </r>
    <r>
      <rPr>
        <b/>
        <sz val="10"/>
        <rFont val="Times New Roman"/>
        <family val="1"/>
      </rPr>
      <t xml:space="preserve"> in an year</t>
    </r>
  </si>
  <si>
    <r>
      <t xml:space="preserve">Total Apportioned cost for </t>
    </r>
    <r>
      <rPr>
        <b/>
        <sz val="10"/>
        <color theme="0"/>
        <rFont val="Times New Roman"/>
        <family val="1"/>
      </rPr>
      <t>monitoring</t>
    </r>
    <r>
      <rPr>
        <b/>
        <sz val="10"/>
        <color theme="1"/>
        <rFont val="Times New Roman"/>
        <family val="1"/>
      </rPr>
      <t xml:space="preserve">  from </t>
    </r>
    <r>
      <rPr>
        <b/>
        <sz val="10"/>
        <color theme="0"/>
        <rFont val="Times New Roman"/>
        <family val="1"/>
      </rPr>
      <t>mobility support</t>
    </r>
    <r>
      <rPr>
        <b/>
        <sz val="10"/>
        <color theme="1"/>
        <rFont val="Times New Roman"/>
        <family val="1"/>
      </rPr>
      <t xml:space="preserve"> in a year</t>
    </r>
  </si>
  <si>
    <r>
      <rPr>
        <b/>
        <sz val="10"/>
        <rFont val="Times New Roman"/>
        <family val="1"/>
      </rPr>
      <t>Total</t>
    </r>
    <r>
      <rPr>
        <b/>
        <sz val="10"/>
        <color theme="0"/>
        <rFont val="Times New Roman"/>
        <family val="1"/>
      </rPr>
      <t xml:space="preserve"> monitoring cost</t>
    </r>
    <r>
      <rPr>
        <b/>
        <sz val="10"/>
        <rFont val="Times New Roman"/>
        <family val="1"/>
      </rPr>
      <t xml:space="preserve"> for a year</t>
    </r>
  </si>
  <si>
    <t>Total Apportioned for monitoring in a month from mobility support</t>
  </si>
  <si>
    <t>Time contribtion for PE prog in a month(in min.)</t>
  </si>
  <si>
    <t>Time contribtion for monitoring in a month (in min.)</t>
  </si>
  <si>
    <t xml:space="preserve"> Gross salary per month (INR)</t>
  </si>
  <si>
    <t>Time contri for the prog apart from monitoring in a month
(hrs)</t>
  </si>
  <si>
    <t>Total appotioned cost for salary from monitoring for an year</t>
  </si>
  <si>
    <t>Remarks</t>
  </si>
  <si>
    <t>1) The number of mentors, ASHA Facilitator involved in the programme and Peer educators selected in the given  year (for ASHA incentive) are taken as per the data received by the programme coordinator.  
2)The  salary of the mentors from NGO are reported as per the data received by the NGO for the given financial year. As per circulars, the mentors are mandated to work for 25 days in a month and their per day salary is Rs 450.</t>
  </si>
  <si>
    <t>2 hrs</t>
  </si>
  <si>
    <t>Blockwise cost for HR and Monitoring (2019-20)</t>
  </si>
  <si>
    <t>HR and Monitoring Cost 2019-20</t>
  </si>
  <si>
    <t>HR and Monitoring Cost 2020-21</t>
  </si>
  <si>
    <t>Blockwise cost for HR and Monitoring (2020-21)</t>
  </si>
  <si>
    <t xml:space="preserve">Total no. of Visits for RKSK </t>
  </si>
  <si>
    <t>Total no. of visits for monitoring in a year</t>
  </si>
  <si>
    <t>Total time contri for moni of PE prog in a year (in min)</t>
  </si>
  <si>
    <t>Total time  contribution for monitoring in a year(in min)</t>
  </si>
  <si>
    <t>120min</t>
  </si>
  <si>
    <t>8hrs per day</t>
  </si>
  <si>
    <t>Total appotioned cost for salary for an year per block</t>
  </si>
  <si>
    <t>Total apportioned cost from mobility support in a year per block</t>
  </si>
  <si>
    <t>Total monitoring cost for a year per block</t>
  </si>
  <si>
    <t xml:space="preserve"> Personnel</t>
  </si>
  <si>
    <t>D. Total no. of Visits for RKSK  in a year</t>
  </si>
  <si>
    <t>Time contribtion for PE prog in each visit(min)</t>
  </si>
  <si>
    <t>should we add for chmo and dpm , similarly for block level staff.</t>
  </si>
  <si>
    <t>1)For the DPM and CHMO , the total no of annual visits are taken into account while calculating the monitiring visits and divided by 6 for there are 6 blocks in which programme is being implemented. 
The data is  recorded as per DPM Panna (2019-21) conversation with sir.
2)As per the data shared by the NGO, the salary has been mentioned for the Prog Coordinator . The monthly salary is Rs 17000. However the position remained vacant for most of the months , hence apportioned accordingly. Since the NGO is involved principally in AFHC and PE activity, hence for apportioning the monthy salar is divided in the ratio of 1:1.</t>
  </si>
  <si>
    <t>1)PE Training Not Conducted in 2020-2021.
2) The expenditure noted here as  provided by the NGO.</t>
  </si>
  <si>
    <t>Community level level</t>
  </si>
  <si>
    <t xml:space="preserve">Final Total HR Cost </t>
  </si>
  <si>
    <t>Percentage Share (%)</t>
  </si>
  <si>
    <t xml:space="preserve">Total Programme cost for Panna </t>
  </si>
  <si>
    <t>2019-2020</t>
  </si>
  <si>
    <t>20-21</t>
  </si>
  <si>
    <t>19-20</t>
  </si>
  <si>
    <t>Mobility Support (yearly)</t>
  </si>
  <si>
    <t>Damoh</t>
  </si>
  <si>
    <t>Diff</t>
  </si>
  <si>
    <t>.(%)</t>
  </si>
  <si>
    <t>.(%) (%)</t>
  </si>
  <si>
    <t>(%)</t>
  </si>
  <si>
    <t>TOTAL COST</t>
  </si>
  <si>
    <t xml:space="preserve"> (%)</t>
  </si>
  <si>
    <t>No. of ASHAs involved in RKSK (From April 2020-March 2021)</t>
  </si>
  <si>
    <t>No. of ASHA faciliataors involved in RKSK(From April 2020-March 2021)</t>
  </si>
  <si>
    <t>No. of ANM involved in RKSK (From April 2020-March 2021)</t>
  </si>
  <si>
    <t>No. of Mentors involved in RKSK (From April 2020-March 2021)</t>
  </si>
  <si>
    <t>No. of new PE selected.(From April 2020-March 2021)</t>
  </si>
  <si>
    <t>Per unit cost</t>
  </si>
  <si>
    <t>Per Unit Cost</t>
  </si>
  <si>
    <t>No. of new PE selected.(From April 2019-March 2020)</t>
  </si>
  <si>
    <t xml:space="preserve">District </t>
  </si>
  <si>
    <t xml:space="preserve">Training </t>
  </si>
  <si>
    <t xml:space="preserve">Hindoriya </t>
  </si>
  <si>
    <t>Jabera</t>
  </si>
  <si>
    <t xml:space="preserve">Patera </t>
  </si>
  <si>
    <t>Pathariya</t>
  </si>
  <si>
    <t>Year</t>
  </si>
  <si>
    <t>Table 1: Total Programme cost for Panna (2019-2020)</t>
  </si>
  <si>
    <t>Average cost</t>
  </si>
  <si>
    <t>9906.94 (0.7%)</t>
  </si>
  <si>
    <t>89815 (6.57%)</t>
  </si>
  <si>
    <t>113835 (8.32%)</t>
  </si>
  <si>
    <t>107383 (7.85%)</t>
  </si>
  <si>
    <t>1046541.67 
(76.53%)</t>
  </si>
  <si>
    <t>Human Resource 
Cost</t>
  </si>
  <si>
    <t>1123141.67
(72.32%)</t>
  </si>
  <si>
    <t>17381.94 (1.12%)</t>
  </si>
  <si>
    <t>245460 (15.81%)</t>
  </si>
  <si>
    <t>60875 (3.92%)</t>
  </si>
  <si>
    <t>106087 (6.83%)</t>
  </si>
  <si>
    <t>1362341.67
(79.22%)</t>
  </si>
  <si>
    <t>16919.44(0.98%)</t>
  </si>
  <si>
    <t>220455(12.82%)</t>
  </si>
  <si>
    <t>120000(6.98%)</t>
  </si>
  <si>
    <t>1089891.67
(69.29%)</t>
  </si>
  <si>
    <t>14029.44(0.89%)</t>
  </si>
  <si>
    <t>128005(8.14%)</t>
  </si>
  <si>
    <t>222675(14.16%)</t>
  </si>
  <si>
    <t>118268(7.52%)</t>
  </si>
  <si>
    <t>Table 2: Total Programme cost for Panna (2020-2021)</t>
  </si>
  <si>
    <t>Average Cost</t>
  </si>
  <si>
    <t>1126000 
(91.21%)</t>
  </si>
  <si>
    <t>1171500 
(90.77%)</t>
  </si>
  <si>
    <t>1429800
 (91.15%)</t>
  </si>
  <si>
    <t>1126450 
(90.91%)</t>
  </si>
  <si>
    <t>11261.11 
(0.91%)</t>
  </si>
  <si>
    <t>18673.61 
(1.45%)</t>
  </si>
  <si>
    <t>18211.11
 (1.16%)</t>
  </si>
  <si>
    <t>15823.61 
(1.28%)</t>
  </si>
  <si>
    <t>1250 
(0.10%)</t>
  </si>
  <si>
    <t>500 
(0.04%)</t>
  </si>
  <si>
    <t>625 
(0.04%)</t>
  </si>
  <si>
    <t>875 
(0.07%)</t>
  </si>
  <si>
    <t>96000 
(7.78%)</t>
  </si>
  <si>
    <t>100000
 (7.75%)</t>
  </si>
  <si>
    <t>120000 
(7.65%)</t>
  </si>
  <si>
    <t>96000 
(7.75%)</t>
  </si>
  <si>
    <t>Total Programme Cost for Madhya Pradesh (2020-21)</t>
  </si>
  <si>
    <t>Programme Activity Cost</t>
  </si>
  <si>
    <t xml:space="preserve">Mean    </t>
  </si>
  <si>
    <t>Std. Err.</t>
  </si>
  <si>
    <t>Conf. Interval</t>
  </si>
  <si>
    <t>471257     1181890</t>
  </si>
  <si>
    <t>13405.71    17863.73</t>
  </si>
  <si>
    <t>497.2572     1657.43</t>
  </si>
  <si>
    <t>Administrative Cost</t>
  </si>
  <si>
    <t>38906.4    100093.6</t>
  </si>
  <si>
    <t>526582.9     1298988</t>
  </si>
  <si>
    <t>Human Resource</t>
  </si>
  <si>
    <t>Gross salary per month = 150000</t>
  </si>
  <si>
    <t>Total time contributed for monitoring of PE programme in 1 visit =20min</t>
  </si>
  <si>
    <t>Total time contributed for monitoring of all programmes in ayear   = 8 hrs * 24 visits</t>
  </si>
  <si>
    <t xml:space="preserve">Given: </t>
  </si>
  <si>
    <t>Total time contributed for monitoring of PE programme in 24 visits =20min * 24 visits</t>
  </si>
  <si>
    <t>Total  no of monitoring visists in a year =24</t>
  </si>
  <si>
    <t>Total mobility support in  a year = 240000</t>
  </si>
  <si>
    <t xml:space="preserve">1) Total mobility cost apportioned from mobility support for a year per block =
Total mobility support cost/Total time utilized for monitoring of all programme* Total time contri for moni. of PE prog/6 </t>
  </si>
  <si>
    <t>2) Total apportioned cost from the salary for monitoring of PE prog  for an year per block =  Salary of 480 min. /6</t>
  </si>
  <si>
    <t>Hence Total apportioned monitoring cost for a block  = (1) + (2)</t>
  </si>
  <si>
    <t>240000/11520*480/6 …............ (1)</t>
  </si>
  <si>
    <t xml:space="preserve">                                          Rs 833.33….....................(2)</t>
  </si>
  <si>
    <t xml:space="preserve">Percentage Change </t>
  </si>
  <si>
    <t>Total no. of active PE in 2020-21</t>
  </si>
  <si>
    <t>Gunnor</t>
  </si>
  <si>
    <t>Amanganj</t>
  </si>
  <si>
    <t>Total number of aolescent Brigade member (2020-21)</t>
  </si>
  <si>
    <t>total AEP +PE</t>
  </si>
  <si>
    <t>Total incentive</t>
  </si>
  <si>
    <t>Total PE active</t>
  </si>
  <si>
    <t>Per PE Incentive</t>
  </si>
  <si>
    <t>PE Incentives Cost</t>
  </si>
  <si>
    <t>Total Actual cost (w Ince cost</t>
  </si>
  <si>
    <t>Total Active Peer Educators  (2019-20)</t>
  </si>
  <si>
    <t>Total denominator</t>
  </si>
  <si>
    <t>total incentive (Panna 2019-20</t>
  </si>
  <si>
    <t>Per PE incentive</t>
  </si>
  <si>
    <t>Total active saaathiya Brigade members</t>
  </si>
  <si>
    <t xml:space="preserve">Total PE in Panna </t>
  </si>
  <si>
    <t>Total PE incentive per block</t>
  </si>
  <si>
    <t>Active PE per block</t>
  </si>
  <si>
    <t>PE Kits Costs</t>
  </si>
  <si>
    <t xml:space="preserve">Final Total cost </t>
  </si>
  <si>
    <t>PE incentive</t>
  </si>
  <si>
    <t>PE kit  cost</t>
  </si>
  <si>
    <t xml:space="preserve">Total cost </t>
  </si>
  <si>
    <t>Per Unit Cost (PE+AEP)</t>
  </si>
  <si>
    <t>Per Unit Cost (AEP)</t>
  </si>
  <si>
    <t>Per Unit Cost (PE)</t>
  </si>
  <si>
    <t>Per unit cost (PE+AEP)</t>
  </si>
  <si>
    <t>Per unit cost (PE)</t>
  </si>
  <si>
    <t>Per unit cost (AEP)</t>
  </si>
  <si>
    <t xml:space="preserve">Total PE incentive </t>
  </si>
  <si>
    <t xml:space="preserve">        (%)</t>
  </si>
  <si>
    <t>Average Costs</t>
  </si>
  <si>
    <t>Expen Salary</t>
  </si>
  <si>
    <t xml:space="preserve">% Share </t>
  </si>
  <si>
    <t>Ater additional data</t>
  </si>
  <si>
    <t>90% mentors salary added to B level</t>
  </si>
  <si>
    <t>Mentors 10% salary in HR (added in Bolck HR)</t>
  </si>
  <si>
    <t>After new data and discussion on 10% mentors salaryon Hr And 90% on Moni</t>
  </si>
  <si>
    <t>10%mentors salry added to block level staff</t>
  </si>
  <si>
    <t>90% mentors salry added to B level</t>
  </si>
  <si>
    <t>Total Programme cost for Panna without NGO Costs (2020-2021)</t>
  </si>
  <si>
    <t xml:space="preserve">here added the mentors </t>
  </si>
  <si>
    <t>PE</t>
  </si>
  <si>
    <t>AEP</t>
  </si>
  <si>
    <t>PE+AEP</t>
  </si>
  <si>
    <t>Average 4 blocks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</si>
</sst>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b/>
      <sz val="11"/>
      <color rgb="FF000000"/>
      <name val="Times New Roman"/>
      <family val="1"/>
    </font>
    <font>
      <b/>
      <sz val="10"/>
      <color rgb="FF000000"/>
      <name val="Times New Roman"/>
      <family val="1"/>
    </font>
    <font>
      <sz val="11"/>
      <color theme="1"/>
      <name val="Times New Roman"/>
      <family val="1"/>
    </font>
    <font>
      <b/>
      <sz val="11"/>
      <color theme="1"/>
      <name val="Times New Roman"/>
      <family val="1"/>
    </font>
    <font>
      <sz val="11"/>
      <color rgb="FF000000"/>
      <name val="Times New Roman"/>
      <family val="1"/>
    </font>
    <font>
      <b/>
      <sz val="10"/>
      <color theme="1"/>
      <name val="Times New Roman"/>
      <family val="1"/>
    </font>
    <font>
      <b/>
      <sz val="12"/>
      <color rgb="FF000000"/>
      <name val="Times New Roman"/>
      <family val="1"/>
    </font>
    <font>
      <sz val="11"/>
      <color rgb="FF000000"/>
      <name val="Calibri"/>
      <family val="2"/>
      <scheme val="minor"/>
    </font>
    <font>
      <b/>
      <sz val="11"/>
      <color theme="1"/>
      <name val="Calibri"/>
      <family val="2"/>
      <scheme val="minor"/>
    </font>
    <font>
      <b/>
      <sz val="11"/>
      <color rgb="FF000000"/>
      <name val="Calibri"/>
      <family val="2"/>
      <scheme val="minor"/>
    </font>
    <font>
      <b/>
      <sz val="11"/>
      <name val="Calibri"/>
      <family val="2"/>
      <scheme val="minor"/>
    </font>
    <font>
      <b/>
      <sz val="12"/>
      <color theme="1"/>
      <name val="Times New Roman"/>
      <family val="1"/>
    </font>
    <font>
      <b/>
      <sz val="10"/>
      <color theme="0"/>
      <name val="Times New Roman"/>
      <family val="1"/>
    </font>
    <font>
      <b/>
      <sz val="10"/>
      <color rgb="FFFFFF00"/>
      <name val="Times New Roman"/>
      <family val="1"/>
    </font>
    <font>
      <b/>
      <sz val="10"/>
      <name val="Times New Roman"/>
      <family val="1"/>
    </font>
    <font>
      <sz val="10"/>
      <color theme="1"/>
      <name val="Calibri"/>
      <family val="2"/>
      <scheme val="minor"/>
    </font>
    <font>
      <b/>
      <sz val="10"/>
      <color theme="1"/>
      <name val="Calibri"/>
      <family val="2"/>
      <scheme val="minor"/>
    </font>
    <font>
      <sz val="10"/>
      <color rgb="FF000000"/>
      <name val="Times New Roman"/>
      <family val="1"/>
    </font>
    <font>
      <sz val="10"/>
      <color rgb="FF000000"/>
      <name val="Calibri"/>
      <family val="2"/>
      <scheme val="minor"/>
    </font>
  </fonts>
  <fills count="11">
    <fill>
      <patternFill patternType="none"/>
    </fill>
    <fill>
      <patternFill patternType="gray125"/>
    </fill>
    <fill>
      <patternFill patternType="solid">
        <fgColor rgb="FFA9D08E"/>
        <bgColor indexed="64"/>
      </patternFill>
    </fill>
    <fill>
      <patternFill patternType="solid">
        <fgColor theme="9"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style="thin">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s>
  <cellStyleXfs count="1">
    <xf numFmtId="0" fontId="0" fillId="0" borderId="0"/>
  </cellStyleXfs>
  <cellXfs count="330">
    <xf numFmtId="0" fontId="0" fillId="0" borderId="0" xfId="0"/>
    <xf numFmtId="0" fontId="2" fillId="2" borderId="2" xfId="0" applyFont="1" applyFill="1" applyBorder="1" applyAlignment="1">
      <alignment horizontal="center" vertical="center" wrapText="1"/>
    </xf>
    <xf numFmtId="0" fontId="3" fillId="0" borderId="2" xfId="0" applyFont="1" applyBorder="1"/>
    <xf numFmtId="0" fontId="3" fillId="0" borderId="0" xfId="0" applyFont="1"/>
    <xf numFmtId="0" fontId="0" fillId="0" borderId="2" xfId="0" applyBorder="1"/>
    <xf numFmtId="0" fontId="3" fillId="0" borderId="2" xfId="0" applyFont="1" applyBorder="1" applyAlignment="1">
      <alignment vertical="center" wrapText="1"/>
    </xf>
    <xf numFmtId="0" fontId="2" fillId="2" borderId="13" xfId="0" applyFont="1" applyFill="1" applyBorder="1" applyAlignment="1">
      <alignment vertical="center" wrapText="1"/>
    </xf>
    <xf numFmtId="0" fontId="5" fillId="0" borderId="2" xfId="0" applyFont="1" applyBorder="1" applyAlignment="1">
      <alignment horizontal="left" vertical="top"/>
    </xf>
    <xf numFmtId="0" fontId="5" fillId="0" borderId="2" xfId="0" applyFont="1" applyBorder="1" applyAlignment="1">
      <alignment vertical="center"/>
    </xf>
    <xf numFmtId="0" fontId="0" fillId="0" borderId="0" xfId="0" applyAlignment="1">
      <alignment horizontal="left"/>
    </xf>
    <xf numFmtId="0" fontId="5" fillId="0" borderId="0" xfId="0" applyFont="1" applyAlignment="1">
      <alignment vertical="center" wrapText="1"/>
    </xf>
    <xf numFmtId="0" fontId="5" fillId="0" borderId="0" xfId="0" applyFont="1" applyAlignment="1">
      <alignment vertical="center"/>
    </xf>
    <xf numFmtId="3" fontId="5" fillId="0" borderId="2" xfId="0" applyNumberFormat="1" applyFont="1" applyBorder="1" applyAlignment="1">
      <alignment vertical="center"/>
    </xf>
    <xf numFmtId="0" fontId="5" fillId="4" borderId="2" xfId="0" applyFont="1" applyFill="1" applyBorder="1" applyAlignment="1">
      <alignment vertical="center"/>
    </xf>
    <xf numFmtId="0" fontId="5" fillId="0" borderId="2" xfId="0" applyFont="1" applyBorder="1" applyAlignment="1">
      <alignment horizontal="left" vertical="center"/>
    </xf>
    <xf numFmtId="0" fontId="8" fillId="0" borderId="2" xfId="0" applyFont="1" applyBorder="1" applyAlignment="1">
      <alignment vertical="center"/>
    </xf>
    <xf numFmtId="3" fontId="5" fillId="4" borderId="2" xfId="0" applyNumberFormat="1" applyFont="1" applyFill="1" applyBorder="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0" fillId="0" borderId="2" xfId="0" applyBorder="1" applyAlignment="1">
      <alignment horizontal="center" vertical="center" wrapText="1"/>
    </xf>
    <xf numFmtId="0" fontId="4" fillId="0" borderId="2" xfId="0" applyFont="1" applyBorder="1" applyAlignment="1">
      <alignment horizontal="center" vertical="center" wrapText="1"/>
    </xf>
    <xf numFmtId="0" fontId="11"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0" fillId="0" borderId="16" xfId="0" applyBorder="1"/>
    <xf numFmtId="0" fontId="0" fillId="0" borderId="18" xfId="0" applyBorder="1" applyAlignment="1">
      <alignment horizontal="left"/>
    </xf>
    <xf numFmtId="0" fontId="4" fillId="0" borderId="0" xfId="0" applyFont="1"/>
    <xf numFmtId="0" fontId="3" fillId="0" borderId="14" xfId="0" applyFont="1" applyBorder="1"/>
    <xf numFmtId="0" fontId="5" fillId="0" borderId="4" xfId="0" applyFont="1" applyBorder="1" applyAlignment="1">
      <alignment vertical="center"/>
    </xf>
    <xf numFmtId="0" fontId="3" fillId="0" borderId="0" xfId="0" applyFont="1" applyAlignment="1">
      <alignment horizontal="left"/>
    </xf>
    <xf numFmtId="0" fontId="3" fillId="0" borderId="15" xfId="0" applyFont="1" applyBorder="1" applyAlignment="1">
      <alignment horizontal="left"/>
    </xf>
    <xf numFmtId="0" fontId="4" fillId="0" borderId="7" xfId="0" applyFont="1" applyBorder="1" applyAlignment="1">
      <alignment horizontal="left"/>
    </xf>
    <xf numFmtId="0" fontId="2" fillId="2" borderId="16" xfId="0" applyFont="1" applyFill="1" applyBorder="1" applyAlignment="1">
      <alignment horizontal="center" vertical="center" wrapText="1"/>
    </xf>
    <xf numFmtId="0" fontId="4" fillId="0" borderId="7" xfId="0" applyFont="1" applyBorder="1" applyAlignment="1">
      <alignment horizontal="center"/>
    </xf>
    <xf numFmtId="0" fontId="9" fillId="0" borderId="2" xfId="0" applyFont="1" applyBorder="1"/>
    <xf numFmtId="0" fontId="9" fillId="3" borderId="2" xfId="0" applyFont="1" applyFill="1" applyBorder="1"/>
    <xf numFmtId="0" fontId="0" fillId="3" borderId="2" xfId="0" applyFill="1" applyBorder="1"/>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right"/>
    </xf>
    <xf numFmtId="2" fontId="3" fillId="0" borderId="0" xfId="0" applyNumberFormat="1" applyFont="1"/>
    <xf numFmtId="2" fontId="3" fillId="0" borderId="14" xfId="0" applyNumberFormat="1" applyFont="1" applyBorder="1"/>
    <xf numFmtId="0" fontId="4" fillId="0" borderId="15" xfId="0" applyFont="1" applyBorder="1" applyAlignment="1">
      <alignment horizontal="left"/>
    </xf>
    <xf numFmtId="0" fontId="4" fillId="0" borderId="15" xfId="0" applyFont="1" applyBorder="1"/>
    <xf numFmtId="0" fontId="3" fillId="0" borderId="15" xfId="0" applyFont="1" applyBorder="1"/>
    <xf numFmtId="2" fontId="3" fillId="0" borderId="15" xfId="0" applyNumberFormat="1" applyFont="1" applyBorder="1"/>
    <xf numFmtId="0" fontId="3" fillId="0" borderId="16" xfId="0" applyFont="1" applyBorder="1" applyAlignment="1">
      <alignment horizontal="left"/>
    </xf>
    <xf numFmtId="0" fontId="3" fillId="0" borderId="18" xfId="0" applyFont="1" applyBorder="1" applyAlignment="1">
      <alignment horizontal="left"/>
    </xf>
    <xf numFmtId="0" fontId="4" fillId="0" borderId="16" xfId="0" applyFont="1" applyBorder="1" applyAlignment="1">
      <alignment horizontal="left"/>
    </xf>
    <xf numFmtId="0" fontId="4" fillId="0" borderId="18" xfId="0" applyFont="1" applyBorder="1" applyAlignment="1">
      <alignment horizontal="left"/>
    </xf>
    <xf numFmtId="0" fontId="4" fillId="0" borderId="16" xfId="0" applyFont="1" applyBorder="1"/>
    <xf numFmtId="0" fontId="3" fillId="0" borderId="16" xfId="0" applyFont="1" applyBorder="1"/>
    <xf numFmtId="0" fontId="4" fillId="0" borderId="6" xfId="0" applyFont="1" applyBorder="1" applyAlignment="1">
      <alignment horizontal="left"/>
    </xf>
    <xf numFmtId="0" fontId="3" fillId="0" borderId="14" xfId="0" applyFont="1" applyBorder="1" applyAlignment="1">
      <alignment horizontal="left"/>
    </xf>
    <xf numFmtId="2" fontId="3" fillId="0" borderId="0" xfId="0" applyNumberFormat="1" applyFont="1" applyAlignment="1">
      <alignment horizontal="left"/>
    </xf>
    <xf numFmtId="0" fontId="3" fillId="5" borderId="2" xfId="0" applyFont="1" applyFill="1" applyBorder="1"/>
    <xf numFmtId="3" fontId="0" fillId="4" borderId="2" xfId="0" applyNumberFormat="1" applyFill="1" applyBorder="1"/>
    <xf numFmtId="3" fontId="0" fillId="0" borderId="2" xfId="0" applyNumberFormat="1" applyBorder="1"/>
    <xf numFmtId="3" fontId="0" fillId="0" borderId="0" xfId="0" applyNumberFormat="1"/>
    <xf numFmtId="2" fontId="0" fillId="0" borderId="0" xfId="0" applyNumberFormat="1"/>
    <xf numFmtId="0" fontId="4" fillId="0" borderId="14" xfId="0" applyFont="1" applyBorder="1"/>
    <xf numFmtId="0" fontId="0" fillId="0" borderId="0" xfId="0" applyAlignment="1">
      <alignment horizontal="center" vertical="center" wrapText="1"/>
    </xf>
    <xf numFmtId="0" fontId="0" fillId="0" borderId="0" xfId="0" applyAlignment="1">
      <alignment horizontal="left" vertical="center" wrapText="1"/>
    </xf>
    <xf numFmtId="0" fontId="0" fillId="0" borderId="2" xfId="0" applyBorder="1" applyAlignment="1">
      <alignment horizontal="center"/>
    </xf>
    <xf numFmtId="0" fontId="0" fillId="6" borderId="0" xfId="0" applyFill="1"/>
    <xf numFmtId="2" fontId="0" fillId="0" borderId="0" xfId="0" applyNumberFormat="1" applyAlignment="1">
      <alignment horizontal="right"/>
    </xf>
    <xf numFmtId="0" fontId="2" fillId="0" borderId="2" xfId="0" applyFont="1" applyBorder="1" applyAlignment="1">
      <alignment vertical="center" wrapText="1"/>
    </xf>
    <xf numFmtId="0" fontId="0" fillId="3" borderId="0" xfId="0" applyFill="1"/>
    <xf numFmtId="0" fontId="4" fillId="3" borderId="2" xfId="0" applyFont="1" applyFill="1" applyBorder="1"/>
    <xf numFmtId="0" fontId="4" fillId="3" borderId="2" xfId="0" applyFont="1" applyFill="1" applyBorder="1" applyAlignment="1">
      <alignment horizontal="left" wrapText="1"/>
    </xf>
    <xf numFmtId="0" fontId="4" fillId="0" borderId="17" xfId="0" applyFont="1" applyBorder="1"/>
    <xf numFmtId="0" fontId="3" fillId="0" borderId="9" xfId="0" applyFont="1" applyBorder="1" applyAlignment="1">
      <alignment horizontal="left"/>
    </xf>
    <xf numFmtId="0" fontId="3" fillId="0" borderId="6" xfId="0" applyFont="1" applyBorder="1"/>
    <xf numFmtId="0" fontId="4" fillId="0" borderId="14" xfId="0" applyFont="1" applyBorder="1" applyAlignment="1">
      <alignment horizontal="left"/>
    </xf>
    <xf numFmtId="0" fontId="4" fillId="0" borderId="11" xfId="0" applyFont="1" applyBorder="1" applyAlignment="1">
      <alignment horizontal="left"/>
    </xf>
    <xf numFmtId="0" fontId="3" fillId="4" borderId="2" xfId="0" applyFont="1" applyFill="1" applyBorder="1"/>
    <xf numFmtId="0" fontId="3" fillId="0" borderId="2" xfId="0" applyFont="1" applyBorder="1" applyAlignment="1">
      <alignment horizontal="right"/>
    </xf>
    <xf numFmtId="0" fontId="3" fillId="4" borderId="2" xfId="0" applyFont="1" applyFill="1" applyBorder="1" applyAlignment="1">
      <alignment horizontal="center"/>
    </xf>
    <xf numFmtId="0" fontId="3" fillId="0" borderId="2" xfId="0" applyFont="1" applyBorder="1" applyAlignment="1">
      <alignment horizontal="center"/>
    </xf>
    <xf numFmtId="2" fontId="3" fillId="0" borderId="2" xfId="0" applyNumberFormat="1" applyFont="1" applyBorder="1" applyAlignment="1">
      <alignment horizontal="center"/>
    </xf>
    <xf numFmtId="2" fontId="3" fillId="0" borderId="2" xfId="0" applyNumberFormat="1" applyFont="1" applyBorder="1"/>
    <xf numFmtId="0" fontId="3" fillId="0" borderId="0" xfId="0" applyFont="1" applyAlignment="1">
      <alignment horizontal="right"/>
    </xf>
    <xf numFmtId="0" fontId="3" fillId="0" borderId="2" xfId="0" applyFont="1" applyBorder="1" applyAlignment="1">
      <alignment wrapText="1"/>
    </xf>
    <xf numFmtId="0" fontId="3" fillId="4" borderId="2" xfId="0" applyFont="1" applyFill="1" applyBorder="1" applyAlignment="1">
      <alignment horizontal="right"/>
    </xf>
    <xf numFmtId="3" fontId="3" fillId="0" borderId="2" xfId="0" applyNumberFormat="1" applyFont="1" applyBorder="1" applyAlignment="1">
      <alignment horizontal="center"/>
    </xf>
    <xf numFmtId="3" fontId="3" fillId="0" borderId="0" xfId="0" applyNumberFormat="1" applyFont="1"/>
    <xf numFmtId="0" fontId="3" fillId="5" borderId="2" xfId="0" applyFont="1" applyFill="1" applyBorder="1" applyAlignment="1">
      <alignment horizontal="center"/>
    </xf>
    <xf numFmtId="2" fontId="3" fillId="5" borderId="2" xfId="0" applyNumberFormat="1" applyFont="1" applyFill="1" applyBorder="1"/>
    <xf numFmtId="2" fontId="3" fillId="5" borderId="2" xfId="0" applyNumberFormat="1" applyFont="1" applyFill="1" applyBorder="1" applyAlignment="1">
      <alignment horizontal="center"/>
    </xf>
    <xf numFmtId="0" fontId="9" fillId="0" borderId="0" xfId="0" applyFont="1"/>
    <xf numFmtId="0" fontId="3" fillId="0" borderId="4" xfId="0" applyFont="1" applyBorder="1"/>
    <xf numFmtId="0" fontId="4" fillId="5" borderId="2" xfId="0" applyFont="1" applyFill="1" applyBorder="1"/>
    <xf numFmtId="0" fontId="2" fillId="2" borderId="5" xfId="0" applyFont="1" applyFill="1" applyBorder="1" applyAlignment="1">
      <alignment horizontal="center" vertical="top" wrapText="1"/>
    </xf>
    <xf numFmtId="0" fontId="2" fillId="2" borderId="11" xfId="0" applyFont="1" applyFill="1" applyBorder="1" applyAlignment="1">
      <alignment horizontal="center" vertical="top" wrapText="1"/>
    </xf>
    <xf numFmtId="0" fontId="4" fillId="3" borderId="4" xfId="0" applyFont="1" applyFill="1" applyBorder="1" applyAlignment="1">
      <alignment vertical="top" wrapText="1"/>
    </xf>
    <xf numFmtId="0" fontId="2" fillId="2" borderId="6" xfId="0" applyFont="1" applyFill="1" applyBorder="1" applyAlignment="1">
      <alignment horizontal="center" vertical="top" wrapText="1"/>
    </xf>
    <xf numFmtId="0" fontId="2" fillId="2" borderId="5" xfId="0" applyFont="1" applyFill="1" applyBorder="1" applyAlignment="1">
      <alignment horizontal="center" vertical="top"/>
    </xf>
    <xf numFmtId="0" fontId="2" fillId="2" borderId="5" xfId="0" applyFont="1" applyFill="1" applyBorder="1" applyAlignment="1">
      <alignment vertical="top" wrapText="1"/>
    </xf>
    <xf numFmtId="0" fontId="6" fillId="3" borderId="5" xfId="0" applyFont="1" applyFill="1" applyBorder="1" applyAlignment="1">
      <alignment horizontal="center" vertical="top" wrapText="1"/>
    </xf>
    <xf numFmtId="0" fontId="3" fillId="0" borderId="18" xfId="0" applyFont="1" applyBorder="1"/>
    <xf numFmtId="0" fontId="3" fillId="0" borderId="11" xfId="0" applyFont="1" applyBorder="1"/>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4" borderId="2" xfId="0" applyFill="1" applyBorder="1"/>
    <xf numFmtId="2" fontId="0" fillId="4" borderId="2" xfId="0" applyNumberFormat="1" applyFill="1" applyBorder="1"/>
    <xf numFmtId="2" fontId="3" fillId="4" borderId="2" xfId="0" applyNumberFormat="1" applyFont="1" applyFill="1" applyBorder="1"/>
    <xf numFmtId="0" fontId="6" fillId="3" borderId="5" xfId="0" applyFont="1" applyFill="1" applyBorder="1" applyAlignment="1">
      <alignment vertical="top" wrapText="1"/>
    </xf>
    <xf numFmtId="2" fontId="3" fillId="0" borderId="15" xfId="0" applyNumberFormat="1" applyFont="1" applyBorder="1" applyAlignment="1">
      <alignment horizontal="left"/>
    </xf>
    <xf numFmtId="164" fontId="3" fillId="0" borderId="15" xfId="0" applyNumberFormat="1" applyFont="1" applyBorder="1" applyAlignment="1">
      <alignment horizontal="left"/>
    </xf>
    <xf numFmtId="0" fontId="0" fillId="0" borderId="15" xfId="0" applyBorder="1"/>
    <xf numFmtId="2" fontId="0" fillId="0" borderId="15" xfId="0" applyNumberFormat="1" applyBorder="1"/>
    <xf numFmtId="0" fontId="4" fillId="0" borderId="7" xfId="0" applyFont="1" applyBorder="1"/>
    <xf numFmtId="1" fontId="0" fillId="0" borderId="0" xfId="0" applyNumberFormat="1"/>
    <xf numFmtId="2" fontId="0" fillId="5" borderId="0" xfId="0" applyNumberFormat="1" applyFill="1"/>
    <xf numFmtId="0" fontId="0" fillId="5" borderId="0" xfId="0" applyFill="1"/>
    <xf numFmtId="1" fontId="0" fillId="5" borderId="0" xfId="0" applyNumberFormat="1" applyFill="1" applyAlignment="1">
      <alignment horizontal="right"/>
    </xf>
    <xf numFmtId="0" fontId="3" fillId="0" borderId="0" xfId="0" applyFont="1" applyAlignment="1">
      <alignment horizontal="center"/>
    </xf>
    <xf numFmtId="164" fontId="4" fillId="0" borderId="0" xfId="0" applyNumberFormat="1" applyFont="1" applyAlignment="1">
      <alignment horizontal="left"/>
    </xf>
    <xf numFmtId="0" fontId="3" fillId="7" borderId="2" xfId="0" applyFont="1" applyFill="1" applyBorder="1"/>
    <xf numFmtId="0" fontId="17" fillId="0" borderId="2" xfId="0" applyFont="1" applyBorder="1" applyAlignment="1">
      <alignment horizontal="center" wrapText="1"/>
    </xf>
    <xf numFmtId="0" fontId="16" fillId="0" borderId="2" xfId="0" applyFont="1" applyBorder="1" applyAlignment="1">
      <alignment vertical="top" wrapText="1"/>
    </xf>
    <xf numFmtId="0" fontId="16" fillId="7" borderId="2" xfId="0" applyFont="1" applyFill="1" applyBorder="1" applyAlignment="1">
      <alignment vertical="top" wrapText="1"/>
    </xf>
    <xf numFmtId="0" fontId="16" fillId="7" borderId="2" xfId="0" applyFont="1" applyFill="1" applyBorder="1" applyAlignment="1">
      <alignment horizontal="center" vertical="center" wrapText="1"/>
    </xf>
    <xf numFmtId="0" fontId="16" fillId="8" borderId="19" xfId="0" applyFont="1" applyFill="1" applyBorder="1" applyAlignment="1">
      <alignment vertical="top" wrapText="1"/>
    </xf>
    <xf numFmtId="0" fontId="0" fillId="8" borderId="2" xfId="0" applyFill="1" applyBorder="1" applyAlignment="1">
      <alignment wrapText="1"/>
    </xf>
    <xf numFmtId="0" fontId="0" fillId="8" borderId="20" xfId="0" applyFill="1" applyBorder="1" applyAlignment="1">
      <alignment wrapText="1"/>
    </xf>
    <xf numFmtId="0" fontId="0" fillId="7" borderId="0" xfId="0" applyFill="1"/>
    <xf numFmtId="2" fontId="0" fillId="7" borderId="0" xfId="0" applyNumberFormat="1" applyFill="1"/>
    <xf numFmtId="0" fontId="18" fillId="0" borderId="0" xfId="0" applyFont="1" applyAlignment="1">
      <alignment horizontal="right" vertical="center"/>
    </xf>
    <xf numFmtId="0" fontId="5"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right" vertical="center"/>
    </xf>
    <xf numFmtId="0" fontId="2" fillId="0" borderId="22" xfId="0" applyFont="1" applyBorder="1" applyAlignment="1">
      <alignment vertical="center"/>
    </xf>
    <xf numFmtId="0" fontId="18" fillId="0" borderId="22" xfId="0" applyFont="1" applyBorder="1" applyAlignment="1">
      <alignment horizontal="right" vertical="center"/>
    </xf>
    <xf numFmtId="0" fontId="19" fillId="0" borderId="0" xfId="0" applyFont="1" applyAlignment="1">
      <alignment horizontal="right" vertical="center"/>
    </xf>
    <xf numFmtId="0" fontId="0" fillId="0" borderId="7" xfId="0" applyBorder="1"/>
    <xf numFmtId="0" fontId="2" fillId="0" borderId="0" xfId="0" applyFont="1" applyAlignment="1">
      <alignment horizontal="left" vertical="center"/>
    </xf>
    <xf numFmtId="0" fontId="18" fillId="0" borderId="0" xfId="0" applyFont="1" applyAlignment="1">
      <alignment horizontal="left" vertical="center"/>
    </xf>
    <xf numFmtId="0" fontId="18" fillId="0" borderId="22" xfId="0" applyFont="1" applyBorder="1" applyAlignment="1">
      <alignment horizontal="left" vertical="center"/>
    </xf>
    <xf numFmtId="0" fontId="0" fillId="0" borderId="14" xfId="0" applyBorder="1" applyAlignment="1">
      <alignment horizontal="left"/>
    </xf>
    <xf numFmtId="0" fontId="19" fillId="0" borderId="0" xfId="0" applyFont="1" applyAlignment="1">
      <alignment horizontal="left" vertical="center"/>
    </xf>
    <xf numFmtId="0" fontId="18" fillId="0" borderId="0" xfId="0" applyFont="1" applyAlignment="1">
      <alignment horizontal="left" vertical="center" wrapText="1"/>
    </xf>
    <xf numFmtId="0" fontId="2" fillId="0" borderId="18" xfId="0" applyFont="1" applyBorder="1" applyAlignment="1">
      <alignment horizontal="left" vertical="center" wrapText="1"/>
    </xf>
    <xf numFmtId="0" fontId="2" fillId="0" borderId="18" xfId="0" applyFont="1" applyBorder="1" applyAlignment="1">
      <alignment horizontal="left" vertical="center"/>
    </xf>
    <xf numFmtId="0" fontId="2" fillId="0" borderId="24" xfId="0" applyFont="1" applyBorder="1" applyAlignment="1">
      <alignment horizontal="left" vertical="center"/>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0" borderId="21" xfId="0" applyFont="1" applyBorder="1" applyAlignment="1">
      <alignment horizontal="center" vertical="center"/>
    </xf>
    <xf numFmtId="0" fontId="2" fillId="0" borderId="23" xfId="0" applyFont="1" applyBorder="1" applyAlignment="1">
      <alignment vertical="center"/>
    </xf>
    <xf numFmtId="0" fontId="18" fillId="0" borderId="23" xfId="0" applyFont="1" applyBorder="1" applyAlignment="1">
      <alignment horizontal="left" vertical="center"/>
    </xf>
    <xf numFmtId="0" fontId="0" fillId="0" borderId="25" xfId="0" applyBorder="1"/>
    <xf numFmtId="0" fontId="2" fillId="0" borderId="0" xfId="0" applyFont="1" applyAlignment="1">
      <alignment vertical="top"/>
    </xf>
    <xf numFmtId="0" fontId="18" fillId="0" borderId="0" xfId="0" applyFont="1" applyAlignment="1">
      <alignment horizontal="left" vertical="top" wrapText="1"/>
    </xf>
    <xf numFmtId="0" fontId="18" fillId="0" borderId="0" xfId="0" applyFont="1" applyAlignment="1">
      <alignment horizontal="left" vertical="top"/>
    </xf>
    <xf numFmtId="0" fontId="18" fillId="0" borderId="22" xfId="0" applyFont="1" applyBorder="1" applyAlignment="1">
      <alignment horizontal="left" vertical="top" wrapText="1"/>
    </xf>
    <xf numFmtId="0" fontId="18" fillId="0" borderId="14" xfId="0" applyFont="1" applyBorder="1" applyAlignment="1">
      <alignment horizontal="left" vertical="top"/>
    </xf>
    <xf numFmtId="2" fontId="4" fillId="0" borderId="0" xfId="0" applyNumberFormat="1" applyFont="1" applyAlignment="1">
      <alignment horizontal="left"/>
    </xf>
    <xf numFmtId="10" fontId="0" fillId="0" borderId="0" xfId="0" applyNumberFormat="1"/>
    <xf numFmtId="9" fontId="0" fillId="0" borderId="0" xfId="0" applyNumberFormat="1"/>
    <xf numFmtId="0" fontId="3" fillId="0" borderId="7" xfId="0" applyFont="1" applyBorder="1"/>
    <xf numFmtId="10" fontId="3" fillId="0" borderId="0" xfId="0" applyNumberFormat="1" applyFont="1" applyAlignment="1">
      <alignment horizontal="left"/>
    </xf>
    <xf numFmtId="10" fontId="3" fillId="0" borderId="14" xfId="0" applyNumberFormat="1" applyFont="1" applyBorder="1" applyAlignment="1">
      <alignment horizontal="left"/>
    </xf>
    <xf numFmtId="2" fontId="3" fillId="0" borderId="0" xfId="0" applyNumberFormat="1" applyFont="1" applyAlignment="1">
      <alignment horizontal="right"/>
    </xf>
    <xf numFmtId="0" fontId="9" fillId="0" borderId="0" xfId="0" applyFont="1" applyAlignment="1">
      <alignment horizontal="left"/>
    </xf>
    <xf numFmtId="164" fontId="3" fillId="0" borderId="0" xfId="0" applyNumberFormat="1" applyFont="1" applyAlignment="1">
      <alignment horizontal="left"/>
    </xf>
    <xf numFmtId="0" fontId="4" fillId="9" borderId="0" xfId="0" applyFont="1" applyFill="1"/>
    <xf numFmtId="0" fontId="3" fillId="9" borderId="0" xfId="0" applyFont="1" applyFill="1"/>
    <xf numFmtId="0" fontId="0" fillId="9" borderId="0" xfId="0" applyFill="1"/>
    <xf numFmtId="2" fontId="3" fillId="9" borderId="0" xfId="0" applyNumberFormat="1" applyFont="1" applyFill="1"/>
    <xf numFmtId="2" fontId="18" fillId="0" borderId="0" xfId="0" applyNumberFormat="1" applyFont="1" applyAlignment="1">
      <alignment horizontal="right" vertical="center"/>
    </xf>
    <xf numFmtId="2" fontId="4" fillId="0" borderId="0" xfId="0" applyNumberFormat="1" applyFont="1"/>
    <xf numFmtId="0" fontId="0" fillId="4" borderId="0" xfId="0" applyFill="1"/>
    <xf numFmtId="0" fontId="4" fillId="8" borderId="0" xfId="0" applyFont="1" applyFill="1"/>
    <xf numFmtId="0" fontId="3" fillId="8" borderId="0" xfId="0" applyFont="1" applyFill="1"/>
    <xf numFmtId="2" fontId="3" fillId="8" borderId="0" xfId="0" applyNumberFormat="1" applyFont="1" applyFill="1"/>
    <xf numFmtId="0" fontId="0" fillId="10" borderId="2" xfId="0" applyFill="1" applyBorder="1"/>
    <xf numFmtId="0" fontId="4" fillId="10" borderId="2" xfId="0" applyFont="1" applyFill="1" applyBorder="1" applyAlignment="1">
      <alignment horizontal="left"/>
    </xf>
    <xf numFmtId="0" fontId="3" fillId="10" borderId="2" xfId="0" applyFont="1" applyFill="1" applyBorder="1" applyAlignment="1">
      <alignment horizontal="left"/>
    </xf>
    <xf numFmtId="2" fontId="3" fillId="10" borderId="2" xfId="0" applyNumberFormat="1" applyFont="1" applyFill="1" applyBorder="1" applyAlignment="1">
      <alignment horizontal="left"/>
    </xf>
    <xf numFmtId="2" fontId="4" fillId="10" borderId="2" xfId="0" applyNumberFormat="1" applyFont="1" applyFill="1" applyBorder="1" applyAlignment="1">
      <alignment horizontal="left"/>
    </xf>
    <xf numFmtId="2" fontId="0" fillId="10" borderId="2" xfId="0" applyNumberFormat="1" applyFill="1" applyBorder="1" applyAlignment="1">
      <alignment horizontal="left"/>
    </xf>
    <xf numFmtId="0" fontId="4" fillId="0" borderId="2" xfId="0" applyFont="1" applyBorder="1"/>
    <xf numFmtId="0" fontId="4" fillId="0" borderId="2" xfId="0" applyFont="1" applyBorder="1" applyAlignment="1">
      <alignment horizontal="right"/>
    </xf>
    <xf numFmtId="2" fontId="4" fillId="0" borderId="2" xfId="0" applyNumberFormat="1" applyFont="1" applyBorder="1"/>
    <xf numFmtId="164" fontId="4" fillId="0" borderId="2" xfId="0" applyNumberFormat="1" applyFont="1" applyBorder="1"/>
    <xf numFmtId="2" fontId="0" fillId="0" borderId="2" xfId="0" applyNumberFormat="1" applyBorder="1"/>
    <xf numFmtId="2" fontId="0" fillId="8" borderId="2" xfId="0" applyNumberFormat="1" applyFill="1" applyBorder="1"/>
    <xf numFmtId="2" fontId="4" fillId="3" borderId="2" xfId="0" applyNumberFormat="1" applyFont="1" applyFill="1" applyBorder="1"/>
    <xf numFmtId="164" fontId="4" fillId="3" borderId="2" xfId="0" applyNumberFormat="1" applyFont="1" applyFill="1" applyBorder="1"/>
    <xf numFmtId="0" fontId="4" fillId="3" borderId="2" xfId="0" applyFont="1" applyFill="1" applyBorder="1" applyAlignment="1">
      <alignment horizontal="left"/>
    </xf>
    <xf numFmtId="0" fontId="3" fillId="3" borderId="2" xfId="0" applyFont="1" applyFill="1" applyBorder="1" applyAlignment="1">
      <alignment horizontal="left"/>
    </xf>
    <xf numFmtId="2" fontId="3" fillId="3" borderId="2" xfId="0" applyNumberFormat="1" applyFont="1" applyFill="1" applyBorder="1" applyAlignment="1">
      <alignment horizontal="left"/>
    </xf>
    <xf numFmtId="2" fontId="4" fillId="3" borderId="2" xfId="0" applyNumberFormat="1" applyFont="1" applyFill="1" applyBorder="1" applyAlignment="1">
      <alignment horizontal="left"/>
    </xf>
    <xf numFmtId="164" fontId="3" fillId="0" borderId="2" xfId="0" applyNumberFormat="1" applyFont="1" applyBorder="1"/>
    <xf numFmtId="164" fontId="4" fillId="8" borderId="2" xfId="0" applyNumberFormat="1" applyFont="1" applyFill="1" applyBorder="1"/>
    <xf numFmtId="2" fontId="9" fillId="0" borderId="0" xfId="0" applyNumberFormat="1" applyFont="1"/>
    <xf numFmtId="0" fontId="4" fillId="10" borderId="16" xfId="0" applyFont="1" applyFill="1" applyBorder="1" applyAlignment="1">
      <alignment horizontal="left"/>
    </xf>
    <xf numFmtId="0" fontId="4" fillId="10" borderId="0" xfId="0" applyFont="1" applyFill="1" applyAlignment="1">
      <alignment horizontal="left"/>
    </xf>
    <xf numFmtId="0" fontId="4" fillId="10" borderId="18" xfId="0" applyFont="1" applyFill="1" applyBorder="1" applyAlignment="1">
      <alignment horizontal="left"/>
    </xf>
    <xf numFmtId="0" fontId="3" fillId="10" borderId="0" xfId="0" applyFont="1" applyFill="1" applyAlignment="1">
      <alignment horizontal="left"/>
    </xf>
    <xf numFmtId="0" fontId="3" fillId="10" borderId="18" xfId="0" applyFont="1" applyFill="1" applyBorder="1" applyAlignment="1">
      <alignment horizontal="left"/>
    </xf>
    <xf numFmtId="0" fontId="0" fillId="9" borderId="16" xfId="0" applyFill="1" applyBorder="1"/>
    <xf numFmtId="0" fontId="0" fillId="9" borderId="0" xfId="0" applyFill="1" applyAlignment="1">
      <alignment horizontal="left"/>
    </xf>
    <xf numFmtId="0" fontId="4" fillId="10" borderId="2" xfId="0" applyFont="1" applyFill="1" applyBorder="1"/>
    <xf numFmtId="0" fontId="3" fillId="10" borderId="2" xfId="0" applyFont="1" applyFill="1" applyBorder="1"/>
    <xf numFmtId="0" fontId="4" fillId="9" borderId="0" xfId="0" applyFont="1" applyFill="1" applyAlignment="1">
      <alignment horizontal="left"/>
    </xf>
    <xf numFmtId="0" fontId="3" fillId="9" borderId="0" xfId="0" applyFont="1" applyFill="1" applyAlignment="1">
      <alignment horizontal="left"/>
    </xf>
    <xf numFmtId="0" fontId="0" fillId="8" borderId="0" xfId="0" applyFill="1"/>
    <xf numFmtId="0" fontId="9" fillId="0" borderId="2" xfId="0" applyFont="1" applyBorder="1" applyAlignment="1">
      <alignment horizontal="left"/>
    </xf>
    <xf numFmtId="164" fontId="0" fillId="0" borderId="0" xfId="0" applyNumberFormat="1"/>
    <xf numFmtId="0" fontId="4" fillId="3" borderId="16" xfId="0" applyFont="1" applyFill="1" applyBorder="1" applyAlignment="1">
      <alignment horizontal="center"/>
    </xf>
    <xf numFmtId="0" fontId="4" fillId="3" borderId="0" xfId="0" applyFont="1" applyFill="1" applyAlignment="1">
      <alignment horizontal="center"/>
    </xf>
    <xf numFmtId="0" fontId="3" fillId="0" borderId="1" xfId="0" applyFont="1" applyBorder="1" applyAlignment="1">
      <alignment horizontal="left" vertical="top"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4" fillId="3" borderId="3" xfId="0" applyFont="1" applyFill="1" applyBorder="1" applyAlignment="1">
      <alignment horizont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0" fillId="0" borderId="0" xfId="0" applyAlignment="1">
      <alignment horizontal="left"/>
    </xf>
    <xf numFmtId="0" fontId="0" fillId="0" borderId="0" xfId="0" applyAlignment="1">
      <alignment horizontal="right"/>
    </xf>
    <xf numFmtId="0" fontId="0" fillId="0" borderId="0" xfId="0" applyAlignment="1">
      <alignment horizontal="center"/>
    </xf>
    <xf numFmtId="2" fontId="0" fillId="0" borderId="0" xfId="0" applyNumberFormat="1" applyAlignment="1">
      <alignment horizontal="center"/>
    </xf>
    <xf numFmtId="0" fontId="0" fillId="0" borderId="0" xfId="0" applyAlignment="1">
      <alignment horizontal="left" vertical="top" wrapText="1"/>
    </xf>
    <xf numFmtId="0" fontId="0" fillId="0" borderId="0" xfId="0" applyAlignment="1">
      <alignment horizontal="left" vertical="top"/>
    </xf>
    <xf numFmtId="0" fontId="3" fillId="0" borderId="3"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xf numFmtId="0" fontId="4" fillId="3" borderId="2" xfId="0" applyFont="1" applyFill="1" applyBorder="1" applyAlignment="1">
      <alignment horizontal="center"/>
    </xf>
    <xf numFmtId="0" fontId="3" fillId="0" borderId="0" xfId="0" applyFont="1" applyAlignment="1">
      <alignment horizontal="left" vertical="top"/>
    </xf>
    <xf numFmtId="0" fontId="4" fillId="0" borderId="7" xfId="0" applyFont="1" applyBorder="1" applyAlignment="1">
      <alignment horizontal="center"/>
    </xf>
    <xf numFmtId="0" fontId="4" fillId="0" borderId="0" xfId="0" applyFont="1" applyAlignment="1">
      <alignment horizontal="center"/>
    </xf>
    <xf numFmtId="0" fontId="9" fillId="0" borderId="0" xfId="0" applyFont="1" applyAlignment="1">
      <alignment horizontal="center"/>
    </xf>
    <xf numFmtId="0" fontId="4" fillId="0" borderId="15" xfId="0" applyFont="1" applyBorder="1" applyAlignment="1">
      <alignment horizontal="center"/>
    </xf>
    <xf numFmtId="0" fontId="3" fillId="0" borderId="15" xfId="0" applyFont="1" applyBorder="1" applyAlignment="1">
      <alignment horizontal="center"/>
    </xf>
    <xf numFmtId="0" fontId="12" fillId="0" borderId="14" xfId="0" applyFont="1" applyBorder="1" applyAlignment="1">
      <alignment horizontal="center"/>
    </xf>
    <xf numFmtId="0" fontId="12" fillId="0" borderId="0" xfId="0" applyFont="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0" borderId="16" xfId="0" applyFont="1" applyBorder="1" applyAlignment="1">
      <alignment horizontal="center"/>
    </xf>
    <xf numFmtId="0" fontId="16" fillId="0" borderId="2" xfId="0" applyFont="1" applyBorder="1" applyAlignment="1">
      <alignment horizontal="center" wrapText="1"/>
    </xf>
    <xf numFmtId="0" fontId="9" fillId="0" borderId="2" xfId="0" applyFont="1" applyBorder="1" applyAlignment="1">
      <alignment horizontal="center"/>
    </xf>
    <xf numFmtId="0" fontId="12" fillId="0" borderId="3"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4" fillId="0" borderId="2" xfId="0" applyFont="1" applyBorder="1" applyAlignment="1">
      <alignment horizontal="center"/>
    </xf>
    <xf numFmtId="0" fontId="2"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3" fontId="5" fillId="4" borderId="1" xfId="0" applyNumberFormat="1" applyFont="1" applyFill="1" applyBorder="1" applyAlignment="1">
      <alignment horizontal="center" vertical="center"/>
    </xf>
    <xf numFmtId="3" fontId="5" fillId="4" borderId="5" xfId="0" applyNumberFormat="1" applyFont="1" applyFill="1" applyBorder="1" applyAlignment="1">
      <alignment horizontal="center" vertical="center"/>
    </xf>
    <xf numFmtId="0" fontId="8" fillId="0" borderId="2" xfId="0" applyFont="1" applyBorder="1" applyAlignment="1">
      <alignment vertical="center"/>
    </xf>
    <xf numFmtId="0" fontId="7" fillId="2" borderId="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vertical="center" wrapText="1"/>
    </xf>
    <xf numFmtId="0" fontId="2" fillId="2" borderId="10" xfId="0" applyFont="1" applyFill="1" applyBorder="1" applyAlignment="1">
      <alignment vertical="center" wrapText="1"/>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9" fillId="0" borderId="0" xfId="0" applyFont="1" applyAlignment="1">
      <alignment horizontal="left" vertical="top"/>
    </xf>
    <xf numFmtId="0" fontId="0" fillId="0" borderId="3" xfId="0" applyBorder="1" applyAlignment="1">
      <alignment horizontal="right"/>
    </xf>
    <xf numFmtId="0" fontId="0" fillId="0" borderId="8" xfId="0" applyBorder="1" applyAlignment="1">
      <alignment horizontal="right"/>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2" fillId="0" borderId="9" xfId="0" applyFont="1" applyBorder="1" applyAlignment="1">
      <alignment horizontal="left"/>
    </xf>
    <xf numFmtId="0" fontId="2" fillId="0" borderId="18" xfId="0" applyFont="1" applyBorder="1" applyAlignment="1">
      <alignment horizontal="left"/>
    </xf>
    <xf numFmtId="0" fontId="2" fillId="0" borderId="21" xfId="0" applyFont="1" applyBorder="1" applyAlignment="1">
      <alignment horizontal="center" vertical="center"/>
    </xf>
    <xf numFmtId="0" fontId="2" fillId="0" borderId="25"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Alignment="1">
      <alignment horizontal="left" vertical="center"/>
    </xf>
    <xf numFmtId="0" fontId="2" fillId="0" borderId="14" xfId="0" applyFont="1" applyBorder="1" applyAlignment="1">
      <alignment horizontal="left" vertical="center"/>
    </xf>
    <xf numFmtId="0" fontId="6" fillId="0" borderId="15" xfId="0" applyFont="1" applyBorder="1" applyAlignment="1">
      <alignment horizontal="left" vertical="center"/>
    </xf>
    <xf numFmtId="0" fontId="6" fillId="0" borderId="14" xfId="0" applyFont="1" applyBorder="1" applyAlignment="1">
      <alignment horizontal="left"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3" borderId="2" xfId="0" applyFill="1" applyBorder="1" applyAlignment="1">
      <alignment horizontal="center"/>
    </xf>
    <xf numFmtId="0" fontId="3" fillId="3" borderId="2" xfId="0" applyFont="1" applyFill="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11" xfId="0" applyFont="1" applyFill="1" applyBorder="1" applyAlignment="1">
      <alignment horizontal="center" vertical="top" wrapText="1"/>
    </xf>
    <xf numFmtId="0" fontId="6" fillId="3" borderId="2"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5" xfId="0" applyFont="1" applyFill="1" applyBorder="1" applyAlignment="1">
      <alignment horizontal="center" vertical="top" wrapText="1"/>
    </xf>
    <xf numFmtId="0" fontId="2" fillId="3" borderId="2" xfId="0" applyFont="1" applyFill="1" applyBorder="1" applyAlignment="1">
      <alignment horizontal="center" vertical="top" wrapText="1"/>
    </xf>
    <xf numFmtId="0" fontId="13" fillId="3" borderId="18" xfId="0" applyFont="1" applyFill="1" applyBorder="1" applyAlignment="1">
      <alignment horizontal="center" vertical="top" wrapText="1"/>
    </xf>
    <xf numFmtId="0" fontId="2" fillId="3" borderId="11" xfId="0" applyFont="1" applyFill="1" applyBorder="1" applyAlignment="1">
      <alignment horizontal="center" vertical="top" wrapText="1"/>
    </xf>
    <xf numFmtId="0" fontId="13" fillId="3" borderId="4" xfId="0" applyFont="1" applyFill="1" applyBorder="1" applyAlignment="1">
      <alignment horizontal="center" vertical="center" wrapText="1"/>
    </xf>
    <xf numFmtId="0" fontId="3" fillId="0" borderId="4" xfId="0" applyFont="1" applyBorder="1" applyAlignment="1">
      <alignment horizontal="center"/>
    </xf>
    <xf numFmtId="0" fontId="3" fillId="0" borderId="16" xfId="0" applyFont="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9" fillId="0" borderId="2" xfId="0" applyFont="1" applyBorder="1" applyAlignment="1">
      <alignment horizontal="center" vertical="center"/>
    </xf>
    <xf numFmtId="0" fontId="0" fillId="0" borderId="2" xfId="0" applyBorder="1" applyAlignment="1">
      <alignment horizontal="center"/>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left"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4" fillId="0" borderId="2" xfId="0" applyFont="1" applyBorder="1" applyAlignment="1">
      <alignment horizontal="center" vertical="center" wrapText="1"/>
    </xf>
    <xf numFmtId="0" fontId="3" fillId="0" borderId="2" xfId="0" applyFont="1" applyBorder="1" applyAlignment="1">
      <alignment vertical="center" wrapText="1"/>
    </xf>
    <xf numFmtId="0" fontId="12" fillId="3" borderId="3" xfId="0" applyFont="1" applyFill="1" applyBorder="1" applyAlignment="1">
      <alignment horizontal="center"/>
    </xf>
    <xf numFmtId="0" fontId="12" fillId="3" borderId="7" xfId="0" applyFont="1" applyFill="1" applyBorder="1" applyAlignment="1">
      <alignment horizontal="center"/>
    </xf>
    <xf numFmtId="0" fontId="12" fillId="3" borderId="8" xfId="0" applyFont="1" applyFill="1" applyBorder="1" applyAlignment="1">
      <alignment horizontal="center"/>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iya%20Amrit\Desktop\work%20on%20these\August_Final\Damoh%20Final%20_Fina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 district "/>
      <sheetName val="Monitoring Block (2020-21) "/>
      <sheetName val="Calculation"/>
      <sheetName val="Sheet2"/>
      <sheetName val="Calculation2"/>
      <sheetName val="Training"/>
      <sheetName val="HR Block"/>
      <sheetName val="Meetings "/>
      <sheetName val="Administrative cost"/>
      <sheetName val="monitoring district"/>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D11">
            <v>360000</v>
          </cell>
        </row>
      </sheetData>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tabSelected="1" workbookViewId="0">
      <selection activeCell="O22" sqref="O22"/>
    </sheetView>
  </sheetViews>
  <sheetFormatPr defaultRowHeight="14.5" x14ac:dyDescent="0.35"/>
  <cols>
    <col min="2" max="2" width="26.1796875" customWidth="1"/>
    <col min="3" max="3" width="10" style="9" customWidth="1"/>
    <col min="4" max="4" width="6.81640625" style="9" customWidth="1"/>
    <col min="5" max="5" width="10.81640625" style="9" customWidth="1"/>
    <col min="6" max="6" width="13.54296875" style="9" customWidth="1"/>
    <col min="7" max="7" width="9.81640625" style="9" customWidth="1"/>
    <col min="8" max="8" width="12.90625" style="9" customWidth="1"/>
    <col min="9" max="9" width="25.54296875" style="9" customWidth="1"/>
    <col min="10" max="10" width="1.1796875" customWidth="1"/>
    <col min="11" max="11" width="12.08984375" customWidth="1"/>
    <col min="12" max="12" width="23" customWidth="1"/>
    <col min="13" max="13" width="16.26953125" customWidth="1"/>
    <col min="14" max="14" width="13.81640625" customWidth="1"/>
    <col min="15" max="15" width="12.453125" customWidth="1"/>
    <col min="16" max="16" width="13.7265625" customWidth="1"/>
    <col min="17" max="17" width="10.453125" customWidth="1"/>
    <col min="18" max="18" width="14.81640625" customWidth="1"/>
    <col min="19" max="19" width="25.81640625" customWidth="1"/>
  </cols>
  <sheetData>
    <row r="1" spans="1:21" x14ac:dyDescent="0.35">
      <c r="A1" s="210" t="s">
        <v>169</v>
      </c>
      <c r="B1" s="211"/>
      <c r="C1" s="211"/>
      <c r="D1" s="211"/>
      <c r="E1" s="211"/>
      <c r="F1" s="211"/>
      <c r="G1" s="211"/>
      <c r="H1" s="211"/>
      <c r="I1" s="211"/>
      <c r="K1" s="215" t="s">
        <v>44</v>
      </c>
      <c r="L1" s="216"/>
      <c r="M1" s="216"/>
      <c r="N1" s="216"/>
      <c r="O1" s="216"/>
      <c r="P1" s="216"/>
      <c r="Q1" s="216"/>
      <c r="R1" s="216"/>
      <c r="S1" s="217"/>
    </row>
    <row r="2" spans="1:21" ht="43.5" customHeight="1" x14ac:dyDescent="0.35">
      <c r="A2" s="67" t="s">
        <v>2</v>
      </c>
      <c r="B2" s="67" t="s">
        <v>81</v>
      </c>
      <c r="C2" s="68" t="s">
        <v>82</v>
      </c>
      <c r="D2" s="68" t="s">
        <v>175</v>
      </c>
      <c r="E2" s="68" t="s">
        <v>83</v>
      </c>
      <c r="F2" s="68" t="s">
        <v>93</v>
      </c>
      <c r="G2" s="68" t="s">
        <v>177</v>
      </c>
      <c r="H2" s="68" t="s">
        <v>84</v>
      </c>
      <c r="I2" s="68" t="s">
        <v>193</v>
      </c>
      <c r="K2" s="67" t="s">
        <v>2</v>
      </c>
      <c r="L2" s="67" t="s">
        <v>81</v>
      </c>
      <c r="M2" s="68" t="s">
        <v>82</v>
      </c>
      <c r="N2" s="68" t="s">
        <v>176</v>
      </c>
      <c r="O2" s="68" t="s">
        <v>83</v>
      </c>
      <c r="P2" s="68" t="s">
        <v>93</v>
      </c>
      <c r="Q2" s="68" t="s">
        <v>177</v>
      </c>
      <c r="R2" s="68" t="s">
        <v>84</v>
      </c>
      <c r="S2" s="68" t="s">
        <v>193</v>
      </c>
    </row>
    <row r="3" spans="1:21" s="3" customFormat="1" ht="14" x14ac:dyDescent="0.3">
      <c r="A3" s="69" t="s">
        <v>77</v>
      </c>
      <c r="B3" s="42"/>
      <c r="C3" s="29"/>
      <c r="D3" s="29"/>
      <c r="E3" s="29"/>
      <c r="F3" s="29"/>
      <c r="G3" s="29"/>
      <c r="H3" s="29"/>
      <c r="I3" s="212" t="s">
        <v>194</v>
      </c>
      <c r="K3" s="69" t="s">
        <v>77</v>
      </c>
      <c r="L3" s="42"/>
      <c r="M3" s="29"/>
      <c r="N3" s="29"/>
      <c r="O3" s="29"/>
      <c r="P3" s="29"/>
      <c r="Q3" s="29"/>
      <c r="R3" s="70"/>
      <c r="S3" s="212" t="s">
        <v>194</v>
      </c>
    </row>
    <row r="4" spans="1:21" s="3" customFormat="1" ht="14" x14ac:dyDescent="0.3">
      <c r="A4" s="50"/>
      <c r="B4" s="3" t="s">
        <v>170</v>
      </c>
      <c r="C4" s="28" t="s">
        <v>126</v>
      </c>
      <c r="D4" s="28" t="s">
        <v>126</v>
      </c>
      <c r="E4" s="28" t="s">
        <v>126</v>
      </c>
      <c r="F4" s="28" t="s">
        <v>126</v>
      </c>
      <c r="G4" s="28" t="s">
        <v>126</v>
      </c>
      <c r="H4" s="28">
        <v>5300</v>
      </c>
      <c r="I4" s="213"/>
      <c r="K4" s="50"/>
      <c r="L4" s="3" t="s">
        <v>46</v>
      </c>
      <c r="M4" s="28" t="s">
        <v>126</v>
      </c>
      <c r="N4" s="28" t="s">
        <v>126</v>
      </c>
      <c r="O4" s="28" t="s">
        <v>126</v>
      </c>
      <c r="P4" s="28" t="s">
        <v>126</v>
      </c>
      <c r="Q4" s="28" t="s">
        <v>126</v>
      </c>
      <c r="R4" s="46">
        <v>8000</v>
      </c>
      <c r="S4" s="213"/>
    </row>
    <row r="5" spans="1:21" s="3" customFormat="1" ht="14" x14ac:dyDescent="0.3">
      <c r="A5" s="50"/>
      <c r="B5" s="3" t="s">
        <v>5</v>
      </c>
      <c r="C5" s="28">
        <v>10</v>
      </c>
      <c r="D5" s="28">
        <v>15</v>
      </c>
      <c r="E5" s="28">
        <v>6200</v>
      </c>
      <c r="F5" s="53">
        <f>E5/30</f>
        <v>206.66666666666666</v>
      </c>
      <c r="G5" s="53">
        <f>F5/8</f>
        <v>25.833333333333332</v>
      </c>
      <c r="H5" s="28">
        <f>G5*15*12*10</f>
        <v>46500</v>
      </c>
      <c r="I5" s="213"/>
      <c r="K5" s="50"/>
      <c r="L5" s="3" t="s">
        <v>5</v>
      </c>
      <c r="M5" s="28">
        <v>22</v>
      </c>
      <c r="N5" s="28">
        <v>15</v>
      </c>
      <c r="O5" s="28">
        <v>7200</v>
      </c>
      <c r="P5" s="28">
        <f>O5/30</f>
        <v>240</v>
      </c>
      <c r="Q5" s="28">
        <f>P5/8</f>
        <v>30</v>
      </c>
      <c r="R5" s="46">
        <f>Q5*N5*M5*12</f>
        <v>118800</v>
      </c>
      <c r="S5" s="213"/>
    </row>
    <row r="6" spans="1:21" s="3" customFormat="1" ht="14" x14ac:dyDescent="0.3">
      <c r="A6" s="71"/>
      <c r="B6" s="59" t="s">
        <v>7</v>
      </c>
      <c r="C6" s="52"/>
      <c r="D6" s="52"/>
      <c r="E6" s="52"/>
      <c r="F6" s="28"/>
      <c r="G6" s="28"/>
      <c r="H6" s="37">
        <f>SUM(H4:H5)</f>
        <v>51800</v>
      </c>
      <c r="I6" s="213"/>
      <c r="K6" s="71"/>
      <c r="L6" s="59" t="s">
        <v>7</v>
      </c>
      <c r="M6" s="52"/>
      <c r="N6" s="52"/>
      <c r="O6" s="52"/>
      <c r="P6" s="28"/>
      <c r="Q6" s="28"/>
      <c r="R6" s="48">
        <f>SUM(R4:R5)</f>
        <v>126800</v>
      </c>
      <c r="S6" s="213"/>
      <c r="U6" s="3">
        <f>R6+R10+R14+R18</f>
        <v>525800</v>
      </c>
    </row>
    <row r="7" spans="1:21" s="3" customFormat="1" ht="14" x14ac:dyDescent="0.3">
      <c r="A7" s="69" t="s">
        <v>78</v>
      </c>
      <c r="B7" s="42"/>
      <c r="C7" s="29"/>
      <c r="D7" s="29"/>
      <c r="E7" s="29"/>
      <c r="F7" s="29"/>
      <c r="G7" s="29"/>
      <c r="H7" s="29"/>
      <c r="I7" s="213"/>
      <c r="K7" s="69" t="s">
        <v>78</v>
      </c>
      <c r="L7" s="42"/>
      <c r="M7" s="29"/>
      <c r="N7" s="29"/>
      <c r="O7" s="29"/>
      <c r="P7" s="29"/>
      <c r="Q7" s="29"/>
      <c r="R7" s="70"/>
      <c r="S7" s="213"/>
    </row>
    <row r="8" spans="1:21" s="3" customFormat="1" ht="14" x14ac:dyDescent="0.3">
      <c r="A8" s="50"/>
      <c r="B8" s="3" t="s">
        <v>171</v>
      </c>
      <c r="C8" s="28" t="s">
        <v>126</v>
      </c>
      <c r="D8" s="28" t="s">
        <v>126</v>
      </c>
      <c r="E8" s="28" t="s">
        <v>126</v>
      </c>
      <c r="F8" s="28" t="s">
        <v>126</v>
      </c>
      <c r="G8" s="28" t="s">
        <v>126</v>
      </c>
      <c r="H8" s="28">
        <v>2900</v>
      </c>
      <c r="I8" s="213"/>
      <c r="K8" s="50"/>
      <c r="L8" s="3" t="s">
        <v>45</v>
      </c>
      <c r="M8" s="28" t="s">
        <v>126</v>
      </c>
      <c r="N8" s="28" t="s">
        <v>126</v>
      </c>
      <c r="O8" s="28" t="s">
        <v>126</v>
      </c>
      <c r="P8" s="28" t="s">
        <v>126</v>
      </c>
      <c r="Q8" s="28" t="s">
        <v>126</v>
      </c>
      <c r="R8" s="46">
        <f>7800</f>
        <v>7800</v>
      </c>
      <c r="S8" s="213"/>
    </row>
    <row r="9" spans="1:21" s="3" customFormat="1" ht="14" x14ac:dyDescent="0.3">
      <c r="A9" s="50"/>
      <c r="B9" s="3" t="s">
        <v>8</v>
      </c>
      <c r="C9" s="28">
        <v>16</v>
      </c>
      <c r="D9" s="28">
        <v>15</v>
      </c>
      <c r="E9" s="28">
        <v>6200</v>
      </c>
      <c r="F9" s="53">
        <f>E9/30</f>
        <v>206.66666666666666</v>
      </c>
      <c r="G9" s="53">
        <f>F9/8</f>
        <v>25.833333333333332</v>
      </c>
      <c r="H9" s="28">
        <f>G9*15*12*16</f>
        <v>74400</v>
      </c>
      <c r="I9" s="213"/>
      <c r="K9" s="50"/>
      <c r="L9" s="3" t="s">
        <v>8</v>
      </c>
      <c r="M9" s="28">
        <v>21</v>
      </c>
      <c r="N9" s="28">
        <v>15</v>
      </c>
      <c r="O9" s="28">
        <v>7200</v>
      </c>
      <c r="P9" s="28">
        <f>P5</f>
        <v>240</v>
      </c>
      <c r="Q9" s="28">
        <f>Q5</f>
        <v>30</v>
      </c>
      <c r="R9" s="46">
        <f>Q9*N9*M9*12</f>
        <v>113400</v>
      </c>
      <c r="S9" s="213"/>
    </row>
    <row r="10" spans="1:21" s="3" customFormat="1" ht="14" x14ac:dyDescent="0.3">
      <c r="A10" s="71"/>
      <c r="B10" s="59" t="s">
        <v>29</v>
      </c>
      <c r="C10" s="52"/>
      <c r="D10" s="52"/>
      <c r="E10" s="52"/>
      <c r="F10" s="52"/>
      <c r="G10" s="52"/>
      <c r="H10" s="72">
        <f>SUM(H8:H9)</f>
        <v>77300</v>
      </c>
      <c r="I10" s="213"/>
      <c r="K10" s="71"/>
      <c r="L10" s="59" t="s">
        <v>29</v>
      </c>
      <c r="M10" s="52"/>
      <c r="N10" s="52"/>
      <c r="O10" s="52"/>
      <c r="P10" s="52"/>
      <c r="Q10" s="52"/>
      <c r="R10" s="73">
        <f>SUM(R8:R9)</f>
        <v>121200</v>
      </c>
      <c r="S10" s="213"/>
    </row>
    <row r="11" spans="1:21" s="3" customFormat="1" ht="14" x14ac:dyDescent="0.3">
      <c r="A11" s="69" t="s">
        <v>79</v>
      </c>
      <c r="B11" s="42"/>
      <c r="C11" s="29"/>
      <c r="D11" s="29"/>
      <c r="E11" s="29"/>
      <c r="F11" s="29"/>
      <c r="G11" s="29"/>
      <c r="H11" s="29"/>
      <c r="I11" s="213"/>
      <c r="K11" s="69" t="s">
        <v>79</v>
      </c>
      <c r="L11" s="42"/>
      <c r="M11" s="29"/>
      <c r="N11" s="29"/>
      <c r="O11" s="29"/>
      <c r="P11" s="29"/>
      <c r="Q11" s="29"/>
      <c r="R11" s="70"/>
      <c r="S11" s="213"/>
    </row>
    <row r="12" spans="1:21" s="3" customFormat="1" ht="14" x14ac:dyDescent="0.3">
      <c r="A12" s="50"/>
      <c r="B12" s="3" t="s">
        <v>172</v>
      </c>
      <c r="C12" s="28" t="s">
        <v>126</v>
      </c>
      <c r="D12" s="28" t="s">
        <v>126</v>
      </c>
      <c r="E12" s="28" t="s">
        <v>126</v>
      </c>
      <c r="F12" s="28" t="s">
        <v>126</v>
      </c>
      <c r="G12" s="28" t="s">
        <v>126</v>
      </c>
      <c r="H12" s="28">
        <v>0</v>
      </c>
      <c r="I12" s="213"/>
      <c r="K12" s="50"/>
      <c r="L12" s="3" t="s">
        <v>48</v>
      </c>
      <c r="M12" s="28" t="s">
        <v>126</v>
      </c>
      <c r="N12" s="28" t="s">
        <v>126</v>
      </c>
      <c r="O12" s="28" t="s">
        <v>126</v>
      </c>
      <c r="P12" s="28" t="s">
        <v>126</v>
      </c>
      <c r="Q12" s="28" t="s">
        <v>126</v>
      </c>
      <c r="R12" s="46">
        <v>18000</v>
      </c>
      <c r="S12" s="213"/>
    </row>
    <row r="13" spans="1:21" s="3" customFormat="1" ht="14" x14ac:dyDescent="0.3">
      <c r="A13" s="50"/>
      <c r="B13" s="3" t="s">
        <v>9</v>
      </c>
      <c r="C13" s="28">
        <v>24</v>
      </c>
      <c r="D13" s="28">
        <v>15</v>
      </c>
      <c r="E13" s="28">
        <v>6200</v>
      </c>
      <c r="F13" s="53">
        <f>E13/30</f>
        <v>206.66666666666666</v>
      </c>
      <c r="G13" s="53">
        <f>F13/8</f>
        <v>25.833333333333332</v>
      </c>
      <c r="H13" s="28">
        <f>G13*15*12*24</f>
        <v>111600</v>
      </c>
      <c r="I13" s="213"/>
      <c r="K13" s="50"/>
      <c r="L13" s="3" t="s">
        <v>14</v>
      </c>
      <c r="M13" s="28">
        <v>29</v>
      </c>
      <c r="N13" s="28">
        <v>15</v>
      </c>
      <c r="O13" s="28">
        <v>7200</v>
      </c>
      <c r="P13" s="28">
        <f>P9</f>
        <v>240</v>
      </c>
      <c r="Q13" s="28">
        <f>Q9</f>
        <v>30</v>
      </c>
      <c r="R13" s="46">
        <f>Q13*N13*M13*12</f>
        <v>156600</v>
      </c>
      <c r="S13" s="213"/>
    </row>
    <row r="14" spans="1:21" s="3" customFormat="1" ht="14" x14ac:dyDescent="0.3">
      <c r="A14" s="71"/>
      <c r="B14" s="59" t="s">
        <v>29</v>
      </c>
      <c r="C14" s="52"/>
      <c r="D14" s="52"/>
      <c r="E14" s="52"/>
      <c r="F14" s="52"/>
      <c r="G14" s="52"/>
      <c r="H14" s="72">
        <f>SUM(H12:H13)</f>
        <v>111600</v>
      </c>
      <c r="I14" s="213"/>
      <c r="K14" s="71"/>
      <c r="L14" s="59" t="s">
        <v>29</v>
      </c>
      <c r="M14" s="52"/>
      <c r="N14" s="52"/>
      <c r="O14" s="52"/>
      <c r="P14" s="52"/>
      <c r="Q14" s="52"/>
      <c r="R14" s="73">
        <f>SUM(R12:R13)</f>
        <v>174600</v>
      </c>
      <c r="S14" s="213"/>
    </row>
    <row r="15" spans="1:21" s="3" customFormat="1" ht="14" x14ac:dyDescent="0.3">
      <c r="A15" s="69" t="s">
        <v>80</v>
      </c>
      <c r="B15" s="43"/>
      <c r="C15" s="29"/>
      <c r="D15" s="29"/>
      <c r="E15" s="29"/>
      <c r="F15" s="29"/>
      <c r="G15" s="29"/>
      <c r="H15" s="29"/>
      <c r="I15" s="213"/>
      <c r="K15" s="69" t="s">
        <v>80</v>
      </c>
      <c r="L15" s="43"/>
      <c r="M15" s="29"/>
      <c r="N15" s="29"/>
      <c r="O15" s="29"/>
      <c r="P15" s="29"/>
      <c r="Q15" s="29"/>
      <c r="R15" s="70"/>
      <c r="S15" s="213"/>
    </row>
    <row r="16" spans="1:21" s="3" customFormat="1" ht="14" x14ac:dyDescent="0.3">
      <c r="A16" s="50"/>
      <c r="B16" s="3" t="s">
        <v>173</v>
      </c>
      <c r="C16" s="28" t="s">
        <v>126</v>
      </c>
      <c r="D16" s="28" t="s">
        <v>126</v>
      </c>
      <c r="E16" s="28" t="s">
        <v>126</v>
      </c>
      <c r="F16" s="28" t="s">
        <v>126</v>
      </c>
      <c r="G16" s="28" t="s">
        <v>126</v>
      </c>
      <c r="H16" s="28">
        <v>4700</v>
      </c>
      <c r="I16" s="213"/>
      <c r="K16" s="50"/>
      <c r="L16" s="3" t="s">
        <v>174</v>
      </c>
      <c r="M16" s="28" t="s">
        <v>126</v>
      </c>
      <c r="N16" s="28" t="s">
        <v>126</v>
      </c>
      <c r="O16" s="28" t="s">
        <v>126</v>
      </c>
      <c r="P16" s="28" t="s">
        <v>126</v>
      </c>
      <c r="Q16" s="28" t="s">
        <v>126</v>
      </c>
      <c r="R16" s="46">
        <v>6000</v>
      </c>
      <c r="S16" s="213"/>
    </row>
    <row r="17" spans="1:19" s="3" customFormat="1" ht="14" x14ac:dyDescent="0.3">
      <c r="A17" s="50"/>
      <c r="B17" s="3" t="s">
        <v>14</v>
      </c>
      <c r="C17" s="28">
        <v>15</v>
      </c>
      <c r="D17" s="28">
        <v>15</v>
      </c>
      <c r="E17" s="28">
        <v>6200</v>
      </c>
      <c r="F17" s="53">
        <f>E17/30</f>
        <v>206.66666666666666</v>
      </c>
      <c r="G17" s="53">
        <f>F17/8</f>
        <v>25.833333333333332</v>
      </c>
      <c r="H17" s="28">
        <f>G17*15*12*15</f>
        <v>69750</v>
      </c>
      <c r="I17" s="213"/>
      <c r="K17" s="50"/>
      <c r="L17" s="3" t="s">
        <v>14</v>
      </c>
      <c r="M17" s="28">
        <v>18</v>
      </c>
      <c r="N17" s="28">
        <v>15</v>
      </c>
      <c r="O17" s="28">
        <v>7200</v>
      </c>
      <c r="P17" s="28">
        <f>P13</f>
        <v>240</v>
      </c>
      <c r="Q17" s="28">
        <f>Q13</f>
        <v>30</v>
      </c>
      <c r="R17" s="46">
        <f>Q17*N17*M17*12</f>
        <v>97200</v>
      </c>
      <c r="S17" s="213"/>
    </row>
    <row r="18" spans="1:19" s="3" customFormat="1" ht="14" x14ac:dyDescent="0.3">
      <c r="A18" s="71"/>
      <c r="B18" s="59" t="s">
        <v>29</v>
      </c>
      <c r="C18" s="52"/>
      <c r="D18" s="52"/>
      <c r="E18" s="52"/>
      <c r="F18" s="52"/>
      <c r="G18" s="52"/>
      <c r="H18" s="72">
        <f>SUM(H16:H17)</f>
        <v>74450</v>
      </c>
      <c r="I18" s="214"/>
      <c r="K18" s="71"/>
      <c r="L18" s="59" t="s">
        <v>29</v>
      </c>
      <c r="M18" s="52"/>
      <c r="N18" s="52"/>
      <c r="O18" s="52"/>
      <c r="P18" s="52"/>
      <c r="Q18" s="52"/>
      <c r="R18" s="73">
        <f>SUM(R16:R17)</f>
        <v>103200</v>
      </c>
      <c r="S18" s="214"/>
    </row>
    <row r="20" spans="1:19" x14ac:dyDescent="0.35">
      <c r="D20" s="9">
        <f>H6</f>
        <v>51800</v>
      </c>
      <c r="E20" s="9">
        <f>H10</f>
        <v>77300</v>
      </c>
      <c r="F20" s="9">
        <f>H14</f>
        <v>111600</v>
      </c>
      <c r="G20" s="9">
        <f>H18</f>
        <v>74450</v>
      </c>
      <c r="N20">
        <f>R6</f>
        <v>126800</v>
      </c>
      <c r="O20">
        <f>R10</f>
        <v>121200</v>
      </c>
      <c r="P20">
        <f>R14</f>
        <v>174600</v>
      </c>
      <c r="Q20">
        <f>R18</f>
        <v>103200</v>
      </c>
    </row>
    <row r="22" spans="1:19" x14ac:dyDescent="0.35">
      <c r="C22" s="24"/>
    </row>
  </sheetData>
  <mergeCells count="4">
    <mergeCell ref="A1:I1"/>
    <mergeCell ref="I3:I18"/>
    <mergeCell ref="S3:S18"/>
    <mergeCell ref="K1:S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4"/>
  <sheetViews>
    <sheetView topLeftCell="A2" zoomScale="85" zoomScaleNormal="85" workbookViewId="0">
      <selection activeCell="Q21" sqref="Q21"/>
    </sheetView>
  </sheetViews>
  <sheetFormatPr defaultRowHeight="14.5" x14ac:dyDescent="0.35"/>
  <cols>
    <col min="2" max="2" width="16.81640625" customWidth="1"/>
    <col min="3" max="3" width="13.453125" customWidth="1"/>
    <col min="4" max="4" width="11.7265625" customWidth="1"/>
    <col min="5" max="5" width="11.1796875" customWidth="1"/>
  </cols>
  <sheetData>
    <row r="1" spans="2:16" x14ac:dyDescent="0.35">
      <c r="K1" t="s">
        <v>153</v>
      </c>
    </row>
    <row r="2" spans="2:16" x14ac:dyDescent="0.35">
      <c r="B2" t="str">
        <f>'Calculation_2019-20'!G1</f>
        <v>Total Programme cost for Panna (2019-2020)</v>
      </c>
      <c r="C2">
        <f>'Calculation_2019-20'!H1</f>
        <v>0</v>
      </c>
    </row>
    <row r="3" spans="2:16" x14ac:dyDescent="0.35">
      <c r="B3">
        <f>'Calculation_2019-20'!G2</f>
        <v>0</v>
      </c>
      <c r="C3" t="str">
        <f>'Calculation_2019-20'!H2</f>
        <v>BLOCKS</v>
      </c>
      <c r="K3" t="s">
        <v>97</v>
      </c>
      <c r="L3" t="s">
        <v>229</v>
      </c>
      <c r="M3" t="s">
        <v>229</v>
      </c>
      <c r="N3" t="s">
        <v>229</v>
      </c>
      <c r="O3" t="s">
        <v>227</v>
      </c>
    </row>
    <row r="4" spans="2:16" x14ac:dyDescent="0.35">
      <c r="B4" t="str">
        <f>'Calculation_2019-20'!G3</f>
        <v>Programme Activity</v>
      </c>
      <c r="C4" t="str">
        <f>'Calculation_2019-20'!H3</f>
        <v>Ajaigarh</v>
      </c>
      <c r="D4" t="str">
        <f>'Calculation_2019-20'!J3</f>
        <v>Devendranagar</v>
      </c>
      <c r="E4" t="str">
        <f>'Calculation_2019-20'!L3</f>
        <v>Pawai</v>
      </c>
      <c r="F4" t="str">
        <f>'Calculation_2019-20'!N3</f>
        <v>Shahnagar</v>
      </c>
    </row>
    <row r="5" spans="2:16" x14ac:dyDescent="0.35">
      <c r="K5" t="s">
        <v>142</v>
      </c>
      <c r="L5">
        <v>76.530584262579353</v>
      </c>
      <c r="M5">
        <v>72.323309884824255</v>
      </c>
      <c r="N5">
        <v>79.218986079420731</v>
      </c>
      <c r="O5">
        <v>69.293220838747487</v>
      </c>
      <c r="P5" s="127">
        <f>AVERAGE(L5:O5)</f>
        <v>74.341525266392949</v>
      </c>
    </row>
    <row r="6" spans="2:16" x14ac:dyDescent="0.35">
      <c r="B6" t="str">
        <f>'Calculation_2019-20'!G5</f>
        <v>Human Resource Cost</v>
      </c>
      <c r="C6">
        <f>'Calculation_2019-20'!H5</f>
        <v>182541.66666666666</v>
      </c>
      <c r="D6">
        <f>'Calculation_2019-20'!J5</f>
        <v>223141.66666666666</v>
      </c>
      <c r="E6">
        <f>'Calculation_2019-20'!L5</f>
        <v>282341.66666666663</v>
      </c>
      <c r="F6">
        <f>'Calculation_2019-20'!N5</f>
        <v>225891.66666666666</v>
      </c>
      <c r="G6" s="126">
        <f>AVERAGE(C6:F6)</f>
        <v>228479.16666666666</v>
      </c>
      <c r="K6" t="s">
        <v>85</v>
      </c>
      <c r="L6">
        <v>0.72446637409586956</v>
      </c>
      <c r="M6">
        <v>1.11928868081915</v>
      </c>
      <c r="N6">
        <v>0.98385101675373421</v>
      </c>
      <c r="O6">
        <v>0.89196515751610894</v>
      </c>
      <c r="P6" s="127">
        <f t="shared" ref="P6:P9" si="0">AVERAGE(L6:O6)</f>
        <v>0.92989280729621571</v>
      </c>
    </row>
    <row r="7" spans="2:16" x14ac:dyDescent="0.35">
      <c r="B7" t="str">
        <f>'Calculation_2019-20'!G6</f>
        <v>Monitoring</v>
      </c>
      <c r="C7">
        <f>'Calculation_2019-20'!H6</f>
        <v>875281.94</v>
      </c>
      <c r="D7">
        <f>'Calculation_2019-20'!J6</f>
        <v>918756.94</v>
      </c>
      <c r="E7">
        <f>'Calculation_2019-20'!L6</f>
        <v>1098294.44</v>
      </c>
      <c r="F7">
        <f>'Calculation_2019-20'!N6</f>
        <v>879404.44</v>
      </c>
      <c r="G7" s="126">
        <f t="shared" ref="G7:G11" si="1">AVERAGE(C7:F7)</f>
        <v>942934.44</v>
      </c>
      <c r="K7" t="s">
        <v>143</v>
      </c>
      <c r="L7">
        <v>6.5679128165404137</v>
      </c>
      <c r="M7">
        <v>15.806091227134267</v>
      </c>
      <c r="N7">
        <v>12.819267004340832</v>
      </c>
      <c r="O7">
        <v>8.1383122788630704</v>
      </c>
      <c r="P7" s="127">
        <f t="shared" si="0"/>
        <v>10.832895831719645</v>
      </c>
    </row>
    <row r="8" spans="2:16" x14ac:dyDescent="0.35">
      <c r="B8" t="str">
        <f>'Calculation_2019-20'!G7</f>
        <v xml:space="preserve">Meetings </v>
      </c>
      <c r="C8">
        <f>'Calculation_2019-20'!H7</f>
        <v>89815</v>
      </c>
      <c r="D8">
        <f>'Calculation_2019-20'!J7</f>
        <v>245460</v>
      </c>
      <c r="E8">
        <f>'Calculation_2019-20'!L7</f>
        <v>220455</v>
      </c>
      <c r="F8">
        <f>'Calculation_2019-20'!N7</f>
        <v>128005</v>
      </c>
      <c r="G8" s="126">
        <f t="shared" si="1"/>
        <v>170933.75</v>
      </c>
      <c r="K8" t="s">
        <v>139</v>
      </c>
      <c r="L8">
        <v>8.3244263816832156</v>
      </c>
      <c r="M8">
        <v>3.9199698665843661</v>
      </c>
      <c r="N8">
        <v>0</v>
      </c>
      <c r="O8">
        <v>14.157249222263459</v>
      </c>
      <c r="P8" s="127">
        <f t="shared" si="0"/>
        <v>6.60041136763276</v>
      </c>
    </row>
    <row r="9" spans="2:16" x14ac:dyDescent="0.35">
      <c r="B9" t="str">
        <f>'Calculation_2019-20'!G8</f>
        <v>Training</v>
      </c>
      <c r="C9">
        <f>'Calculation_2019-20'!H8</f>
        <v>113835</v>
      </c>
      <c r="D9">
        <f>'Calculation_2019-20'!J8</f>
        <v>60875</v>
      </c>
      <c r="E9">
        <f>'Calculation_2019-20'!L8</f>
        <v>0</v>
      </c>
      <c r="F9">
        <f>'Calculation_2019-20'!N8</f>
        <v>222675</v>
      </c>
      <c r="G9" s="126">
        <f t="shared" si="1"/>
        <v>99346.25</v>
      </c>
      <c r="K9" t="s">
        <v>87</v>
      </c>
      <c r="L9">
        <v>7.8526101651011437</v>
      </c>
      <c r="M9">
        <v>6.8313403406379578</v>
      </c>
      <c r="N9">
        <v>6.9778958994847011</v>
      </c>
      <c r="O9">
        <v>7.5192525026098798</v>
      </c>
      <c r="P9" s="127">
        <f t="shared" si="0"/>
        <v>7.2952747269584206</v>
      </c>
    </row>
    <row r="10" spans="2:16" x14ac:dyDescent="0.35">
      <c r="B10" t="str">
        <f>'Calculation_2019-20'!G9</f>
        <v>Administrative cost</v>
      </c>
      <c r="C10">
        <f>'Calculation_2019-20'!H9</f>
        <v>107383</v>
      </c>
      <c r="D10">
        <f>'Calculation_2019-20'!J9</f>
        <v>106087</v>
      </c>
      <c r="E10">
        <f>'Calculation_2019-20'!L9</f>
        <v>120000</v>
      </c>
      <c r="F10">
        <f>'Calculation_2019-20'!N9</f>
        <v>118268</v>
      </c>
      <c r="G10" s="126">
        <f t="shared" si="1"/>
        <v>112934.5</v>
      </c>
      <c r="K10" t="s">
        <v>27</v>
      </c>
    </row>
    <row r="11" spans="2:16" x14ac:dyDescent="0.35">
      <c r="B11" t="str">
        <f>'Calculation_2019-20'!G10</f>
        <v>Total Cost</v>
      </c>
      <c r="C11">
        <f>'Calculation_2019-20'!H10</f>
        <v>1368856.6066666667</v>
      </c>
      <c r="D11">
        <f>'Calculation_2019-20'!J10</f>
        <v>1554320.6066666667</v>
      </c>
      <c r="E11">
        <f>'Calculation_2019-20'!L10</f>
        <v>1721091.1066666665</v>
      </c>
      <c r="F11">
        <f>'Calculation_2019-20'!N10</f>
        <v>1574244.1066666667</v>
      </c>
      <c r="G11" s="126">
        <f t="shared" si="1"/>
        <v>1554628.1066666667</v>
      </c>
      <c r="K11" t="s">
        <v>235</v>
      </c>
    </row>
    <row r="12" spans="2:16" x14ac:dyDescent="0.35">
      <c r="B12" t="str">
        <f>'Calculation_2019-20'!G14</f>
        <v>Per unit cost</v>
      </c>
      <c r="C12">
        <f>'Calculation_2019-20'!H14</f>
        <v>176.2524946289814</v>
      </c>
      <c r="D12">
        <f>'Calculation_2019-20'!J14</f>
        <v>205.27575055195263</v>
      </c>
      <c r="E12">
        <f>'Calculation_2019-20'!L14</f>
        <v>180.78656435188813</v>
      </c>
      <c r="F12">
        <f>'Calculation_2019-20'!N14</f>
        <v>246.5756611833923</v>
      </c>
    </row>
    <row r="14" spans="2:16" x14ac:dyDescent="0.35">
      <c r="B14" t="s">
        <v>153</v>
      </c>
    </row>
    <row r="15" spans="2:16" x14ac:dyDescent="0.35">
      <c r="C15" t="s">
        <v>141</v>
      </c>
    </row>
    <row r="16" spans="2:16" x14ac:dyDescent="0.35">
      <c r="B16" t="s">
        <v>97</v>
      </c>
      <c r="C16" t="s">
        <v>51</v>
      </c>
      <c r="D16" t="s">
        <v>229</v>
      </c>
      <c r="E16" t="s">
        <v>52</v>
      </c>
      <c r="F16" t="s">
        <v>229</v>
      </c>
      <c r="G16" t="s">
        <v>53</v>
      </c>
      <c r="H16" t="s">
        <v>229</v>
      </c>
      <c r="I16" t="s">
        <v>54</v>
      </c>
      <c r="J16" t="s">
        <v>227</v>
      </c>
    </row>
    <row r="18" spans="2:10" x14ac:dyDescent="0.35">
      <c r="B18" t="s">
        <v>142</v>
      </c>
      <c r="C18">
        <v>1046541.6666666666</v>
      </c>
      <c r="D18">
        <v>76.530584262579353</v>
      </c>
      <c r="E18">
        <v>1123141.6666666667</v>
      </c>
      <c r="F18">
        <v>72.323309884824255</v>
      </c>
      <c r="G18">
        <v>1362341.6666666667</v>
      </c>
      <c r="H18">
        <v>79.218986079420731</v>
      </c>
      <c r="I18">
        <v>1089891.6666666667</v>
      </c>
      <c r="J18">
        <v>69.293220838747487</v>
      </c>
    </row>
    <row r="19" spans="2:10" x14ac:dyDescent="0.35">
      <c r="B19" t="s">
        <v>85</v>
      </c>
      <c r="C19">
        <v>9906.9444444444453</v>
      </c>
      <c r="D19">
        <v>0.72446637409586956</v>
      </c>
      <c r="E19">
        <v>17381.944444444445</v>
      </c>
      <c r="F19">
        <v>1.11928868081915</v>
      </c>
      <c r="G19">
        <v>16919.444444444445</v>
      </c>
      <c r="H19">
        <v>0.98385101675373421</v>
      </c>
      <c r="I19">
        <v>14029.444444444445</v>
      </c>
      <c r="J19">
        <v>0.89196515751610894</v>
      </c>
    </row>
    <row r="20" spans="2:10" x14ac:dyDescent="0.35">
      <c r="B20" t="s">
        <v>143</v>
      </c>
      <c r="C20">
        <v>89815</v>
      </c>
      <c r="D20">
        <v>6.5679128165404137</v>
      </c>
      <c r="E20">
        <v>245460</v>
      </c>
      <c r="F20">
        <v>15.806091227134267</v>
      </c>
      <c r="G20">
        <v>220455</v>
      </c>
      <c r="H20">
        <v>12.819267004340832</v>
      </c>
      <c r="I20">
        <v>128005</v>
      </c>
      <c r="J20">
        <v>8.1383122788630704</v>
      </c>
    </row>
    <row r="21" spans="2:10" x14ac:dyDescent="0.35">
      <c r="B21" t="s">
        <v>139</v>
      </c>
      <c r="C21">
        <v>113835</v>
      </c>
      <c r="D21">
        <v>8.3244263816832156</v>
      </c>
      <c r="E21">
        <v>60875</v>
      </c>
      <c r="F21">
        <v>3.9199698665843661</v>
      </c>
      <c r="G21">
        <v>0</v>
      </c>
      <c r="H21">
        <v>0</v>
      </c>
      <c r="I21">
        <v>222675</v>
      </c>
      <c r="J21">
        <v>14.157249222263459</v>
      </c>
    </row>
    <row r="22" spans="2:10" x14ac:dyDescent="0.35">
      <c r="B22" t="s">
        <v>87</v>
      </c>
      <c r="C22">
        <v>107383</v>
      </c>
      <c r="D22">
        <v>7.8526101651011437</v>
      </c>
      <c r="E22">
        <v>106087</v>
      </c>
      <c r="F22">
        <v>6.8313403406379578</v>
      </c>
      <c r="G22">
        <v>120000</v>
      </c>
      <c r="H22">
        <v>6.9778958994847011</v>
      </c>
      <c r="I22">
        <v>118268</v>
      </c>
      <c r="J22">
        <v>7.5192525026098798</v>
      </c>
    </row>
    <row r="23" spans="2:10" x14ac:dyDescent="0.35">
      <c r="B23" t="s">
        <v>27</v>
      </c>
      <c r="C23">
        <v>1367481.611111111</v>
      </c>
      <c r="E23">
        <v>1552945.6111111112</v>
      </c>
      <c r="G23">
        <v>1719716.1111111112</v>
      </c>
      <c r="I23">
        <v>1572869.1111111112</v>
      </c>
    </row>
    <row r="24" spans="2:10" x14ac:dyDescent="0.35">
      <c r="B24" t="s">
        <v>235</v>
      </c>
      <c r="C24">
        <v>1720.1026554856742</v>
      </c>
      <c r="E24">
        <v>3569.9899106002558</v>
      </c>
      <c r="G24">
        <v>0</v>
      </c>
      <c r="I24">
        <v>2231.0200157604413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1"/>
  <sheetViews>
    <sheetView workbookViewId="0">
      <selection activeCell="M15" sqref="M15"/>
    </sheetView>
  </sheetViews>
  <sheetFormatPr defaultRowHeight="14.5" x14ac:dyDescent="0.35"/>
  <cols>
    <col min="2" max="2" width="20.1796875" customWidth="1"/>
    <col min="3" max="3" width="15.81640625" customWidth="1"/>
    <col min="4" max="4" width="14.26953125" customWidth="1"/>
    <col min="5" max="5" width="15.7265625" customWidth="1"/>
    <col min="6" max="6" width="14.1796875" customWidth="1"/>
    <col min="7" max="7" width="16" customWidth="1"/>
    <col min="9" max="9" width="17" customWidth="1"/>
    <col min="16" max="16" width="20.7265625" customWidth="1"/>
    <col min="17" max="17" width="16" customWidth="1"/>
    <col min="18" max="18" width="16.1796875" customWidth="1"/>
    <col min="19" max="19" width="16.26953125" customWidth="1"/>
    <col min="20" max="20" width="16.453125" customWidth="1"/>
    <col min="21" max="21" width="15.54296875" customWidth="1"/>
    <col min="24" max="24" width="11.54296875" customWidth="1"/>
  </cols>
  <sheetData>
    <row r="1" spans="2:27" ht="15" thickBot="1" x14ac:dyDescent="0.4"/>
    <row r="2" spans="2:27" ht="15" thickBot="1" x14ac:dyDescent="0.4">
      <c r="B2" s="266" t="s">
        <v>245</v>
      </c>
      <c r="C2" s="266"/>
      <c r="D2" s="266"/>
      <c r="E2" s="266"/>
      <c r="F2" s="266"/>
      <c r="G2" s="266"/>
      <c r="I2" s="267" t="s">
        <v>245</v>
      </c>
      <c r="J2" s="267"/>
      <c r="K2" s="267"/>
      <c r="L2" s="267"/>
      <c r="M2" s="267"/>
      <c r="P2" s="271" t="s">
        <v>267</v>
      </c>
      <c r="Q2" s="271"/>
      <c r="R2" s="271"/>
      <c r="S2" s="271"/>
      <c r="T2" s="271"/>
      <c r="U2" s="147"/>
      <c r="W2" s="271" t="s">
        <v>267</v>
      </c>
      <c r="X2" s="271"/>
      <c r="Y2" s="271"/>
      <c r="Z2" s="271"/>
      <c r="AA2" s="271"/>
    </row>
    <row r="3" spans="2:27" x14ac:dyDescent="0.35">
      <c r="B3" s="269" t="s">
        <v>97</v>
      </c>
      <c r="C3" s="265" t="s">
        <v>141</v>
      </c>
      <c r="D3" s="266"/>
      <c r="E3" s="266"/>
      <c r="F3" s="266"/>
      <c r="G3" s="135"/>
      <c r="J3" s="268" t="s">
        <v>141</v>
      </c>
      <c r="K3" s="268"/>
      <c r="L3" s="268"/>
      <c r="M3" s="268"/>
      <c r="P3" s="150"/>
      <c r="Q3" s="272" t="s">
        <v>141</v>
      </c>
      <c r="R3" s="272"/>
      <c r="S3" s="272"/>
      <c r="T3" s="272"/>
      <c r="U3" s="150"/>
      <c r="X3" s="273" t="s">
        <v>141</v>
      </c>
      <c r="Y3" s="273"/>
      <c r="Z3" s="273"/>
      <c r="AA3" s="273"/>
    </row>
    <row r="4" spans="2:27" x14ac:dyDescent="0.35">
      <c r="B4" s="270"/>
      <c r="C4" s="145" t="s">
        <v>51</v>
      </c>
      <c r="D4" s="146" t="s">
        <v>52</v>
      </c>
      <c r="E4" s="146" t="s">
        <v>53</v>
      </c>
      <c r="F4" s="146" t="s">
        <v>54</v>
      </c>
      <c r="G4" s="146" t="s">
        <v>246</v>
      </c>
      <c r="I4" s="130" t="s">
        <v>97</v>
      </c>
      <c r="J4" s="130" t="s">
        <v>51</v>
      </c>
      <c r="K4" s="131" t="s">
        <v>52</v>
      </c>
      <c r="L4" s="131" t="s">
        <v>53</v>
      </c>
      <c r="M4" s="131" t="s">
        <v>54</v>
      </c>
      <c r="P4" s="274" t="s">
        <v>97</v>
      </c>
      <c r="Q4" s="274" t="s">
        <v>51</v>
      </c>
      <c r="R4" s="274" t="s">
        <v>52</v>
      </c>
      <c r="S4" s="274" t="s">
        <v>53</v>
      </c>
      <c r="T4" s="274" t="s">
        <v>54</v>
      </c>
      <c r="U4" s="276" t="s">
        <v>268</v>
      </c>
      <c r="W4" s="130" t="s">
        <v>97</v>
      </c>
      <c r="X4" s="130" t="s">
        <v>51</v>
      </c>
      <c r="Y4" s="131" t="s">
        <v>52</v>
      </c>
      <c r="Z4" s="131" t="s">
        <v>53</v>
      </c>
      <c r="AA4" s="131" t="s">
        <v>54</v>
      </c>
    </row>
    <row r="5" spans="2:27" ht="12" customHeight="1" x14ac:dyDescent="0.35">
      <c r="B5" s="142" t="s">
        <v>252</v>
      </c>
      <c r="C5" s="141" t="s">
        <v>251</v>
      </c>
      <c r="D5" s="141" t="s">
        <v>253</v>
      </c>
      <c r="E5" s="141" t="s">
        <v>258</v>
      </c>
      <c r="F5" s="141" t="s">
        <v>262</v>
      </c>
      <c r="G5" s="9">
        <f>AVERAGE(J5:M5)</f>
        <v>1155479.1684999999</v>
      </c>
      <c r="I5" s="130" t="s">
        <v>142</v>
      </c>
      <c r="J5" s="128">
        <v>1046541.667</v>
      </c>
      <c r="K5" s="128">
        <v>1123141.67</v>
      </c>
      <c r="L5" s="128">
        <v>1362341.6669999999</v>
      </c>
      <c r="M5" s="128">
        <v>1089891.67</v>
      </c>
      <c r="P5" s="275"/>
      <c r="Q5" s="275"/>
      <c r="R5" s="275"/>
      <c r="S5" s="275"/>
      <c r="T5" s="275"/>
      <c r="U5" s="277"/>
    </row>
    <row r="6" spans="2:27" ht="26" x14ac:dyDescent="0.35">
      <c r="B6" s="143" t="s">
        <v>85</v>
      </c>
      <c r="C6" s="137" t="s">
        <v>247</v>
      </c>
      <c r="D6" s="137" t="s">
        <v>254</v>
      </c>
      <c r="E6" s="137" t="s">
        <v>259</v>
      </c>
      <c r="F6" s="137" t="s">
        <v>263</v>
      </c>
      <c r="G6" s="9">
        <f t="shared" ref="G6:G9" si="0">AVERAGE(J6:M6)</f>
        <v>14559.439999999999</v>
      </c>
      <c r="I6" s="130" t="s">
        <v>85</v>
      </c>
      <c r="J6" s="128">
        <v>9906.94</v>
      </c>
      <c r="K6" s="128">
        <v>17381.939999999999</v>
      </c>
      <c r="L6" s="128">
        <v>16919.439999999999</v>
      </c>
      <c r="M6" s="128">
        <v>14029.44</v>
      </c>
      <c r="P6" s="151" t="s">
        <v>142</v>
      </c>
      <c r="Q6" s="152" t="s">
        <v>269</v>
      </c>
      <c r="R6" s="152" t="s">
        <v>270</v>
      </c>
      <c r="S6" s="152" t="s">
        <v>271</v>
      </c>
      <c r="T6" s="152" t="s">
        <v>272</v>
      </c>
      <c r="U6" s="153">
        <f>AVERAGE(X6:AA6)</f>
        <v>1213437.5</v>
      </c>
      <c r="W6" s="130" t="s">
        <v>142</v>
      </c>
      <c r="X6" s="137">
        <v>1126000</v>
      </c>
      <c r="Y6" s="137">
        <v>1171500</v>
      </c>
      <c r="Z6" s="137">
        <v>1429800</v>
      </c>
      <c r="AA6" s="137">
        <v>1126450</v>
      </c>
    </row>
    <row r="7" spans="2:27" ht="26" x14ac:dyDescent="0.35">
      <c r="B7" s="143" t="s">
        <v>143</v>
      </c>
      <c r="C7" s="137" t="s">
        <v>248</v>
      </c>
      <c r="D7" s="137" t="s">
        <v>255</v>
      </c>
      <c r="E7" s="137" t="s">
        <v>260</v>
      </c>
      <c r="F7" s="137" t="s">
        <v>264</v>
      </c>
      <c r="G7" s="9">
        <f t="shared" si="0"/>
        <v>170933.75</v>
      </c>
      <c r="I7" s="130" t="s">
        <v>143</v>
      </c>
      <c r="J7" s="128">
        <v>89815</v>
      </c>
      <c r="K7" s="128">
        <v>245460</v>
      </c>
      <c r="L7" s="128">
        <v>220455</v>
      </c>
      <c r="M7" s="128">
        <v>128005</v>
      </c>
      <c r="P7" s="151" t="s">
        <v>85</v>
      </c>
      <c r="Q7" s="152" t="s">
        <v>273</v>
      </c>
      <c r="R7" s="152" t="s">
        <v>274</v>
      </c>
      <c r="S7" s="152" t="s">
        <v>275</v>
      </c>
      <c r="T7" s="152" t="s">
        <v>276</v>
      </c>
      <c r="U7" s="153">
        <f t="shared" ref="U7:U10" si="1">AVERAGE(X7:AA7)</f>
        <v>15992.36</v>
      </c>
      <c r="W7" s="130" t="s">
        <v>85</v>
      </c>
      <c r="X7" s="137">
        <v>11261.11</v>
      </c>
      <c r="Y7" s="137">
        <v>18673.61</v>
      </c>
      <c r="Z7" s="137">
        <v>18211.11</v>
      </c>
      <c r="AA7" s="137">
        <v>15823.61</v>
      </c>
    </row>
    <row r="8" spans="2:27" ht="26" x14ac:dyDescent="0.35">
      <c r="B8" s="143" t="s">
        <v>139</v>
      </c>
      <c r="C8" s="137" t="s">
        <v>249</v>
      </c>
      <c r="D8" s="137" t="s">
        <v>256</v>
      </c>
      <c r="E8" s="137">
        <v>0</v>
      </c>
      <c r="F8" s="137" t="s">
        <v>265</v>
      </c>
      <c r="G8" s="9">
        <f t="shared" si="0"/>
        <v>99346.25</v>
      </c>
      <c r="I8" s="130" t="s">
        <v>139</v>
      </c>
      <c r="J8" s="128">
        <v>113835</v>
      </c>
      <c r="K8" s="128">
        <v>60875</v>
      </c>
      <c r="L8" s="128">
        <v>0</v>
      </c>
      <c r="M8" s="128">
        <v>222675</v>
      </c>
      <c r="P8" s="151" t="s">
        <v>143</v>
      </c>
      <c r="Q8" s="152" t="s">
        <v>277</v>
      </c>
      <c r="R8" s="152" t="s">
        <v>278</v>
      </c>
      <c r="S8" s="152" t="s">
        <v>279</v>
      </c>
      <c r="T8" s="152" t="s">
        <v>280</v>
      </c>
      <c r="U8" s="153">
        <f t="shared" si="1"/>
        <v>812.5</v>
      </c>
      <c r="W8" s="130" t="s">
        <v>143</v>
      </c>
      <c r="X8" s="137">
        <v>1250</v>
      </c>
      <c r="Y8" s="137">
        <v>500</v>
      </c>
      <c r="Z8" s="137">
        <v>625</v>
      </c>
      <c r="AA8" s="137">
        <v>875</v>
      </c>
    </row>
    <row r="9" spans="2:27" ht="26.5" thickBot="1" x14ac:dyDescent="0.4">
      <c r="B9" s="144" t="s">
        <v>87</v>
      </c>
      <c r="C9" s="138" t="s">
        <v>250</v>
      </c>
      <c r="D9" s="138" t="s">
        <v>257</v>
      </c>
      <c r="E9" s="138" t="s">
        <v>261</v>
      </c>
      <c r="F9" s="138" t="s">
        <v>266</v>
      </c>
      <c r="G9" s="139">
        <f t="shared" si="0"/>
        <v>112934.5</v>
      </c>
      <c r="I9" s="132" t="s">
        <v>87</v>
      </c>
      <c r="J9" s="133">
        <v>107383</v>
      </c>
      <c r="K9" s="133">
        <v>106087</v>
      </c>
      <c r="L9" s="133">
        <v>120000</v>
      </c>
      <c r="M9" s="133">
        <v>118268</v>
      </c>
      <c r="P9" s="151" t="s">
        <v>87</v>
      </c>
      <c r="Q9" s="152" t="s">
        <v>281</v>
      </c>
      <c r="R9" s="154" t="s">
        <v>282</v>
      </c>
      <c r="S9" s="154" t="s">
        <v>283</v>
      </c>
      <c r="T9" s="154" t="s">
        <v>284</v>
      </c>
      <c r="U9" s="155">
        <f t="shared" si="1"/>
        <v>103000</v>
      </c>
      <c r="W9" s="130" t="s">
        <v>87</v>
      </c>
      <c r="X9" s="137">
        <v>96000</v>
      </c>
      <c r="Y9" s="138">
        <v>100000</v>
      </c>
      <c r="Z9" s="138">
        <v>120000</v>
      </c>
      <c r="AA9" s="138">
        <v>96000</v>
      </c>
    </row>
    <row r="10" spans="2:27" x14ac:dyDescent="0.35">
      <c r="B10" s="136" t="s">
        <v>27</v>
      </c>
      <c r="C10" s="137">
        <v>1367481.61</v>
      </c>
      <c r="D10" s="137">
        <v>1552945.61</v>
      </c>
      <c r="E10" s="137">
        <v>1719716.11</v>
      </c>
      <c r="F10" s="137">
        <v>1572869.11</v>
      </c>
      <c r="G10" s="9">
        <f>AVERAGE(J10:M10)</f>
        <v>1553253.11</v>
      </c>
      <c r="I10" s="130" t="s">
        <v>27</v>
      </c>
      <c r="J10" s="128">
        <v>1367481.61</v>
      </c>
      <c r="K10" s="128">
        <v>1552945.61</v>
      </c>
      <c r="L10" s="128">
        <v>1719716.11</v>
      </c>
      <c r="M10" s="128">
        <v>1572869.11</v>
      </c>
      <c r="P10" s="148" t="s">
        <v>27</v>
      </c>
      <c r="Q10" s="149">
        <v>1234511.1100000001</v>
      </c>
      <c r="R10" s="137">
        <v>1290673.6100000001</v>
      </c>
      <c r="S10" s="137">
        <v>1568636.11</v>
      </c>
      <c r="T10" s="137">
        <v>1239148.6100000001</v>
      </c>
      <c r="U10" s="137">
        <f t="shared" si="1"/>
        <v>1333242.3600000001</v>
      </c>
      <c r="W10" s="148" t="s">
        <v>27</v>
      </c>
      <c r="X10" s="149">
        <v>1234511.1100000001</v>
      </c>
      <c r="Y10" s="137">
        <v>1290673.6100000001</v>
      </c>
      <c r="Z10" s="137">
        <v>1568636.11</v>
      </c>
      <c r="AA10" s="137">
        <v>1239148.6100000001</v>
      </c>
    </row>
    <row r="11" spans="2:27" x14ac:dyDescent="0.35">
      <c r="B11" s="136" t="s">
        <v>235</v>
      </c>
      <c r="C11" s="137"/>
      <c r="D11" s="140"/>
      <c r="E11" s="140"/>
      <c r="F11" s="137"/>
      <c r="G11" s="9"/>
      <c r="I11" s="130" t="s">
        <v>235</v>
      </c>
      <c r="J11" s="128">
        <v>1720.1</v>
      </c>
      <c r="K11" s="134">
        <v>3569.99</v>
      </c>
      <c r="L11" s="134">
        <v>0</v>
      </c>
      <c r="M11" s="128">
        <v>2231.02</v>
      </c>
      <c r="P11" s="130" t="s">
        <v>236</v>
      </c>
      <c r="Q11" s="137"/>
      <c r="R11" s="137"/>
      <c r="S11" s="137"/>
      <c r="T11" s="137"/>
      <c r="U11" s="9"/>
      <c r="W11" s="130" t="s">
        <v>236</v>
      </c>
      <c r="X11" s="137">
        <v>1028.76</v>
      </c>
      <c r="Y11" s="137">
        <v>1103.1400000000001</v>
      </c>
      <c r="Z11" s="137">
        <v>580.98</v>
      </c>
      <c r="AA11" s="137">
        <v>1376.83</v>
      </c>
    </row>
  </sheetData>
  <mergeCells count="15">
    <mergeCell ref="P2:T2"/>
    <mergeCell ref="Q3:T3"/>
    <mergeCell ref="W2:AA2"/>
    <mergeCell ref="X3:AA3"/>
    <mergeCell ref="P4:P5"/>
    <mergeCell ref="Q4:Q5"/>
    <mergeCell ref="R4:R5"/>
    <mergeCell ref="S4:S5"/>
    <mergeCell ref="T4:T5"/>
    <mergeCell ref="U4:U5"/>
    <mergeCell ref="C3:F3"/>
    <mergeCell ref="I2:M2"/>
    <mergeCell ref="J3:M3"/>
    <mergeCell ref="B3:B4"/>
    <mergeCell ref="B2:G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55"/>
  <sheetViews>
    <sheetView topLeftCell="T1" zoomScale="81" zoomScaleNormal="81" workbookViewId="0">
      <selection activeCell="Y23" sqref="Y23"/>
    </sheetView>
  </sheetViews>
  <sheetFormatPr defaultColWidth="9.1796875" defaultRowHeight="14.5" x14ac:dyDescent="0.35"/>
  <cols>
    <col min="2" max="2" width="14.1796875" customWidth="1"/>
    <col min="17" max="17" width="11" customWidth="1"/>
    <col min="19" max="19" width="14.26953125" customWidth="1"/>
    <col min="21" max="21" width="12.453125" customWidth="1"/>
    <col min="23" max="23" width="9.1796875" style="66"/>
    <col min="24" max="24" width="10" style="63" customWidth="1"/>
    <col min="25" max="25" width="9.1796875" style="63"/>
    <col min="26" max="26" width="11.7265625" style="63" customWidth="1"/>
    <col min="27" max="27" width="13.26953125" style="63" customWidth="1"/>
    <col min="28" max="31" width="9.1796875" style="63"/>
    <col min="32" max="32" width="11.54296875" style="63" customWidth="1"/>
    <col min="34" max="35" width="9.1796875" style="63"/>
    <col min="36" max="36" width="11.1796875" style="63" customWidth="1"/>
    <col min="37" max="37" width="11.81640625" style="63" customWidth="1"/>
    <col min="38" max="38" width="10.1796875" style="63" customWidth="1"/>
  </cols>
  <sheetData>
    <row r="1" spans="1:39" x14ac:dyDescent="0.35">
      <c r="A1" s="230" t="s">
        <v>197</v>
      </c>
      <c r="B1" s="280"/>
      <c r="C1" s="280"/>
      <c r="D1" s="280"/>
      <c r="E1" s="280"/>
      <c r="F1" s="280"/>
      <c r="G1" s="280"/>
      <c r="H1" s="280"/>
      <c r="I1" s="280"/>
      <c r="J1" s="280"/>
      <c r="K1" s="280"/>
      <c r="L1" s="280"/>
      <c r="M1" s="280"/>
      <c r="N1" s="280"/>
      <c r="O1" s="280"/>
      <c r="P1" s="280"/>
      <c r="Q1" s="280"/>
      <c r="R1" s="280"/>
      <c r="T1" s="230" t="s">
        <v>198</v>
      </c>
      <c r="U1" s="281"/>
      <c r="V1" s="281"/>
      <c r="W1" s="281"/>
      <c r="X1" s="281"/>
      <c r="Y1" s="281"/>
      <c r="Z1" s="281"/>
      <c r="AA1" s="281"/>
      <c r="AB1" s="281"/>
      <c r="AC1" s="281"/>
      <c r="AD1" s="281"/>
      <c r="AE1" s="281"/>
      <c r="AF1" s="281"/>
      <c r="AG1" s="281"/>
      <c r="AH1" s="281"/>
      <c r="AI1" s="281"/>
      <c r="AJ1" s="281"/>
      <c r="AK1" s="281"/>
      <c r="AL1" s="281"/>
    </row>
    <row r="2" spans="1:39" ht="15" customHeight="1" x14ac:dyDescent="0.35">
      <c r="A2" s="282" t="s">
        <v>2</v>
      </c>
      <c r="B2" s="282" t="s">
        <v>3</v>
      </c>
      <c r="C2" s="283" t="s">
        <v>112</v>
      </c>
      <c r="D2" s="283" t="s">
        <v>99</v>
      </c>
      <c r="E2" s="284" t="s">
        <v>100</v>
      </c>
      <c r="F2" s="284" t="s">
        <v>189</v>
      </c>
      <c r="G2" s="284" t="s">
        <v>188</v>
      </c>
      <c r="H2" s="284" t="s">
        <v>101</v>
      </c>
      <c r="I2" s="31"/>
      <c r="J2" s="31"/>
      <c r="K2" s="285" t="s">
        <v>190</v>
      </c>
      <c r="L2" s="284" t="s">
        <v>93</v>
      </c>
      <c r="M2" s="284" t="s">
        <v>177</v>
      </c>
      <c r="N2" s="287" t="s">
        <v>183</v>
      </c>
      <c r="O2" s="289" t="s">
        <v>192</v>
      </c>
      <c r="P2" s="278" t="s">
        <v>102</v>
      </c>
      <c r="Q2" s="284" t="s">
        <v>191</v>
      </c>
      <c r="R2" s="279" t="s">
        <v>163</v>
      </c>
      <c r="T2" s="292" t="s">
        <v>2</v>
      </c>
      <c r="U2" s="292" t="s">
        <v>3</v>
      </c>
      <c r="V2" s="294" t="s">
        <v>112</v>
      </c>
      <c r="W2" s="294" t="s">
        <v>99</v>
      </c>
      <c r="X2" s="101"/>
      <c r="Y2" s="101"/>
      <c r="Z2" s="101"/>
      <c r="AA2" s="101"/>
      <c r="AB2" s="297" t="s">
        <v>100</v>
      </c>
      <c r="AC2" s="296" t="s">
        <v>120</v>
      </c>
      <c r="AD2" s="297" t="s">
        <v>101</v>
      </c>
      <c r="AE2" s="298" t="s">
        <v>4</v>
      </c>
      <c r="AF2" s="278" t="s">
        <v>185</v>
      </c>
      <c r="AG2" s="297" t="s">
        <v>0</v>
      </c>
      <c r="AH2" s="300" t="s">
        <v>1</v>
      </c>
      <c r="AI2" s="301" t="s">
        <v>183</v>
      </c>
      <c r="AJ2" s="303" t="s">
        <v>184</v>
      </c>
      <c r="AK2" s="305" t="s">
        <v>186</v>
      </c>
      <c r="AL2" s="296" t="s">
        <v>163</v>
      </c>
    </row>
    <row r="3" spans="1:39" ht="98.25" customHeight="1" x14ac:dyDescent="0.35">
      <c r="A3" s="248"/>
      <c r="B3" s="248"/>
      <c r="C3" s="251"/>
      <c r="D3" s="251"/>
      <c r="E3" s="283"/>
      <c r="F3" s="284"/>
      <c r="G3" s="284"/>
      <c r="H3" s="283"/>
      <c r="I3" s="102" t="s">
        <v>103</v>
      </c>
      <c r="J3" s="102" t="s">
        <v>104</v>
      </c>
      <c r="K3" s="286"/>
      <c r="L3" s="283"/>
      <c r="M3" s="283"/>
      <c r="N3" s="288"/>
      <c r="O3" s="290"/>
      <c r="P3" s="279"/>
      <c r="Q3" s="283"/>
      <c r="R3" s="291"/>
      <c r="T3" s="293"/>
      <c r="U3" s="293"/>
      <c r="V3" s="295"/>
      <c r="W3" s="295"/>
      <c r="X3" s="100" t="s">
        <v>180</v>
      </c>
      <c r="Y3" s="100" t="s">
        <v>181</v>
      </c>
      <c r="Z3" s="100" t="s">
        <v>187</v>
      </c>
      <c r="AA3" s="100" t="s">
        <v>182</v>
      </c>
      <c r="AB3" s="294"/>
      <c r="AC3" s="294"/>
      <c r="AD3" s="294"/>
      <c r="AE3" s="299"/>
      <c r="AF3" s="294"/>
      <c r="AG3" s="294"/>
      <c r="AH3" s="295"/>
      <c r="AI3" s="302"/>
      <c r="AJ3" s="304"/>
      <c r="AK3" s="279"/>
      <c r="AL3" s="279"/>
    </row>
    <row r="4" spans="1:39" s="3" customFormat="1" ht="14" x14ac:dyDescent="0.3">
      <c r="A4" s="74" t="s">
        <v>105</v>
      </c>
      <c r="B4" s="74" t="s">
        <v>51</v>
      </c>
      <c r="C4" s="74"/>
      <c r="D4" s="74"/>
      <c r="E4" s="74"/>
      <c r="F4" s="74"/>
      <c r="G4" s="65"/>
      <c r="H4" s="74"/>
      <c r="I4" s="74"/>
      <c r="J4" s="74"/>
      <c r="K4" s="74"/>
      <c r="L4" s="74"/>
      <c r="M4" s="74"/>
      <c r="N4" s="74"/>
      <c r="O4" s="74"/>
      <c r="P4" s="74"/>
      <c r="Q4" s="74"/>
      <c r="R4" s="2"/>
      <c r="T4" s="2" t="s">
        <v>105</v>
      </c>
      <c r="U4" s="2" t="s">
        <v>51</v>
      </c>
      <c r="V4" s="2"/>
      <c r="W4" s="2"/>
      <c r="X4" s="2"/>
      <c r="Y4" s="2"/>
      <c r="Z4" s="2"/>
      <c r="AA4" s="2"/>
      <c r="AB4" s="2"/>
      <c r="AC4" s="2"/>
      <c r="AD4" s="2"/>
      <c r="AE4" s="2"/>
      <c r="AF4" s="2"/>
      <c r="AG4" s="2"/>
      <c r="AH4" s="2"/>
      <c r="AI4" s="2"/>
      <c r="AJ4" s="2"/>
      <c r="AK4" s="2"/>
      <c r="AL4" s="2"/>
    </row>
    <row r="5" spans="1:39" s="3" customFormat="1" ht="14" x14ac:dyDescent="0.3">
      <c r="A5" s="2"/>
      <c r="B5" s="2" t="s">
        <v>6</v>
      </c>
      <c r="C5" s="77">
        <v>4</v>
      </c>
      <c r="D5" s="77">
        <v>1</v>
      </c>
      <c r="E5" s="2" t="s">
        <v>113</v>
      </c>
      <c r="F5" s="2">
        <f>C5*8*60</f>
        <v>1920</v>
      </c>
      <c r="G5" s="75">
        <v>15</v>
      </c>
      <c r="H5" s="77">
        <v>2000</v>
      </c>
      <c r="I5" s="76">
        <f>H5/F5*G5</f>
        <v>15.625000000000002</v>
      </c>
      <c r="J5" s="85">
        <f>I5*12</f>
        <v>187.50000000000003</v>
      </c>
      <c r="K5" s="77">
        <v>32000</v>
      </c>
      <c r="L5" s="77">
        <f>K5/30</f>
        <v>1066.6666666666667</v>
      </c>
      <c r="M5" s="78">
        <f>L5/8</f>
        <v>133.33333333333334</v>
      </c>
      <c r="N5" s="79">
        <f>M5/60*G5</f>
        <v>33.333333333333336</v>
      </c>
      <c r="O5" s="54">
        <f>N5*12</f>
        <v>400</v>
      </c>
      <c r="P5" s="54">
        <f>J5+O5</f>
        <v>587.5</v>
      </c>
      <c r="Q5" s="77">
        <v>2</v>
      </c>
      <c r="R5" s="2">
        <f>Q5*M5*12</f>
        <v>3200</v>
      </c>
      <c r="T5" s="2"/>
      <c r="U5" s="2" t="s">
        <v>6</v>
      </c>
      <c r="V5" s="77">
        <v>3</v>
      </c>
      <c r="W5" s="77">
        <v>1</v>
      </c>
      <c r="X5" s="77">
        <f>V5*8*60</f>
        <v>1440</v>
      </c>
      <c r="Y5" s="77" t="str">
        <f>AB5</f>
        <v>15 min</v>
      </c>
      <c r="Z5" s="78">
        <f>AD5/X5*15</f>
        <v>20.833333333333332</v>
      </c>
      <c r="AA5" s="78">
        <f>Z5*12</f>
        <v>250</v>
      </c>
      <c r="AB5" s="77" t="s">
        <v>113</v>
      </c>
      <c r="AC5" s="77">
        <v>2</v>
      </c>
      <c r="AD5" s="77">
        <v>2000</v>
      </c>
      <c r="AE5" s="77">
        <v>32000</v>
      </c>
      <c r="AF5" s="87">
        <f>AA5</f>
        <v>250</v>
      </c>
      <c r="AG5" s="79">
        <f>AE5/30</f>
        <v>1066.6666666666667</v>
      </c>
      <c r="AH5" s="79">
        <f>AG5/8</f>
        <v>133.33333333333334</v>
      </c>
      <c r="AI5" s="79">
        <f>AH5/4</f>
        <v>33.333333333333336</v>
      </c>
      <c r="AJ5" s="54">
        <f>AI5*12</f>
        <v>400</v>
      </c>
      <c r="AK5" s="86">
        <f>AF5+AJ5</f>
        <v>650</v>
      </c>
      <c r="AL5" s="2">
        <f>AH5*AC5*12</f>
        <v>3200</v>
      </c>
    </row>
    <row r="6" spans="1:39" s="3" customFormat="1" ht="14" x14ac:dyDescent="0.3">
      <c r="A6" s="2" t="s">
        <v>107</v>
      </c>
      <c r="B6" s="2" t="s">
        <v>52</v>
      </c>
      <c r="C6" s="77"/>
      <c r="D6" s="77"/>
      <c r="E6" s="77"/>
      <c r="F6" s="2"/>
      <c r="G6" s="75"/>
      <c r="H6" s="77"/>
      <c r="I6" s="76"/>
      <c r="J6" s="85"/>
      <c r="K6" s="77"/>
      <c r="L6" s="77"/>
      <c r="M6" s="77"/>
      <c r="N6" s="79"/>
      <c r="O6" s="54"/>
      <c r="P6" s="54"/>
      <c r="Q6" s="77"/>
      <c r="R6" s="2"/>
      <c r="T6" s="2" t="s">
        <v>107</v>
      </c>
      <c r="U6" s="2" t="s">
        <v>52</v>
      </c>
      <c r="V6" s="77"/>
      <c r="W6" s="77"/>
      <c r="X6" s="77"/>
      <c r="Y6" s="77"/>
      <c r="Z6" s="77"/>
      <c r="AA6" s="78"/>
      <c r="AB6" s="77"/>
      <c r="AC6" s="77"/>
      <c r="AD6" s="77"/>
      <c r="AE6" s="77"/>
      <c r="AF6" s="85"/>
      <c r="AG6" s="79"/>
      <c r="AH6" s="79"/>
      <c r="AI6" s="79"/>
      <c r="AJ6" s="54"/>
      <c r="AK6" s="54"/>
      <c r="AL6" s="2"/>
    </row>
    <row r="7" spans="1:39" s="3" customFormat="1" ht="14" x14ac:dyDescent="0.3">
      <c r="A7" s="2"/>
      <c r="B7" s="2" t="s">
        <v>47</v>
      </c>
      <c r="C7" s="77">
        <v>10</v>
      </c>
      <c r="D7" s="77">
        <v>5</v>
      </c>
      <c r="E7" s="77" t="s">
        <v>108</v>
      </c>
      <c r="F7" s="2">
        <f t="shared" ref="F7:F8" si="0">C7*8*60</f>
        <v>4800</v>
      </c>
      <c r="G7" s="75">
        <f>30*D7</f>
        <v>150</v>
      </c>
      <c r="H7" s="77">
        <v>2000</v>
      </c>
      <c r="I7" s="76">
        <f>H7/F7*G7</f>
        <v>62.5</v>
      </c>
      <c r="J7" s="85">
        <f>I7*12</f>
        <v>750</v>
      </c>
      <c r="K7" s="77">
        <v>32000</v>
      </c>
      <c r="L7" s="77">
        <f t="shared" ref="L7:L13" si="1">K7/30</f>
        <v>1066.6666666666667</v>
      </c>
      <c r="M7" s="78">
        <f t="shared" ref="M7:M13" si="2">L7/8</f>
        <v>133.33333333333334</v>
      </c>
      <c r="N7" s="79">
        <f>M7/60*G7</f>
        <v>333.33333333333337</v>
      </c>
      <c r="O7" s="54">
        <f>N7*12</f>
        <v>4000.0000000000005</v>
      </c>
      <c r="P7" s="54">
        <f>J7+O7</f>
        <v>4750</v>
      </c>
      <c r="Q7" s="77">
        <v>3</v>
      </c>
      <c r="R7" s="2">
        <f>Q7*M7*12</f>
        <v>4800</v>
      </c>
      <c r="S7" s="306"/>
      <c r="T7" s="2"/>
      <c r="U7" s="2" t="s">
        <v>47</v>
      </c>
      <c r="V7" s="77">
        <v>10</v>
      </c>
      <c r="W7" s="77">
        <v>5</v>
      </c>
      <c r="X7" s="77">
        <f>V7*8*60</f>
        <v>4800</v>
      </c>
      <c r="Y7" s="77">
        <f>30*5</f>
        <v>150</v>
      </c>
      <c r="Z7" s="77">
        <f>AD7/X7*Y7</f>
        <v>62.5</v>
      </c>
      <c r="AA7" s="78">
        <f>Z7*12</f>
        <v>750</v>
      </c>
      <c r="AB7" s="77" t="s">
        <v>108</v>
      </c>
      <c r="AC7" s="77">
        <v>3</v>
      </c>
      <c r="AD7" s="77">
        <v>2000</v>
      </c>
      <c r="AE7" s="77">
        <v>32000</v>
      </c>
      <c r="AF7" s="87">
        <f>AA7</f>
        <v>750</v>
      </c>
      <c r="AG7" s="79">
        <f>AE7/30</f>
        <v>1066.6666666666667</v>
      </c>
      <c r="AH7" s="79">
        <f t="shared" ref="AH7" si="3">AG7/8</f>
        <v>133.33333333333334</v>
      </c>
      <c r="AI7" s="79">
        <f>AH7/60*Y7</f>
        <v>333.33333333333337</v>
      </c>
      <c r="AJ7" s="54">
        <f>AI7*12</f>
        <v>4000.0000000000005</v>
      </c>
      <c r="AK7" s="86">
        <f>AF7+AJ7</f>
        <v>4750</v>
      </c>
      <c r="AL7" s="2">
        <f>AH7*AC7*12</f>
        <v>4800</v>
      </c>
      <c r="AM7" s="307"/>
    </row>
    <row r="8" spans="1:39" s="3" customFormat="1" ht="14" x14ac:dyDescent="0.3">
      <c r="A8" s="2"/>
      <c r="B8" s="2" t="s">
        <v>111</v>
      </c>
      <c r="C8" s="77">
        <v>12</v>
      </c>
      <c r="D8" s="77">
        <v>5</v>
      </c>
      <c r="E8" s="77" t="s">
        <v>108</v>
      </c>
      <c r="F8" s="2">
        <f t="shared" si="0"/>
        <v>5760</v>
      </c>
      <c r="G8" s="75">
        <f>30*D8</f>
        <v>150</v>
      </c>
      <c r="H8" s="77">
        <v>3000</v>
      </c>
      <c r="I8" s="76">
        <f>H8/F8*G8</f>
        <v>78.125</v>
      </c>
      <c r="J8" s="85">
        <f>I8*12</f>
        <v>937.5</v>
      </c>
      <c r="K8" s="77">
        <v>19000</v>
      </c>
      <c r="L8" s="77">
        <f>K8/30</f>
        <v>633.33333333333337</v>
      </c>
      <c r="M8" s="78">
        <f t="shared" si="2"/>
        <v>79.166666666666671</v>
      </c>
      <c r="N8" s="79">
        <f>M8/60*G8</f>
        <v>197.91666666666666</v>
      </c>
      <c r="O8" s="54">
        <f>N8*12</f>
        <v>2375</v>
      </c>
      <c r="P8" s="54">
        <f>J8+O8</f>
        <v>3312.5</v>
      </c>
      <c r="Q8" s="77">
        <v>10</v>
      </c>
      <c r="R8" s="2">
        <f>Q8*M8*12</f>
        <v>9500</v>
      </c>
      <c r="S8" s="306"/>
      <c r="T8" s="2"/>
      <c r="U8" s="2" t="s">
        <v>111</v>
      </c>
      <c r="V8" s="77">
        <v>12</v>
      </c>
      <c r="W8" s="77">
        <v>5</v>
      </c>
      <c r="X8" s="77">
        <f>V8*8*60</f>
        <v>5760</v>
      </c>
      <c r="Y8" s="77">
        <f>30*5</f>
        <v>150</v>
      </c>
      <c r="Z8" s="77">
        <f>AD8/X8*Y8</f>
        <v>78.125</v>
      </c>
      <c r="AA8" s="78">
        <f t="shared" ref="AA8:AA13" si="4">Z8*12</f>
        <v>937.5</v>
      </c>
      <c r="AB8" s="77" t="s">
        <v>108</v>
      </c>
      <c r="AC8" s="77">
        <v>10</v>
      </c>
      <c r="AD8" s="77">
        <v>3000</v>
      </c>
      <c r="AE8" s="77">
        <v>19000</v>
      </c>
      <c r="AF8" s="87">
        <f>AA8</f>
        <v>937.5</v>
      </c>
      <c r="AG8" s="79">
        <f>AE8/30</f>
        <v>633.33333333333337</v>
      </c>
      <c r="AH8" s="79">
        <f>AG8/8</f>
        <v>79.166666666666671</v>
      </c>
      <c r="AI8" s="79">
        <f>AH8/60*150</f>
        <v>197.91666666666666</v>
      </c>
      <c r="AJ8" s="54">
        <f>AI8*12</f>
        <v>2375</v>
      </c>
      <c r="AK8" s="86">
        <f>AF8+AJ8</f>
        <v>3312.5</v>
      </c>
      <c r="AL8" s="2">
        <f>AH8*AC8*12</f>
        <v>9500</v>
      </c>
      <c r="AM8" s="307"/>
    </row>
    <row r="9" spans="1:39" s="3" customFormat="1" ht="14" x14ac:dyDescent="0.3">
      <c r="A9" s="2" t="s">
        <v>109</v>
      </c>
      <c r="B9" s="2" t="s">
        <v>53</v>
      </c>
      <c r="E9" s="2"/>
      <c r="F9" s="2"/>
      <c r="G9" s="80"/>
      <c r="H9" s="77"/>
      <c r="I9" s="76"/>
      <c r="J9" s="85"/>
      <c r="K9" s="2"/>
      <c r="L9" s="77"/>
      <c r="M9" s="77"/>
      <c r="N9" s="79"/>
      <c r="O9" s="54"/>
      <c r="P9" s="54"/>
      <c r="Q9" s="77"/>
      <c r="R9" s="2"/>
      <c r="T9" s="2" t="s">
        <v>109</v>
      </c>
      <c r="U9" s="2" t="s">
        <v>53</v>
      </c>
      <c r="AA9" s="78"/>
      <c r="AD9" s="77"/>
      <c r="AF9" s="85"/>
      <c r="AG9" s="79"/>
      <c r="AH9" s="79"/>
      <c r="AI9" s="79"/>
      <c r="AJ9" s="54"/>
      <c r="AK9" s="54"/>
      <c r="AL9" s="2"/>
    </row>
    <row r="10" spans="1:39" s="3" customFormat="1" ht="15" customHeight="1" x14ac:dyDescent="0.3">
      <c r="A10" s="2"/>
      <c r="B10" s="81" t="s">
        <v>114</v>
      </c>
      <c r="C10" s="77">
        <v>10</v>
      </c>
      <c r="D10" s="77">
        <v>2</v>
      </c>
      <c r="E10" s="77" t="s">
        <v>178</v>
      </c>
      <c r="F10" s="2">
        <f>C10*8*60</f>
        <v>4800</v>
      </c>
      <c r="G10" s="75">
        <f>120*2</f>
        <v>240</v>
      </c>
      <c r="H10" s="77">
        <v>2000</v>
      </c>
      <c r="I10" s="77">
        <f>H10/F10*G10</f>
        <v>100</v>
      </c>
      <c r="J10" s="85">
        <f>I10*12</f>
        <v>1200</v>
      </c>
      <c r="K10" s="77">
        <v>32000</v>
      </c>
      <c r="L10" s="77">
        <f>K10/30</f>
        <v>1066.6666666666667</v>
      </c>
      <c r="M10" s="78">
        <f t="shared" si="2"/>
        <v>133.33333333333334</v>
      </c>
      <c r="N10" s="79">
        <f>M10/60*G10</f>
        <v>533.33333333333337</v>
      </c>
      <c r="O10" s="54">
        <f>N10*12</f>
        <v>6400</v>
      </c>
      <c r="P10" s="54">
        <f>J10+O10</f>
        <v>7600</v>
      </c>
      <c r="Q10" s="77">
        <v>12</v>
      </c>
      <c r="R10" s="2">
        <f>Q10*M10*12</f>
        <v>19200</v>
      </c>
      <c r="T10" s="2"/>
      <c r="U10" s="81" t="s">
        <v>114</v>
      </c>
      <c r="V10" s="77">
        <v>10</v>
      </c>
      <c r="W10" s="77">
        <v>2</v>
      </c>
      <c r="X10" s="77">
        <f>V10*8*60</f>
        <v>4800</v>
      </c>
      <c r="Y10" s="77">
        <f>120*2</f>
        <v>240</v>
      </c>
      <c r="Z10" s="77">
        <f>AD10/X10*240</f>
        <v>100</v>
      </c>
      <c r="AA10" s="78">
        <f>Z10*12</f>
        <v>1200</v>
      </c>
      <c r="AB10" s="77" t="s">
        <v>195</v>
      </c>
      <c r="AC10" s="77">
        <v>12</v>
      </c>
      <c r="AD10" s="77">
        <v>2000</v>
      </c>
      <c r="AE10" s="77">
        <v>32000</v>
      </c>
      <c r="AF10" s="87">
        <f>AA10</f>
        <v>1200</v>
      </c>
      <c r="AG10" s="79">
        <f>AE10/30</f>
        <v>1066.6666666666667</v>
      </c>
      <c r="AH10" s="79">
        <f>AG10/8</f>
        <v>133.33333333333334</v>
      </c>
      <c r="AI10" s="79">
        <f>AH10*2*2</f>
        <v>533.33333333333337</v>
      </c>
      <c r="AJ10" s="54">
        <f t="shared" ref="AJ10" si="5">AI10*12</f>
        <v>6400</v>
      </c>
      <c r="AK10" s="54">
        <f t="shared" ref="AK10:AK13" si="6">AF10+AJ10</f>
        <v>7600</v>
      </c>
      <c r="AL10" s="2">
        <f>AH10*AC10*12</f>
        <v>19200</v>
      </c>
    </row>
    <row r="11" spans="1:39" s="3" customFormat="1" ht="14" x14ac:dyDescent="0.3">
      <c r="A11" s="2" t="s">
        <v>110</v>
      </c>
      <c r="B11" s="2" t="s">
        <v>54</v>
      </c>
      <c r="C11" s="77"/>
      <c r="D11" s="77"/>
      <c r="E11" s="77"/>
      <c r="F11" s="2"/>
      <c r="G11" s="75"/>
      <c r="H11" s="77"/>
      <c r="I11" s="76"/>
      <c r="J11" s="85"/>
      <c r="K11" s="77"/>
      <c r="L11" s="77"/>
      <c r="M11" s="77"/>
      <c r="N11" s="79"/>
      <c r="O11" s="54"/>
      <c r="P11" s="54"/>
      <c r="Q11" s="77"/>
      <c r="R11" s="2"/>
      <c r="T11" s="2" t="s">
        <v>110</v>
      </c>
      <c r="U11" s="2" t="s">
        <v>54</v>
      </c>
      <c r="V11" s="77"/>
      <c r="W11" s="77"/>
      <c r="X11" s="77"/>
      <c r="Y11" s="77"/>
      <c r="Z11" s="77"/>
      <c r="AA11" s="78"/>
      <c r="AB11" s="77"/>
      <c r="AC11" s="77"/>
      <c r="AD11" s="77"/>
      <c r="AE11" s="77"/>
      <c r="AF11" s="85"/>
      <c r="AG11" s="79"/>
      <c r="AH11" s="79"/>
      <c r="AI11" s="79"/>
      <c r="AJ11" s="54"/>
      <c r="AK11" s="54"/>
      <c r="AL11" s="2"/>
    </row>
    <row r="12" spans="1:39" s="3" customFormat="1" ht="14" x14ac:dyDescent="0.3">
      <c r="A12" s="2"/>
      <c r="B12" s="2" t="s">
        <v>6</v>
      </c>
      <c r="C12" s="77">
        <v>10</v>
      </c>
      <c r="D12" s="76">
        <v>3</v>
      </c>
      <c r="E12" s="76" t="s">
        <v>108</v>
      </c>
      <c r="F12" s="2">
        <f>C12*8*60</f>
        <v>4800</v>
      </c>
      <c r="G12" s="82">
        <f>30*D12</f>
        <v>90</v>
      </c>
      <c r="H12" s="77">
        <v>2000</v>
      </c>
      <c r="I12" s="76">
        <f>H12/F12*G12</f>
        <v>37.5</v>
      </c>
      <c r="J12" s="85">
        <f>I12*12</f>
        <v>450</v>
      </c>
      <c r="K12" s="77">
        <v>28000</v>
      </c>
      <c r="L12" s="77">
        <f>K12/30</f>
        <v>933.33333333333337</v>
      </c>
      <c r="M12" s="78">
        <f t="shared" si="2"/>
        <v>116.66666666666667</v>
      </c>
      <c r="N12" s="79">
        <f>M12/60*G12</f>
        <v>175</v>
      </c>
      <c r="O12" s="54">
        <f>N12*12</f>
        <v>2100</v>
      </c>
      <c r="P12" s="54">
        <f>J12+O12</f>
        <v>2550</v>
      </c>
      <c r="Q12" s="77">
        <v>10</v>
      </c>
      <c r="R12" s="2">
        <f>Q12*M12*12</f>
        <v>14000</v>
      </c>
      <c r="S12" s="306"/>
      <c r="T12" s="2"/>
      <c r="U12" s="2" t="s">
        <v>6</v>
      </c>
      <c r="V12" s="77">
        <v>10</v>
      </c>
      <c r="W12" s="77">
        <v>3</v>
      </c>
      <c r="X12" s="77">
        <f>V12*8*60</f>
        <v>4800</v>
      </c>
      <c r="Y12" s="77">
        <f>30*3</f>
        <v>90</v>
      </c>
      <c r="Z12" s="77">
        <f>AD12/X12*90</f>
        <v>37.5</v>
      </c>
      <c r="AA12" s="78">
        <f>Z12*12</f>
        <v>450</v>
      </c>
      <c r="AB12" s="77" t="s">
        <v>108</v>
      </c>
      <c r="AC12" s="77">
        <v>10</v>
      </c>
      <c r="AD12" s="77">
        <v>2000</v>
      </c>
      <c r="AE12" s="3">
        <v>32000</v>
      </c>
      <c r="AF12" s="87">
        <f>AA12</f>
        <v>450</v>
      </c>
      <c r="AG12" s="79">
        <f>AE12/30</f>
        <v>1066.6666666666667</v>
      </c>
      <c r="AH12" s="79">
        <f>AG12/8</f>
        <v>133.33333333333334</v>
      </c>
      <c r="AI12" s="79">
        <f>AH12/60*Y12</f>
        <v>200</v>
      </c>
      <c r="AJ12" s="54">
        <f>AI12*12</f>
        <v>2400</v>
      </c>
      <c r="AK12" s="54">
        <f t="shared" si="6"/>
        <v>2850</v>
      </c>
      <c r="AL12" s="2">
        <f>AH12*AC12*12</f>
        <v>16000.000000000002</v>
      </c>
    </row>
    <row r="13" spans="1:39" s="3" customFormat="1" ht="14" x14ac:dyDescent="0.3">
      <c r="A13" s="2"/>
      <c r="B13" s="2" t="s">
        <v>106</v>
      </c>
      <c r="C13" s="77">
        <v>10</v>
      </c>
      <c r="D13" s="77">
        <v>3</v>
      </c>
      <c r="E13" s="77" t="s">
        <v>115</v>
      </c>
      <c r="F13" s="2">
        <f>C13*8*60</f>
        <v>4800</v>
      </c>
      <c r="G13" s="75">
        <f>30*D13</f>
        <v>90</v>
      </c>
      <c r="H13" s="77">
        <v>3000</v>
      </c>
      <c r="I13" s="76">
        <f>H13/F13*G13</f>
        <v>56.25</v>
      </c>
      <c r="J13" s="85">
        <f>I13*12</f>
        <v>675</v>
      </c>
      <c r="K13" s="83">
        <v>19800</v>
      </c>
      <c r="L13" s="77">
        <f t="shared" si="1"/>
        <v>660</v>
      </c>
      <c r="M13" s="77">
        <f t="shared" si="2"/>
        <v>82.5</v>
      </c>
      <c r="N13" s="79">
        <f>M13/60*G13</f>
        <v>123.75</v>
      </c>
      <c r="O13" s="54">
        <f>N13*12</f>
        <v>1485</v>
      </c>
      <c r="P13" s="54">
        <f>J13+O13</f>
        <v>2160</v>
      </c>
      <c r="Q13" s="77">
        <v>10</v>
      </c>
      <c r="R13" s="2">
        <f>Q13*M13*12</f>
        <v>9900</v>
      </c>
      <c r="S13" s="306"/>
      <c r="T13" s="2"/>
      <c r="U13" s="2" t="s">
        <v>106</v>
      </c>
      <c r="V13" s="77">
        <v>10</v>
      </c>
      <c r="W13" s="77">
        <v>3</v>
      </c>
      <c r="X13" s="77">
        <f>V13*8*60</f>
        <v>4800</v>
      </c>
      <c r="Y13" s="77">
        <f>30*W13</f>
        <v>90</v>
      </c>
      <c r="Z13" s="77">
        <f>AD13/X13*90</f>
        <v>56.25</v>
      </c>
      <c r="AA13" s="78">
        <f t="shared" si="4"/>
        <v>675</v>
      </c>
      <c r="AB13" s="77" t="s">
        <v>115</v>
      </c>
      <c r="AC13" s="77">
        <v>10</v>
      </c>
      <c r="AD13" s="77">
        <v>3000</v>
      </c>
      <c r="AE13" s="84">
        <v>22500</v>
      </c>
      <c r="AF13" s="87">
        <f>AA13</f>
        <v>675</v>
      </c>
      <c r="AG13" s="79">
        <f>AE13/30</f>
        <v>750</v>
      </c>
      <c r="AH13" s="79">
        <f>AG13/8</f>
        <v>93.75</v>
      </c>
      <c r="AI13" s="79">
        <f>AH13/2*W13</f>
        <v>140.625</v>
      </c>
      <c r="AJ13" s="54">
        <f>AI13*12</f>
        <v>1687.5</v>
      </c>
      <c r="AK13" s="54">
        <f t="shared" si="6"/>
        <v>2362.5</v>
      </c>
      <c r="AL13" s="2">
        <f>AH13*AC13*12</f>
        <v>11250</v>
      </c>
    </row>
    <row r="14" spans="1:39" s="3" customFormat="1" ht="14" x14ac:dyDescent="0.3">
      <c r="A14" s="2" t="s">
        <v>13</v>
      </c>
      <c r="B14" s="2"/>
      <c r="C14" s="2"/>
      <c r="D14" s="2"/>
      <c r="E14" s="2"/>
      <c r="F14" s="2"/>
      <c r="G14" s="2"/>
      <c r="H14" s="2"/>
      <c r="I14" s="2"/>
      <c r="J14" s="2"/>
      <c r="K14" s="2"/>
      <c r="L14" s="2"/>
      <c r="M14" s="2"/>
      <c r="N14" s="2"/>
      <c r="O14" s="2"/>
      <c r="P14" s="54">
        <f>SUM(P5:P13)</f>
        <v>20960</v>
      </c>
      <c r="Q14" s="2"/>
      <c r="R14" s="2">
        <f>SUM(R5:R13)</f>
        <v>60600</v>
      </c>
      <c r="T14" s="2" t="s">
        <v>13</v>
      </c>
      <c r="U14" s="2"/>
      <c r="V14" s="2"/>
      <c r="W14" s="2"/>
      <c r="X14" s="2"/>
      <c r="Y14" s="2"/>
      <c r="Z14" s="2"/>
      <c r="AA14" s="2"/>
      <c r="AB14" s="2"/>
      <c r="AC14" s="2"/>
      <c r="AD14" s="2"/>
      <c r="AE14" s="2"/>
      <c r="AF14" s="2"/>
      <c r="AG14" s="2"/>
      <c r="AH14" s="2"/>
      <c r="AI14" s="2"/>
      <c r="AJ14" s="2"/>
      <c r="AK14" s="90">
        <f>SUM(AK4:AK13)</f>
        <v>21525</v>
      </c>
      <c r="AL14" s="2">
        <f>SUM(AL5:AL13)</f>
        <v>63950</v>
      </c>
    </row>
    <row r="15" spans="1:39" s="3" customFormat="1" ht="14" x14ac:dyDescent="0.3">
      <c r="B15" s="89"/>
      <c r="E15" s="89"/>
    </row>
    <row r="16" spans="1:39" s="3" customFormat="1" ht="14" x14ac:dyDescent="0.3">
      <c r="A16" s="308" t="s">
        <v>196</v>
      </c>
      <c r="B16" s="308"/>
      <c r="C16" s="308"/>
      <c r="D16" s="308"/>
      <c r="E16" s="308"/>
      <c r="T16" s="309" t="s">
        <v>199</v>
      </c>
      <c r="U16" s="310"/>
      <c r="V16" s="310"/>
      <c r="W16" s="310"/>
      <c r="X16" s="311"/>
    </row>
    <row r="17" spans="1:38" x14ac:dyDescent="0.35">
      <c r="A17" s="4"/>
      <c r="B17" s="2" t="s">
        <v>51</v>
      </c>
      <c r="C17" s="4" t="s">
        <v>52</v>
      </c>
      <c r="D17" s="4" t="s">
        <v>53</v>
      </c>
      <c r="E17" s="77" t="s">
        <v>54</v>
      </c>
      <c r="T17" s="4"/>
      <c r="U17" s="4" t="s">
        <v>51</v>
      </c>
      <c r="V17" s="4" t="s">
        <v>52</v>
      </c>
      <c r="W17" s="4" t="s">
        <v>53</v>
      </c>
      <c r="X17" s="4" t="s">
        <v>54</v>
      </c>
      <c r="Y17"/>
      <c r="Z17"/>
      <c r="AA17"/>
      <c r="AB17"/>
      <c r="AC17"/>
      <c r="AD17"/>
      <c r="AE17"/>
      <c r="AF17"/>
      <c r="AH17"/>
      <c r="AI17"/>
      <c r="AJ17"/>
      <c r="AK17"/>
      <c r="AL17"/>
    </row>
    <row r="18" spans="1:38" x14ac:dyDescent="0.35">
      <c r="A18" s="4" t="s">
        <v>167</v>
      </c>
      <c r="B18" s="103">
        <f>P5</f>
        <v>587.5</v>
      </c>
      <c r="C18" s="103">
        <f>P7+P8</f>
        <v>8062.5</v>
      </c>
      <c r="D18" s="103">
        <f>P10</f>
        <v>7600</v>
      </c>
      <c r="E18" s="103">
        <f>P12+P13</f>
        <v>4710</v>
      </c>
      <c r="T18" s="4" t="s">
        <v>167</v>
      </c>
      <c r="U18" s="104">
        <f>AK5</f>
        <v>650</v>
      </c>
      <c r="V18" s="104">
        <f>AK7+AK8</f>
        <v>8062.5</v>
      </c>
      <c r="W18" s="103">
        <f>AK10</f>
        <v>7600</v>
      </c>
      <c r="X18" s="103">
        <f>AK12+AK13</f>
        <v>5212.5</v>
      </c>
      <c r="Y18" s="58">
        <f>SUM(U18:X18)</f>
        <v>21525</v>
      </c>
      <c r="Z18"/>
      <c r="AA18"/>
      <c r="AB18"/>
      <c r="AC18"/>
      <c r="AD18"/>
      <c r="AE18"/>
      <c r="AF18"/>
      <c r="AH18"/>
      <c r="AI18"/>
      <c r="AJ18"/>
      <c r="AK18"/>
      <c r="AL18"/>
    </row>
    <row r="19" spans="1:38" x14ac:dyDescent="0.35">
      <c r="A19" s="4" t="s">
        <v>144</v>
      </c>
      <c r="B19" s="103">
        <f>R5</f>
        <v>3200</v>
      </c>
      <c r="C19" s="103">
        <f>R7+R8</f>
        <v>14300</v>
      </c>
      <c r="D19" s="103">
        <f>R10</f>
        <v>19200</v>
      </c>
      <c r="E19" s="103">
        <f>R12+R13</f>
        <v>23900</v>
      </c>
      <c r="T19" s="4" t="s">
        <v>144</v>
      </c>
      <c r="U19" s="103">
        <f>AL5</f>
        <v>3200</v>
      </c>
      <c r="V19" s="103">
        <f>AL7+AL8</f>
        <v>14300</v>
      </c>
      <c r="W19" s="103">
        <f>AL10</f>
        <v>19200</v>
      </c>
      <c r="X19" s="103">
        <f>AL12+AL13</f>
        <v>27250</v>
      </c>
      <c r="Y19"/>
      <c r="Z19"/>
      <c r="AA19"/>
      <c r="AB19"/>
      <c r="AC19"/>
      <c r="AD19"/>
      <c r="AE19"/>
      <c r="AF19"/>
      <c r="AH19"/>
      <c r="AI19"/>
      <c r="AJ19"/>
      <c r="AK19"/>
      <c r="AL19"/>
    </row>
    <row r="20" spans="1:38" x14ac:dyDescent="0.35">
      <c r="L20" t="s">
        <v>221</v>
      </c>
      <c r="M20" t="s">
        <v>220</v>
      </c>
      <c r="W20"/>
      <c r="X20"/>
      <c r="Y20"/>
      <c r="Z20"/>
      <c r="AA20"/>
      <c r="AB20"/>
      <c r="AC20"/>
      <c r="AD20"/>
      <c r="AE20"/>
      <c r="AF20"/>
      <c r="AH20"/>
      <c r="AI20"/>
      <c r="AJ20"/>
      <c r="AK20"/>
      <c r="AL20"/>
    </row>
    <row r="21" spans="1:38" x14ac:dyDescent="0.35">
      <c r="L21">
        <f>P14</f>
        <v>20960</v>
      </c>
      <c r="M21" s="58">
        <f>Y18</f>
        <v>21525</v>
      </c>
      <c r="W21"/>
      <c r="X21"/>
      <c r="Y21"/>
      <c r="Z21"/>
      <c r="AA21"/>
      <c r="AB21"/>
      <c r="AC21"/>
      <c r="AD21"/>
      <c r="AE21"/>
      <c r="AF21"/>
      <c r="AH21"/>
      <c r="AI21"/>
      <c r="AJ21"/>
      <c r="AK21"/>
      <c r="AL21"/>
    </row>
    <row r="22" spans="1:38" x14ac:dyDescent="0.35">
      <c r="L22">
        <f>9319.44*4</f>
        <v>37277.760000000002</v>
      </c>
      <c r="M22" s="86">
        <f>10611.11*4</f>
        <v>42444.44</v>
      </c>
      <c r="W22"/>
      <c r="X22"/>
      <c r="Y22"/>
      <c r="Z22"/>
      <c r="AA22"/>
      <c r="AB22"/>
      <c r="AC22"/>
      <c r="AD22"/>
      <c r="AE22"/>
      <c r="AF22"/>
      <c r="AH22"/>
      <c r="AI22"/>
      <c r="AJ22"/>
      <c r="AK22"/>
      <c r="AL22"/>
    </row>
    <row r="23" spans="1:38" x14ac:dyDescent="0.35">
      <c r="L23">
        <f>SUM(L21:L22)</f>
        <v>58237.760000000002</v>
      </c>
      <c r="M23">
        <f>SUM(M21:M22)</f>
        <v>63969.440000000002</v>
      </c>
      <c r="W23"/>
      <c r="X23"/>
      <c r="Y23"/>
      <c r="Z23"/>
      <c r="AA23"/>
      <c r="AB23"/>
      <c r="AC23"/>
      <c r="AD23"/>
      <c r="AE23"/>
      <c r="AF23"/>
      <c r="AH23"/>
      <c r="AI23"/>
      <c r="AJ23"/>
      <c r="AK23"/>
      <c r="AL23"/>
    </row>
    <row r="24" spans="1:38" x14ac:dyDescent="0.35">
      <c r="W24"/>
      <c r="X24"/>
      <c r="Y24"/>
      <c r="Z24"/>
      <c r="AA24"/>
      <c r="AB24"/>
      <c r="AC24"/>
      <c r="AD24"/>
      <c r="AE24"/>
      <c r="AF24"/>
      <c r="AH24"/>
      <c r="AI24"/>
      <c r="AJ24"/>
      <c r="AK24"/>
      <c r="AL24"/>
    </row>
    <row r="25" spans="1:38" x14ac:dyDescent="0.35">
      <c r="W25"/>
      <c r="X25"/>
      <c r="Y25"/>
      <c r="Z25"/>
      <c r="AA25"/>
      <c r="AB25"/>
      <c r="AC25"/>
      <c r="AD25"/>
      <c r="AE25"/>
      <c r="AF25"/>
      <c r="AH25"/>
      <c r="AI25"/>
      <c r="AJ25"/>
      <c r="AK25"/>
      <c r="AL25"/>
    </row>
    <row r="26" spans="1:38" x14ac:dyDescent="0.35">
      <c r="W26"/>
      <c r="X26"/>
      <c r="Y26"/>
      <c r="Z26"/>
      <c r="AA26"/>
      <c r="AB26"/>
      <c r="AC26"/>
      <c r="AD26"/>
      <c r="AE26"/>
      <c r="AF26"/>
      <c r="AH26"/>
      <c r="AI26"/>
      <c r="AJ26"/>
      <c r="AK26"/>
      <c r="AL26"/>
    </row>
    <row r="27" spans="1:38" x14ac:dyDescent="0.35">
      <c r="W27"/>
      <c r="X27"/>
      <c r="Y27"/>
      <c r="Z27"/>
      <c r="AA27"/>
      <c r="AB27"/>
      <c r="AC27"/>
      <c r="AD27"/>
      <c r="AE27"/>
      <c r="AF27"/>
      <c r="AH27"/>
      <c r="AI27"/>
      <c r="AJ27"/>
      <c r="AK27"/>
      <c r="AL27"/>
    </row>
    <row r="28" spans="1:38" x14ac:dyDescent="0.35">
      <c r="W28"/>
      <c r="X28"/>
      <c r="Y28"/>
      <c r="Z28"/>
      <c r="AA28"/>
      <c r="AB28"/>
      <c r="AC28"/>
      <c r="AD28"/>
      <c r="AE28"/>
      <c r="AF28"/>
      <c r="AH28"/>
      <c r="AI28"/>
      <c r="AJ28"/>
      <c r="AK28"/>
      <c r="AL28"/>
    </row>
    <row r="29" spans="1:38" x14ac:dyDescent="0.35">
      <c r="W29"/>
      <c r="X29"/>
      <c r="Y29"/>
      <c r="Z29"/>
      <c r="AA29"/>
      <c r="AB29"/>
      <c r="AC29"/>
      <c r="AD29"/>
      <c r="AE29"/>
      <c r="AF29"/>
      <c r="AH29"/>
      <c r="AI29"/>
      <c r="AJ29"/>
      <c r="AK29"/>
      <c r="AL29"/>
    </row>
    <row r="30" spans="1:38" x14ac:dyDescent="0.35">
      <c r="W30"/>
      <c r="X30"/>
      <c r="Y30"/>
      <c r="Z30"/>
      <c r="AA30"/>
      <c r="AB30"/>
      <c r="AC30"/>
      <c r="AD30"/>
      <c r="AE30"/>
      <c r="AF30"/>
      <c r="AH30"/>
      <c r="AI30"/>
      <c r="AJ30"/>
      <c r="AK30"/>
      <c r="AL30"/>
    </row>
    <row r="31" spans="1:38" x14ac:dyDescent="0.35">
      <c r="W31"/>
      <c r="X31"/>
      <c r="Y31"/>
      <c r="Z31"/>
      <c r="AA31"/>
      <c r="AB31"/>
      <c r="AC31"/>
      <c r="AD31"/>
      <c r="AE31"/>
      <c r="AF31"/>
      <c r="AH31"/>
      <c r="AI31"/>
      <c r="AJ31"/>
      <c r="AK31"/>
      <c r="AL31"/>
    </row>
    <row r="32" spans="1:38" x14ac:dyDescent="0.35">
      <c r="W32"/>
      <c r="X32"/>
      <c r="Y32"/>
      <c r="Z32"/>
      <c r="AA32"/>
      <c r="AB32"/>
      <c r="AC32"/>
      <c r="AD32"/>
      <c r="AE32"/>
      <c r="AF32"/>
      <c r="AH32"/>
      <c r="AI32"/>
      <c r="AJ32"/>
      <c r="AK32"/>
      <c r="AL32"/>
    </row>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sheetData>
  <mergeCells count="38">
    <mergeCell ref="S7:S8"/>
    <mergeCell ref="AM7:AM8"/>
    <mergeCell ref="S12:S13"/>
    <mergeCell ref="A16:E16"/>
    <mergeCell ref="T16:X16"/>
    <mergeCell ref="AL2:AL3"/>
    <mergeCell ref="W2:W3"/>
    <mergeCell ref="AB2:AB3"/>
    <mergeCell ref="AC2:AC3"/>
    <mergeCell ref="AD2:AD3"/>
    <mergeCell ref="AE2:AE3"/>
    <mergeCell ref="AF2:AF3"/>
    <mergeCell ref="AG2:AG3"/>
    <mergeCell ref="AH2:AH3"/>
    <mergeCell ref="AI2:AI3"/>
    <mergeCell ref="AJ2:AJ3"/>
    <mergeCell ref="AK2:AK3"/>
    <mergeCell ref="Q2:Q3"/>
    <mergeCell ref="R2:R3"/>
    <mergeCell ref="T2:T3"/>
    <mergeCell ref="U2:U3"/>
    <mergeCell ref="V2:V3"/>
    <mergeCell ref="P2:P3"/>
    <mergeCell ref="A1:R1"/>
    <mergeCell ref="T1:AL1"/>
    <mergeCell ref="A2:A3"/>
    <mergeCell ref="B2:B3"/>
    <mergeCell ref="C2:C3"/>
    <mergeCell ref="D2:D3"/>
    <mergeCell ref="E2:E3"/>
    <mergeCell ref="F2:F3"/>
    <mergeCell ref="G2:G3"/>
    <mergeCell ref="H2:H3"/>
    <mergeCell ref="K2:K3"/>
    <mergeCell ref="L2:L3"/>
    <mergeCell ref="M2:M3"/>
    <mergeCell ref="N2:N3"/>
    <mergeCell ref="O2:O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8"/>
  <sheetViews>
    <sheetView topLeftCell="A2" workbookViewId="0">
      <selection activeCell="C10" sqref="C10"/>
    </sheetView>
  </sheetViews>
  <sheetFormatPr defaultRowHeight="14.5" x14ac:dyDescent="0.35"/>
  <cols>
    <col min="2" max="2" width="24.7265625" customWidth="1"/>
    <col min="3" max="3" width="13.26953125" customWidth="1"/>
    <col min="4" max="4" width="12.453125" customWidth="1"/>
    <col min="5" max="5" width="24.1796875" customWidth="1"/>
  </cols>
  <sheetData>
    <row r="2" spans="2:5" x14ac:dyDescent="0.35">
      <c r="B2" s="240" t="s">
        <v>285</v>
      </c>
      <c r="C2" s="240"/>
      <c r="D2" s="240"/>
      <c r="E2" s="240"/>
    </row>
    <row r="3" spans="2:5" x14ac:dyDescent="0.35">
      <c r="B3" s="25" t="s">
        <v>286</v>
      </c>
      <c r="C3" s="37" t="s">
        <v>287</v>
      </c>
      <c r="D3" s="37" t="s">
        <v>288</v>
      </c>
      <c r="E3" s="37" t="s">
        <v>289</v>
      </c>
    </row>
    <row r="4" spans="2:5" x14ac:dyDescent="0.35">
      <c r="B4" s="25" t="s">
        <v>296</v>
      </c>
      <c r="C4" s="37">
        <v>826573.4</v>
      </c>
      <c r="D4" s="37">
        <v>150263.4</v>
      </c>
      <c r="E4" s="37" t="s">
        <v>290</v>
      </c>
    </row>
    <row r="5" spans="2:5" x14ac:dyDescent="0.35">
      <c r="B5" s="25" t="s">
        <v>85</v>
      </c>
      <c r="C5" s="37">
        <v>15634.72</v>
      </c>
      <c r="D5" s="156">
        <v>942.64850000000001</v>
      </c>
      <c r="E5" s="37" t="s">
        <v>291</v>
      </c>
    </row>
    <row r="6" spans="2:5" x14ac:dyDescent="0.35">
      <c r="B6" s="25" t="s">
        <v>86</v>
      </c>
      <c r="C6" s="156">
        <v>1077.3440000000001</v>
      </c>
      <c r="D6" s="156">
        <v>245.31870000000001</v>
      </c>
      <c r="E6" s="37" t="s">
        <v>292</v>
      </c>
    </row>
    <row r="7" spans="2:5" x14ac:dyDescent="0.35">
      <c r="B7" s="59" t="s">
        <v>293</v>
      </c>
      <c r="C7" s="72">
        <v>69500</v>
      </c>
      <c r="D7" s="72">
        <v>12938.04</v>
      </c>
      <c r="E7" s="72" t="s">
        <v>294</v>
      </c>
    </row>
    <row r="8" spans="2:5" x14ac:dyDescent="0.35">
      <c r="B8" s="25" t="s">
        <v>27</v>
      </c>
      <c r="C8" s="37">
        <v>912785.5</v>
      </c>
      <c r="D8" s="37">
        <v>163325.1</v>
      </c>
      <c r="E8" s="37" t="s">
        <v>295</v>
      </c>
    </row>
  </sheetData>
  <mergeCells count="1">
    <mergeCell ref="B2:E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zoomScale="83" zoomScaleNormal="83" workbookViewId="0">
      <selection activeCell="G22" sqref="G22"/>
    </sheetView>
  </sheetViews>
  <sheetFormatPr defaultRowHeight="14.5" x14ac:dyDescent="0.35"/>
  <cols>
    <col min="2" max="2" width="24.453125" customWidth="1"/>
    <col min="3" max="3" width="24.54296875" customWidth="1"/>
    <col min="5" max="5" width="12.26953125" customWidth="1"/>
    <col min="7" max="7" width="14.453125" customWidth="1"/>
    <col min="9" max="9" width="11" customWidth="1"/>
    <col min="10" max="10" width="11.26953125" customWidth="1"/>
    <col min="11" max="11" width="19.7265625" customWidth="1"/>
    <col min="12" max="12" width="17.26953125" customWidth="1"/>
  </cols>
  <sheetData>
    <row r="1" spans="1:12" x14ac:dyDescent="0.35">
      <c r="A1" s="312" t="s">
        <v>127</v>
      </c>
      <c r="B1" s="312" t="s">
        <v>128</v>
      </c>
      <c r="C1" s="317" t="s">
        <v>129</v>
      </c>
      <c r="D1" s="33" t="s">
        <v>130</v>
      </c>
      <c r="E1" s="33"/>
      <c r="F1" s="33"/>
      <c r="G1" s="33"/>
      <c r="H1" s="33" t="s">
        <v>131</v>
      </c>
      <c r="I1" s="33"/>
      <c r="J1" s="33"/>
      <c r="K1" s="33"/>
      <c r="L1" s="312" t="s">
        <v>98</v>
      </c>
    </row>
    <row r="2" spans="1:12" x14ac:dyDescent="0.35">
      <c r="A2" s="312"/>
      <c r="B2" s="312"/>
      <c r="C2" s="317"/>
      <c r="D2" s="243" t="s">
        <v>132</v>
      </c>
      <c r="E2" s="313"/>
      <c r="F2" s="313"/>
      <c r="G2" s="313"/>
      <c r="H2" s="243" t="s">
        <v>132</v>
      </c>
      <c r="I2" s="313"/>
      <c r="J2" s="313"/>
      <c r="K2" s="313"/>
      <c r="L2" s="312"/>
    </row>
    <row r="3" spans="1:12" x14ac:dyDescent="0.35">
      <c r="A3" s="312"/>
      <c r="B3" s="312"/>
      <c r="C3" s="317"/>
      <c r="D3" s="62" t="s">
        <v>51</v>
      </c>
      <c r="E3" s="62" t="s">
        <v>54</v>
      </c>
      <c r="F3" s="62" t="s">
        <v>53</v>
      </c>
      <c r="G3" s="62" t="s">
        <v>52</v>
      </c>
      <c r="H3" s="62" t="s">
        <v>51</v>
      </c>
      <c r="I3" s="62" t="s">
        <v>54</v>
      </c>
      <c r="J3" s="62" t="s">
        <v>53</v>
      </c>
      <c r="K3" s="62" t="s">
        <v>52</v>
      </c>
      <c r="L3" s="312"/>
    </row>
    <row r="4" spans="1:12" ht="57.75" customHeight="1" x14ac:dyDescent="0.35">
      <c r="A4" s="318">
        <v>1</v>
      </c>
      <c r="B4" s="319" t="s">
        <v>133</v>
      </c>
      <c r="C4" s="4" t="s">
        <v>134</v>
      </c>
      <c r="D4" s="4">
        <v>113835</v>
      </c>
      <c r="E4" s="4">
        <v>222675</v>
      </c>
      <c r="F4" s="4">
        <v>0</v>
      </c>
      <c r="G4" s="4">
        <v>60875</v>
      </c>
      <c r="H4" s="4">
        <v>0</v>
      </c>
      <c r="I4" s="4">
        <v>0</v>
      </c>
      <c r="J4" s="4">
        <v>0</v>
      </c>
      <c r="K4" s="4">
        <v>0</v>
      </c>
      <c r="L4" s="314" t="s">
        <v>214</v>
      </c>
    </row>
    <row r="5" spans="1:12" x14ac:dyDescent="0.35">
      <c r="A5" s="318"/>
      <c r="B5" s="319"/>
      <c r="C5" s="4" t="s">
        <v>135</v>
      </c>
      <c r="D5" s="4">
        <v>11383</v>
      </c>
      <c r="E5" s="4">
        <v>22268</v>
      </c>
      <c r="F5" s="4">
        <v>0</v>
      </c>
      <c r="G5" s="4">
        <v>6087</v>
      </c>
      <c r="H5" s="4"/>
      <c r="I5" s="4"/>
      <c r="J5" s="4"/>
      <c r="K5" s="4"/>
      <c r="L5" s="315"/>
    </row>
    <row r="6" spans="1:12" x14ac:dyDescent="0.35">
      <c r="A6" s="318"/>
      <c r="B6" s="319"/>
      <c r="C6" s="4" t="s">
        <v>136</v>
      </c>
      <c r="D6" s="33">
        <v>125218</v>
      </c>
      <c r="E6" s="33">
        <v>244943</v>
      </c>
      <c r="F6" s="33">
        <v>0</v>
      </c>
      <c r="G6" s="33">
        <v>66962</v>
      </c>
      <c r="H6" s="4"/>
      <c r="I6" s="4"/>
      <c r="J6" s="4"/>
      <c r="K6" s="4"/>
      <c r="L6" s="315"/>
    </row>
    <row r="7" spans="1:12" x14ac:dyDescent="0.35">
      <c r="A7" s="320">
        <v>2</v>
      </c>
      <c r="B7" s="321" t="s">
        <v>138</v>
      </c>
      <c r="C7" s="175" t="s">
        <v>137</v>
      </c>
      <c r="D7" s="175">
        <v>960000</v>
      </c>
      <c r="E7" s="175">
        <v>960000</v>
      </c>
      <c r="F7" s="175">
        <v>1200000</v>
      </c>
      <c r="G7" s="175">
        <v>1000000</v>
      </c>
      <c r="H7" s="35">
        <v>960000</v>
      </c>
      <c r="I7" s="4">
        <v>960000</v>
      </c>
      <c r="J7" s="4">
        <v>1200000</v>
      </c>
      <c r="K7" s="4">
        <v>1000000</v>
      </c>
      <c r="L7" s="315"/>
    </row>
    <row r="8" spans="1:12" x14ac:dyDescent="0.35">
      <c r="A8" s="320"/>
      <c r="B8" s="321"/>
      <c r="C8" s="4" t="s">
        <v>135</v>
      </c>
      <c r="D8" s="4">
        <v>96000</v>
      </c>
      <c r="E8" s="4">
        <v>96000</v>
      </c>
      <c r="F8" s="4">
        <v>120000</v>
      </c>
      <c r="G8" s="4">
        <v>100000</v>
      </c>
      <c r="H8" s="4">
        <v>96000</v>
      </c>
      <c r="I8" s="4">
        <v>96000</v>
      </c>
      <c r="J8" s="4">
        <v>120000</v>
      </c>
      <c r="K8" s="4">
        <v>100000</v>
      </c>
      <c r="L8" s="315"/>
    </row>
    <row r="9" spans="1:12" x14ac:dyDescent="0.35">
      <c r="A9" s="320"/>
      <c r="B9" s="321"/>
      <c r="C9" s="4" t="s">
        <v>136</v>
      </c>
      <c r="D9" s="33">
        <v>1056000</v>
      </c>
      <c r="E9" s="33">
        <v>1056000</v>
      </c>
      <c r="F9" s="33">
        <v>1320000</v>
      </c>
      <c r="G9" s="33">
        <v>1100000</v>
      </c>
      <c r="H9" s="34">
        <v>1056000</v>
      </c>
      <c r="I9" s="33">
        <v>1056000</v>
      </c>
      <c r="J9" s="33">
        <v>1320000</v>
      </c>
      <c r="K9" s="33">
        <v>1100000</v>
      </c>
      <c r="L9" s="316"/>
    </row>
    <row r="10" spans="1:12" x14ac:dyDescent="0.35">
      <c r="A10" s="60"/>
      <c r="B10" s="61"/>
      <c r="D10" s="88"/>
      <c r="E10" s="88"/>
      <c r="F10" s="88"/>
      <c r="G10" s="88"/>
      <c r="H10" s="88"/>
      <c r="I10" s="88"/>
      <c r="J10" s="88"/>
      <c r="K10" s="88"/>
    </row>
    <row r="11" spans="1:12" x14ac:dyDescent="0.35">
      <c r="B11" s="3"/>
      <c r="C11" s="2"/>
      <c r="D11" s="226" t="s">
        <v>121</v>
      </c>
      <c r="E11" s="308"/>
      <c r="F11" s="308"/>
      <c r="G11" s="308"/>
      <c r="H11" s="226" t="s">
        <v>122</v>
      </c>
      <c r="I11" s="308"/>
      <c r="J11" s="308"/>
      <c r="K11" s="308"/>
      <c r="L11" s="3"/>
    </row>
    <row r="12" spans="1:12" x14ac:dyDescent="0.35">
      <c r="B12" s="3"/>
      <c r="C12" s="2" t="s">
        <v>158</v>
      </c>
      <c r="D12" s="3" t="s">
        <v>51</v>
      </c>
      <c r="E12" s="3" t="s">
        <v>52</v>
      </c>
      <c r="F12" s="3" t="s">
        <v>53</v>
      </c>
      <c r="G12" s="98" t="s">
        <v>54</v>
      </c>
      <c r="H12" s="3" t="s">
        <v>51</v>
      </c>
      <c r="I12" s="3" t="s">
        <v>52</v>
      </c>
      <c r="J12" s="3" t="s">
        <v>53</v>
      </c>
      <c r="K12" s="98" t="s">
        <v>54</v>
      </c>
      <c r="L12" s="3"/>
    </row>
    <row r="13" spans="1:12" x14ac:dyDescent="0.35">
      <c r="B13" s="3"/>
      <c r="C13" s="2" t="s">
        <v>139</v>
      </c>
      <c r="D13" s="3">
        <f>D5</f>
        <v>11383</v>
      </c>
      <c r="E13" s="3">
        <f>G5</f>
        <v>6087</v>
      </c>
      <c r="F13" s="3">
        <v>0</v>
      </c>
      <c r="G13" s="98">
        <f>E5</f>
        <v>22268</v>
      </c>
      <c r="H13" s="3">
        <v>0</v>
      </c>
      <c r="I13" s="3">
        <v>0</v>
      </c>
      <c r="J13" s="3">
        <v>0</v>
      </c>
      <c r="K13" s="98">
        <v>0</v>
      </c>
      <c r="L13" s="3"/>
    </row>
    <row r="14" spans="1:12" x14ac:dyDescent="0.35">
      <c r="B14" s="3"/>
      <c r="C14" s="2" t="s">
        <v>140</v>
      </c>
      <c r="D14" s="3">
        <f>D8</f>
        <v>96000</v>
      </c>
      <c r="E14" s="3">
        <f>G8</f>
        <v>100000</v>
      </c>
      <c r="F14" s="3">
        <f>F8</f>
        <v>120000</v>
      </c>
      <c r="G14" s="98">
        <f>E8</f>
        <v>96000</v>
      </c>
      <c r="H14" s="3">
        <f>H8</f>
        <v>96000</v>
      </c>
      <c r="I14" s="3">
        <f>K8</f>
        <v>100000</v>
      </c>
      <c r="J14" s="3">
        <f>J8</f>
        <v>120000</v>
      </c>
      <c r="K14" s="98">
        <f>I8</f>
        <v>96000</v>
      </c>
      <c r="L14" s="3"/>
    </row>
    <row r="15" spans="1:12" x14ac:dyDescent="0.35">
      <c r="B15" s="3"/>
      <c r="C15" s="2" t="s">
        <v>136</v>
      </c>
      <c r="D15" s="26">
        <f>D13+D14</f>
        <v>107383</v>
      </c>
      <c r="E15" s="26">
        <f>E13+E14</f>
        <v>106087</v>
      </c>
      <c r="F15" s="26">
        <f t="shared" ref="F15:K15" si="0">F13+F14</f>
        <v>120000</v>
      </c>
      <c r="G15" s="99">
        <f>G13+G14</f>
        <v>118268</v>
      </c>
      <c r="H15" s="26">
        <f t="shared" si="0"/>
        <v>96000</v>
      </c>
      <c r="I15" s="26">
        <f t="shared" si="0"/>
        <v>100000</v>
      </c>
      <c r="J15" s="26">
        <f t="shared" si="0"/>
        <v>120000</v>
      </c>
      <c r="K15" s="99">
        <f t="shared" si="0"/>
        <v>96000</v>
      </c>
      <c r="L15" s="3"/>
    </row>
    <row r="16" spans="1:12" x14ac:dyDescent="0.35">
      <c r="B16" s="3"/>
      <c r="C16" s="89" t="s">
        <v>221</v>
      </c>
      <c r="D16" s="3" t="s">
        <v>220</v>
      </c>
      <c r="E16" s="3"/>
      <c r="F16" s="3" t="s">
        <v>223</v>
      </c>
      <c r="G16" s="3" t="s">
        <v>224</v>
      </c>
      <c r="H16" s="3"/>
      <c r="I16" s="3"/>
      <c r="J16" s="3"/>
      <c r="K16" s="3"/>
      <c r="L16" s="3"/>
    </row>
    <row r="17" spans="2:12" x14ac:dyDescent="0.35">
      <c r="B17" s="3"/>
      <c r="C17" s="3">
        <f>D7+E7+F7+G7</f>
        <v>4120000</v>
      </c>
      <c r="D17" s="3">
        <f>H7+I7+J7+K7</f>
        <v>4120000</v>
      </c>
      <c r="E17" s="3"/>
      <c r="F17" s="3">
        <f>'[1]Administrative cost'!D11*4</f>
        <v>1440000</v>
      </c>
      <c r="G17" s="3">
        <f>D17-F17</f>
        <v>2680000</v>
      </c>
      <c r="H17" s="3"/>
      <c r="I17" s="3"/>
      <c r="J17" s="3"/>
      <c r="K17" s="3"/>
      <c r="L17" s="3"/>
    </row>
    <row r="18" spans="2:12" x14ac:dyDescent="0.35">
      <c r="B18" s="3"/>
      <c r="C18" s="3"/>
      <c r="D18" s="3"/>
      <c r="E18" s="3"/>
      <c r="F18" s="3"/>
      <c r="G18" s="3"/>
      <c r="H18" s="3"/>
      <c r="I18" s="3"/>
      <c r="J18" s="3"/>
      <c r="K18" s="3"/>
      <c r="L18" s="3"/>
    </row>
    <row r="19" spans="2:12" x14ac:dyDescent="0.35">
      <c r="B19" s="3"/>
      <c r="C19" s="224" t="s">
        <v>121</v>
      </c>
      <c r="D19" s="225"/>
      <c r="E19" s="225"/>
      <c r="F19" s="225"/>
      <c r="G19" s="226"/>
      <c r="H19" s="3"/>
      <c r="I19" s="308" t="s">
        <v>122</v>
      </c>
      <c r="J19" s="308"/>
      <c r="K19" s="308"/>
      <c r="L19" s="308"/>
    </row>
    <row r="20" spans="2:12" x14ac:dyDescent="0.35">
      <c r="B20" s="3"/>
      <c r="C20" s="2"/>
      <c r="D20" s="2" t="s">
        <v>94</v>
      </c>
      <c r="E20" s="2" t="s">
        <v>95</v>
      </c>
      <c r="F20" s="2" t="s">
        <v>96</v>
      </c>
      <c r="G20" s="2" t="s">
        <v>166</v>
      </c>
      <c r="H20" s="3"/>
      <c r="I20" s="2" t="s">
        <v>94</v>
      </c>
      <c r="J20" s="2" t="s">
        <v>95</v>
      </c>
      <c r="K20" s="2" t="s">
        <v>96</v>
      </c>
      <c r="L20" s="2" t="s">
        <v>166</v>
      </c>
    </row>
    <row r="21" spans="2:12" x14ac:dyDescent="0.35">
      <c r="B21" s="3"/>
      <c r="C21" s="2" t="s">
        <v>342</v>
      </c>
      <c r="D21" s="2">
        <f>D7</f>
        <v>960000</v>
      </c>
      <c r="E21" s="2">
        <f>G7</f>
        <v>1000000</v>
      </c>
      <c r="F21" s="2">
        <f>F7</f>
        <v>1200000</v>
      </c>
      <c r="G21" s="2">
        <f>E7</f>
        <v>960000</v>
      </c>
      <c r="H21" s="3"/>
      <c r="I21" s="2">
        <f>H7</f>
        <v>960000</v>
      </c>
      <c r="J21" s="2">
        <f>K7</f>
        <v>1000000</v>
      </c>
      <c r="K21" s="2">
        <f>J7</f>
        <v>1200000</v>
      </c>
      <c r="L21" s="2">
        <f>I7</f>
        <v>960000</v>
      </c>
    </row>
  </sheetData>
  <mergeCells count="15">
    <mergeCell ref="A4:A6"/>
    <mergeCell ref="B4:B6"/>
    <mergeCell ref="A7:A9"/>
    <mergeCell ref="B7:B9"/>
    <mergeCell ref="A1:A3"/>
    <mergeCell ref="B1:B3"/>
    <mergeCell ref="I19:L19"/>
    <mergeCell ref="C19:G19"/>
    <mergeCell ref="L1:L3"/>
    <mergeCell ref="D11:G11"/>
    <mergeCell ref="H11:K11"/>
    <mergeCell ref="D2:G2"/>
    <mergeCell ref="H2:K2"/>
    <mergeCell ref="L4:L9"/>
    <mergeCell ref="C1:C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4" sqref="K14"/>
    </sheetView>
  </sheetViews>
  <sheetFormatPr defaultRowHeight="14.5" x14ac:dyDescent="0.3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election activeCell="O5" sqref="O5"/>
    </sheetView>
  </sheetViews>
  <sheetFormatPr defaultRowHeight="14.5" x14ac:dyDescent="0.35"/>
  <cols>
    <col min="1" max="1" width="12.1796875" customWidth="1"/>
    <col min="2" max="2" width="17.54296875" customWidth="1"/>
    <col min="10" max="10" width="15.54296875" customWidth="1"/>
  </cols>
  <sheetData>
    <row r="1" spans="1:14" ht="15.5" x14ac:dyDescent="0.35">
      <c r="A1" s="324" t="s">
        <v>28</v>
      </c>
      <c r="B1" s="325"/>
      <c r="C1" s="325"/>
      <c r="D1" s="325"/>
      <c r="E1" s="325"/>
      <c r="F1" s="325"/>
      <c r="G1" s="325"/>
      <c r="H1" s="325"/>
      <c r="I1" s="325"/>
      <c r="J1" s="325"/>
      <c r="K1" s="325"/>
      <c r="L1" s="325"/>
      <c r="M1" s="325"/>
      <c r="N1" s="326"/>
    </row>
    <row r="2" spans="1:14" x14ac:dyDescent="0.35">
      <c r="A2" s="322" t="s">
        <v>67</v>
      </c>
      <c r="B2" s="322"/>
      <c r="C2" s="322" t="s">
        <v>60</v>
      </c>
      <c r="D2" s="322"/>
      <c r="E2" s="322"/>
      <c r="F2" s="327" t="s">
        <v>76</v>
      </c>
      <c r="G2" s="328"/>
      <c r="H2" s="329"/>
      <c r="I2" s="322" t="s">
        <v>61</v>
      </c>
      <c r="J2" s="322"/>
      <c r="K2" s="322"/>
      <c r="L2" s="327" t="s">
        <v>62</v>
      </c>
      <c r="M2" s="328"/>
      <c r="N2" s="329"/>
    </row>
    <row r="3" spans="1:14" x14ac:dyDescent="0.35">
      <c r="A3" s="21" t="s">
        <v>68</v>
      </c>
      <c r="B3" s="21" t="s">
        <v>69</v>
      </c>
      <c r="C3" s="21" t="s">
        <v>63</v>
      </c>
      <c r="D3" s="21" t="s">
        <v>64</v>
      </c>
      <c r="E3" s="21" t="s">
        <v>29</v>
      </c>
      <c r="F3" s="21" t="s">
        <v>63</v>
      </c>
      <c r="G3" s="21" t="s">
        <v>64</v>
      </c>
      <c r="H3" s="21" t="s">
        <v>29</v>
      </c>
      <c r="I3" s="21" t="s">
        <v>63</v>
      </c>
      <c r="J3" s="21" t="s">
        <v>64</v>
      </c>
      <c r="K3" s="21" t="s">
        <v>29</v>
      </c>
      <c r="L3" s="21" t="s">
        <v>63</v>
      </c>
      <c r="M3" s="21" t="s">
        <v>64</v>
      </c>
      <c r="N3" s="21" t="s">
        <v>29</v>
      </c>
    </row>
    <row r="4" spans="1:14" ht="42" x14ac:dyDescent="0.35">
      <c r="A4" s="19">
        <v>1</v>
      </c>
      <c r="B4" s="5" t="s">
        <v>70</v>
      </c>
      <c r="C4" s="20">
        <v>279</v>
      </c>
      <c r="D4" s="20">
        <v>710</v>
      </c>
      <c r="E4" s="20">
        <v>989</v>
      </c>
      <c r="F4" s="20">
        <v>516</v>
      </c>
      <c r="G4" s="20">
        <v>432</v>
      </c>
      <c r="H4" s="20">
        <v>948</v>
      </c>
      <c r="I4" s="20">
        <v>560</v>
      </c>
      <c r="J4" s="20">
        <v>631</v>
      </c>
      <c r="K4" s="20">
        <v>1191</v>
      </c>
      <c r="L4" s="20">
        <v>346</v>
      </c>
      <c r="M4" s="20">
        <v>542</v>
      </c>
      <c r="N4" s="20">
        <v>888</v>
      </c>
    </row>
    <row r="5" spans="1:14" ht="56" x14ac:dyDescent="0.35">
      <c r="A5" s="19">
        <v>2</v>
      </c>
      <c r="B5" s="5" t="s">
        <v>71</v>
      </c>
      <c r="C5" s="20">
        <v>279</v>
      </c>
      <c r="D5" s="20">
        <v>710</v>
      </c>
      <c r="E5" s="20">
        <v>989</v>
      </c>
      <c r="F5" s="20">
        <v>516</v>
      </c>
      <c r="G5" s="20">
        <v>432</v>
      </c>
      <c r="H5" s="20">
        <v>948</v>
      </c>
      <c r="I5" s="20">
        <v>558</v>
      </c>
      <c r="J5" s="20">
        <v>631</v>
      </c>
      <c r="K5" s="20">
        <v>1189</v>
      </c>
      <c r="L5" s="20">
        <v>280</v>
      </c>
      <c r="M5" s="20">
        <v>455</v>
      </c>
      <c r="N5" s="20">
        <v>735</v>
      </c>
    </row>
    <row r="6" spans="1:14" ht="56" x14ac:dyDescent="0.35">
      <c r="A6" s="19">
        <v>3</v>
      </c>
      <c r="B6" s="5" t="s">
        <v>72</v>
      </c>
      <c r="C6" s="20">
        <v>279</v>
      </c>
      <c r="D6" s="20">
        <v>710</v>
      </c>
      <c r="E6" s="22">
        <v>989</v>
      </c>
      <c r="F6" s="20">
        <v>516</v>
      </c>
      <c r="G6" s="20">
        <v>432</v>
      </c>
      <c r="H6" s="22">
        <v>948</v>
      </c>
      <c r="I6" s="20">
        <v>560</v>
      </c>
      <c r="J6" s="20">
        <v>631</v>
      </c>
      <c r="K6" s="22">
        <v>1191</v>
      </c>
      <c r="L6" s="20">
        <v>346</v>
      </c>
      <c r="M6" s="20">
        <v>542</v>
      </c>
      <c r="N6" s="22">
        <v>888</v>
      </c>
    </row>
    <row r="7" spans="1:14" ht="42" x14ac:dyDescent="0.35">
      <c r="A7" s="19">
        <v>4</v>
      </c>
      <c r="B7" s="5" t="s">
        <v>73</v>
      </c>
      <c r="C7" s="20">
        <v>0</v>
      </c>
      <c r="D7" s="20">
        <v>0</v>
      </c>
      <c r="E7" s="20">
        <v>0</v>
      </c>
      <c r="F7" s="20">
        <v>0</v>
      </c>
      <c r="G7" s="20">
        <v>0</v>
      </c>
      <c r="H7" s="20">
        <v>0</v>
      </c>
      <c r="I7" s="20">
        <v>0</v>
      </c>
      <c r="J7" s="20">
        <v>0</v>
      </c>
      <c r="K7" s="20">
        <v>0</v>
      </c>
      <c r="L7" s="20">
        <v>0</v>
      </c>
      <c r="M7" s="20">
        <v>0</v>
      </c>
      <c r="N7" s="20">
        <v>0</v>
      </c>
    </row>
    <row r="8" spans="1:14" ht="29" x14ac:dyDescent="0.35">
      <c r="A8" s="320">
        <v>5</v>
      </c>
      <c r="B8" s="323" t="s">
        <v>74</v>
      </c>
      <c r="C8" s="21" t="s">
        <v>65</v>
      </c>
      <c r="D8" s="21" t="s">
        <v>66</v>
      </c>
      <c r="E8" s="21" t="s">
        <v>29</v>
      </c>
      <c r="F8" s="21" t="s">
        <v>65</v>
      </c>
      <c r="G8" s="21" t="s">
        <v>66</v>
      </c>
      <c r="H8" s="21" t="s">
        <v>29</v>
      </c>
      <c r="I8" s="21" t="s">
        <v>65</v>
      </c>
      <c r="J8" s="21" t="s">
        <v>66</v>
      </c>
      <c r="K8" s="21" t="s">
        <v>29</v>
      </c>
      <c r="L8" s="21" t="s">
        <v>65</v>
      </c>
      <c r="M8" s="21" t="s">
        <v>66</v>
      </c>
      <c r="N8" s="21" t="s">
        <v>29</v>
      </c>
    </row>
    <row r="9" spans="1:14" x14ac:dyDescent="0.35">
      <c r="A9" s="320"/>
      <c r="B9" s="323"/>
      <c r="C9" s="20">
        <v>24</v>
      </c>
      <c r="D9" s="20">
        <v>26</v>
      </c>
      <c r="E9" s="20">
        <v>50</v>
      </c>
      <c r="F9" s="20">
        <v>13</v>
      </c>
      <c r="G9" s="20">
        <v>41</v>
      </c>
      <c r="H9" s="20">
        <v>54</v>
      </c>
      <c r="I9" s="20">
        <v>10</v>
      </c>
      <c r="J9" s="20">
        <v>46</v>
      </c>
      <c r="K9" s="20">
        <v>56</v>
      </c>
      <c r="L9" s="20">
        <v>12</v>
      </c>
      <c r="M9" s="20">
        <v>40</v>
      </c>
      <c r="N9" s="20">
        <v>52</v>
      </c>
    </row>
    <row r="10" spans="1:14" x14ac:dyDescent="0.35">
      <c r="A10" s="320">
        <v>6</v>
      </c>
      <c r="B10" s="323" t="s">
        <v>75</v>
      </c>
      <c r="C10" s="21" t="s">
        <v>63</v>
      </c>
      <c r="D10" s="21" t="s">
        <v>64</v>
      </c>
      <c r="E10" s="21" t="s">
        <v>29</v>
      </c>
      <c r="F10" s="21" t="s">
        <v>63</v>
      </c>
      <c r="G10" s="21" t="s">
        <v>64</v>
      </c>
      <c r="H10" s="21" t="s">
        <v>29</v>
      </c>
      <c r="I10" s="21" t="s">
        <v>63</v>
      </c>
      <c r="J10" s="21" t="s">
        <v>64</v>
      </c>
      <c r="K10" s="21" t="s">
        <v>29</v>
      </c>
      <c r="L10" s="21" t="s">
        <v>63</v>
      </c>
      <c r="M10" s="21" t="s">
        <v>64</v>
      </c>
      <c r="N10" s="21" t="s">
        <v>29</v>
      </c>
    </row>
    <row r="11" spans="1:14" x14ac:dyDescent="0.35">
      <c r="A11" s="320"/>
      <c r="B11" s="323"/>
      <c r="C11" s="20">
        <v>480</v>
      </c>
      <c r="D11" s="20">
        <v>824</v>
      </c>
      <c r="E11" s="20">
        <v>1304</v>
      </c>
      <c r="F11" s="20">
        <v>488</v>
      </c>
      <c r="G11" s="20">
        <v>746</v>
      </c>
      <c r="H11" s="20">
        <v>1234</v>
      </c>
      <c r="I11" s="20">
        <v>574</v>
      </c>
      <c r="J11" s="20">
        <v>740</v>
      </c>
      <c r="K11" s="20">
        <v>1314</v>
      </c>
      <c r="L11" s="20">
        <v>532</v>
      </c>
      <c r="M11" s="20">
        <v>1052</v>
      </c>
      <c r="N11" s="20">
        <v>1584</v>
      </c>
    </row>
  </sheetData>
  <mergeCells count="10">
    <mergeCell ref="A10:A11"/>
    <mergeCell ref="A2:B2"/>
    <mergeCell ref="B10:B11"/>
    <mergeCell ref="A1:N1"/>
    <mergeCell ref="L2:N2"/>
    <mergeCell ref="A8:A9"/>
    <mergeCell ref="B8:B9"/>
    <mergeCell ref="C2:E2"/>
    <mergeCell ref="F2:H2"/>
    <mergeCell ref="I2: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8"/>
  <sheetViews>
    <sheetView topLeftCell="R1" zoomScale="87" zoomScaleNormal="87" workbookViewId="0">
      <selection activeCell="T4" sqref="T4"/>
    </sheetView>
  </sheetViews>
  <sheetFormatPr defaultColWidth="9.1796875" defaultRowHeight="14.5" x14ac:dyDescent="0.35"/>
  <cols>
    <col min="1" max="1" width="18" customWidth="1"/>
    <col min="15" max="15" width="9.1796875" customWidth="1"/>
    <col min="16" max="16" width="11.7265625" customWidth="1"/>
    <col min="19" max="19" width="5.453125" customWidth="1"/>
    <col min="20" max="20" width="11.26953125" customWidth="1"/>
    <col min="26" max="26" width="10.1796875" bestFit="1" customWidth="1"/>
    <col min="37" max="37" width="28.54296875" customWidth="1"/>
  </cols>
  <sheetData>
    <row r="1" spans="1:37" x14ac:dyDescent="0.35">
      <c r="A1" s="230" t="s">
        <v>122</v>
      </c>
      <c r="B1" s="230"/>
      <c r="C1" s="230"/>
      <c r="D1" s="230"/>
      <c r="E1" s="230"/>
      <c r="F1" s="230"/>
      <c r="G1" s="230"/>
      <c r="H1" s="230"/>
      <c r="I1" s="230"/>
      <c r="J1" s="230"/>
      <c r="K1" s="230"/>
      <c r="L1" s="230"/>
      <c r="M1" s="230"/>
      <c r="N1" s="230"/>
      <c r="O1" s="230"/>
      <c r="P1" s="230"/>
      <c r="Q1" s="230"/>
      <c r="R1" s="230"/>
      <c r="T1" s="215" t="s">
        <v>121</v>
      </c>
      <c r="U1" s="216"/>
      <c r="V1" s="216"/>
      <c r="W1" s="216"/>
      <c r="X1" s="216"/>
      <c r="Y1" s="216"/>
      <c r="Z1" s="216"/>
      <c r="AA1" s="216"/>
      <c r="AB1" s="216"/>
      <c r="AC1" s="216"/>
      <c r="AD1" s="216"/>
      <c r="AE1" s="216"/>
      <c r="AF1" s="216"/>
      <c r="AG1" s="216"/>
      <c r="AH1" s="216"/>
      <c r="AI1" s="216"/>
      <c r="AJ1" s="216"/>
      <c r="AK1" s="217"/>
    </row>
    <row r="2" spans="1:37" ht="132" customHeight="1" x14ac:dyDescent="0.35">
      <c r="A2" s="95"/>
      <c r="B2" s="95" t="s">
        <v>81</v>
      </c>
      <c r="C2" s="91" t="s">
        <v>201</v>
      </c>
      <c r="D2" s="91" t="s">
        <v>200</v>
      </c>
      <c r="E2" s="91" t="s">
        <v>100</v>
      </c>
      <c r="F2" s="91" t="s">
        <v>179</v>
      </c>
      <c r="G2" s="94" t="s">
        <v>203</v>
      </c>
      <c r="H2" s="94" t="s">
        <v>202</v>
      </c>
      <c r="I2" s="94" t="s">
        <v>207</v>
      </c>
      <c r="J2" s="94" t="s">
        <v>190</v>
      </c>
      <c r="K2" s="96" t="s">
        <v>0</v>
      </c>
      <c r="L2" s="91" t="s">
        <v>1</v>
      </c>
      <c r="M2" s="91" t="s">
        <v>119</v>
      </c>
      <c r="N2" s="92" t="s">
        <v>206</v>
      </c>
      <c r="O2" s="97" t="s">
        <v>208</v>
      </c>
      <c r="P2" s="91" t="s">
        <v>118</v>
      </c>
      <c r="Q2" s="106" t="s">
        <v>164</v>
      </c>
      <c r="R2" s="106" t="s">
        <v>216</v>
      </c>
      <c r="T2" s="93" t="s">
        <v>2</v>
      </c>
      <c r="U2" s="93" t="s">
        <v>209</v>
      </c>
      <c r="V2" s="93" t="s">
        <v>201</v>
      </c>
      <c r="W2" s="93" t="s">
        <v>210</v>
      </c>
      <c r="X2" s="93" t="s">
        <v>211</v>
      </c>
      <c r="Y2" s="93" t="s">
        <v>222</v>
      </c>
      <c r="Z2" s="94" t="s">
        <v>203</v>
      </c>
      <c r="AA2" s="94" t="s">
        <v>202</v>
      </c>
      <c r="AB2" s="94" t="s">
        <v>207</v>
      </c>
      <c r="AC2" s="94" t="s">
        <v>190</v>
      </c>
      <c r="AD2" s="93" t="s">
        <v>1</v>
      </c>
      <c r="AE2" s="93" t="s">
        <v>161</v>
      </c>
      <c r="AF2" s="93" t="s">
        <v>206</v>
      </c>
      <c r="AG2" s="93" t="s">
        <v>102</v>
      </c>
      <c r="AH2" s="93" t="s">
        <v>118</v>
      </c>
      <c r="AI2" s="93" t="s">
        <v>165</v>
      </c>
      <c r="AJ2" s="93" t="s">
        <v>216</v>
      </c>
      <c r="AK2" s="93" t="s">
        <v>98</v>
      </c>
    </row>
    <row r="3" spans="1:37" ht="15" customHeight="1" x14ac:dyDescent="0.35">
      <c r="A3" s="2" t="s">
        <v>10</v>
      </c>
      <c r="B3" s="75">
        <v>1</v>
      </c>
      <c r="C3" s="75">
        <v>24</v>
      </c>
      <c r="D3" s="75">
        <v>24</v>
      </c>
      <c r="E3" s="75" t="s">
        <v>116</v>
      </c>
      <c r="F3" s="118">
        <v>240000</v>
      </c>
      <c r="G3" s="2">
        <f>C3*8*60</f>
        <v>11520</v>
      </c>
      <c r="H3" s="2">
        <f>20*24</f>
        <v>480</v>
      </c>
      <c r="I3" s="86">
        <f>F3/G3*H3/6</f>
        <v>1666.6666666666667</v>
      </c>
      <c r="J3" s="2">
        <v>150000</v>
      </c>
      <c r="K3" s="2">
        <f>J3/30</f>
        <v>5000</v>
      </c>
      <c r="L3" s="2">
        <f>K3/8</f>
        <v>625</v>
      </c>
      <c r="M3" s="2">
        <f>L3/60*20</f>
        <v>208.33333333333331</v>
      </c>
      <c r="N3" s="86">
        <f>M3*24/6</f>
        <v>833.33333333333337</v>
      </c>
      <c r="O3" s="86">
        <f>N3+I3</f>
        <v>2500</v>
      </c>
      <c r="P3" s="2">
        <v>12</v>
      </c>
      <c r="Q3" s="2">
        <f>L3*P3*12/6</f>
        <v>15000</v>
      </c>
      <c r="R3" s="105">
        <f>Q3</f>
        <v>15000</v>
      </c>
      <c r="T3" s="2" t="s">
        <v>10</v>
      </c>
      <c r="U3" s="2">
        <v>1</v>
      </c>
      <c r="V3" s="2">
        <v>24</v>
      </c>
      <c r="W3" s="2">
        <v>24</v>
      </c>
      <c r="X3" s="2">
        <v>20</v>
      </c>
      <c r="Y3" s="118">
        <v>240000</v>
      </c>
      <c r="Z3" s="2">
        <f>V3*8*60</f>
        <v>11520</v>
      </c>
      <c r="AA3" s="2">
        <f>V3*X3</f>
        <v>480</v>
      </c>
      <c r="AB3" s="86">
        <f>Y3/Z3*AA3/6</f>
        <v>1666.6666666666667</v>
      </c>
      <c r="AC3" s="2">
        <v>150000</v>
      </c>
      <c r="AD3" s="2">
        <f>AC3/30/8</f>
        <v>625</v>
      </c>
      <c r="AE3" s="2">
        <f>AD3/60*20</f>
        <v>208.33333333333331</v>
      </c>
      <c r="AF3" s="54">
        <f>AE3*24/6</f>
        <v>833.33333333333337</v>
      </c>
      <c r="AG3" s="86">
        <f>AB3+AF3</f>
        <v>2500</v>
      </c>
      <c r="AH3" s="2">
        <v>12</v>
      </c>
      <c r="AI3" s="2">
        <f>AH3*AD3*12/6</f>
        <v>15000</v>
      </c>
      <c r="AJ3" s="74">
        <f>AI3</f>
        <v>15000</v>
      </c>
      <c r="AK3" s="227" t="s">
        <v>213</v>
      </c>
    </row>
    <row r="4" spans="1:37" x14ac:dyDescent="0.35">
      <c r="A4" s="2" t="s">
        <v>11</v>
      </c>
      <c r="B4" s="75">
        <v>1</v>
      </c>
      <c r="C4" s="75">
        <v>24</v>
      </c>
      <c r="D4" s="75">
        <v>24</v>
      </c>
      <c r="E4" s="75" t="s">
        <v>117</v>
      </c>
      <c r="F4" s="118">
        <v>240000</v>
      </c>
      <c r="G4" s="2">
        <f>C4*8*60</f>
        <v>11520</v>
      </c>
      <c r="H4" s="2">
        <f>20*24</f>
        <v>480</v>
      </c>
      <c r="I4" s="54">
        <f>F4/G4*H4/6</f>
        <v>1666.6666666666667</v>
      </c>
      <c r="J4" s="2">
        <v>65000</v>
      </c>
      <c r="K4" s="2">
        <f>J4/30</f>
        <v>2166.6666666666665</v>
      </c>
      <c r="L4" s="79">
        <f>K4/8</f>
        <v>270.83333333333331</v>
      </c>
      <c r="M4" s="2">
        <f>L4/60*20</f>
        <v>90.277777777777771</v>
      </c>
      <c r="N4" s="86">
        <f>M4*24/6</f>
        <v>361.11111111111109</v>
      </c>
      <c r="O4" s="86">
        <f t="shared" ref="O4" si="0">N4+I4</f>
        <v>2027.7777777777778</v>
      </c>
      <c r="P4" s="2">
        <v>12</v>
      </c>
      <c r="Q4" s="2">
        <f>L4*P4*12/6</f>
        <v>6500</v>
      </c>
      <c r="R4" s="105">
        <f>Q4</f>
        <v>6500</v>
      </c>
      <c r="T4" s="2" t="s">
        <v>11</v>
      </c>
      <c r="U4" s="2">
        <v>1</v>
      </c>
      <c r="V4" s="2">
        <v>24</v>
      </c>
      <c r="W4" s="2">
        <v>24</v>
      </c>
      <c r="X4" s="2">
        <v>20</v>
      </c>
      <c r="Y4" s="118">
        <v>240000</v>
      </c>
      <c r="Z4" s="2">
        <f t="shared" ref="Z4:Z5" si="1">V4*8*60</f>
        <v>11520</v>
      </c>
      <c r="AA4" s="2">
        <f>W4*X4</f>
        <v>480</v>
      </c>
      <c r="AB4" s="54">
        <f>Y4/Z4*AA4/6</f>
        <v>1666.6666666666667</v>
      </c>
      <c r="AC4" s="2">
        <v>65000</v>
      </c>
      <c r="AD4" s="79">
        <f>AC4/30/8</f>
        <v>270.83333333333331</v>
      </c>
      <c r="AE4" s="2">
        <f>AD4/60*20</f>
        <v>90.277777777777771</v>
      </c>
      <c r="AF4" s="54">
        <f>AE4*24/6</f>
        <v>361.11111111111109</v>
      </c>
      <c r="AG4" s="54">
        <f>AB4+AF4</f>
        <v>2027.7777777777778</v>
      </c>
      <c r="AH4" s="2">
        <v>12</v>
      </c>
      <c r="AI4" s="2">
        <f>AH4*AD4*12/6</f>
        <v>6500</v>
      </c>
      <c r="AJ4" s="105">
        <f>AI4</f>
        <v>6500</v>
      </c>
      <c r="AK4" s="228"/>
    </row>
    <row r="5" spans="1:37" x14ac:dyDescent="0.35">
      <c r="A5" s="2" t="s">
        <v>12</v>
      </c>
      <c r="B5" s="75">
        <v>1</v>
      </c>
      <c r="C5" s="75">
        <v>120</v>
      </c>
      <c r="D5" s="75">
        <v>120</v>
      </c>
      <c r="E5" s="75" t="s">
        <v>204</v>
      </c>
      <c r="F5" s="118">
        <f>6000*12</f>
        <v>72000</v>
      </c>
      <c r="G5" s="2">
        <f>C5*8*60</f>
        <v>57600</v>
      </c>
      <c r="H5" s="2">
        <f>120*120</f>
        <v>14400</v>
      </c>
      <c r="I5" s="54">
        <f>F5/G5*H5/6</f>
        <v>3000</v>
      </c>
      <c r="J5" s="2">
        <v>35000</v>
      </c>
      <c r="K5" s="79">
        <f>J5/30</f>
        <v>1166.6666666666667</v>
      </c>
      <c r="L5" s="79">
        <f>K5/8</f>
        <v>145.83333333333334</v>
      </c>
      <c r="M5" s="79">
        <f>L5/60*120</f>
        <v>291.66666666666669</v>
      </c>
      <c r="N5" s="54">
        <f>M5*120/6</f>
        <v>5833.333333333333</v>
      </c>
      <c r="O5" s="86">
        <f>N5+I5</f>
        <v>8833.3333333333321</v>
      </c>
      <c r="P5" s="76" t="s">
        <v>205</v>
      </c>
      <c r="Q5" s="118">
        <f>J5*12/6/4</f>
        <v>17500</v>
      </c>
      <c r="R5" s="118">
        <f>Q5-N5</f>
        <v>11666.666666666668</v>
      </c>
      <c r="T5" s="2" t="s">
        <v>12</v>
      </c>
      <c r="U5" s="2">
        <v>1</v>
      </c>
      <c r="V5" s="2">
        <v>120</v>
      </c>
      <c r="W5" s="2">
        <v>120</v>
      </c>
      <c r="X5" s="2">
        <v>120</v>
      </c>
      <c r="Y5" s="118">
        <f>3000*12</f>
        <v>36000</v>
      </c>
      <c r="Z5" s="2">
        <f t="shared" si="1"/>
        <v>57600</v>
      </c>
      <c r="AA5" s="2">
        <f>W5*X5</f>
        <v>14400</v>
      </c>
      <c r="AB5" s="54">
        <f>Y5/Z5*AA5/6</f>
        <v>1500</v>
      </c>
      <c r="AC5" s="2">
        <v>28000</v>
      </c>
      <c r="AD5" s="79">
        <f>AC5/30/8</f>
        <v>116.66666666666667</v>
      </c>
      <c r="AE5" s="2">
        <f>AD5/60*120</f>
        <v>233.33333333333334</v>
      </c>
      <c r="AF5" s="54">
        <f>AE5*120/6</f>
        <v>4666.666666666667</v>
      </c>
      <c r="AG5" s="54">
        <f>AB5+AF5</f>
        <v>6166.666666666667</v>
      </c>
      <c r="AH5" s="74" t="s">
        <v>205</v>
      </c>
      <c r="AI5" s="118">
        <f>AC5*12/6/4</f>
        <v>14000</v>
      </c>
      <c r="AJ5" s="118">
        <f>AI5-AF5</f>
        <v>9333.3333333333321</v>
      </c>
      <c r="AK5" s="228"/>
    </row>
    <row r="6" spans="1:37" x14ac:dyDescent="0.35">
      <c r="A6" s="2" t="s">
        <v>162</v>
      </c>
      <c r="B6" s="75">
        <v>1</v>
      </c>
      <c r="C6" s="75"/>
      <c r="D6" s="75"/>
      <c r="E6" s="75"/>
      <c r="F6" s="2"/>
      <c r="G6" s="2"/>
      <c r="H6" s="2"/>
      <c r="I6" s="2"/>
      <c r="J6" s="2">
        <v>17000</v>
      </c>
      <c r="K6" s="2"/>
      <c r="L6" s="2"/>
      <c r="M6" s="2"/>
      <c r="N6" s="2"/>
      <c r="O6" s="54"/>
      <c r="P6" s="74" t="s">
        <v>125</v>
      </c>
      <c r="Q6" s="74">
        <f>J6/2*2/6</f>
        <v>2833.3333333333335</v>
      </c>
      <c r="R6" s="105">
        <f>Q6</f>
        <v>2833.3333333333335</v>
      </c>
      <c r="T6" s="2" t="s">
        <v>124</v>
      </c>
      <c r="U6" s="2">
        <v>1</v>
      </c>
      <c r="V6" s="2"/>
      <c r="W6" s="2"/>
      <c r="X6" s="2"/>
      <c r="Y6" s="2"/>
      <c r="Z6" s="2"/>
      <c r="AA6" s="2"/>
      <c r="AB6" s="2"/>
      <c r="AC6" s="2">
        <v>8500</v>
      </c>
      <c r="AD6" s="2"/>
      <c r="AE6" s="2"/>
      <c r="AF6" s="54"/>
      <c r="AG6" s="54"/>
      <c r="AH6" s="74"/>
      <c r="AI6" s="74">
        <f>AC6/2/6</f>
        <v>708.33333333333337</v>
      </c>
      <c r="AJ6" s="105">
        <f>AI6</f>
        <v>708.33333333333337</v>
      </c>
      <c r="AK6" s="228"/>
    </row>
    <row r="7" spans="1:37" x14ac:dyDescent="0.35">
      <c r="A7" s="2" t="s">
        <v>29</v>
      </c>
      <c r="B7" s="75"/>
      <c r="C7" s="75"/>
      <c r="D7" s="75"/>
      <c r="E7" s="75"/>
      <c r="F7" s="2"/>
      <c r="G7" s="2"/>
      <c r="H7" s="2"/>
      <c r="I7" s="2"/>
      <c r="J7" s="2"/>
      <c r="K7" s="2"/>
      <c r="L7" s="2"/>
      <c r="M7" s="79"/>
      <c r="N7" s="2"/>
      <c r="O7" s="86">
        <f>SUM(O3:O5)</f>
        <v>13361.111111111109</v>
      </c>
      <c r="P7" s="2"/>
      <c r="Q7" s="2"/>
      <c r="R7" s="105">
        <f>SUM(R3:R6)</f>
        <v>36000.000000000007</v>
      </c>
      <c r="T7" s="2" t="s">
        <v>29</v>
      </c>
      <c r="U7" s="224"/>
      <c r="V7" s="225"/>
      <c r="W7" s="225"/>
      <c r="X7" s="225"/>
      <c r="Y7" s="225"/>
      <c r="Z7" s="225"/>
      <c r="AA7" s="225"/>
      <c r="AB7" s="225"/>
      <c r="AC7" s="225"/>
      <c r="AD7" s="225"/>
      <c r="AE7" s="225"/>
      <c r="AF7" s="226"/>
      <c r="AG7" s="86">
        <f>SUM(AG3:AG5)</f>
        <v>10694.444444444445</v>
      </c>
      <c r="AH7" s="2"/>
      <c r="AI7" s="2"/>
      <c r="AJ7" s="74">
        <f>SUM(AJ3:AJ6)</f>
        <v>31541.666666666664</v>
      </c>
      <c r="AK7" s="229"/>
    </row>
    <row r="8" spans="1:37" x14ac:dyDescent="0.35">
      <c r="A8" s="3"/>
      <c r="B8" s="3"/>
      <c r="C8" s="3"/>
      <c r="D8" s="3"/>
      <c r="E8" s="3"/>
      <c r="F8" s="3"/>
      <c r="G8" s="3"/>
      <c r="H8" s="3"/>
      <c r="I8" s="3"/>
      <c r="J8" s="3"/>
      <c r="K8" s="3"/>
      <c r="L8" s="3"/>
      <c r="M8" s="3"/>
      <c r="N8" s="3"/>
      <c r="O8" s="3"/>
      <c r="P8" s="3"/>
      <c r="Q8" s="3"/>
      <c r="R8" s="3"/>
      <c r="Z8" s="3"/>
      <c r="AA8" s="3"/>
      <c r="AB8" s="3"/>
      <c r="AC8" s="3"/>
    </row>
    <row r="9" spans="1:37" x14ac:dyDescent="0.35">
      <c r="A9" s="3" t="s">
        <v>123</v>
      </c>
      <c r="B9" s="3"/>
      <c r="C9" s="3"/>
      <c r="D9" s="3"/>
      <c r="E9" s="3"/>
      <c r="F9" s="3"/>
      <c r="G9" s="3"/>
      <c r="H9" s="3"/>
      <c r="I9" s="3"/>
      <c r="J9" s="3"/>
      <c r="K9" s="3"/>
      <c r="L9" s="3"/>
      <c r="M9" s="3"/>
      <c r="N9" s="3"/>
      <c r="O9" s="3"/>
      <c r="P9" s="3"/>
      <c r="Q9" s="3"/>
      <c r="R9" s="3"/>
      <c r="Z9" s="3"/>
      <c r="AA9" s="3"/>
      <c r="AB9" s="3"/>
      <c r="AC9" s="3"/>
    </row>
    <row r="10" spans="1:37" x14ac:dyDescent="0.35">
      <c r="A10" s="3" t="s">
        <v>212</v>
      </c>
      <c r="B10" s="3"/>
      <c r="C10" s="3"/>
      <c r="D10" s="3"/>
      <c r="E10" s="3"/>
      <c r="F10" s="3"/>
      <c r="G10" s="3"/>
      <c r="H10" s="3"/>
      <c r="I10" s="3"/>
      <c r="J10" s="3"/>
      <c r="K10" s="3"/>
      <c r="L10" s="3"/>
      <c r="M10" s="3"/>
      <c r="N10" s="3"/>
      <c r="O10" s="3"/>
      <c r="P10" s="3"/>
      <c r="Q10" s="3"/>
      <c r="R10" s="3"/>
      <c r="Z10" s="3"/>
      <c r="AA10" s="3"/>
      <c r="AB10" s="3"/>
      <c r="AC10" s="3"/>
      <c r="AF10" s="58"/>
    </row>
    <row r="11" spans="1:37" x14ac:dyDescent="0.35">
      <c r="A11" s="3"/>
      <c r="B11" s="3"/>
      <c r="C11" s="3"/>
      <c r="D11" s="3"/>
      <c r="E11" s="3"/>
      <c r="F11" s="3"/>
      <c r="G11" s="3" t="s">
        <v>300</v>
      </c>
      <c r="H11" s="3"/>
      <c r="I11" s="3"/>
      <c r="J11" s="3"/>
      <c r="K11" s="3"/>
      <c r="L11" s="3"/>
      <c r="M11" s="3"/>
      <c r="N11" s="3"/>
      <c r="O11" s="3"/>
      <c r="P11" s="3"/>
      <c r="Q11" s="3"/>
      <c r="R11" s="3"/>
      <c r="Z11" s="3"/>
      <c r="AA11" s="3"/>
      <c r="AB11" s="3"/>
      <c r="AC11" s="3"/>
    </row>
    <row r="12" spans="1:37" x14ac:dyDescent="0.35">
      <c r="A12" s="3"/>
      <c r="B12" s="3"/>
      <c r="C12" s="3"/>
      <c r="D12" s="3"/>
      <c r="E12" s="3"/>
      <c r="F12" s="3"/>
      <c r="G12" s="231" t="s">
        <v>297</v>
      </c>
      <c r="H12" s="231"/>
      <c r="I12" s="231"/>
      <c r="J12" s="231"/>
      <c r="K12" s="3"/>
      <c r="L12" s="3"/>
      <c r="M12" s="3"/>
      <c r="N12" s="3"/>
      <c r="O12" s="3"/>
      <c r="P12" s="3"/>
      <c r="Q12" s="3"/>
      <c r="R12" s="39"/>
      <c r="Z12" s="3"/>
      <c r="AA12" s="3"/>
      <c r="AB12" s="3"/>
      <c r="AC12" s="3"/>
    </row>
    <row r="13" spans="1:37" x14ac:dyDescent="0.35">
      <c r="G13" s="218" t="s">
        <v>303</v>
      </c>
      <c r="H13" s="218"/>
      <c r="I13" s="218"/>
      <c r="J13" s="218"/>
    </row>
    <row r="14" spans="1:37" x14ac:dyDescent="0.35">
      <c r="G14" s="218" t="s">
        <v>302</v>
      </c>
      <c r="H14" s="218"/>
      <c r="I14" s="218"/>
      <c r="J14" s="218"/>
      <c r="K14" s="218"/>
    </row>
    <row r="16" spans="1:37" x14ac:dyDescent="0.35">
      <c r="G16" s="218" t="s">
        <v>298</v>
      </c>
      <c r="H16" s="218"/>
      <c r="I16" s="218"/>
      <c r="J16" s="218"/>
      <c r="K16" s="218"/>
      <c r="L16" s="218"/>
      <c r="M16" s="218"/>
      <c r="N16" s="218"/>
    </row>
    <row r="17" spans="7:20" x14ac:dyDescent="0.35">
      <c r="G17" s="218" t="s">
        <v>299</v>
      </c>
      <c r="H17" s="218"/>
      <c r="I17" s="218"/>
      <c r="J17" s="218"/>
      <c r="K17" s="218"/>
      <c r="L17" s="218"/>
      <c r="M17" s="218"/>
      <c r="N17" s="218"/>
      <c r="O17" s="218"/>
    </row>
    <row r="18" spans="7:20" x14ac:dyDescent="0.35">
      <c r="G18" s="218">
        <v>11520</v>
      </c>
      <c r="H18" s="218"/>
      <c r="I18" s="218"/>
      <c r="J18" s="218"/>
      <c r="K18" s="218"/>
      <c r="L18" s="218"/>
      <c r="M18" s="218"/>
      <c r="N18" s="218"/>
      <c r="O18" s="218"/>
    </row>
    <row r="19" spans="7:20" x14ac:dyDescent="0.35">
      <c r="G19" s="218" t="s">
        <v>301</v>
      </c>
      <c r="H19" s="218"/>
      <c r="I19" s="218"/>
      <c r="J19" s="218"/>
      <c r="K19" s="218"/>
      <c r="L19" s="218"/>
      <c r="M19" s="218"/>
      <c r="N19" s="218"/>
      <c r="O19" s="218"/>
    </row>
    <row r="20" spans="7:20" x14ac:dyDescent="0.35">
      <c r="G20" s="219">
        <f>480</f>
        <v>480</v>
      </c>
      <c r="H20" s="219"/>
      <c r="I20" s="219"/>
      <c r="J20" s="219"/>
      <c r="K20" s="219"/>
      <c r="L20" s="219"/>
      <c r="M20" s="219"/>
      <c r="N20" s="219"/>
    </row>
    <row r="21" spans="7:20" x14ac:dyDescent="0.35">
      <c r="G21" s="222" t="s">
        <v>304</v>
      </c>
      <c r="H21" s="223"/>
      <c r="I21" s="223"/>
      <c r="J21" s="223"/>
      <c r="K21" s="223"/>
      <c r="L21" s="223"/>
      <c r="M21" s="223"/>
      <c r="N21" s="223"/>
      <c r="O21" s="223"/>
      <c r="P21" s="223"/>
      <c r="Q21" s="223"/>
      <c r="R21" s="223"/>
      <c r="S21" s="223"/>
      <c r="T21" s="223"/>
    </row>
    <row r="22" spans="7:20" x14ac:dyDescent="0.35">
      <c r="G22" s="223"/>
      <c r="H22" s="223"/>
      <c r="I22" s="223"/>
      <c r="J22" s="223"/>
      <c r="K22" s="223"/>
      <c r="L22" s="223"/>
      <c r="M22" s="223"/>
      <c r="N22" s="223"/>
      <c r="O22" s="223"/>
      <c r="P22" s="223"/>
      <c r="Q22" s="223"/>
      <c r="R22" s="223"/>
      <c r="S22" s="223"/>
      <c r="T22" s="223"/>
    </row>
    <row r="23" spans="7:20" x14ac:dyDescent="0.35">
      <c r="G23" s="220" t="s">
        <v>307</v>
      </c>
      <c r="H23" s="220"/>
      <c r="I23" s="220"/>
      <c r="J23" s="220"/>
      <c r="K23" s="220"/>
      <c r="L23" s="220"/>
      <c r="M23" s="220"/>
      <c r="N23" s="220"/>
      <c r="O23" s="220"/>
      <c r="P23" s="220"/>
      <c r="Q23" s="220"/>
      <c r="R23" s="220"/>
    </row>
    <row r="24" spans="7:20" x14ac:dyDescent="0.35">
      <c r="G24" s="219">
        <f>1666.67</f>
        <v>1666.67</v>
      </c>
      <c r="H24" s="219"/>
      <c r="I24" s="219"/>
      <c r="J24" s="219"/>
      <c r="K24" s="219"/>
      <c r="L24" s="219"/>
      <c r="M24" s="219"/>
      <c r="N24" s="219"/>
      <c r="O24" s="219"/>
      <c r="P24" s="219"/>
      <c r="Q24" s="219"/>
      <c r="R24" s="219"/>
    </row>
    <row r="25" spans="7:20" x14ac:dyDescent="0.35">
      <c r="G25" s="218" t="s">
        <v>305</v>
      </c>
      <c r="H25" s="218"/>
      <c r="I25" s="218"/>
      <c r="J25" s="218"/>
      <c r="K25" s="218"/>
      <c r="L25" s="218"/>
      <c r="M25" s="218"/>
      <c r="N25" s="218"/>
      <c r="O25" s="218"/>
      <c r="P25" s="218"/>
      <c r="Q25" s="218"/>
      <c r="R25" s="218"/>
    </row>
    <row r="26" spans="7:20" x14ac:dyDescent="0.35">
      <c r="G26" s="220" t="s">
        <v>308</v>
      </c>
      <c r="H26" s="220"/>
      <c r="I26" s="220"/>
      <c r="J26" s="220"/>
      <c r="K26" s="220"/>
      <c r="L26" s="220"/>
      <c r="M26" s="220"/>
      <c r="N26" s="220"/>
      <c r="O26" s="220"/>
    </row>
    <row r="27" spans="7:20" x14ac:dyDescent="0.35">
      <c r="G27" s="218" t="s">
        <v>306</v>
      </c>
      <c r="H27" s="218"/>
      <c r="I27" s="218"/>
      <c r="J27" s="218"/>
      <c r="K27" s="218"/>
      <c r="L27" s="218"/>
      <c r="M27" s="218"/>
      <c r="N27" s="218"/>
    </row>
    <row r="28" spans="7:20" x14ac:dyDescent="0.35">
      <c r="G28" s="221">
        <f>O3</f>
        <v>2500</v>
      </c>
      <c r="H28" s="220"/>
      <c r="I28" s="220"/>
      <c r="J28" s="220"/>
      <c r="K28" s="220"/>
      <c r="L28" s="220"/>
      <c r="M28" s="220"/>
    </row>
  </sheetData>
  <mergeCells count="19">
    <mergeCell ref="U7:AF7"/>
    <mergeCell ref="AK3:AK7"/>
    <mergeCell ref="A1:R1"/>
    <mergeCell ref="T1:AK1"/>
    <mergeCell ref="G12:J12"/>
    <mergeCell ref="G19:O19"/>
    <mergeCell ref="G20:N20"/>
    <mergeCell ref="G21:T22"/>
    <mergeCell ref="G23:R23"/>
    <mergeCell ref="G13:J13"/>
    <mergeCell ref="G14:K14"/>
    <mergeCell ref="G16:N16"/>
    <mergeCell ref="G17:O17"/>
    <mergeCell ref="G18:O18"/>
    <mergeCell ref="G25:R25"/>
    <mergeCell ref="G24:R24"/>
    <mergeCell ref="G26:O26"/>
    <mergeCell ref="G28:M28"/>
    <mergeCell ref="G27:N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4"/>
  <sheetViews>
    <sheetView topLeftCell="A79" zoomScale="81" zoomScaleNormal="81" workbookViewId="0">
      <selection activeCell="B15" sqref="B15"/>
    </sheetView>
  </sheetViews>
  <sheetFormatPr defaultColWidth="9.1796875" defaultRowHeight="14.5" x14ac:dyDescent="0.35"/>
  <cols>
    <col min="1" max="1" width="36.81640625" customWidth="1"/>
    <col min="2" max="2" width="12.453125" customWidth="1"/>
    <col min="3" max="3" width="14.54296875" customWidth="1"/>
    <col min="4" max="4" width="12" customWidth="1"/>
    <col min="5" max="5" width="23" customWidth="1"/>
    <col min="6" max="6" width="26.7265625" customWidth="1"/>
    <col min="7" max="7" width="12.7265625" customWidth="1"/>
    <col min="8" max="8" width="15.1796875" customWidth="1"/>
    <col min="9" max="9" width="12.453125" customWidth="1"/>
    <col min="10" max="10" width="16.453125" customWidth="1"/>
    <col min="11" max="11" width="11.81640625" customWidth="1"/>
    <col min="12" max="12" width="19.54296875" customWidth="1"/>
    <col min="13" max="13" width="11.7265625" customWidth="1"/>
    <col min="14" max="14" width="17.1796875" customWidth="1"/>
    <col min="15" max="15" width="11.7265625" customWidth="1"/>
    <col min="16" max="16" width="11.26953125" customWidth="1"/>
    <col min="17" max="17" width="16" customWidth="1"/>
    <col min="19" max="19" width="24.54296875" customWidth="1"/>
    <col min="20" max="20" width="12.1796875" customWidth="1"/>
    <col min="21" max="21" width="18.453125" customWidth="1"/>
  </cols>
  <sheetData>
    <row r="1" spans="1:20" x14ac:dyDescent="0.35">
      <c r="A1" s="232" t="s">
        <v>153</v>
      </c>
      <c r="B1" s="232"/>
      <c r="C1" s="232"/>
      <c r="D1" s="232"/>
      <c r="E1" s="232"/>
      <c r="G1" s="232" t="s">
        <v>153</v>
      </c>
      <c r="H1" s="232"/>
      <c r="I1" s="232"/>
      <c r="J1" s="232"/>
      <c r="K1" s="232"/>
      <c r="L1" s="232"/>
      <c r="M1" s="232"/>
      <c r="N1" s="232"/>
      <c r="O1" s="32"/>
    </row>
    <row r="2" spans="1:20" x14ac:dyDescent="0.35">
      <c r="A2" s="232" t="s">
        <v>141</v>
      </c>
      <c r="B2" s="232"/>
      <c r="C2" s="232"/>
      <c r="D2" s="232"/>
      <c r="E2" s="232"/>
      <c r="G2" s="3"/>
      <c r="H2" s="233" t="s">
        <v>141</v>
      </c>
      <c r="I2" s="233"/>
      <c r="J2" s="233"/>
      <c r="K2" s="233"/>
      <c r="L2" s="233"/>
      <c r="M2" s="233"/>
      <c r="N2" s="233"/>
      <c r="O2" s="36"/>
    </row>
    <row r="3" spans="1:20" x14ac:dyDescent="0.35">
      <c r="A3" s="30" t="s">
        <v>97</v>
      </c>
      <c r="B3" s="30" t="s">
        <v>51</v>
      </c>
      <c r="C3" s="30" t="s">
        <v>52</v>
      </c>
      <c r="D3" s="30" t="s">
        <v>53</v>
      </c>
      <c r="E3" s="30" t="s">
        <v>54</v>
      </c>
      <c r="G3" s="25" t="s">
        <v>97</v>
      </c>
      <c r="H3" s="37" t="s">
        <v>51</v>
      </c>
      <c r="I3" s="38" t="s">
        <v>229</v>
      </c>
      <c r="J3" s="38" t="s">
        <v>52</v>
      </c>
      <c r="K3" s="38" t="s">
        <v>229</v>
      </c>
      <c r="L3" s="38" t="s">
        <v>53</v>
      </c>
      <c r="M3" s="38" t="s">
        <v>229</v>
      </c>
      <c r="N3" s="38" t="s">
        <v>54</v>
      </c>
      <c r="O3" s="38" t="s">
        <v>227</v>
      </c>
    </row>
    <row r="4" spans="1:20" x14ac:dyDescent="0.35">
      <c r="A4" s="28"/>
      <c r="B4" s="28"/>
      <c r="C4" s="28"/>
      <c r="D4" s="28"/>
      <c r="E4" s="28"/>
      <c r="G4" s="3"/>
      <c r="H4" s="3"/>
      <c r="I4" s="3"/>
      <c r="J4" s="3"/>
      <c r="K4" s="3"/>
      <c r="M4" s="3"/>
      <c r="N4" s="3"/>
      <c r="O4" s="3"/>
    </row>
    <row r="5" spans="1:20" x14ac:dyDescent="0.35">
      <c r="A5" s="37" t="s">
        <v>142</v>
      </c>
      <c r="B5" s="28">
        <f>B20</f>
        <v>182541.66666666666</v>
      </c>
      <c r="C5" s="53">
        <f>C20</f>
        <v>223141.66666666666</v>
      </c>
      <c r="D5" s="28">
        <f>D20</f>
        <v>282341.66666666663</v>
      </c>
      <c r="E5" s="53">
        <f>E20</f>
        <v>225891.66666666666</v>
      </c>
      <c r="F5">
        <f t="shared" ref="F5:F10" si="0">SUM(B5:E5)</f>
        <v>913916.66666666663</v>
      </c>
      <c r="G5" s="25" t="s">
        <v>142</v>
      </c>
      <c r="H5" s="3">
        <f t="shared" ref="H5:H9" si="1">B5</f>
        <v>182541.66666666666</v>
      </c>
      <c r="I5" s="64">
        <f>H5/H10*100</f>
        <v>13.33533883517412</v>
      </c>
      <c r="J5" s="39">
        <f t="shared" ref="J5:J10" si="2">C5</f>
        <v>223141.66666666666</v>
      </c>
      <c r="K5" s="39">
        <f>J5/J10*100</f>
        <v>14.356218769125583</v>
      </c>
      <c r="L5" s="3">
        <f t="shared" ref="L5:L10" si="3">D5</f>
        <v>282341.66666666663</v>
      </c>
      <c r="M5" s="39">
        <f>L5/L10*100</f>
        <v>16.404806553994316</v>
      </c>
      <c r="N5" s="39">
        <f t="shared" ref="N5:N10" si="4">E5</f>
        <v>225891.66666666666</v>
      </c>
      <c r="O5" s="39">
        <f>N5/N10*100</f>
        <v>14.349214693582294</v>
      </c>
    </row>
    <row r="6" spans="1:20" x14ac:dyDescent="0.35">
      <c r="A6" s="37" t="s">
        <v>85</v>
      </c>
      <c r="B6" s="53">
        <f>B29</f>
        <v>875281.94</v>
      </c>
      <c r="C6" s="53">
        <f>C29</f>
        <v>918756.94</v>
      </c>
      <c r="D6" s="53">
        <f>D29</f>
        <v>1098294.44</v>
      </c>
      <c r="E6" s="53">
        <f>E29</f>
        <v>879404.44</v>
      </c>
      <c r="F6">
        <f t="shared" si="0"/>
        <v>3771737.76</v>
      </c>
      <c r="G6" s="25" t="s">
        <v>85</v>
      </c>
      <c r="H6" s="39">
        <f t="shared" si="1"/>
        <v>875281.94</v>
      </c>
      <c r="I6" s="58">
        <f>H6/H10*100</f>
        <v>63.942558755764679</v>
      </c>
      <c r="J6" s="39">
        <f t="shared" si="2"/>
        <v>918756.94</v>
      </c>
      <c r="K6" s="39">
        <f>J6/J10*100</f>
        <v>59.109873217876782</v>
      </c>
      <c r="L6" s="39">
        <f t="shared" si="3"/>
        <v>1098294.44</v>
      </c>
      <c r="M6" s="39">
        <f>L6/L10*100</f>
        <v>63.813846678176631</v>
      </c>
      <c r="N6" s="39">
        <f t="shared" si="4"/>
        <v>879404.44</v>
      </c>
      <c r="O6" s="39">
        <f>N6/N10*100</f>
        <v>55.862012522445902</v>
      </c>
    </row>
    <row r="7" spans="1:20" x14ac:dyDescent="0.35">
      <c r="A7" s="37" t="s">
        <v>143</v>
      </c>
      <c r="B7" s="28">
        <v>89815</v>
      </c>
      <c r="C7" s="28">
        <v>245460</v>
      </c>
      <c r="D7" s="28">
        <v>220455</v>
      </c>
      <c r="E7" s="28">
        <v>128005</v>
      </c>
      <c r="F7">
        <f t="shared" si="0"/>
        <v>683735</v>
      </c>
      <c r="G7" s="25" t="s">
        <v>143</v>
      </c>
      <c r="H7" s="3">
        <f t="shared" si="1"/>
        <v>89815</v>
      </c>
      <c r="I7" s="58">
        <f>H7/H10*100</f>
        <v>6.5613154484245442</v>
      </c>
      <c r="J7" s="39">
        <f t="shared" si="2"/>
        <v>245460</v>
      </c>
      <c r="K7" s="39">
        <f>J7/J10*100</f>
        <v>15.792108716000595</v>
      </c>
      <c r="L7" s="3">
        <f t="shared" si="3"/>
        <v>220455</v>
      </c>
      <c r="M7" s="39">
        <f>L7/L10*100</f>
        <v>12.80902557372268</v>
      </c>
      <c r="N7" s="3">
        <f t="shared" si="4"/>
        <v>128005</v>
      </c>
      <c r="O7" s="39">
        <f>N7/N10*100</f>
        <v>8.1312040145438527</v>
      </c>
    </row>
    <row r="8" spans="1:20" x14ac:dyDescent="0.35">
      <c r="A8" s="37" t="s">
        <v>139</v>
      </c>
      <c r="B8" s="28">
        <v>113835</v>
      </c>
      <c r="C8" s="28">
        <v>60875</v>
      </c>
      <c r="D8" s="28">
        <v>0</v>
      </c>
      <c r="E8" s="28">
        <v>222675</v>
      </c>
      <c r="F8">
        <f t="shared" si="0"/>
        <v>397385</v>
      </c>
      <c r="G8" s="25" t="s">
        <v>139</v>
      </c>
      <c r="H8" s="3">
        <f t="shared" si="1"/>
        <v>113835</v>
      </c>
      <c r="I8" s="58">
        <f>H8/H10*100</f>
        <v>8.3160646225174855</v>
      </c>
      <c r="J8" s="39">
        <f t="shared" si="2"/>
        <v>60875</v>
      </c>
      <c r="K8" s="39">
        <f>J8/J10*100</f>
        <v>3.9165021514158571</v>
      </c>
      <c r="L8" s="3">
        <f t="shared" si="3"/>
        <v>0</v>
      </c>
      <c r="M8" s="39">
        <v>0</v>
      </c>
      <c r="N8" s="3">
        <f t="shared" si="4"/>
        <v>222675</v>
      </c>
      <c r="O8" s="39">
        <f>N8/N10*100</f>
        <v>14.144883824370549</v>
      </c>
    </row>
    <row r="9" spans="1:20" x14ac:dyDescent="0.35">
      <c r="A9" s="72" t="s">
        <v>87</v>
      </c>
      <c r="B9" s="52">
        <v>107383</v>
      </c>
      <c r="C9" s="52">
        <f>C38</f>
        <v>106087</v>
      </c>
      <c r="D9" s="52">
        <v>120000</v>
      </c>
      <c r="E9" s="52">
        <f>E38</f>
        <v>118268</v>
      </c>
      <c r="F9">
        <f t="shared" si="0"/>
        <v>451738</v>
      </c>
      <c r="G9" s="25" t="s">
        <v>87</v>
      </c>
      <c r="H9" s="3">
        <f t="shared" si="1"/>
        <v>107383</v>
      </c>
      <c r="I9" s="58">
        <f>H9/H10*100</f>
        <v>7.8447223381191655</v>
      </c>
      <c r="J9" s="39">
        <f t="shared" si="2"/>
        <v>106087</v>
      </c>
      <c r="K9" s="39">
        <f>J9/J10*100</f>
        <v>6.8252971455811746</v>
      </c>
      <c r="L9" s="3">
        <f t="shared" si="3"/>
        <v>120000</v>
      </c>
      <c r="M9" s="39">
        <f>L9/L10*100</f>
        <v>6.972321194106379</v>
      </c>
      <c r="N9" s="3">
        <f t="shared" si="4"/>
        <v>118268</v>
      </c>
      <c r="O9" s="40">
        <f>N9/N10*100</f>
        <v>7.5126849450573987</v>
      </c>
    </row>
    <row r="10" spans="1:20" x14ac:dyDescent="0.35">
      <c r="A10" s="37" t="s">
        <v>27</v>
      </c>
      <c r="B10" s="53">
        <f>SUM(B5:B9)</f>
        <v>1368856.6066666667</v>
      </c>
      <c r="C10" s="53">
        <f>SUM(C5:C9)</f>
        <v>1554320.6066666667</v>
      </c>
      <c r="D10" s="53">
        <f>SUM(D5:D9)</f>
        <v>1721091.1066666665</v>
      </c>
      <c r="E10" s="53">
        <f>SUM(E5:E9)</f>
        <v>1574244.1066666667</v>
      </c>
      <c r="F10">
        <f t="shared" si="0"/>
        <v>6218512.4266666668</v>
      </c>
      <c r="G10" s="42" t="s">
        <v>27</v>
      </c>
      <c r="H10" s="44">
        <f>B10</f>
        <v>1368856.6066666667</v>
      </c>
      <c r="J10" s="44">
        <f t="shared" si="2"/>
        <v>1554320.6066666667</v>
      </c>
      <c r="K10" s="43"/>
      <c r="L10" s="39">
        <f t="shared" si="3"/>
        <v>1721091.1066666665</v>
      </c>
      <c r="M10" s="43"/>
      <c r="N10" s="44">
        <f t="shared" si="4"/>
        <v>1574244.1066666667</v>
      </c>
      <c r="O10" s="3"/>
    </row>
    <row r="11" spans="1:20" x14ac:dyDescent="0.35">
      <c r="A11" s="37"/>
      <c r="B11" s="53"/>
      <c r="C11" s="53"/>
      <c r="D11" s="53"/>
      <c r="E11" s="53"/>
      <c r="G11" s="25" t="s">
        <v>328</v>
      </c>
      <c r="H11" s="39">
        <f>53*500</f>
        <v>26500</v>
      </c>
      <c r="J11" s="39">
        <f>29*500</f>
        <v>14500</v>
      </c>
      <c r="K11" s="3"/>
      <c r="L11" s="39">
        <v>0</v>
      </c>
      <c r="M11" s="3"/>
      <c r="N11" s="39">
        <f>47*500</f>
        <v>23500</v>
      </c>
      <c r="O11" s="3"/>
    </row>
    <row r="12" spans="1:20" x14ac:dyDescent="0.35">
      <c r="A12" s="37"/>
      <c r="B12" s="53"/>
      <c r="C12" s="53"/>
      <c r="D12" s="53"/>
      <c r="E12" s="53"/>
      <c r="G12" s="25" t="s">
        <v>326</v>
      </c>
      <c r="H12" s="39">
        <f>H37</f>
        <v>153726.56862745096</v>
      </c>
      <c r="J12" s="39">
        <f>I37</f>
        <v>179512.96078431371</v>
      </c>
      <c r="K12" s="3"/>
      <c r="L12" s="39">
        <f>J37</f>
        <v>177529.39215686274</v>
      </c>
      <c r="M12" s="3"/>
      <c r="N12" s="39">
        <f>K37</f>
        <v>190422.5882352941</v>
      </c>
      <c r="O12" s="3"/>
    </row>
    <row r="13" spans="1:20" x14ac:dyDescent="0.35">
      <c r="A13" s="37"/>
      <c r="B13" s="53"/>
      <c r="C13" s="53"/>
      <c r="D13" s="53"/>
      <c r="E13" s="53"/>
      <c r="G13" s="165" t="s">
        <v>329</v>
      </c>
      <c r="H13" s="168">
        <f>SUM(H10:H12)</f>
        <v>1549083.1752941175</v>
      </c>
      <c r="I13" s="168"/>
      <c r="J13" s="168">
        <f>SUM(J10:J12)</f>
        <v>1748333.5674509804</v>
      </c>
      <c r="K13" s="168"/>
      <c r="L13" s="168">
        <f>SUM(L10:L12)</f>
        <v>1898620.4988235291</v>
      </c>
      <c r="M13" s="168"/>
      <c r="N13" s="168">
        <f>SUM(N10:N12)</f>
        <v>1788166.6949019609</v>
      </c>
      <c r="O13" s="166"/>
    </row>
    <row r="14" spans="1:20" s="88" customFormat="1" x14ac:dyDescent="0.35">
      <c r="A14" s="203" t="s">
        <v>346</v>
      </c>
      <c r="B14" s="203">
        <f>10/100*B25</f>
        <v>96000</v>
      </c>
      <c r="C14" s="203">
        <f>10/100*C25</f>
        <v>100000</v>
      </c>
      <c r="D14" s="203">
        <f>10/100*D25</f>
        <v>120000</v>
      </c>
      <c r="E14" s="203">
        <f>10/100*E25</f>
        <v>96000</v>
      </c>
      <c r="G14" s="25" t="s">
        <v>235</v>
      </c>
      <c r="H14" s="170">
        <f>H13/H36</f>
        <v>176.2524946289814</v>
      </c>
      <c r="J14" s="195">
        <f>J13/I36</f>
        <v>205.27575055195263</v>
      </c>
      <c r="L14" s="88">
        <f>L13/J36</f>
        <v>180.78656435188813</v>
      </c>
      <c r="N14" s="25">
        <f>N13/K36</f>
        <v>246.5756611833923</v>
      </c>
    </row>
    <row r="15" spans="1:20" x14ac:dyDescent="0.35">
      <c r="A15" s="204"/>
      <c r="B15" s="204"/>
      <c r="C15" s="204"/>
      <c r="D15" s="204"/>
      <c r="E15" s="204"/>
      <c r="G15" s="25"/>
      <c r="H15" s="3"/>
      <c r="J15" s="58"/>
      <c r="N15" s="3"/>
    </row>
    <row r="16" spans="1:20" x14ac:dyDescent="0.35">
      <c r="A16" s="176" t="s">
        <v>144</v>
      </c>
      <c r="B16" s="176" t="s">
        <v>51</v>
      </c>
      <c r="C16" s="176" t="s">
        <v>52</v>
      </c>
      <c r="D16" s="176" t="s">
        <v>53</v>
      </c>
      <c r="E16" s="176" t="s">
        <v>54</v>
      </c>
      <c r="G16" s="232" t="s">
        <v>154</v>
      </c>
      <c r="H16" s="232"/>
      <c r="I16" s="232"/>
      <c r="K16" s="232" t="s">
        <v>155</v>
      </c>
      <c r="L16" s="232"/>
      <c r="M16" s="232"/>
      <c r="O16" s="232" t="s">
        <v>156</v>
      </c>
      <c r="P16" s="232"/>
      <c r="Q16" s="232"/>
      <c r="S16" s="232" t="s">
        <v>157</v>
      </c>
      <c r="T16" s="232"/>
    </row>
    <row r="17" spans="1:20" x14ac:dyDescent="0.35">
      <c r="A17" s="177" t="s">
        <v>215</v>
      </c>
      <c r="B17" s="177">
        <v>51800</v>
      </c>
      <c r="C17" s="177">
        <v>77300</v>
      </c>
      <c r="D17" s="177">
        <v>111600</v>
      </c>
      <c r="E17" s="177">
        <v>74450</v>
      </c>
      <c r="G17" s="25" t="s">
        <v>97</v>
      </c>
      <c r="H17" s="38" t="s">
        <v>51</v>
      </c>
      <c r="I17" s="38" t="s">
        <v>217</v>
      </c>
      <c r="K17" s="25" t="s">
        <v>97</v>
      </c>
      <c r="L17" s="38" t="s">
        <v>52</v>
      </c>
      <c r="M17" s="38" t="s">
        <v>217</v>
      </c>
      <c r="O17" s="25" t="s">
        <v>97</v>
      </c>
      <c r="P17" s="38" t="s">
        <v>53</v>
      </c>
      <c r="Q17" s="38" t="s">
        <v>217</v>
      </c>
      <c r="S17" s="25" t="s">
        <v>97</v>
      </c>
      <c r="T17" s="38" t="s">
        <v>54</v>
      </c>
    </row>
    <row r="18" spans="1:20" x14ac:dyDescent="0.35">
      <c r="A18" s="177" t="s">
        <v>145</v>
      </c>
      <c r="B18" s="177">
        <f>3200+B14</f>
        <v>99200</v>
      </c>
      <c r="C18" s="177">
        <f>14300+C14</f>
        <v>114300</v>
      </c>
      <c r="D18" s="177">
        <f>19200+D14</f>
        <v>139200</v>
      </c>
      <c r="E18" s="177">
        <f>23900+E14</f>
        <v>119900</v>
      </c>
      <c r="F18" s="207" t="s">
        <v>351</v>
      </c>
      <c r="G18" s="3"/>
      <c r="H18" s="3"/>
      <c r="I18" s="3"/>
      <c r="K18" s="3"/>
      <c r="L18" s="3"/>
      <c r="M18" s="3"/>
      <c r="O18" s="3"/>
      <c r="P18" s="3"/>
      <c r="Q18" s="3"/>
      <c r="S18" s="3"/>
      <c r="T18" s="3"/>
    </row>
    <row r="19" spans="1:20" x14ac:dyDescent="0.35">
      <c r="A19" s="177" t="s">
        <v>146</v>
      </c>
      <c r="B19" s="177">
        <f>'HR+ Moni District Level correct'!$AJ$7</f>
        <v>31541.666666666664</v>
      </c>
      <c r="C19" s="178">
        <f>'HR+ Moni District Level correct'!$AJ$7</f>
        <v>31541.666666666664</v>
      </c>
      <c r="D19" s="177">
        <f>'HR+ Moni District Level correct'!$AJ$7</f>
        <v>31541.666666666664</v>
      </c>
      <c r="E19" s="178">
        <f>'HR+ Moni District Level correct'!$AJ$7</f>
        <v>31541.666666666664</v>
      </c>
      <c r="G19" s="25" t="s">
        <v>142</v>
      </c>
      <c r="H19" s="3">
        <f t="shared" ref="H19:I23" si="5">H5</f>
        <v>182541.66666666666</v>
      </c>
      <c r="I19" s="39">
        <f t="shared" si="5"/>
        <v>13.33533883517412</v>
      </c>
      <c r="K19" s="25" t="s">
        <v>142</v>
      </c>
      <c r="L19" s="39">
        <f t="shared" ref="L19:M23" si="6">J5</f>
        <v>223141.66666666666</v>
      </c>
      <c r="M19" s="39">
        <f t="shared" si="6"/>
        <v>14.356218769125583</v>
      </c>
      <c r="O19" s="25" t="s">
        <v>142</v>
      </c>
      <c r="P19" s="3">
        <f t="shared" ref="P19:Q23" si="7">L5</f>
        <v>282341.66666666663</v>
      </c>
      <c r="Q19" s="39">
        <f t="shared" si="7"/>
        <v>16.404806553994316</v>
      </c>
      <c r="S19" s="25" t="s">
        <v>142</v>
      </c>
      <c r="T19" s="39">
        <f t="shared" ref="T19:T24" si="8">N5</f>
        <v>225891.66666666666</v>
      </c>
    </row>
    <row r="20" spans="1:20" x14ac:dyDescent="0.35">
      <c r="A20" s="176" t="s">
        <v>147</v>
      </c>
      <c r="B20" s="176">
        <f>B18+B19+B17</f>
        <v>182541.66666666666</v>
      </c>
      <c r="C20" s="179">
        <f>C18+C19+C17</f>
        <v>223141.66666666666</v>
      </c>
      <c r="D20" s="176">
        <f>D18+D19+D17</f>
        <v>282341.66666666663</v>
      </c>
      <c r="E20" s="179">
        <f>E18+E19+E17</f>
        <v>225891.66666666666</v>
      </c>
      <c r="G20" s="25" t="s">
        <v>85</v>
      </c>
      <c r="H20" s="39">
        <f t="shared" si="5"/>
        <v>875281.94</v>
      </c>
      <c r="I20" s="39">
        <f t="shared" si="5"/>
        <v>63.942558755764679</v>
      </c>
      <c r="K20" s="25" t="s">
        <v>85</v>
      </c>
      <c r="L20" s="39">
        <f t="shared" si="6"/>
        <v>918756.94</v>
      </c>
      <c r="M20" s="39">
        <f t="shared" si="6"/>
        <v>59.109873217876782</v>
      </c>
      <c r="O20" s="25" t="s">
        <v>85</v>
      </c>
      <c r="P20" s="39">
        <f t="shared" si="7"/>
        <v>1098294.44</v>
      </c>
      <c r="Q20" s="39">
        <f t="shared" si="7"/>
        <v>63.813846678176631</v>
      </c>
      <c r="S20" s="25" t="s">
        <v>85</v>
      </c>
      <c r="T20" s="39">
        <f t="shared" si="8"/>
        <v>879404.44</v>
      </c>
    </row>
    <row r="21" spans="1:20" x14ac:dyDescent="0.35">
      <c r="A21" s="45"/>
      <c r="B21" s="28"/>
      <c r="C21" s="28"/>
      <c r="D21" s="28"/>
      <c r="E21" s="46"/>
      <c r="G21" s="25" t="s">
        <v>143</v>
      </c>
      <c r="H21" s="3">
        <f t="shared" si="5"/>
        <v>89815</v>
      </c>
      <c r="I21" s="39">
        <f t="shared" si="5"/>
        <v>6.5613154484245442</v>
      </c>
      <c r="K21" s="25" t="s">
        <v>143</v>
      </c>
      <c r="L21" s="39">
        <f t="shared" si="6"/>
        <v>245460</v>
      </c>
      <c r="M21" s="39">
        <f t="shared" si="6"/>
        <v>15.792108716000595</v>
      </c>
      <c r="O21" s="25" t="s">
        <v>143</v>
      </c>
      <c r="P21" s="3">
        <f t="shared" si="7"/>
        <v>220455</v>
      </c>
      <c r="Q21" s="39">
        <f t="shared" si="7"/>
        <v>12.80902557372268</v>
      </c>
      <c r="S21" s="25" t="s">
        <v>143</v>
      </c>
      <c r="T21" s="3">
        <f t="shared" si="8"/>
        <v>128005</v>
      </c>
    </row>
    <row r="22" spans="1:20" x14ac:dyDescent="0.35">
      <c r="A22" s="196" t="s">
        <v>86</v>
      </c>
      <c r="B22" s="197" t="s">
        <v>51</v>
      </c>
      <c r="C22" s="197" t="s">
        <v>52</v>
      </c>
      <c r="D22" s="197" t="s">
        <v>53</v>
      </c>
      <c r="E22" s="198" t="s">
        <v>54</v>
      </c>
      <c r="G22" s="25" t="s">
        <v>139</v>
      </c>
      <c r="H22" s="3">
        <f t="shared" si="5"/>
        <v>113835</v>
      </c>
      <c r="I22" s="39">
        <f t="shared" si="5"/>
        <v>8.3160646225174855</v>
      </c>
      <c r="K22" s="25" t="s">
        <v>139</v>
      </c>
      <c r="L22" s="39">
        <f t="shared" si="6"/>
        <v>60875</v>
      </c>
      <c r="M22" s="39">
        <f t="shared" si="6"/>
        <v>3.9165021514158571</v>
      </c>
      <c r="O22" s="25" t="s">
        <v>139</v>
      </c>
      <c r="P22" s="3">
        <f t="shared" si="7"/>
        <v>0</v>
      </c>
      <c r="Q22" s="39">
        <f t="shared" si="7"/>
        <v>0</v>
      </c>
      <c r="S22" s="25" t="s">
        <v>139</v>
      </c>
      <c r="T22" s="3">
        <f t="shared" si="8"/>
        <v>222675</v>
      </c>
    </row>
    <row r="23" spans="1:20" x14ac:dyDescent="0.35">
      <c r="A23" s="196"/>
      <c r="B23" s="199">
        <v>89815</v>
      </c>
      <c r="C23" s="199">
        <v>245460</v>
      </c>
      <c r="D23" s="199">
        <v>220455</v>
      </c>
      <c r="E23" s="200">
        <v>128005</v>
      </c>
      <c r="G23" s="25" t="s">
        <v>87</v>
      </c>
      <c r="H23" s="3">
        <f t="shared" si="5"/>
        <v>107383</v>
      </c>
      <c r="I23" s="39">
        <f t="shared" si="5"/>
        <v>7.8447223381191655</v>
      </c>
      <c r="K23" s="25" t="s">
        <v>87</v>
      </c>
      <c r="L23" s="39">
        <f t="shared" si="6"/>
        <v>106087</v>
      </c>
      <c r="M23" s="39">
        <f t="shared" si="6"/>
        <v>6.8252971455811746</v>
      </c>
      <c r="O23" s="25" t="s">
        <v>87</v>
      </c>
      <c r="P23" s="3">
        <f t="shared" si="7"/>
        <v>120000</v>
      </c>
      <c r="Q23" s="39">
        <f t="shared" si="7"/>
        <v>6.972321194106379</v>
      </c>
      <c r="S23" s="25" t="s">
        <v>87</v>
      </c>
      <c r="T23" s="3">
        <f t="shared" si="8"/>
        <v>118268</v>
      </c>
    </row>
    <row r="24" spans="1:20" x14ac:dyDescent="0.35">
      <c r="A24" s="45"/>
      <c r="B24" s="28"/>
      <c r="C24" s="28"/>
      <c r="D24" s="28"/>
      <c r="E24" s="46"/>
      <c r="G24" s="42" t="s">
        <v>27</v>
      </c>
      <c r="H24" s="44">
        <f>H10</f>
        <v>1368856.6066666667</v>
      </c>
      <c r="I24" s="44"/>
      <c r="K24" s="42" t="s">
        <v>27</v>
      </c>
      <c r="L24" s="44">
        <f>J10</f>
        <v>1554320.6066666667</v>
      </c>
      <c r="M24" s="43"/>
      <c r="O24" s="42" t="s">
        <v>27</v>
      </c>
      <c r="P24" s="44">
        <f>L10</f>
        <v>1721091.1066666665</v>
      </c>
      <c r="Q24" s="43"/>
      <c r="S24" s="42" t="s">
        <v>27</v>
      </c>
      <c r="T24" s="44">
        <f t="shared" si="8"/>
        <v>1574244.1066666667</v>
      </c>
    </row>
    <row r="25" spans="1:20" x14ac:dyDescent="0.35">
      <c r="A25" s="45"/>
      <c r="B25" s="28">
        <v>960000</v>
      </c>
      <c r="C25" s="28">
        <v>1000000</v>
      </c>
      <c r="D25" s="28">
        <v>1200000</v>
      </c>
      <c r="E25" s="46">
        <v>960000</v>
      </c>
      <c r="G25" s="25" t="s">
        <v>236</v>
      </c>
      <c r="H25" s="3">
        <f>H24/G68</f>
        <v>1721.8322096436059</v>
      </c>
      <c r="L25" s="39">
        <f>L24/H68</f>
        <v>3573.1508199233717</v>
      </c>
      <c r="Q25">
        <v>0</v>
      </c>
    </row>
    <row r="26" spans="1:20" x14ac:dyDescent="0.35">
      <c r="A26" s="176" t="s">
        <v>85</v>
      </c>
      <c r="B26" s="176" t="s">
        <v>51</v>
      </c>
      <c r="C26" s="176" t="s">
        <v>52</v>
      </c>
      <c r="D26" s="176" t="s">
        <v>53</v>
      </c>
      <c r="E26" s="176" t="s">
        <v>54</v>
      </c>
      <c r="O26" s="39"/>
    </row>
    <row r="27" spans="1:20" x14ac:dyDescent="0.35">
      <c r="A27" s="177" t="s">
        <v>145</v>
      </c>
      <c r="B27" s="177">
        <f>587.5+B30</f>
        <v>864587.5</v>
      </c>
      <c r="C27" s="177">
        <f>8062.5+C30</f>
        <v>908062.5</v>
      </c>
      <c r="D27" s="177">
        <f>7600+D30</f>
        <v>1087600</v>
      </c>
      <c r="E27" s="177">
        <f>4710+E30</f>
        <v>868710</v>
      </c>
    </row>
    <row r="28" spans="1:20" x14ac:dyDescent="0.35">
      <c r="A28" s="177" t="s">
        <v>146</v>
      </c>
      <c r="B28" s="180">
        <v>10694.44</v>
      </c>
      <c r="C28" s="180">
        <f>B28</f>
        <v>10694.44</v>
      </c>
      <c r="D28" s="180">
        <f>C28</f>
        <v>10694.44</v>
      </c>
      <c r="E28" s="180">
        <f>D28</f>
        <v>10694.44</v>
      </c>
    </row>
    <row r="29" spans="1:20" x14ac:dyDescent="0.35">
      <c r="A29" s="177" t="s">
        <v>29</v>
      </c>
      <c r="B29" s="178">
        <f>B27+B28</f>
        <v>875281.94</v>
      </c>
      <c r="C29" s="178">
        <f>C27+C28</f>
        <v>918756.94</v>
      </c>
      <c r="D29" s="178">
        <f>D27+D28</f>
        <v>1098294.44</v>
      </c>
      <c r="E29" s="178">
        <f>E27+E28</f>
        <v>879404.44</v>
      </c>
      <c r="G29" t="s">
        <v>94</v>
      </c>
      <c r="H29" t="s">
        <v>95</v>
      </c>
      <c r="I29" t="s">
        <v>96</v>
      </c>
      <c r="J29" t="s">
        <v>166</v>
      </c>
    </row>
    <row r="30" spans="1:20" x14ac:dyDescent="0.35">
      <c r="A30" s="201" t="s">
        <v>345</v>
      </c>
      <c r="B30" s="202">
        <f>90/100*B25</f>
        <v>864000</v>
      </c>
      <c r="C30" s="202">
        <f t="shared" ref="C30:E30" si="9">90/100*C25</f>
        <v>900000</v>
      </c>
      <c r="D30" s="202">
        <f t="shared" si="9"/>
        <v>1080000</v>
      </c>
      <c r="E30" s="202">
        <f t="shared" si="9"/>
        <v>864000</v>
      </c>
      <c r="G30">
        <v>795</v>
      </c>
      <c r="H30">
        <v>435</v>
      </c>
      <c r="I30">
        <v>0</v>
      </c>
      <c r="J30">
        <v>705</v>
      </c>
    </row>
    <row r="31" spans="1:20" x14ac:dyDescent="0.35">
      <c r="A31" s="49" t="s">
        <v>139</v>
      </c>
      <c r="B31" s="25" t="s">
        <v>51</v>
      </c>
      <c r="C31" s="25" t="s">
        <v>52</v>
      </c>
      <c r="D31" s="25" t="s">
        <v>53</v>
      </c>
      <c r="E31" s="48" t="s">
        <v>54</v>
      </c>
    </row>
    <row r="32" spans="1:20" x14ac:dyDescent="0.35">
      <c r="A32" s="23"/>
      <c r="B32">
        <v>113835</v>
      </c>
      <c r="C32">
        <v>60875</v>
      </c>
      <c r="D32">
        <v>0</v>
      </c>
      <c r="E32">
        <v>222675</v>
      </c>
      <c r="H32" s="234" t="s">
        <v>320</v>
      </c>
      <c r="I32" s="234"/>
      <c r="J32" s="234"/>
      <c r="K32" s="234"/>
    </row>
    <row r="33" spans="1:21" x14ac:dyDescent="0.35">
      <c r="A33" s="50"/>
      <c r="B33" s="233"/>
      <c r="C33" s="233"/>
      <c r="D33" s="233"/>
      <c r="E33" s="239"/>
      <c r="H33" s="25" t="s">
        <v>51</v>
      </c>
      <c r="I33" s="25" t="s">
        <v>52</v>
      </c>
      <c r="J33" s="25" t="s">
        <v>53</v>
      </c>
      <c r="K33" s="48" t="s">
        <v>54</v>
      </c>
      <c r="L33" s="25" t="s">
        <v>311</v>
      </c>
      <c r="M33" s="25" t="s">
        <v>312</v>
      </c>
      <c r="N33" s="25" t="s">
        <v>325</v>
      </c>
    </row>
    <row r="34" spans="1:21" x14ac:dyDescent="0.35">
      <c r="A34" s="241" t="s">
        <v>159</v>
      </c>
      <c r="B34" s="233"/>
      <c r="C34" s="233"/>
      <c r="D34" s="233"/>
      <c r="E34" s="239"/>
      <c r="G34" t="s">
        <v>327</v>
      </c>
      <c r="H34">
        <v>310</v>
      </c>
      <c r="I34">
        <v>362</v>
      </c>
      <c r="J34">
        <v>358</v>
      </c>
      <c r="K34">
        <v>384</v>
      </c>
      <c r="L34">
        <v>228</v>
      </c>
      <c r="M34">
        <v>296</v>
      </c>
      <c r="N34" s="167">
        <f>SUM(H34:M34)</f>
        <v>1938</v>
      </c>
    </row>
    <row r="35" spans="1:21" x14ac:dyDescent="0.35">
      <c r="A35" s="45" t="s">
        <v>158</v>
      </c>
      <c r="B35" s="28" t="s">
        <v>51</v>
      </c>
      <c r="C35" s="28" t="s">
        <v>52</v>
      </c>
      <c r="D35" s="28" t="s">
        <v>53</v>
      </c>
      <c r="E35" s="46" t="s">
        <v>54</v>
      </c>
      <c r="G35" s="28" t="s">
        <v>324</v>
      </c>
      <c r="H35">
        <v>8479</v>
      </c>
      <c r="I35">
        <v>8155</v>
      </c>
      <c r="J35">
        <v>10144</v>
      </c>
      <c r="K35">
        <v>6868</v>
      </c>
      <c r="Q35" s="232" t="s">
        <v>218</v>
      </c>
      <c r="R35" s="232"/>
      <c r="S35" s="232"/>
      <c r="T35" s="232"/>
      <c r="U35" s="232"/>
    </row>
    <row r="36" spans="1:21" x14ac:dyDescent="0.35">
      <c r="A36" s="47" t="s">
        <v>139</v>
      </c>
      <c r="B36" s="28">
        <v>11383</v>
      </c>
      <c r="C36">
        <v>6087</v>
      </c>
      <c r="D36" s="28">
        <v>0</v>
      </c>
      <c r="E36">
        <v>22268</v>
      </c>
      <c r="G36" s="167" t="s">
        <v>321</v>
      </c>
      <c r="H36" s="167">
        <f>SUM(H34:H35)</f>
        <v>8789</v>
      </c>
      <c r="I36" s="167">
        <f>SUM(I34:I35)</f>
        <v>8517</v>
      </c>
      <c r="J36" s="167">
        <f>SUM(J34:J35)</f>
        <v>10502</v>
      </c>
      <c r="K36" s="167">
        <f>SUM(K34:K35)</f>
        <v>7252</v>
      </c>
      <c r="L36" s="3"/>
      <c r="M36" s="39"/>
      <c r="N36" s="3"/>
      <c r="Q36" s="111" t="s">
        <v>97</v>
      </c>
      <c r="R36" s="159"/>
      <c r="S36" s="30" t="s">
        <v>219</v>
      </c>
      <c r="T36" s="30" t="s">
        <v>122</v>
      </c>
      <c r="U36" s="30" t="s">
        <v>309</v>
      </c>
    </row>
    <row r="37" spans="1:21" x14ac:dyDescent="0.35">
      <c r="A37" s="47" t="s">
        <v>140</v>
      </c>
      <c r="B37" s="28">
        <v>96000</v>
      </c>
      <c r="C37">
        <v>100000</v>
      </c>
      <c r="D37" s="28">
        <v>120000</v>
      </c>
      <c r="E37">
        <v>96000</v>
      </c>
      <c r="G37" t="s">
        <v>326</v>
      </c>
      <c r="H37">
        <f>H39*H34</f>
        <v>153726.56862745096</v>
      </c>
      <c r="I37">
        <f>H39*I34</f>
        <v>179512.96078431371</v>
      </c>
      <c r="J37" s="3">
        <f>H39*J34</f>
        <v>177529.39215686274</v>
      </c>
      <c r="K37" s="39">
        <f>H39*K34</f>
        <v>190422.5882352941</v>
      </c>
      <c r="L37" s="3"/>
      <c r="M37" s="39"/>
      <c r="N37" s="3"/>
      <c r="O37" s="39"/>
      <c r="Q37" s="25" t="s">
        <v>142</v>
      </c>
      <c r="R37" s="3"/>
      <c r="S37" s="53">
        <v>4621916.666666667</v>
      </c>
      <c r="T37" s="28">
        <v>4853750</v>
      </c>
      <c r="U37" s="160">
        <v>0.05</v>
      </c>
    </row>
    <row r="38" spans="1:21" x14ac:dyDescent="0.35">
      <c r="A38" s="51" t="s">
        <v>136</v>
      </c>
      <c r="B38" s="52">
        <v>107383</v>
      </c>
      <c r="C38">
        <v>106087</v>
      </c>
      <c r="D38" s="52">
        <v>120000</v>
      </c>
      <c r="E38">
        <v>118268</v>
      </c>
      <c r="G38" t="s">
        <v>322</v>
      </c>
      <c r="H38">
        <v>961039</v>
      </c>
      <c r="J38" s="3"/>
      <c r="K38" s="39"/>
      <c r="L38" s="3"/>
      <c r="M38" s="39"/>
      <c r="N38" s="3"/>
      <c r="O38" s="39"/>
      <c r="Q38" s="25" t="s">
        <v>85</v>
      </c>
      <c r="R38" s="3"/>
      <c r="S38" s="53">
        <v>58237.777777777781</v>
      </c>
      <c r="T38" s="53">
        <v>63969.444444444431</v>
      </c>
      <c r="U38" s="160">
        <v>9.8000000000000004E-2</v>
      </c>
    </row>
    <row r="39" spans="1:21" x14ac:dyDescent="0.35">
      <c r="A39" s="37"/>
      <c r="B39" s="28"/>
      <c r="D39" s="28"/>
      <c r="G39" t="s">
        <v>323</v>
      </c>
      <c r="H39" s="58">
        <f>H38/N34</f>
        <v>495.89215686274508</v>
      </c>
      <c r="J39" s="3"/>
      <c r="K39" s="39"/>
      <c r="L39" s="3"/>
      <c r="M39" s="39"/>
      <c r="N39" s="3"/>
      <c r="O39" s="39"/>
      <c r="Q39" s="25"/>
      <c r="R39" s="3"/>
      <c r="S39" s="53"/>
      <c r="T39" s="53"/>
      <c r="U39" s="160"/>
    </row>
    <row r="40" spans="1:21" x14ac:dyDescent="0.35">
      <c r="A40" s="37"/>
      <c r="B40" s="28"/>
      <c r="D40" s="28"/>
      <c r="J40" s="3"/>
      <c r="K40" s="39"/>
      <c r="L40" s="3"/>
      <c r="M40" s="39"/>
      <c r="N40" s="3"/>
      <c r="O40" s="39"/>
      <c r="Q40" s="25"/>
      <c r="R40" s="3"/>
      <c r="S40" s="53"/>
      <c r="T40" s="53"/>
      <c r="U40" s="160"/>
    </row>
    <row r="41" spans="1:21" x14ac:dyDescent="0.35">
      <c r="A41" s="37"/>
      <c r="B41" s="28"/>
      <c r="C41" s="28"/>
      <c r="D41" s="28"/>
      <c r="E41" s="28"/>
      <c r="J41" s="3"/>
      <c r="K41" s="39"/>
      <c r="L41" s="3"/>
      <c r="M41" s="39"/>
      <c r="N41" s="3"/>
      <c r="O41" s="39"/>
      <c r="Q41" s="25" t="s">
        <v>143</v>
      </c>
      <c r="R41" s="3"/>
      <c r="S41" s="28">
        <v>683735</v>
      </c>
      <c r="T41" s="28">
        <v>3250</v>
      </c>
      <c r="U41" s="160">
        <v>0.995</v>
      </c>
    </row>
    <row r="42" spans="1:21" x14ac:dyDescent="0.35">
      <c r="A42" s="232"/>
      <c r="B42" s="232"/>
      <c r="C42" s="232"/>
      <c r="D42" s="232"/>
      <c r="E42" s="232"/>
      <c r="H42" s="232" t="s">
        <v>218</v>
      </c>
      <c r="I42" s="232"/>
      <c r="J42" s="232"/>
      <c r="K42" s="111"/>
      <c r="L42" s="111"/>
      <c r="Q42" s="25" t="s">
        <v>139</v>
      </c>
      <c r="R42" s="3"/>
      <c r="S42" s="28">
        <v>397385</v>
      </c>
      <c r="T42" s="28"/>
      <c r="U42" s="160">
        <v>1</v>
      </c>
    </row>
    <row r="43" spans="1:21" x14ac:dyDescent="0.35">
      <c r="A43" s="30"/>
      <c r="B43" s="30"/>
      <c r="C43" s="30"/>
      <c r="D43" s="30"/>
      <c r="E43" s="30"/>
      <c r="F43" s="37"/>
      <c r="H43" s="30" t="s">
        <v>97</v>
      </c>
      <c r="I43" s="30"/>
      <c r="J43" s="30" t="s">
        <v>219</v>
      </c>
      <c r="K43" s="30" t="s">
        <v>122</v>
      </c>
      <c r="L43" s="30"/>
      <c r="Q43" s="59" t="s">
        <v>87</v>
      </c>
      <c r="R43" s="26"/>
      <c r="S43" s="52">
        <v>451738</v>
      </c>
      <c r="T43" s="52">
        <v>412000</v>
      </c>
      <c r="U43" s="161">
        <v>8.6999999999999994E-2</v>
      </c>
    </row>
    <row r="44" spans="1:21" x14ac:dyDescent="0.35">
      <c r="A44" s="109"/>
      <c r="B44" s="110"/>
      <c r="C44" s="110"/>
      <c r="D44" s="110"/>
      <c r="E44" s="110"/>
      <c r="F44" s="58"/>
      <c r="H44" s="3" t="s">
        <v>142</v>
      </c>
      <c r="I44" s="3"/>
      <c r="J44" s="53">
        <f t="shared" ref="J44:J49" si="10">F5</f>
        <v>913916.66666666663</v>
      </c>
      <c r="K44">
        <v>4853750</v>
      </c>
      <c r="L44" s="58">
        <f t="shared" ref="L44:L49" si="11">K44-J44</f>
        <v>3939833.3333333335</v>
      </c>
      <c r="M44">
        <f>L44/J44*H1105</f>
        <v>0</v>
      </c>
      <c r="N44" s="157">
        <v>0.05</v>
      </c>
      <c r="Q44" s="25" t="s">
        <v>27</v>
      </c>
      <c r="R44" s="3"/>
      <c r="S44" s="53">
        <v>6213012.444444444</v>
      </c>
      <c r="T44" s="53">
        <v>5332969.444444444</v>
      </c>
      <c r="U44" s="28"/>
    </row>
    <row r="45" spans="1:21" x14ac:dyDescent="0.35">
      <c r="B45" s="58"/>
      <c r="C45" s="58"/>
      <c r="D45" s="58"/>
      <c r="E45" s="58"/>
      <c r="F45" s="113"/>
      <c r="H45" s="3" t="s">
        <v>85</v>
      </c>
      <c r="I45" s="3"/>
      <c r="J45" s="53">
        <f t="shared" si="10"/>
        <v>3771737.76</v>
      </c>
      <c r="K45">
        <v>63969.444444444431</v>
      </c>
      <c r="L45" s="58">
        <f t="shared" si="11"/>
        <v>-3707768.3155555553</v>
      </c>
      <c r="M45">
        <f>L45/J45*100</f>
        <v>-98.303979531057209</v>
      </c>
      <c r="N45" s="157">
        <v>9.8000000000000004E-2</v>
      </c>
    </row>
    <row r="46" spans="1:21" x14ac:dyDescent="0.35">
      <c r="F46" s="113"/>
      <c r="H46" s="3" t="s">
        <v>143</v>
      </c>
      <c r="I46" s="3"/>
      <c r="J46" s="28">
        <f t="shared" si="10"/>
        <v>683735</v>
      </c>
      <c r="K46">
        <v>3250</v>
      </c>
      <c r="L46" s="58">
        <f t="shared" si="11"/>
        <v>-680485</v>
      </c>
      <c r="M46">
        <f>L46/J46*100</f>
        <v>-99.524669645403549</v>
      </c>
      <c r="N46" s="157">
        <v>0.995</v>
      </c>
    </row>
    <row r="47" spans="1:21" x14ac:dyDescent="0.35">
      <c r="F47" s="113"/>
      <c r="H47" s="3" t="s">
        <v>139</v>
      </c>
      <c r="I47" s="3"/>
      <c r="J47" s="28">
        <f t="shared" si="10"/>
        <v>397385</v>
      </c>
      <c r="K47" s="28"/>
      <c r="L47" s="58">
        <f t="shared" si="11"/>
        <v>-397385</v>
      </c>
      <c r="M47">
        <f>L47/J47*100</f>
        <v>-100</v>
      </c>
      <c r="N47" s="158">
        <v>1</v>
      </c>
    </row>
    <row r="48" spans="1:21" x14ac:dyDescent="0.35">
      <c r="F48" s="113"/>
      <c r="H48" s="26" t="s">
        <v>87</v>
      </c>
      <c r="I48" s="26"/>
      <c r="J48" s="52">
        <f t="shared" si="10"/>
        <v>451738</v>
      </c>
      <c r="K48">
        <v>412000</v>
      </c>
      <c r="L48" s="58">
        <f t="shared" si="11"/>
        <v>-39738</v>
      </c>
      <c r="M48">
        <f t="shared" ref="M48:M49" si="12">L48/J48*100</f>
        <v>-8.7966918877756584</v>
      </c>
      <c r="N48" s="157">
        <v>8.6999999999999994E-2</v>
      </c>
    </row>
    <row r="49" spans="1:13" x14ac:dyDescent="0.35">
      <c r="F49" s="113"/>
      <c r="H49" s="3" t="s">
        <v>27</v>
      </c>
      <c r="I49" s="3"/>
      <c r="J49" s="53">
        <f t="shared" si="10"/>
        <v>6218512.4266666668</v>
      </c>
      <c r="K49">
        <v>5332969.444444444</v>
      </c>
      <c r="L49" s="58">
        <f t="shared" si="11"/>
        <v>-885542.98222222272</v>
      </c>
      <c r="M49">
        <f t="shared" si="12"/>
        <v>-14.240431174902449</v>
      </c>
    </row>
    <row r="50" spans="1:13" x14ac:dyDescent="0.35">
      <c r="F50" s="113"/>
    </row>
    <row r="51" spans="1:13" x14ac:dyDescent="0.35">
      <c r="J51" s="58"/>
    </row>
    <row r="52" spans="1:13" x14ac:dyDescent="0.35">
      <c r="F52" s="58"/>
      <c r="J52" s="58"/>
    </row>
    <row r="53" spans="1:13" x14ac:dyDescent="0.35">
      <c r="A53" s="3" t="s">
        <v>238</v>
      </c>
      <c r="B53" s="3" t="s">
        <v>42</v>
      </c>
      <c r="C53" s="3" t="s">
        <v>142</v>
      </c>
      <c r="D53" s="3" t="s">
        <v>85</v>
      </c>
      <c r="E53" s="3" t="s">
        <v>239</v>
      </c>
      <c r="F53" s="3" t="s">
        <v>143</v>
      </c>
      <c r="G53" s="3" t="s">
        <v>87</v>
      </c>
      <c r="H53" s="3" t="s">
        <v>330</v>
      </c>
      <c r="I53" s="3" t="s">
        <v>331</v>
      </c>
      <c r="J53" s="3" t="s">
        <v>244</v>
      </c>
    </row>
    <row r="54" spans="1:13" x14ac:dyDescent="0.35">
      <c r="A54" s="3">
        <v>1</v>
      </c>
      <c r="B54" s="3" t="s">
        <v>51</v>
      </c>
      <c r="C54" s="128">
        <f>B5</f>
        <v>182541.66666666666</v>
      </c>
      <c r="D54" s="169">
        <f>B6</f>
        <v>875281.94</v>
      </c>
      <c r="E54" s="128">
        <f>B8</f>
        <v>113835</v>
      </c>
      <c r="F54" s="128">
        <f>B7</f>
        <v>89815</v>
      </c>
      <c r="G54" s="128">
        <f>B9</f>
        <v>107383</v>
      </c>
      <c r="H54" s="58">
        <f>H12</f>
        <v>153726.56862745096</v>
      </c>
      <c r="I54" s="58">
        <f>H11</f>
        <v>26500</v>
      </c>
      <c r="J54" s="128">
        <v>1</v>
      </c>
      <c r="K54" s="240"/>
      <c r="L54" s="240"/>
      <c r="M54" s="240"/>
    </row>
    <row r="55" spans="1:13" x14ac:dyDescent="0.35">
      <c r="A55" s="3">
        <v>1</v>
      </c>
      <c r="B55" s="3" t="s">
        <v>52</v>
      </c>
      <c r="C55" s="128">
        <f>C17</f>
        <v>77300</v>
      </c>
      <c r="D55" s="169">
        <f>C6</f>
        <v>918756.94</v>
      </c>
      <c r="E55" s="128">
        <f>C8</f>
        <v>60875</v>
      </c>
      <c r="F55" s="128">
        <f>C7</f>
        <v>245460</v>
      </c>
      <c r="G55" s="128">
        <f>C9</f>
        <v>106087</v>
      </c>
      <c r="H55" s="58">
        <f>J12</f>
        <v>179512.96078431371</v>
      </c>
      <c r="I55" s="58">
        <f>J11</f>
        <v>14500</v>
      </c>
      <c r="J55" s="128">
        <v>1</v>
      </c>
      <c r="K55" s="240"/>
      <c r="L55" s="240"/>
      <c r="M55" s="240"/>
    </row>
    <row r="56" spans="1:13" x14ac:dyDescent="0.35">
      <c r="A56" s="3">
        <v>1</v>
      </c>
      <c r="B56" s="3" t="s">
        <v>53</v>
      </c>
      <c r="C56" s="128">
        <f>D5</f>
        <v>282341.66666666663</v>
      </c>
      <c r="D56" s="169">
        <f>D6</f>
        <v>1098294.44</v>
      </c>
      <c r="E56" s="3">
        <f>D8</f>
        <v>0</v>
      </c>
      <c r="F56" s="128">
        <f>D7</f>
        <v>220455</v>
      </c>
      <c r="G56" s="128">
        <f>D9</f>
        <v>120000</v>
      </c>
      <c r="H56" s="58">
        <f>L12</f>
        <v>177529.39215686274</v>
      </c>
      <c r="I56">
        <v>0</v>
      </c>
      <c r="J56" s="128">
        <v>1</v>
      </c>
      <c r="K56" s="116"/>
      <c r="L56" s="28"/>
      <c r="M56" s="28"/>
    </row>
    <row r="57" spans="1:13" x14ac:dyDescent="0.35">
      <c r="A57" s="3">
        <v>1</v>
      </c>
      <c r="B57" s="3" t="s">
        <v>54</v>
      </c>
      <c r="C57" s="169">
        <f>E5</f>
        <v>225891.66666666666</v>
      </c>
      <c r="D57" s="169">
        <f>E6</f>
        <v>879404.44</v>
      </c>
      <c r="E57" s="128">
        <f>E8</f>
        <v>222675</v>
      </c>
      <c r="F57" s="128">
        <f>E7</f>
        <v>128005</v>
      </c>
      <c r="G57" s="128">
        <f>E9</f>
        <v>118268</v>
      </c>
      <c r="H57" s="58">
        <f>N12</f>
        <v>190422.5882352941</v>
      </c>
      <c r="I57" s="58">
        <f>N11</f>
        <v>23500</v>
      </c>
      <c r="J57" s="128">
        <v>1</v>
      </c>
      <c r="K57" s="28"/>
      <c r="L57" s="28"/>
      <c r="M57" s="28"/>
    </row>
    <row r="58" spans="1:13" x14ac:dyDescent="0.35">
      <c r="A58" s="3">
        <v>2</v>
      </c>
      <c r="B58" s="3" t="s">
        <v>240</v>
      </c>
      <c r="C58" s="129">
        <v>462528.75</v>
      </c>
      <c r="D58" s="129">
        <v>17908.330000000002</v>
      </c>
      <c r="E58" s="128">
        <v>0</v>
      </c>
      <c r="F58" s="129">
        <v>2400</v>
      </c>
      <c r="G58" s="129">
        <v>36000</v>
      </c>
      <c r="H58" s="129">
        <v>0</v>
      </c>
      <c r="I58" s="129">
        <v>0</v>
      </c>
      <c r="J58" s="128">
        <v>2</v>
      </c>
      <c r="K58" s="28"/>
      <c r="L58" s="28"/>
      <c r="M58" s="53"/>
    </row>
    <row r="59" spans="1:13" x14ac:dyDescent="0.35">
      <c r="A59" s="3">
        <v>2</v>
      </c>
      <c r="B59" s="3" t="s">
        <v>241</v>
      </c>
      <c r="C59" s="129">
        <v>390481.25</v>
      </c>
      <c r="D59" s="129">
        <v>14389.58</v>
      </c>
      <c r="E59" s="128">
        <v>0</v>
      </c>
      <c r="F59" s="129">
        <v>281.25</v>
      </c>
      <c r="G59" s="129">
        <v>36000</v>
      </c>
      <c r="H59" s="129">
        <v>0</v>
      </c>
      <c r="I59" s="129">
        <v>0</v>
      </c>
      <c r="J59" s="128">
        <v>2</v>
      </c>
      <c r="K59" s="28"/>
      <c r="L59" s="53"/>
      <c r="M59" s="53"/>
    </row>
    <row r="60" spans="1:13" x14ac:dyDescent="0.35">
      <c r="A60" s="3">
        <v>2</v>
      </c>
      <c r="B60" s="3" t="s">
        <v>242</v>
      </c>
      <c r="C60" s="129">
        <v>457481.25</v>
      </c>
      <c r="D60" s="129">
        <v>15983.33</v>
      </c>
      <c r="E60" s="128">
        <v>0</v>
      </c>
      <c r="F60" s="129">
        <v>1687.5</v>
      </c>
      <c r="G60" s="129">
        <v>36000</v>
      </c>
      <c r="H60" s="129">
        <v>0</v>
      </c>
      <c r="I60" s="129">
        <v>0</v>
      </c>
      <c r="J60" s="128">
        <v>2</v>
      </c>
      <c r="K60" s="28"/>
      <c r="L60" s="28"/>
      <c r="M60" s="28"/>
    </row>
    <row r="61" spans="1:13" x14ac:dyDescent="0.35">
      <c r="A61" s="3">
        <v>2</v>
      </c>
      <c r="B61" s="3" t="s">
        <v>243</v>
      </c>
      <c r="C61" s="11">
        <v>448346.25</v>
      </c>
      <c r="D61" s="11">
        <v>12827.08</v>
      </c>
      <c r="E61" s="128">
        <v>0</v>
      </c>
      <c r="F61" s="11">
        <v>1000</v>
      </c>
      <c r="G61" s="11">
        <v>36000</v>
      </c>
      <c r="H61" s="129">
        <v>0</v>
      </c>
      <c r="I61" s="129">
        <v>0</v>
      </c>
      <c r="J61" s="128">
        <v>2</v>
      </c>
      <c r="K61" s="52"/>
      <c r="L61" s="52"/>
      <c r="M61" s="52"/>
    </row>
    <row r="62" spans="1:13" x14ac:dyDescent="0.35">
      <c r="A62" s="3">
        <v>1</v>
      </c>
      <c r="B62" s="3" t="s">
        <v>51</v>
      </c>
      <c r="C62" s="128"/>
      <c r="D62" s="128"/>
      <c r="E62" s="128"/>
      <c r="F62" s="128"/>
      <c r="G62" s="128"/>
      <c r="J62" s="128">
        <v>2</v>
      </c>
      <c r="K62" s="37"/>
      <c r="L62" s="117"/>
      <c r="M62" s="117"/>
    </row>
    <row r="63" spans="1:13" x14ac:dyDescent="0.35">
      <c r="A63" s="3">
        <v>1</v>
      </c>
      <c r="B63" s="3" t="s">
        <v>52</v>
      </c>
      <c r="C63" s="128"/>
      <c r="D63" s="128"/>
      <c r="E63" s="128"/>
      <c r="F63" s="128"/>
      <c r="G63" s="128"/>
      <c r="J63" s="128">
        <v>2</v>
      </c>
    </row>
    <row r="64" spans="1:13" x14ac:dyDescent="0.35">
      <c r="A64" s="3">
        <v>1</v>
      </c>
      <c r="B64" s="3" t="s">
        <v>53</v>
      </c>
      <c r="C64" s="128"/>
      <c r="D64" s="128"/>
      <c r="E64" s="128"/>
      <c r="F64" s="128"/>
      <c r="G64" s="128"/>
      <c r="J64" s="128">
        <v>2</v>
      </c>
    </row>
    <row r="65" spans="1:18" x14ac:dyDescent="0.35">
      <c r="A65" s="3">
        <v>1</v>
      </c>
      <c r="B65" s="3" t="s">
        <v>54</v>
      </c>
      <c r="C65" s="128"/>
      <c r="D65" s="128"/>
      <c r="E65" s="128"/>
      <c r="F65" s="128"/>
      <c r="G65" s="128"/>
      <c r="J65" s="128">
        <v>2</v>
      </c>
      <c r="O65" t="s">
        <v>166</v>
      </c>
      <c r="P65" t="s">
        <v>96</v>
      </c>
      <c r="Q65" t="s">
        <v>95</v>
      </c>
      <c r="R65" t="s">
        <v>94</v>
      </c>
    </row>
    <row r="66" spans="1:18" x14ac:dyDescent="0.35">
      <c r="A66" s="3"/>
      <c r="B66" s="3"/>
      <c r="C66" s="128"/>
      <c r="D66" s="128"/>
      <c r="E66" s="128"/>
      <c r="F66" s="128"/>
      <c r="G66" s="128"/>
      <c r="H66" s="128"/>
    </row>
    <row r="67" spans="1:18" ht="19.5" customHeight="1" x14ac:dyDescent="0.35">
      <c r="A67" s="120"/>
      <c r="B67" s="19"/>
      <c r="C67" s="19"/>
      <c r="D67" s="19"/>
      <c r="E67" s="19"/>
      <c r="G67" t="s">
        <v>94</v>
      </c>
      <c r="H67" t="s">
        <v>95</v>
      </c>
      <c r="I67" t="s">
        <v>96</v>
      </c>
      <c r="J67" t="s">
        <v>166</v>
      </c>
      <c r="N67" s="123" t="s">
        <v>237</v>
      </c>
      <c r="O67" s="124">
        <v>47</v>
      </c>
      <c r="P67" s="124">
        <v>0</v>
      </c>
      <c r="Q67" s="124">
        <v>29</v>
      </c>
      <c r="R67" s="125">
        <v>53</v>
      </c>
    </row>
    <row r="68" spans="1:18" x14ac:dyDescent="0.35">
      <c r="A68" s="122"/>
      <c r="B68" s="19"/>
      <c r="C68" s="19"/>
      <c r="D68" s="19"/>
      <c r="E68" s="19"/>
      <c r="G68">
        <f>R67*15</f>
        <v>795</v>
      </c>
      <c r="H68">
        <f>29*15</f>
        <v>435</v>
      </c>
      <c r="I68">
        <v>0</v>
      </c>
      <c r="J68">
        <f>O67*15</f>
        <v>705</v>
      </c>
    </row>
    <row r="69" spans="1:18" x14ac:dyDescent="0.35">
      <c r="A69" s="121"/>
      <c r="B69" s="19"/>
      <c r="C69" s="19"/>
      <c r="D69" s="19"/>
      <c r="E69" s="19"/>
    </row>
    <row r="70" spans="1:18" ht="15.5" x14ac:dyDescent="0.35">
      <c r="E70" s="237" t="s">
        <v>153</v>
      </c>
      <c r="F70" s="238"/>
      <c r="G70" s="238"/>
      <c r="H70" s="238"/>
      <c r="I70" s="238"/>
      <c r="J70" s="238"/>
      <c r="K70" s="238"/>
      <c r="L70" s="238"/>
      <c r="M70" s="238"/>
      <c r="N70" t="s">
        <v>347</v>
      </c>
    </row>
    <row r="71" spans="1:18" x14ac:dyDescent="0.35">
      <c r="E71" s="3"/>
      <c r="F71" s="235" t="s">
        <v>141</v>
      </c>
      <c r="G71" s="236"/>
      <c r="H71" s="236"/>
      <c r="I71" s="236"/>
      <c r="J71" s="236"/>
      <c r="K71" s="236"/>
      <c r="L71" s="236"/>
      <c r="M71" s="236"/>
      <c r="N71" s="109"/>
      <c r="O71" s="109"/>
    </row>
    <row r="72" spans="1:18" x14ac:dyDescent="0.35">
      <c r="E72" s="181" t="s">
        <v>97</v>
      </c>
      <c r="F72" s="182" t="s">
        <v>51</v>
      </c>
      <c r="G72" s="182" t="s">
        <v>229</v>
      </c>
      <c r="H72" s="182" t="s">
        <v>52</v>
      </c>
      <c r="I72" s="182" t="s">
        <v>229</v>
      </c>
      <c r="J72" s="182" t="s">
        <v>53</v>
      </c>
      <c r="K72" s="182" t="s">
        <v>340</v>
      </c>
      <c r="L72" s="182" t="s">
        <v>54</v>
      </c>
      <c r="M72" s="182" t="s">
        <v>227</v>
      </c>
      <c r="N72" s="182" t="s">
        <v>268</v>
      </c>
      <c r="O72" s="182" t="s">
        <v>227</v>
      </c>
    </row>
    <row r="73" spans="1:18" x14ac:dyDescent="0.35">
      <c r="E73" s="181" t="s">
        <v>142</v>
      </c>
      <c r="F73" s="183">
        <f>B20</f>
        <v>182541.66666666666</v>
      </c>
      <c r="G73" s="184">
        <f>F73/F80*100</f>
        <v>11.783851866573162</v>
      </c>
      <c r="H73" s="183">
        <f>C20</f>
        <v>223141.66666666666</v>
      </c>
      <c r="I73" s="184">
        <f>H73/H80*100</f>
        <v>12.763106012544318</v>
      </c>
      <c r="J73" s="183">
        <f>D20</f>
        <v>282341.66666666663</v>
      </c>
      <c r="K73" s="184">
        <f>J73/J80*100</f>
        <v>14.870884773529951</v>
      </c>
      <c r="L73" s="183">
        <f>E20</f>
        <v>225891.66666666666</v>
      </c>
      <c r="M73" s="184">
        <f>L73/L80*100</f>
        <v>12.63258438436868</v>
      </c>
      <c r="N73" s="183">
        <f>(F73+H73+J73+L73)/4</f>
        <v>228479.16666666666</v>
      </c>
      <c r="O73" s="185">
        <f>N73/N80*100</f>
        <v>13.085480821863102</v>
      </c>
    </row>
    <row r="74" spans="1:18" x14ac:dyDescent="0.35">
      <c r="E74" s="181" t="s">
        <v>85</v>
      </c>
      <c r="F74" s="183">
        <f>B29</f>
        <v>875281.94</v>
      </c>
      <c r="G74" s="184">
        <f>F74/F80*100</f>
        <v>56.503224227053792</v>
      </c>
      <c r="H74" s="183">
        <f>C29</f>
        <v>918756.94</v>
      </c>
      <c r="I74" s="184">
        <f>H74/H80*100</f>
        <v>52.550437576939103</v>
      </c>
      <c r="J74" s="183">
        <f>D29</f>
        <v>1098294.44</v>
      </c>
      <c r="K74" s="184">
        <f>J74/J80*100</f>
        <v>57.846970507300043</v>
      </c>
      <c r="L74" s="183">
        <f>E29</f>
        <v>879404.44</v>
      </c>
      <c r="M74" s="184">
        <f>L74/L80*100</f>
        <v>49.179108553311615</v>
      </c>
      <c r="N74" s="183">
        <f>(F74+H74+J74+L74)/4</f>
        <v>942934.44</v>
      </c>
      <c r="O74" s="185">
        <f>N74/N80*100</f>
        <v>54.003831994430818</v>
      </c>
    </row>
    <row r="75" spans="1:18" x14ac:dyDescent="0.35">
      <c r="E75" s="181" t="s">
        <v>143</v>
      </c>
      <c r="F75" s="183">
        <v>89815</v>
      </c>
      <c r="G75" s="184">
        <f>F75/F80*100</f>
        <v>5.7979456127620281</v>
      </c>
      <c r="H75" s="183">
        <v>245460</v>
      </c>
      <c r="I75" s="184">
        <f>H75/H80*100</f>
        <v>14.039654935978469</v>
      </c>
      <c r="J75" s="183">
        <v>220455</v>
      </c>
      <c r="K75" s="184">
        <f>J75/J80*100</f>
        <v>11.611325177232832</v>
      </c>
      <c r="L75" s="183">
        <v>128005</v>
      </c>
      <c r="M75" s="184">
        <f>L75/L80*100</f>
        <v>7.1584489502539403</v>
      </c>
      <c r="N75" s="183">
        <f t="shared" ref="N75:N79" si="13">(F75+H75+J75+L75)/4</f>
        <v>170933.75</v>
      </c>
      <c r="O75" s="186">
        <f>N75/N80*100</f>
        <v>9.7897341804357456</v>
      </c>
    </row>
    <row r="76" spans="1:18" x14ac:dyDescent="0.35">
      <c r="E76" s="181" t="s">
        <v>139</v>
      </c>
      <c r="F76" s="183">
        <v>113835</v>
      </c>
      <c r="G76" s="184">
        <f>F76/F80*100</f>
        <v>7.3485402085260301</v>
      </c>
      <c r="H76" s="183">
        <v>60875</v>
      </c>
      <c r="I76" s="184">
        <f>H76/H80*100</f>
        <v>3.4818870456599411</v>
      </c>
      <c r="J76" s="183">
        <v>0</v>
      </c>
      <c r="K76" s="184">
        <v>0</v>
      </c>
      <c r="L76" s="183">
        <v>222675</v>
      </c>
      <c r="M76" s="184">
        <f>L76/L80*100</f>
        <v>12.452698097713341</v>
      </c>
      <c r="N76" s="183">
        <f t="shared" si="13"/>
        <v>99346.25</v>
      </c>
      <c r="O76" s="185">
        <f>N76/N80*100</f>
        <v>5.6897679909503811</v>
      </c>
    </row>
    <row r="77" spans="1:18" x14ac:dyDescent="0.35">
      <c r="E77" s="181" t="s">
        <v>87</v>
      </c>
      <c r="F77" s="183">
        <v>107383</v>
      </c>
      <c r="G77" s="184">
        <f>F77/F80*100</f>
        <v>6.9320357817204785</v>
      </c>
      <c r="H77" s="183">
        <v>106087</v>
      </c>
      <c r="I77" s="184">
        <f>H77/H80*100</f>
        <v>6.0678924191035106</v>
      </c>
      <c r="J77" s="183">
        <v>120000</v>
      </c>
      <c r="K77" s="184">
        <f>J77/J80*100</f>
        <v>6.3203784049712626</v>
      </c>
      <c r="L77" s="183">
        <v>118268</v>
      </c>
      <c r="M77" s="184">
        <f>L77/L80*100</f>
        <v>6.613924772068537</v>
      </c>
      <c r="N77" s="183">
        <f t="shared" si="13"/>
        <v>112934.5</v>
      </c>
      <c r="O77" s="186">
        <f>N77/N80*100</f>
        <v>6.4679955526654078</v>
      </c>
    </row>
    <row r="78" spans="1:18" x14ac:dyDescent="0.35">
      <c r="E78" s="181" t="s">
        <v>328</v>
      </c>
      <c r="F78" s="183">
        <v>26500</v>
      </c>
      <c r="G78" s="184">
        <f>F78/F80*100</f>
        <v>1.7106892917462979</v>
      </c>
      <c r="H78" s="183">
        <v>14500</v>
      </c>
      <c r="I78" s="184">
        <f>H78/H80*100</f>
        <v>0.82936118541386694</v>
      </c>
      <c r="J78" s="183">
        <v>0</v>
      </c>
      <c r="K78" s="184">
        <f>0</f>
        <v>0</v>
      </c>
      <c r="L78" s="183">
        <v>23500</v>
      </c>
      <c r="M78" s="184">
        <f>L78/L80*100</f>
        <v>1.3141951512125902</v>
      </c>
      <c r="N78" s="183">
        <f t="shared" si="13"/>
        <v>16125</v>
      </c>
      <c r="O78" s="185">
        <f>N78/N80*100</f>
        <v>0.92351255184845815</v>
      </c>
    </row>
    <row r="79" spans="1:18" x14ac:dyDescent="0.35">
      <c r="E79" s="181" t="s">
        <v>339</v>
      </c>
      <c r="F79" s="183">
        <v>153726.56862745096</v>
      </c>
      <c r="G79" s="184">
        <f>F79/F80*100</f>
        <v>9.9237130116182168</v>
      </c>
      <c r="H79" s="183">
        <v>179512.96078431371</v>
      </c>
      <c r="I79" s="184">
        <f>H79/H80*100</f>
        <v>10.267660824360787</v>
      </c>
      <c r="J79" s="183">
        <v>177529.39215686274</v>
      </c>
      <c r="K79" s="184">
        <f>J79/J80*100</f>
        <v>9.3504411369659159</v>
      </c>
      <c r="L79" s="183">
        <v>190422.5882352941</v>
      </c>
      <c r="M79" s="184">
        <f>L79/L80*100</f>
        <v>10.649040091071281</v>
      </c>
      <c r="N79" s="183">
        <f t="shared" si="13"/>
        <v>175297.87745098039</v>
      </c>
      <c r="O79" s="185">
        <f>N79/N80*100</f>
        <v>10.03967690780609</v>
      </c>
    </row>
    <row r="80" spans="1:18" s="171" customFormat="1" x14ac:dyDescent="0.35">
      <c r="E80" s="67" t="s">
        <v>332</v>
      </c>
      <c r="F80" s="187">
        <f>SUM(F73:F79)</f>
        <v>1549083.1752941175</v>
      </c>
      <c r="G80" s="67"/>
      <c r="H80" s="187">
        <f>SUM(H73:H79)</f>
        <v>1748333.5674509804</v>
      </c>
      <c r="I80" s="67"/>
      <c r="J80" s="187">
        <f>SUM(J73:J79)</f>
        <v>1898620.4988235291</v>
      </c>
      <c r="K80" s="188"/>
      <c r="L80" s="187">
        <f>SUM(L73:L79)</f>
        <v>1788166.6949019609</v>
      </c>
      <c r="M80" s="67"/>
      <c r="N80" s="187">
        <f>(F80+H80+J80+L80)/4</f>
        <v>1746050.9841176469</v>
      </c>
      <c r="O80" s="103"/>
    </row>
    <row r="81" spans="5:15" x14ac:dyDescent="0.35">
      <c r="E81" s="181" t="s">
        <v>336</v>
      </c>
      <c r="F81" s="183">
        <f>F80/F89</f>
        <v>176.2524946289814</v>
      </c>
      <c r="G81" s="181"/>
      <c r="H81" s="183">
        <f>H80/G89</f>
        <v>205.27575055195263</v>
      </c>
      <c r="I81" s="181"/>
      <c r="J81" s="183">
        <f>J80/H89</f>
        <v>180.78656435188813</v>
      </c>
      <c r="K81" s="181"/>
      <c r="L81" s="183">
        <f>L80/I89</f>
        <v>246.5756611833923</v>
      </c>
      <c r="M81" s="181"/>
      <c r="N81" s="183">
        <f>(F81+H81+J81+L81)/4</f>
        <v>202.22261767905363</v>
      </c>
      <c r="O81" s="4"/>
    </row>
    <row r="82" spans="5:15" x14ac:dyDescent="0.35">
      <c r="E82" s="181" t="s">
        <v>338</v>
      </c>
      <c r="F82" s="183">
        <f>F80/F88</f>
        <v>182.69644713929915</v>
      </c>
      <c r="G82" s="181"/>
      <c r="H82" s="183">
        <f>H80/G88</f>
        <v>214.38792979165916</v>
      </c>
      <c r="I82" s="181"/>
      <c r="J82" s="183">
        <f>J80/H88</f>
        <v>187.16684728149932</v>
      </c>
      <c r="K82" s="181"/>
      <c r="L82" s="183">
        <f>L80/I88</f>
        <v>260.36206972946434</v>
      </c>
      <c r="M82" s="181"/>
      <c r="N82" s="183">
        <f>(F82+H82+J82+L82)/4</f>
        <v>211.15332348548048</v>
      </c>
      <c r="O82" s="4"/>
    </row>
    <row r="83" spans="5:15" x14ac:dyDescent="0.35">
      <c r="E83" s="181" t="s">
        <v>337</v>
      </c>
      <c r="F83" s="183">
        <f>F80/F87</f>
        <v>4997.0425009487662</v>
      </c>
      <c r="G83" s="181"/>
      <c r="H83" s="183">
        <f>H80/G87</f>
        <v>4829.650738814863</v>
      </c>
      <c r="I83" s="181"/>
      <c r="J83" s="183">
        <f>J80/H87</f>
        <v>5303.4092145908635</v>
      </c>
      <c r="K83" s="181"/>
      <c r="L83" s="183">
        <f>L80/I87</f>
        <v>4656.6841013071898</v>
      </c>
      <c r="M83" s="181"/>
      <c r="N83" s="183">
        <f>(F83+H83+J83+L83)/4</f>
        <v>4946.6966389154204</v>
      </c>
      <c r="O83" s="4"/>
    </row>
    <row r="84" spans="5:15" x14ac:dyDescent="0.35">
      <c r="E84" s="25"/>
      <c r="F84" s="170"/>
      <c r="G84" s="25"/>
      <c r="H84" s="25"/>
      <c r="I84" s="25"/>
      <c r="J84" s="25"/>
      <c r="K84" s="25"/>
      <c r="L84" s="25"/>
      <c r="M84" s="25"/>
      <c r="N84" s="25"/>
    </row>
    <row r="85" spans="5:15" x14ac:dyDescent="0.35">
      <c r="F85" s="234" t="s">
        <v>320</v>
      </c>
      <c r="G85" s="234"/>
      <c r="H85" s="234"/>
      <c r="I85" s="234"/>
    </row>
    <row r="86" spans="5:15" x14ac:dyDescent="0.35">
      <c r="F86" s="25" t="s">
        <v>51</v>
      </c>
      <c r="G86" s="25" t="s">
        <v>52</v>
      </c>
      <c r="H86" s="25" t="s">
        <v>53</v>
      </c>
      <c r="I86" s="48" t="s">
        <v>54</v>
      </c>
      <c r="J86" s="25" t="s">
        <v>311</v>
      </c>
      <c r="K86" s="25" t="s">
        <v>312</v>
      </c>
      <c r="L86" s="25" t="s">
        <v>325</v>
      </c>
    </row>
    <row r="87" spans="5:15" x14ac:dyDescent="0.35">
      <c r="E87" t="s">
        <v>327</v>
      </c>
      <c r="F87">
        <v>310</v>
      </c>
      <c r="G87">
        <v>362</v>
      </c>
      <c r="H87">
        <v>358</v>
      </c>
      <c r="I87">
        <v>384</v>
      </c>
      <c r="J87">
        <v>228</v>
      </c>
      <c r="K87">
        <v>296</v>
      </c>
      <c r="L87" s="167">
        <f>SUM(F87:K87)</f>
        <v>1938</v>
      </c>
    </row>
    <row r="88" spans="5:15" x14ac:dyDescent="0.35">
      <c r="E88" s="28" t="s">
        <v>324</v>
      </c>
      <c r="F88">
        <v>8479</v>
      </c>
      <c r="G88">
        <v>8155</v>
      </c>
      <c r="H88">
        <v>10144</v>
      </c>
      <c r="I88">
        <v>6868</v>
      </c>
    </row>
    <row r="89" spans="5:15" x14ac:dyDescent="0.35">
      <c r="E89" s="167" t="s">
        <v>321</v>
      </c>
      <c r="F89" s="167">
        <f>SUM(F87:F88)</f>
        <v>8789</v>
      </c>
      <c r="G89" s="167">
        <f>SUM(G87:G88)</f>
        <v>8517</v>
      </c>
      <c r="H89" s="167">
        <f>SUM(H87:H88)</f>
        <v>10502</v>
      </c>
      <c r="I89" s="167">
        <f>SUM(I87:I88)</f>
        <v>7252</v>
      </c>
      <c r="J89" s="3"/>
      <c r="K89" s="39"/>
      <c r="L89" s="3"/>
    </row>
    <row r="90" spans="5:15" x14ac:dyDescent="0.35">
      <c r="E90" t="s">
        <v>326</v>
      </c>
      <c r="F90">
        <f>F92*F87</f>
        <v>153726.56862745096</v>
      </c>
      <c r="G90">
        <f>F92*G87</f>
        <v>179512.96078431371</v>
      </c>
      <c r="H90" s="3">
        <f>F92*H87</f>
        <v>177529.39215686274</v>
      </c>
      <c r="I90" s="39">
        <f>F92*I87</f>
        <v>190422.5882352941</v>
      </c>
      <c r="J90" s="3"/>
      <c r="K90" s="39"/>
      <c r="L90" s="3"/>
    </row>
    <row r="91" spans="5:15" x14ac:dyDescent="0.35">
      <c r="E91" t="s">
        <v>322</v>
      </c>
      <c r="F91">
        <v>961039</v>
      </c>
      <c r="H91" s="3"/>
      <c r="I91" s="39"/>
      <c r="J91" s="3"/>
      <c r="K91" s="39"/>
      <c r="L91" s="3"/>
    </row>
    <row r="92" spans="5:15" x14ac:dyDescent="0.35">
      <c r="E92" t="s">
        <v>323</v>
      </c>
      <c r="F92" s="58">
        <f>F91/L87</f>
        <v>495.89215686274508</v>
      </c>
      <c r="H92" s="3"/>
      <c r="I92" s="39"/>
      <c r="J92" s="3"/>
      <c r="K92" s="39"/>
      <c r="L92" s="3"/>
    </row>
    <row r="94" spans="5:15" x14ac:dyDescent="0.35">
      <c r="E94" s="220"/>
      <c r="F94" s="220"/>
      <c r="G94" s="220"/>
      <c r="H94" s="220"/>
      <c r="I94" s="220"/>
    </row>
  </sheetData>
  <mergeCells count="20">
    <mergeCell ref="O16:Q16"/>
    <mergeCell ref="S16:T16"/>
    <mergeCell ref="B33:E33"/>
    <mergeCell ref="K54:M54"/>
    <mergeCell ref="K55:M55"/>
    <mergeCell ref="A42:E42"/>
    <mergeCell ref="H42:J42"/>
    <mergeCell ref="A34:E34"/>
    <mergeCell ref="Q35:U35"/>
    <mergeCell ref="H32:K32"/>
    <mergeCell ref="E94:I94"/>
    <mergeCell ref="A1:E1"/>
    <mergeCell ref="G1:N1"/>
    <mergeCell ref="H2:N2"/>
    <mergeCell ref="G16:I16"/>
    <mergeCell ref="K16:M16"/>
    <mergeCell ref="A2:E2"/>
    <mergeCell ref="F85:I85"/>
    <mergeCell ref="F71:M71"/>
    <mergeCell ref="E70:M7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5"/>
  <sheetViews>
    <sheetView zoomScale="81" zoomScaleNormal="81" workbookViewId="0">
      <selection activeCell="L78" sqref="L78"/>
    </sheetView>
  </sheetViews>
  <sheetFormatPr defaultRowHeight="14.5" x14ac:dyDescent="0.35"/>
  <cols>
    <col min="1" max="1" width="37.81640625" customWidth="1"/>
    <col min="2" max="2" width="11.54296875" bestFit="1" customWidth="1"/>
    <col min="3" max="3" width="26.453125" customWidth="1"/>
    <col min="4" max="4" width="12.453125" customWidth="1"/>
    <col min="5" max="5" width="11.453125" customWidth="1"/>
    <col min="6" max="6" width="16.7265625" customWidth="1"/>
    <col min="7" max="7" width="20.54296875" customWidth="1"/>
    <col min="8" max="8" width="12.54296875" customWidth="1"/>
    <col min="9" max="9" width="10.54296875" customWidth="1"/>
    <col min="10" max="10" width="13.81640625" customWidth="1"/>
    <col min="11" max="11" width="10.26953125" customWidth="1"/>
    <col min="12" max="12" width="21.81640625" customWidth="1"/>
    <col min="13" max="13" width="14.54296875" customWidth="1"/>
    <col min="14" max="14" width="17.54296875" customWidth="1"/>
    <col min="15" max="15" width="8.453125" customWidth="1"/>
    <col min="16" max="16" width="14.26953125" customWidth="1"/>
    <col min="17" max="17" width="17" customWidth="1"/>
    <col min="19" max="19" width="24.54296875" customWidth="1"/>
    <col min="20" max="20" width="12.1796875" customWidth="1"/>
    <col min="21" max="21" width="12.54296875" customWidth="1"/>
  </cols>
  <sheetData>
    <row r="1" spans="1:25" x14ac:dyDescent="0.35">
      <c r="A1" s="232" t="s">
        <v>149</v>
      </c>
      <c r="B1" s="232"/>
      <c r="C1" s="232"/>
      <c r="D1" s="232"/>
      <c r="E1" s="232"/>
      <c r="G1" s="232" t="s">
        <v>149</v>
      </c>
      <c r="H1" s="232"/>
      <c r="I1" s="232"/>
      <c r="J1" s="232"/>
      <c r="K1" s="232"/>
      <c r="L1" s="232"/>
      <c r="M1" s="232"/>
      <c r="N1" s="232"/>
      <c r="O1" s="32"/>
      <c r="Q1" t="s">
        <v>149</v>
      </c>
    </row>
    <row r="2" spans="1:25" x14ac:dyDescent="0.35">
      <c r="A2" s="3"/>
      <c r="B2" s="233" t="s">
        <v>141</v>
      </c>
      <c r="C2" s="233"/>
      <c r="D2" s="233"/>
      <c r="E2" s="233"/>
      <c r="G2" s="3"/>
      <c r="H2" s="233" t="s">
        <v>141</v>
      </c>
      <c r="I2" s="233"/>
      <c r="J2" s="233"/>
      <c r="K2" s="233"/>
      <c r="L2" s="233"/>
      <c r="M2" s="233"/>
      <c r="N2" s="233"/>
      <c r="O2" s="36"/>
      <c r="R2" t="s">
        <v>141</v>
      </c>
    </row>
    <row r="3" spans="1:25" x14ac:dyDescent="0.35">
      <c r="A3" s="30" t="s">
        <v>97</v>
      </c>
      <c r="B3" s="30" t="s">
        <v>51</v>
      </c>
      <c r="C3" s="30" t="s">
        <v>52</v>
      </c>
      <c r="D3" s="30" t="s">
        <v>53</v>
      </c>
      <c r="E3" s="30" t="s">
        <v>54</v>
      </c>
      <c r="F3" s="37" t="s">
        <v>228</v>
      </c>
      <c r="G3" s="25" t="s">
        <v>97</v>
      </c>
      <c r="H3" s="37" t="s">
        <v>51</v>
      </c>
      <c r="I3" s="38" t="s">
        <v>227</v>
      </c>
      <c r="J3" s="38" t="s">
        <v>52</v>
      </c>
      <c r="K3" s="38" t="s">
        <v>225</v>
      </c>
      <c r="L3" s="38" t="s">
        <v>53</v>
      </c>
      <c r="M3" s="38" t="s">
        <v>225</v>
      </c>
      <c r="N3" s="38" t="s">
        <v>54</v>
      </c>
      <c r="O3" s="38" t="s">
        <v>225</v>
      </c>
      <c r="Q3" t="s">
        <v>97</v>
      </c>
      <c r="R3" t="s">
        <v>51</v>
      </c>
      <c r="S3" t="s">
        <v>227</v>
      </c>
      <c r="T3" t="s">
        <v>52</v>
      </c>
      <c r="U3" t="s">
        <v>225</v>
      </c>
      <c r="V3" t="s">
        <v>53</v>
      </c>
      <c r="W3" t="s">
        <v>225</v>
      </c>
      <c r="X3" t="s">
        <v>54</v>
      </c>
      <c r="Y3" t="s">
        <v>225</v>
      </c>
    </row>
    <row r="4" spans="1:25" x14ac:dyDescent="0.35">
      <c r="A4" s="28"/>
      <c r="B4" s="28"/>
      <c r="C4" s="28"/>
      <c r="D4" s="28"/>
      <c r="E4" s="28"/>
      <c r="G4" s="3"/>
      <c r="H4" s="3"/>
      <c r="I4" s="3"/>
      <c r="J4" s="3"/>
      <c r="K4" s="3"/>
      <c r="L4" s="3"/>
      <c r="M4" s="3"/>
      <c r="N4" s="3"/>
      <c r="O4" s="3"/>
    </row>
    <row r="5" spans="1:25" x14ac:dyDescent="0.35">
      <c r="A5" s="37" t="s">
        <v>142</v>
      </c>
      <c r="B5" s="28">
        <f t="shared" ref="B5:E5" si="0">B17</f>
        <v>262000</v>
      </c>
      <c r="C5" s="28">
        <f t="shared" si="0"/>
        <v>271500</v>
      </c>
      <c r="D5" s="28">
        <f t="shared" si="0"/>
        <v>349800</v>
      </c>
      <c r="E5" s="28">
        <f t="shared" si="0"/>
        <v>262450</v>
      </c>
      <c r="F5" s="80">
        <f>SUM(B5:E5)</f>
        <v>1145750</v>
      </c>
      <c r="G5" s="25" t="s">
        <v>142</v>
      </c>
      <c r="H5" s="3">
        <f>B5</f>
        <v>262000</v>
      </c>
      <c r="I5" s="39">
        <f>H5/H9*100</f>
        <v>21.175805000449746</v>
      </c>
      <c r="J5" s="3">
        <f>C5</f>
        <v>271500</v>
      </c>
      <c r="K5" s="39">
        <f>J5/J9*100</f>
        <v>20.990802850738131</v>
      </c>
      <c r="L5" s="3">
        <f>D5</f>
        <v>349800</v>
      </c>
      <c r="M5" s="39">
        <f>L5/L9*100</f>
        <v>22.260601501689482</v>
      </c>
      <c r="N5" s="3">
        <f>E5</f>
        <v>262450</v>
      </c>
      <c r="O5" s="39">
        <f>N5/N9*100</f>
        <v>21.132965113794597</v>
      </c>
      <c r="Q5" t="s">
        <v>142</v>
      </c>
      <c r="R5">
        <v>1126000</v>
      </c>
      <c r="S5">
        <v>91.007467292009196</v>
      </c>
      <c r="T5">
        <v>1171500</v>
      </c>
      <c r="U5">
        <v>90.57357473163799</v>
      </c>
      <c r="V5">
        <v>1429800</v>
      </c>
      <c r="W5">
        <v>90.989731352531805</v>
      </c>
      <c r="X5">
        <v>1126450</v>
      </c>
      <c r="Y5">
        <v>90.703861887726873</v>
      </c>
    </row>
    <row r="6" spans="1:25" x14ac:dyDescent="0.35">
      <c r="A6" s="37" t="s">
        <v>85</v>
      </c>
      <c r="B6" s="53">
        <f>B25</f>
        <v>878011.11</v>
      </c>
      <c r="C6" s="53">
        <f>C25</f>
        <v>921423.61</v>
      </c>
      <c r="D6" s="53">
        <f>D25</f>
        <v>1100961.1100000001</v>
      </c>
      <c r="E6" s="53">
        <f>E25</f>
        <v>882573.61</v>
      </c>
      <c r="F6" s="162">
        <f>SUM(B6:E6)</f>
        <v>3782969.44</v>
      </c>
      <c r="G6" s="25" t="s">
        <v>85</v>
      </c>
      <c r="H6" s="39">
        <f>B6</f>
        <v>878011.11</v>
      </c>
      <c r="I6" s="39">
        <f>H6/H9*100</f>
        <v>70.96409180758944</v>
      </c>
      <c r="J6" s="39">
        <f>C6</f>
        <v>921423.61</v>
      </c>
      <c r="K6" s="39">
        <f>J6/J9*100</f>
        <v>71.239120955894734</v>
      </c>
      <c r="L6" s="39">
        <f>D6</f>
        <v>1100961.1100000001</v>
      </c>
      <c r="M6" s="39">
        <f>L6/L9*100</f>
        <v>70.063054712886569</v>
      </c>
      <c r="N6" s="39">
        <f>E6</f>
        <v>882573.61</v>
      </c>
      <c r="O6" s="39">
        <f>N6/N9*100</f>
        <v>71.066478607299516</v>
      </c>
      <c r="Q6" t="s">
        <v>85</v>
      </c>
      <c r="R6">
        <v>14011.11</v>
      </c>
      <c r="S6">
        <v>1.1324295160299671</v>
      </c>
      <c r="T6">
        <v>21423.61</v>
      </c>
      <c r="U6">
        <v>1.6563490749948502</v>
      </c>
      <c r="V6">
        <v>20961.11</v>
      </c>
      <c r="W6">
        <v>1.3339248620442496</v>
      </c>
      <c r="X6">
        <v>18573.61</v>
      </c>
      <c r="Y6">
        <v>1.4955818333672184</v>
      </c>
    </row>
    <row r="7" spans="1:25" x14ac:dyDescent="0.35">
      <c r="A7" s="37" t="s">
        <v>143</v>
      </c>
      <c r="B7" s="28">
        <f>B20</f>
        <v>1250</v>
      </c>
      <c r="C7" s="28">
        <f>C20</f>
        <v>500</v>
      </c>
      <c r="D7" s="28">
        <f>D20</f>
        <v>625</v>
      </c>
      <c r="E7" s="28">
        <f>E20</f>
        <v>875</v>
      </c>
      <c r="F7" s="80">
        <f>SUM(B7:E7)</f>
        <v>3250</v>
      </c>
      <c r="G7" s="25" t="s">
        <v>143</v>
      </c>
      <c r="H7" s="3">
        <f>B7</f>
        <v>1250</v>
      </c>
      <c r="I7" s="39">
        <f>H7/H9*100</f>
        <v>0.10102960400977933</v>
      </c>
      <c r="J7" s="3">
        <f>C7</f>
        <v>500</v>
      </c>
      <c r="K7" s="39">
        <f>J7/J9*100</f>
        <v>3.8657095489388824E-2</v>
      </c>
      <c r="L7" s="3">
        <f>D7</f>
        <v>625</v>
      </c>
      <c r="M7" s="39">
        <f>L7/L9*100</f>
        <v>3.9773801997015232E-2</v>
      </c>
      <c r="N7" s="3">
        <f>E7</f>
        <v>875</v>
      </c>
      <c r="O7" s="39">
        <f>N7/N9*100</f>
        <v>7.0456637357859675E-2</v>
      </c>
      <c r="Q7" t="s">
        <v>143</v>
      </c>
      <c r="R7">
        <v>1250</v>
      </c>
      <c r="S7">
        <v>0.10102960400977931</v>
      </c>
      <c r="T7">
        <v>500</v>
      </c>
      <c r="U7">
        <v>3.865709548938881E-2</v>
      </c>
      <c r="V7">
        <v>625</v>
      </c>
      <c r="W7">
        <v>3.9773801997015232E-2</v>
      </c>
      <c r="X7">
        <v>875</v>
      </c>
      <c r="Y7">
        <v>7.0456637357859661E-2</v>
      </c>
    </row>
    <row r="8" spans="1:25" x14ac:dyDescent="0.35">
      <c r="A8" s="37" t="s">
        <v>87</v>
      </c>
      <c r="B8" s="28">
        <f>B33</f>
        <v>96000</v>
      </c>
      <c r="C8" s="28">
        <f>C33</f>
        <v>100000</v>
      </c>
      <c r="D8" s="28">
        <v>120000</v>
      </c>
      <c r="E8" s="28">
        <v>96000</v>
      </c>
      <c r="F8" s="80">
        <f>SUM(B8:E8)</f>
        <v>412000</v>
      </c>
      <c r="G8" s="25" t="s">
        <v>87</v>
      </c>
      <c r="H8" s="3">
        <f>B8</f>
        <v>96000</v>
      </c>
      <c r="I8" s="39">
        <f>H8/H9*100</f>
        <v>7.7590735879510513</v>
      </c>
      <c r="J8" s="26">
        <f>C8</f>
        <v>100000</v>
      </c>
      <c r="K8" s="40">
        <f>J8/J9*100</f>
        <v>7.7314190978777644</v>
      </c>
      <c r="L8" s="26">
        <f>D8</f>
        <v>120000</v>
      </c>
      <c r="M8" s="40">
        <f>L8/L9*100</f>
        <v>7.6365699834269245</v>
      </c>
      <c r="N8" s="26">
        <f>E8</f>
        <v>96000</v>
      </c>
      <c r="O8" s="40">
        <f>N8/N9*100</f>
        <v>7.7300996415480343</v>
      </c>
      <c r="Q8" t="s">
        <v>87</v>
      </c>
      <c r="R8">
        <v>96000</v>
      </c>
      <c r="S8">
        <v>7.7590735879510504</v>
      </c>
      <c r="T8">
        <v>100000</v>
      </c>
      <c r="U8">
        <v>7.7314190978777635</v>
      </c>
      <c r="V8">
        <v>120000</v>
      </c>
      <c r="W8">
        <v>7.6365699834269245</v>
      </c>
      <c r="X8">
        <v>96000</v>
      </c>
      <c r="Y8">
        <v>7.7300996415480316</v>
      </c>
    </row>
    <row r="9" spans="1:25" x14ac:dyDescent="0.35">
      <c r="A9" s="41" t="s">
        <v>27</v>
      </c>
      <c r="B9" s="29">
        <f>SUM(B5:B8)</f>
        <v>1237261.1099999999</v>
      </c>
      <c r="C9" s="108">
        <f>SUM(C5:C8)</f>
        <v>1293423.6099999999</v>
      </c>
      <c r="D9" s="107">
        <f>SUM(D5:D8)</f>
        <v>1571386.11</v>
      </c>
      <c r="E9" s="107">
        <f>SUM(E5:E8)</f>
        <v>1241898.6099999999</v>
      </c>
      <c r="F9" s="80">
        <f>SUM(B9:E9)</f>
        <v>5343969.4399999995</v>
      </c>
      <c r="G9" s="42" t="s">
        <v>27</v>
      </c>
      <c r="H9" s="43">
        <f>B9</f>
        <v>1237261.1099999999</v>
      </c>
      <c r="I9" s="44"/>
      <c r="J9" s="39">
        <f>C9</f>
        <v>1293423.6099999999</v>
      </c>
      <c r="K9" s="39"/>
      <c r="L9" s="39">
        <f>D9</f>
        <v>1571386.11</v>
      </c>
      <c r="M9" s="3"/>
      <c r="N9" s="39">
        <f>E9</f>
        <v>1241898.6099999999</v>
      </c>
      <c r="O9" s="3"/>
      <c r="Q9" t="s">
        <v>27</v>
      </c>
      <c r="R9">
        <v>1237261.1100000001</v>
      </c>
      <c r="T9">
        <v>1293423.6100000001</v>
      </c>
      <c r="V9">
        <v>1571386.11</v>
      </c>
      <c r="X9">
        <v>1241898.6100000001</v>
      </c>
    </row>
    <row r="10" spans="1:25" x14ac:dyDescent="0.35">
      <c r="A10" s="37"/>
      <c r="B10" s="28"/>
      <c r="C10" s="164"/>
      <c r="D10" s="53"/>
      <c r="E10" s="53"/>
      <c r="F10" s="80"/>
      <c r="G10" s="25" t="s">
        <v>318</v>
      </c>
      <c r="H10" s="3">
        <f>P19*H18</f>
        <v>244966.26692913385</v>
      </c>
      <c r="I10" s="39"/>
      <c r="J10" s="39">
        <f>P19*I18</f>
        <v>270752.18976377952</v>
      </c>
      <c r="K10" s="39"/>
      <c r="L10" s="39">
        <f>P19*J18</f>
        <v>364519.1818897638</v>
      </c>
      <c r="M10" s="3"/>
      <c r="N10" s="39">
        <f>P19*K18</f>
        <v>251998.79133858267</v>
      </c>
      <c r="O10" s="3"/>
      <c r="Q10" t="s">
        <v>318</v>
      </c>
      <c r="R10">
        <v>244966.26692913385</v>
      </c>
      <c r="T10">
        <v>270752.18976377952</v>
      </c>
      <c r="V10">
        <v>364519.1818897638</v>
      </c>
      <c r="X10">
        <v>251998.79133858267</v>
      </c>
    </row>
    <row r="11" spans="1:25" x14ac:dyDescent="0.35">
      <c r="A11" s="37"/>
      <c r="B11" s="28"/>
      <c r="C11" s="164"/>
      <c r="D11" s="53"/>
      <c r="E11" s="53"/>
      <c r="F11" s="80"/>
      <c r="G11" s="172" t="s">
        <v>319</v>
      </c>
      <c r="H11" s="173">
        <f t="shared" ref="H11:N11" si="1">SUM(H9:H10)</f>
        <v>1482227.3769291337</v>
      </c>
      <c r="I11" s="173">
        <f t="shared" si="1"/>
        <v>0</v>
      </c>
      <c r="J11" s="174">
        <f t="shared" si="1"/>
        <v>1564175.7997637794</v>
      </c>
      <c r="K11" s="173">
        <f t="shared" si="1"/>
        <v>0</v>
      </c>
      <c r="L11" s="174">
        <f>SUM(L9:L10)</f>
        <v>1935905.2918897639</v>
      </c>
      <c r="M11" s="173">
        <f t="shared" si="1"/>
        <v>0</v>
      </c>
      <c r="N11" s="174">
        <f t="shared" si="1"/>
        <v>1493897.4013385826</v>
      </c>
      <c r="O11" s="3"/>
      <c r="Q11" t="s">
        <v>319</v>
      </c>
      <c r="R11">
        <v>1482227.3769291339</v>
      </c>
      <c r="S11">
        <v>0</v>
      </c>
      <c r="T11">
        <v>1564175.7997637796</v>
      </c>
      <c r="U11">
        <v>0</v>
      </c>
      <c r="V11">
        <v>1935905.2918897639</v>
      </c>
      <c r="W11">
        <v>0</v>
      </c>
      <c r="X11">
        <v>1493897.4013385829</v>
      </c>
    </row>
    <row r="12" spans="1:25" x14ac:dyDescent="0.35">
      <c r="A12" s="205" t="s">
        <v>348</v>
      </c>
      <c r="B12" s="206">
        <f>10/100*B21</f>
        <v>96000</v>
      </c>
      <c r="C12" s="206">
        <f>10/100*C21</f>
        <v>100000</v>
      </c>
      <c r="D12" s="206">
        <f>10/100*D21</f>
        <v>120000</v>
      </c>
      <c r="E12" s="206">
        <f>10/100*E21</f>
        <v>96000</v>
      </c>
      <c r="G12" s="165" t="s">
        <v>236</v>
      </c>
      <c r="H12" s="166">
        <f>H11/H24</f>
        <v>168.85707187618291</v>
      </c>
      <c r="I12" s="167"/>
      <c r="J12" s="166">
        <f>J11/I24</f>
        <v>161.221995440505</v>
      </c>
      <c r="K12" s="167"/>
      <c r="L12" s="166">
        <f>L11/J24</f>
        <v>148.20894900396294</v>
      </c>
      <c r="M12" s="167"/>
      <c r="N12" s="166">
        <f>N11/K24</f>
        <v>165.43714300538014</v>
      </c>
      <c r="Q12" t="s">
        <v>236</v>
      </c>
      <c r="R12">
        <v>168.85707187618294</v>
      </c>
      <c r="T12">
        <v>161.221995440505</v>
      </c>
      <c r="V12">
        <v>148.20894900396294</v>
      </c>
      <c r="X12">
        <v>165.43714300538016</v>
      </c>
    </row>
    <row r="13" spans="1:25" x14ac:dyDescent="0.35">
      <c r="A13" s="189" t="s">
        <v>144</v>
      </c>
      <c r="B13" s="189" t="s">
        <v>51</v>
      </c>
      <c r="C13" s="189" t="s">
        <v>52</v>
      </c>
      <c r="D13" s="189" t="s">
        <v>53</v>
      </c>
      <c r="E13" s="189" t="s">
        <v>54</v>
      </c>
    </row>
    <row r="14" spans="1:25" x14ac:dyDescent="0.35">
      <c r="A14" s="190" t="s">
        <v>168</v>
      </c>
      <c r="B14" s="190">
        <v>126800</v>
      </c>
      <c r="C14" s="190">
        <v>121200</v>
      </c>
      <c r="D14" s="190">
        <v>174600</v>
      </c>
      <c r="E14" s="190">
        <v>103200</v>
      </c>
    </row>
    <row r="15" spans="1:25" x14ac:dyDescent="0.35">
      <c r="A15" s="190" t="s">
        <v>145</v>
      </c>
      <c r="B15" s="190">
        <f>3200+B12</f>
        <v>99200</v>
      </c>
      <c r="C15" s="190">
        <f>14300+C12</f>
        <v>114300</v>
      </c>
      <c r="D15" s="190">
        <f>19200+D12</f>
        <v>139200</v>
      </c>
      <c r="E15" s="190">
        <f>27250+E12</f>
        <v>123250</v>
      </c>
      <c r="F15" s="207" t="s">
        <v>351</v>
      </c>
    </row>
    <row r="16" spans="1:25" x14ac:dyDescent="0.35">
      <c r="A16" s="190" t="s">
        <v>146</v>
      </c>
      <c r="B16" s="191">
        <f>'HR+ Moni District Level correct'!$R$7</f>
        <v>36000.000000000007</v>
      </c>
      <c r="C16" s="191">
        <f>'HR+ Moni District Level correct'!$R$7</f>
        <v>36000.000000000007</v>
      </c>
      <c r="D16" s="191">
        <f>'HR+ Moni District Level correct'!$R$7</f>
        <v>36000.000000000007</v>
      </c>
      <c r="E16" s="191">
        <f>'HR+ Moni District Level correct'!$R$7</f>
        <v>36000.000000000007</v>
      </c>
      <c r="G16" s="234" t="s">
        <v>310</v>
      </c>
      <c r="H16" s="234"/>
      <c r="I16" s="234"/>
      <c r="J16" s="234"/>
      <c r="K16" s="234"/>
      <c r="L16" s="234"/>
      <c r="M16" s="234"/>
    </row>
    <row r="17" spans="1:22" x14ac:dyDescent="0.35">
      <c r="A17" s="189" t="s">
        <v>147</v>
      </c>
      <c r="B17" s="189">
        <f>SUM(B14:B16)</f>
        <v>262000</v>
      </c>
      <c r="C17" s="189">
        <f>SUM(C14:C16)</f>
        <v>271500</v>
      </c>
      <c r="D17" s="189">
        <f>SUM(D14:D16)</f>
        <v>349800</v>
      </c>
      <c r="E17" s="189">
        <f>SUM(E14:E16)</f>
        <v>262450</v>
      </c>
      <c r="H17" s="163" t="s">
        <v>51</v>
      </c>
      <c r="I17" s="163" t="s">
        <v>52</v>
      </c>
      <c r="J17" s="163" t="s">
        <v>53</v>
      </c>
      <c r="K17" s="163" t="s">
        <v>54</v>
      </c>
      <c r="L17" s="163" t="s">
        <v>311</v>
      </c>
      <c r="M17" s="163" t="s">
        <v>312</v>
      </c>
      <c r="N17" s="163" t="s">
        <v>316</v>
      </c>
      <c r="P17" s="88" t="s">
        <v>315</v>
      </c>
    </row>
    <row r="18" spans="1:22" x14ac:dyDescent="0.35">
      <c r="A18" s="28"/>
      <c r="B18" s="28"/>
      <c r="C18" s="28"/>
      <c r="D18" s="28"/>
      <c r="E18" s="28"/>
      <c r="H18">
        <v>418</v>
      </c>
      <c r="I18">
        <v>462</v>
      </c>
      <c r="J18">
        <v>622</v>
      </c>
      <c r="K18">
        <v>430</v>
      </c>
      <c r="L18">
        <v>228</v>
      </c>
      <c r="M18">
        <v>380</v>
      </c>
      <c r="N18">
        <f>SUM(H18:M18)</f>
        <v>2540</v>
      </c>
      <c r="P18">
        <v>1488551</v>
      </c>
    </row>
    <row r="19" spans="1:22" x14ac:dyDescent="0.35">
      <c r="A19" s="189" t="s">
        <v>86</v>
      </c>
      <c r="B19" s="189" t="s">
        <v>51</v>
      </c>
      <c r="C19" s="189" t="s">
        <v>52</v>
      </c>
      <c r="D19" s="189" t="s">
        <v>53</v>
      </c>
      <c r="E19" s="189" t="s">
        <v>54</v>
      </c>
      <c r="O19" t="s">
        <v>317</v>
      </c>
      <c r="P19" s="58">
        <f>P18/N18</f>
        <v>586.04370078740158</v>
      </c>
    </row>
    <row r="20" spans="1:22" x14ac:dyDescent="0.35">
      <c r="A20" s="190"/>
      <c r="B20" s="190">
        <v>1250</v>
      </c>
      <c r="C20" s="190">
        <v>500</v>
      </c>
      <c r="D20" s="190">
        <v>625</v>
      </c>
      <c r="E20" s="190">
        <v>875</v>
      </c>
      <c r="H20" s="234" t="s">
        <v>313</v>
      </c>
      <c r="I20" s="234"/>
      <c r="J20" s="234"/>
      <c r="K20" s="234"/>
      <c r="L20" s="234"/>
    </row>
    <row r="21" spans="1:22" x14ac:dyDescent="0.35">
      <c r="A21" s="28"/>
      <c r="B21" s="28">
        <v>960000</v>
      </c>
      <c r="C21" s="28">
        <v>1000000</v>
      </c>
      <c r="D21" s="28">
        <v>1200000</v>
      </c>
      <c r="E21" s="28">
        <v>960000</v>
      </c>
      <c r="H21" s="88" t="s">
        <v>51</v>
      </c>
      <c r="I21" s="88" t="s">
        <v>52</v>
      </c>
      <c r="J21" s="88" t="s">
        <v>53</v>
      </c>
      <c r="K21" s="88" t="s">
        <v>54</v>
      </c>
    </row>
    <row r="22" spans="1:22" x14ac:dyDescent="0.35">
      <c r="A22" s="189" t="s">
        <v>85</v>
      </c>
      <c r="B22" s="189" t="s">
        <v>51</v>
      </c>
      <c r="C22" s="189" t="s">
        <v>52</v>
      </c>
      <c r="D22" s="189" t="s">
        <v>53</v>
      </c>
      <c r="E22" s="189" t="s">
        <v>54</v>
      </c>
      <c r="H22">
        <v>8360</v>
      </c>
      <c r="I22">
        <v>9240</v>
      </c>
      <c r="J22">
        <v>12440</v>
      </c>
      <c r="K22">
        <v>8600</v>
      </c>
      <c r="M22">
        <f>SUM(H22:K22)</f>
        <v>38640</v>
      </c>
    </row>
    <row r="23" spans="1:22" x14ac:dyDescent="0.35">
      <c r="A23" s="190" t="s">
        <v>145</v>
      </c>
      <c r="B23" s="190">
        <f>650+B26</f>
        <v>864650</v>
      </c>
      <c r="C23" s="190">
        <f>8062.5+C26</f>
        <v>908062.5</v>
      </c>
      <c r="D23" s="190">
        <f>7600+D26</f>
        <v>1087600</v>
      </c>
      <c r="E23" s="190">
        <f>5212.5+E26</f>
        <v>869212.5</v>
      </c>
    </row>
    <row r="24" spans="1:22" x14ac:dyDescent="0.35">
      <c r="A24" s="190" t="s">
        <v>146</v>
      </c>
      <c r="B24" s="191">
        <v>13361.11</v>
      </c>
      <c r="C24" s="191">
        <f>B24</f>
        <v>13361.11</v>
      </c>
      <c r="D24" s="191">
        <f>C24</f>
        <v>13361.11</v>
      </c>
      <c r="E24" s="191">
        <f>D24</f>
        <v>13361.11</v>
      </c>
      <c r="G24" s="88" t="s">
        <v>314</v>
      </c>
      <c r="H24">
        <f>H22+H18</f>
        <v>8778</v>
      </c>
      <c r="I24">
        <f>I22+I18</f>
        <v>9702</v>
      </c>
      <c r="J24">
        <f>J22+J18</f>
        <v>13062</v>
      </c>
      <c r="K24">
        <f>K22+K18</f>
        <v>9030</v>
      </c>
    </row>
    <row r="25" spans="1:22" x14ac:dyDescent="0.35">
      <c r="A25" s="189" t="s">
        <v>29</v>
      </c>
      <c r="B25" s="192">
        <f>SUM(B23:B24)</f>
        <v>878011.11</v>
      </c>
      <c r="C25" s="192">
        <f>SUM(C23:C24)</f>
        <v>921423.61</v>
      </c>
      <c r="D25" s="192">
        <f>SUM(D23:D24)</f>
        <v>1100961.1100000001</v>
      </c>
      <c r="E25" s="192">
        <f>SUM(E23:E24)</f>
        <v>882573.61</v>
      </c>
    </row>
    <row r="26" spans="1:22" x14ac:dyDescent="0.35">
      <c r="A26" s="166" t="s">
        <v>349</v>
      </c>
      <c r="B26" s="166">
        <f>90/100*B21</f>
        <v>864000</v>
      </c>
      <c r="C26" s="166">
        <f>90/100*C21</f>
        <v>900000</v>
      </c>
      <c r="D26" s="166">
        <f>90/100*D21</f>
        <v>1080000</v>
      </c>
      <c r="E26" s="166">
        <f>90/100*E21</f>
        <v>864000</v>
      </c>
    </row>
    <row r="27" spans="1:22" x14ac:dyDescent="0.35">
      <c r="A27" s="25" t="s">
        <v>139</v>
      </c>
      <c r="B27" s="25" t="s">
        <v>51</v>
      </c>
      <c r="C27" s="25" t="s">
        <v>52</v>
      </c>
      <c r="D27" s="25" t="s">
        <v>53</v>
      </c>
      <c r="E27" s="25" t="s">
        <v>54</v>
      </c>
      <c r="G27" s="9"/>
    </row>
    <row r="28" spans="1:22" x14ac:dyDescent="0.35">
      <c r="B28" s="25">
        <v>0</v>
      </c>
      <c r="C28" s="25">
        <v>0</v>
      </c>
      <c r="D28" s="25">
        <v>0</v>
      </c>
      <c r="E28" s="25">
        <v>0</v>
      </c>
      <c r="G28" s="9"/>
      <c r="H28" s="232" t="s">
        <v>148</v>
      </c>
      <c r="I28" s="232"/>
      <c r="J28" s="232"/>
      <c r="L28" s="232" t="s">
        <v>150</v>
      </c>
      <c r="M28" s="232"/>
      <c r="N28" s="232"/>
      <c r="P28" s="232" t="s">
        <v>152</v>
      </c>
      <c r="Q28" s="232"/>
      <c r="R28" s="232"/>
      <c r="T28" s="232" t="s">
        <v>151</v>
      </c>
      <c r="U28" s="232"/>
      <c r="V28" s="232"/>
    </row>
    <row r="29" spans="1:22" x14ac:dyDescent="0.35">
      <c r="B29" s="233" t="s">
        <v>160</v>
      </c>
      <c r="C29" s="233"/>
      <c r="D29" s="233"/>
      <c r="E29" s="233"/>
      <c r="G29" s="9"/>
      <c r="H29" s="25" t="s">
        <v>97</v>
      </c>
      <c r="I29" s="38" t="s">
        <v>51</v>
      </c>
      <c r="J29" s="38" t="s">
        <v>226</v>
      </c>
      <c r="L29" s="25" t="s">
        <v>97</v>
      </c>
      <c r="M29" s="38" t="s">
        <v>52</v>
      </c>
      <c r="N29" s="38" t="s">
        <v>225</v>
      </c>
      <c r="P29" s="25" t="s">
        <v>97</v>
      </c>
      <c r="Q29" s="38" t="s">
        <v>53</v>
      </c>
      <c r="R29" s="38" t="s">
        <v>225</v>
      </c>
      <c r="T29" s="25" t="s">
        <v>97</v>
      </c>
      <c r="U29" s="38" t="s">
        <v>54</v>
      </c>
      <c r="V29" s="38" t="s">
        <v>225</v>
      </c>
    </row>
    <row r="30" spans="1:22" x14ac:dyDescent="0.35">
      <c r="A30" s="28" t="s">
        <v>158</v>
      </c>
      <c r="B30" s="3" t="s">
        <v>51</v>
      </c>
      <c r="C30" s="3" t="s">
        <v>52</v>
      </c>
      <c r="D30" s="3" t="s">
        <v>53</v>
      </c>
      <c r="E30" s="3" t="s">
        <v>54</v>
      </c>
      <c r="G30" s="9"/>
      <c r="H30" s="3"/>
      <c r="I30" s="3"/>
      <c r="J30" s="3"/>
      <c r="L30" s="3"/>
      <c r="M30" s="3"/>
      <c r="N30" s="3"/>
      <c r="P30" s="3"/>
      <c r="Q30" s="3"/>
      <c r="R30" s="3"/>
      <c r="T30" s="3"/>
      <c r="U30" s="3"/>
      <c r="V30" s="3"/>
    </row>
    <row r="31" spans="1:22" x14ac:dyDescent="0.35">
      <c r="A31" s="28" t="s">
        <v>139</v>
      </c>
      <c r="B31" s="3">
        <v>0</v>
      </c>
      <c r="C31" s="3">
        <v>0</v>
      </c>
      <c r="D31" s="3">
        <v>0</v>
      </c>
      <c r="E31" s="39">
        <v>0</v>
      </c>
      <c r="G31" s="37"/>
      <c r="H31" s="25" t="s">
        <v>142</v>
      </c>
      <c r="I31" s="3">
        <f>H5</f>
        <v>262000</v>
      </c>
      <c r="J31" s="39">
        <f>I31/I35*100</f>
        <v>21.175805000449746</v>
      </c>
      <c r="L31" s="25" t="s">
        <v>142</v>
      </c>
      <c r="M31" s="3">
        <f>J5</f>
        <v>271500</v>
      </c>
      <c r="N31" s="39">
        <f>M31/M35*100</f>
        <v>20.990802850738131</v>
      </c>
      <c r="P31" s="25" t="s">
        <v>142</v>
      </c>
      <c r="Q31" s="3">
        <f>L5</f>
        <v>349800</v>
      </c>
      <c r="R31" s="39">
        <f>Q31/Q35*100</f>
        <v>22.260601501689482</v>
      </c>
      <c r="T31" s="25" t="s">
        <v>142</v>
      </c>
      <c r="U31" s="3">
        <f>N5</f>
        <v>262450</v>
      </c>
      <c r="V31" s="39">
        <f>U31/U35*100</f>
        <v>21.132965113794597</v>
      </c>
    </row>
    <row r="32" spans="1:22" x14ac:dyDescent="0.35">
      <c r="A32" s="28" t="s">
        <v>140</v>
      </c>
      <c r="B32" s="3">
        <v>96000</v>
      </c>
      <c r="C32" s="3">
        <v>100000</v>
      </c>
      <c r="D32" s="3">
        <v>120000</v>
      </c>
      <c r="E32" s="39">
        <v>96000</v>
      </c>
      <c r="G32" s="52"/>
      <c r="H32" s="25" t="s">
        <v>85</v>
      </c>
      <c r="I32" s="39">
        <f>H6</f>
        <v>878011.11</v>
      </c>
      <c r="J32" s="39">
        <f>I32/I35*100</f>
        <v>70.96409180758944</v>
      </c>
      <c r="L32" s="25" t="s">
        <v>85</v>
      </c>
      <c r="M32" s="39">
        <f>J6</f>
        <v>921423.61</v>
      </c>
      <c r="N32" s="39">
        <f>M32/M35*100</f>
        <v>71.239120955894734</v>
      </c>
      <c r="P32" s="25" t="s">
        <v>85</v>
      </c>
      <c r="Q32" s="39">
        <f>L6</f>
        <v>1100961.1100000001</v>
      </c>
      <c r="R32" s="39">
        <f>Q32/Q35*100</f>
        <v>70.063054712886569</v>
      </c>
      <c r="T32" s="25" t="s">
        <v>85</v>
      </c>
      <c r="U32" s="39">
        <f>N6</f>
        <v>882573.61</v>
      </c>
      <c r="V32" s="39">
        <f>U32/U35*100</f>
        <v>71.066478607299516</v>
      </c>
    </row>
    <row r="33" spans="1:22" x14ac:dyDescent="0.35">
      <c r="A33" s="28" t="s">
        <v>136</v>
      </c>
      <c r="B33" s="3">
        <v>96000</v>
      </c>
      <c r="C33" s="3">
        <v>100000</v>
      </c>
      <c r="D33" s="3">
        <v>120000</v>
      </c>
      <c r="E33" s="39">
        <v>96000</v>
      </c>
      <c r="G33" s="37"/>
      <c r="H33" s="25" t="s">
        <v>143</v>
      </c>
      <c r="I33" s="3">
        <f>H7</f>
        <v>1250</v>
      </c>
      <c r="J33" s="39">
        <f>I33/I35*100</f>
        <v>0.10102960400977933</v>
      </c>
      <c r="L33" s="25" t="s">
        <v>143</v>
      </c>
      <c r="M33" s="3">
        <f>J7</f>
        <v>500</v>
      </c>
      <c r="N33" s="39">
        <f>M33/M35*100</f>
        <v>3.8657095489388824E-2</v>
      </c>
      <c r="P33" s="25" t="s">
        <v>143</v>
      </c>
      <c r="Q33" s="3">
        <f>L7</f>
        <v>625</v>
      </c>
      <c r="R33" s="39">
        <f>Q33/Q35*100</f>
        <v>3.9773801997015232E-2</v>
      </c>
      <c r="T33" s="25" t="s">
        <v>143</v>
      </c>
      <c r="U33" s="3">
        <f>N7</f>
        <v>875</v>
      </c>
      <c r="V33" s="39">
        <f>U33/U35*100</f>
        <v>7.0456637357859675E-2</v>
      </c>
    </row>
    <row r="34" spans="1:22" x14ac:dyDescent="0.35">
      <c r="A34" s="37"/>
      <c r="C34" s="25"/>
      <c r="D34" s="3"/>
      <c r="E34" s="39"/>
      <c r="G34" s="25"/>
      <c r="H34" s="25" t="s">
        <v>87</v>
      </c>
      <c r="I34" s="3">
        <f>H8</f>
        <v>96000</v>
      </c>
      <c r="J34" s="39">
        <f>I34/I35*100</f>
        <v>7.7590735879510513</v>
      </c>
      <c r="L34" s="59" t="s">
        <v>87</v>
      </c>
      <c r="M34" s="26">
        <f>J8</f>
        <v>100000</v>
      </c>
      <c r="N34" s="40">
        <f>M34/M35*100</f>
        <v>7.7314190978777644</v>
      </c>
      <c r="P34" s="25" t="s">
        <v>87</v>
      </c>
      <c r="Q34" s="3">
        <f>L8</f>
        <v>120000</v>
      </c>
      <c r="R34" s="39">
        <f>Q34/Q35*100</f>
        <v>7.6365699834269245</v>
      </c>
      <c r="T34" s="59" t="s">
        <v>87</v>
      </c>
      <c r="U34" s="26">
        <f>N8</f>
        <v>96000</v>
      </c>
      <c r="V34" s="40">
        <f>U34/U35*100</f>
        <v>7.7300996415480343</v>
      </c>
    </row>
    <row r="35" spans="1:22" x14ac:dyDescent="0.35">
      <c r="H35" s="42" t="s">
        <v>27</v>
      </c>
      <c r="I35" s="43">
        <f>H9</f>
        <v>1237261.1099999999</v>
      </c>
      <c r="J35" s="44"/>
      <c r="L35" s="25" t="s">
        <v>27</v>
      </c>
      <c r="M35" s="39">
        <f>J9</f>
        <v>1293423.6099999999</v>
      </c>
      <c r="N35" s="39"/>
      <c r="P35" s="42" t="s">
        <v>27</v>
      </c>
      <c r="Q35" s="44">
        <f>L9</f>
        <v>1571386.11</v>
      </c>
      <c r="R35" s="43"/>
      <c r="T35" s="25" t="s">
        <v>27</v>
      </c>
      <c r="U35" s="39">
        <f>N9</f>
        <v>1241898.6099999999</v>
      </c>
      <c r="V35" s="3"/>
    </row>
    <row r="36" spans="1:22" x14ac:dyDescent="0.35">
      <c r="A36" t="s">
        <v>149</v>
      </c>
    </row>
    <row r="37" spans="1:22" x14ac:dyDescent="0.35">
      <c r="B37" t="s">
        <v>141</v>
      </c>
    </row>
    <row r="38" spans="1:22" x14ac:dyDescent="0.35">
      <c r="A38" t="s">
        <v>97</v>
      </c>
      <c r="B38" t="s">
        <v>51</v>
      </c>
      <c r="C38" t="s">
        <v>52</v>
      </c>
      <c r="D38" t="s">
        <v>53</v>
      </c>
      <c r="E38" t="s">
        <v>54</v>
      </c>
      <c r="F38" t="s">
        <v>29</v>
      </c>
      <c r="H38" s="25"/>
      <c r="M38" t="s">
        <v>94</v>
      </c>
      <c r="N38" t="s">
        <v>95</v>
      </c>
      <c r="O38" t="s">
        <v>96</v>
      </c>
      <c r="P38" t="s">
        <v>166</v>
      </c>
    </row>
    <row r="39" spans="1:22" x14ac:dyDescent="0.35">
      <c r="H39" s="25"/>
      <c r="M39">
        <f>E55*15</f>
        <v>1200</v>
      </c>
      <c r="N39">
        <f>D55*15</f>
        <v>1170</v>
      </c>
      <c r="O39">
        <f>C55*15</f>
        <v>2700</v>
      </c>
      <c r="P39">
        <f>B55*15</f>
        <v>900</v>
      </c>
    </row>
    <row r="40" spans="1:22" x14ac:dyDescent="0.35">
      <c r="A40" t="s">
        <v>142</v>
      </c>
      <c r="B40">
        <v>1178500</v>
      </c>
      <c r="C40">
        <v>1224000</v>
      </c>
      <c r="D40">
        <v>1482300</v>
      </c>
      <c r="E40">
        <v>1178950</v>
      </c>
      <c r="F40" s="114">
        <f>SUM(B40:E40)</f>
        <v>5063750</v>
      </c>
    </row>
    <row r="41" spans="1:22" x14ac:dyDescent="0.35">
      <c r="A41" t="s">
        <v>85</v>
      </c>
      <c r="B41">
        <v>11261.1111111111</v>
      </c>
      <c r="C41">
        <v>18673.611111111109</v>
      </c>
      <c r="D41">
        <v>18211.111111111109</v>
      </c>
      <c r="E41">
        <v>15823.611111111109</v>
      </c>
      <c r="F41" s="114">
        <f t="shared" ref="F41:F42" si="2">SUM(B41:E41)</f>
        <v>63969.444444444431</v>
      </c>
    </row>
    <row r="42" spans="1:22" x14ac:dyDescent="0.35">
      <c r="A42" t="s">
        <v>143</v>
      </c>
      <c r="B42">
        <v>1250</v>
      </c>
      <c r="C42">
        <v>500</v>
      </c>
      <c r="D42">
        <v>625</v>
      </c>
      <c r="E42">
        <v>875</v>
      </c>
      <c r="F42" s="114">
        <f t="shared" si="2"/>
        <v>3250</v>
      </c>
      <c r="H42" s="112"/>
    </row>
    <row r="43" spans="1:22" x14ac:dyDescent="0.35">
      <c r="A43" t="s">
        <v>139</v>
      </c>
      <c r="F43" s="114">
        <v>0</v>
      </c>
    </row>
    <row r="44" spans="1:22" x14ac:dyDescent="0.35">
      <c r="A44" t="s">
        <v>87</v>
      </c>
      <c r="B44">
        <v>96000</v>
      </c>
      <c r="C44">
        <v>100000</v>
      </c>
      <c r="D44">
        <v>120000</v>
      </c>
      <c r="E44">
        <v>96000</v>
      </c>
      <c r="F44" s="114">
        <f>SUM(B44:E44)</f>
        <v>412000</v>
      </c>
      <c r="I44" s="112"/>
    </row>
    <row r="45" spans="1:22" x14ac:dyDescent="0.35">
      <c r="A45" t="s">
        <v>27</v>
      </c>
      <c r="B45" s="112">
        <v>1287011.111111111</v>
      </c>
      <c r="C45" s="112">
        <v>1343173.611111111</v>
      </c>
      <c r="D45" s="112">
        <v>1621136.111111111</v>
      </c>
      <c r="E45">
        <v>1291648.611111111</v>
      </c>
      <c r="F45" s="115">
        <f>SUM(F40:F44)</f>
        <v>5542969.444444444</v>
      </c>
    </row>
    <row r="47" spans="1:22" x14ac:dyDescent="0.35">
      <c r="G47" t="s">
        <v>238</v>
      </c>
      <c r="H47" t="s">
        <v>42</v>
      </c>
      <c r="I47" t="s">
        <v>142</v>
      </c>
      <c r="J47" t="s">
        <v>85</v>
      </c>
      <c r="K47" t="s">
        <v>239</v>
      </c>
      <c r="L47" t="s">
        <v>143</v>
      </c>
      <c r="M47" t="s">
        <v>87</v>
      </c>
      <c r="N47" t="s">
        <v>330</v>
      </c>
      <c r="O47" t="s">
        <v>331</v>
      </c>
      <c r="P47" t="s">
        <v>244</v>
      </c>
    </row>
    <row r="48" spans="1:22" x14ac:dyDescent="0.35">
      <c r="B48" t="s">
        <v>220</v>
      </c>
      <c r="G48">
        <v>1</v>
      </c>
      <c r="H48" t="s">
        <v>51</v>
      </c>
      <c r="I48">
        <v>1046541.6666666666</v>
      </c>
      <c r="J48">
        <v>11281.94</v>
      </c>
      <c r="K48">
        <v>113835</v>
      </c>
      <c r="L48">
        <v>89815</v>
      </c>
      <c r="M48">
        <v>107383</v>
      </c>
      <c r="N48">
        <v>153726.56862745096</v>
      </c>
      <c r="O48">
        <v>26500</v>
      </c>
      <c r="P48">
        <v>1</v>
      </c>
    </row>
    <row r="49" spans="1:16" x14ac:dyDescent="0.35">
      <c r="A49" s="242"/>
      <c r="B49" s="243" t="s">
        <v>132</v>
      </c>
      <c r="C49" s="243"/>
      <c r="D49" s="243"/>
      <c r="E49" s="243"/>
      <c r="G49">
        <v>1</v>
      </c>
      <c r="H49" t="s">
        <v>52</v>
      </c>
      <c r="I49">
        <v>1077300</v>
      </c>
      <c r="J49">
        <v>18756.940000000002</v>
      </c>
      <c r="K49">
        <v>60875</v>
      </c>
      <c r="L49">
        <v>245460</v>
      </c>
      <c r="M49">
        <v>106087</v>
      </c>
      <c r="N49">
        <v>179512.96078431371</v>
      </c>
      <c r="O49">
        <v>14500</v>
      </c>
      <c r="P49">
        <v>1</v>
      </c>
    </row>
    <row r="50" spans="1:16" x14ac:dyDescent="0.35">
      <c r="A50" s="242"/>
      <c r="B50" s="119" t="s">
        <v>54</v>
      </c>
      <c r="C50" s="119" t="s">
        <v>53</v>
      </c>
      <c r="D50" s="119" t="s">
        <v>52</v>
      </c>
      <c r="E50" s="119" t="s">
        <v>51</v>
      </c>
      <c r="G50">
        <v>1</v>
      </c>
      <c r="H50" t="s">
        <v>53</v>
      </c>
      <c r="I50">
        <v>1362341.6666666667</v>
      </c>
      <c r="J50">
        <v>18294.440000000002</v>
      </c>
      <c r="K50">
        <v>0</v>
      </c>
      <c r="L50">
        <v>220455</v>
      </c>
      <c r="M50">
        <v>120000</v>
      </c>
      <c r="N50">
        <v>177529.39215686274</v>
      </c>
      <c r="O50">
        <v>0</v>
      </c>
      <c r="P50">
        <v>1</v>
      </c>
    </row>
    <row r="51" spans="1:16" ht="26" x14ac:dyDescent="0.35">
      <c r="A51" s="120" t="s">
        <v>230</v>
      </c>
      <c r="B51" s="19">
        <v>18</v>
      </c>
      <c r="C51" s="19">
        <v>311</v>
      </c>
      <c r="D51" s="19">
        <v>231</v>
      </c>
      <c r="E51" s="19">
        <v>209</v>
      </c>
      <c r="G51">
        <v>1</v>
      </c>
      <c r="H51" t="s">
        <v>54</v>
      </c>
      <c r="I51">
        <v>1089891.6666666667</v>
      </c>
      <c r="J51">
        <v>15404.44</v>
      </c>
      <c r="K51">
        <v>222675</v>
      </c>
      <c r="L51">
        <v>128005</v>
      </c>
      <c r="M51">
        <v>118268</v>
      </c>
      <c r="N51">
        <v>190422.5882352941</v>
      </c>
      <c r="O51">
        <v>23500</v>
      </c>
      <c r="P51">
        <v>1</v>
      </c>
    </row>
    <row r="52" spans="1:16" ht="26" x14ac:dyDescent="0.35">
      <c r="A52" s="121" t="s">
        <v>231</v>
      </c>
      <c r="B52" s="19">
        <v>215</v>
      </c>
      <c r="C52" s="19">
        <v>29</v>
      </c>
      <c r="D52" s="19">
        <v>21</v>
      </c>
      <c r="E52" s="19">
        <v>22</v>
      </c>
      <c r="G52">
        <v>2</v>
      </c>
      <c r="H52" t="s">
        <v>240</v>
      </c>
      <c r="I52">
        <v>462528.75</v>
      </c>
      <c r="J52">
        <v>17908.330000000002</v>
      </c>
      <c r="K52">
        <v>0</v>
      </c>
      <c r="L52">
        <v>2400</v>
      </c>
      <c r="M52">
        <v>36000</v>
      </c>
      <c r="N52">
        <v>0</v>
      </c>
      <c r="O52">
        <v>0</v>
      </c>
      <c r="P52">
        <v>2</v>
      </c>
    </row>
    <row r="53" spans="1:16" ht="26" x14ac:dyDescent="0.35">
      <c r="A53" s="120" t="s">
        <v>232</v>
      </c>
      <c r="B53" s="19"/>
      <c r="C53" s="19"/>
      <c r="D53" s="19"/>
      <c r="E53" s="19"/>
      <c r="G53">
        <v>2</v>
      </c>
      <c r="H53" t="s">
        <v>241</v>
      </c>
      <c r="I53">
        <v>390481.25</v>
      </c>
      <c r="J53">
        <v>14389.58</v>
      </c>
      <c r="K53">
        <v>0</v>
      </c>
      <c r="L53">
        <v>281.25</v>
      </c>
      <c r="M53">
        <v>36000</v>
      </c>
      <c r="N53">
        <v>0</v>
      </c>
      <c r="O53">
        <v>0</v>
      </c>
      <c r="P53">
        <v>2</v>
      </c>
    </row>
    <row r="54" spans="1:16" ht="26" x14ac:dyDescent="0.35">
      <c r="A54" s="122" t="s">
        <v>233</v>
      </c>
      <c r="B54" s="19">
        <v>8</v>
      </c>
      <c r="C54" s="19">
        <v>12</v>
      </c>
      <c r="D54" s="19">
        <v>10</v>
      </c>
      <c r="E54" s="19">
        <v>8</v>
      </c>
      <c r="G54">
        <v>2</v>
      </c>
      <c r="H54" t="s">
        <v>242</v>
      </c>
      <c r="I54">
        <v>457481.25</v>
      </c>
      <c r="J54">
        <v>15983.33</v>
      </c>
      <c r="K54">
        <v>0</v>
      </c>
      <c r="L54">
        <v>1687.5</v>
      </c>
      <c r="M54">
        <v>36000</v>
      </c>
      <c r="N54">
        <v>0</v>
      </c>
      <c r="O54">
        <v>0</v>
      </c>
      <c r="P54">
        <v>2</v>
      </c>
    </row>
    <row r="55" spans="1:16" ht="26" x14ac:dyDescent="0.35">
      <c r="A55" s="121" t="s">
        <v>234</v>
      </c>
      <c r="B55" s="19">
        <v>60</v>
      </c>
      <c r="C55" s="19">
        <v>180</v>
      </c>
      <c r="D55" s="19">
        <v>78</v>
      </c>
      <c r="E55" s="19">
        <v>80</v>
      </c>
      <c r="G55">
        <v>2</v>
      </c>
      <c r="H55" t="s">
        <v>243</v>
      </c>
      <c r="I55">
        <v>448346.25</v>
      </c>
      <c r="J55">
        <v>12827.08</v>
      </c>
      <c r="K55">
        <v>0</v>
      </c>
      <c r="L55">
        <v>1000</v>
      </c>
      <c r="M55">
        <v>36000</v>
      </c>
      <c r="N55">
        <v>0</v>
      </c>
      <c r="O55">
        <v>0</v>
      </c>
      <c r="P55">
        <v>2</v>
      </c>
    </row>
    <row r="56" spans="1:16" x14ac:dyDescent="0.35">
      <c r="G56">
        <v>1</v>
      </c>
      <c r="H56" t="s">
        <v>51</v>
      </c>
      <c r="I56">
        <f>B5</f>
        <v>262000</v>
      </c>
      <c r="J56" s="58">
        <f>B6</f>
        <v>878011.11</v>
      </c>
      <c r="K56">
        <v>0</v>
      </c>
      <c r="L56">
        <f>B7</f>
        <v>1250</v>
      </c>
      <c r="M56">
        <f>B8</f>
        <v>96000</v>
      </c>
      <c r="N56">
        <f>H10</f>
        <v>244966.26692913385</v>
      </c>
      <c r="O56">
        <v>0</v>
      </c>
      <c r="P56">
        <v>2</v>
      </c>
    </row>
    <row r="57" spans="1:16" x14ac:dyDescent="0.35">
      <c r="G57">
        <v>1</v>
      </c>
      <c r="H57" t="s">
        <v>52</v>
      </c>
      <c r="I57">
        <f>C5</f>
        <v>271500</v>
      </c>
      <c r="J57" s="58">
        <f>C6</f>
        <v>921423.61</v>
      </c>
      <c r="K57">
        <v>0</v>
      </c>
      <c r="L57">
        <f>C7</f>
        <v>500</v>
      </c>
      <c r="M57">
        <f>C8</f>
        <v>100000</v>
      </c>
      <c r="N57" s="58">
        <f>J10</f>
        <v>270752.18976377952</v>
      </c>
      <c r="O57">
        <v>0</v>
      </c>
      <c r="P57">
        <v>2</v>
      </c>
    </row>
    <row r="58" spans="1:16" x14ac:dyDescent="0.35">
      <c r="G58">
        <v>1</v>
      </c>
      <c r="H58" t="s">
        <v>53</v>
      </c>
      <c r="I58">
        <f>D5</f>
        <v>349800</v>
      </c>
      <c r="J58" s="58">
        <f>D6</f>
        <v>1100961.1100000001</v>
      </c>
      <c r="K58">
        <v>0</v>
      </c>
      <c r="L58">
        <f>D7</f>
        <v>625</v>
      </c>
      <c r="M58">
        <f>D8</f>
        <v>120000</v>
      </c>
      <c r="N58" s="58">
        <f>L10</f>
        <v>364519.1818897638</v>
      </c>
      <c r="O58">
        <v>0</v>
      </c>
      <c r="P58">
        <v>2</v>
      </c>
    </row>
    <row r="59" spans="1:16" x14ac:dyDescent="0.35">
      <c r="G59">
        <v>1</v>
      </c>
      <c r="H59" t="s">
        <v>54</v>
      </c>
      <c r="I59">
        <f>E5</f>
        <v>262450</v>
      </c>
      <c r="J59" s="58">
        <f>E6</f>
        <v>882573.61</v>
      </c>
      <c r="K59">
        <v>0</v>
      </c>
      <c r="L59">
        <f>E7</f>
        <v>875</v>
      </c>
      <c r="M59">
        <f>E8</f>
        <v>96000</v>
      </c>
      <c r="N59" s="58">
        <f>N10</f>
        <v>251998.79133858267</v>
      </c>
      <c r="O59">
        <v>0</v>
      </c>
      <c r="P59">
        <v>2</v>
      </c>
    </row>
    <row r="61" spans="1:16" ht="15.5" x14ac:dyDescent="0.35">
      <c r="B61" t="s">
        <v>344</v>
      </c>
      <c r="C61" s="244" t="s">
        <v>149</v>
      </c>
      <c r="D61" s="245"/>
      <c r="E61" s="245"/>
      <c r="F61" s="245"/>
      <c r="G61" s="245"/>
      <c r="H61" s="245"/>
      <c r="I61" s="245"/>
      <c r="J61" s="245"/>
      <c r="K61" s="245"/>
      <c r="L61" s="245"/>
      <c r="M61" s="246"/>
    </row>
    <row r="62" spans="1:16" x14ac:dyDescent="0.35">
      <c r="C62" s="181"/>
      <c r="D62" s="247" t="s">
        <v>141</v>
      </c>
      <c r="E62" s="247"/>
      <c r="F62" s="247"/>
      <c r="G62" s="247"/>
      <c r="H62" s="247"/>
      <c r="I62" s="247"/>
      <c r="J62" s="247"/>
      <c r="K62" s="247"/>
      <c r="L62" s="247"/>
      <c r="M62" s="247"/>
    </row>
    <row r="63" spans="1:16" x14ac:dyDescent="0.35">
      <c r="C63" s="181" t="s">
        <v>97</v>
      </c>
      <c r="D63" s="182" t="s">
        <v>51</v>
      </c>
      <c r="E63" s="182" t="s">
        <v>227</v>
      </c>
      <c r="F63" s="182" t="s">
        <v>52</v>
      </c>
      <c r="G63" s="182" t="s">
        <v>229</v>
      </c>
      <c r="H63" s="182" t="s">
        <v>53</v>
      </c>
      <c r="I63" s="182" t="s">
        <v>227</v>
      </c>
      <c r="J63" s="182" t="s">
        <v>54</v>
      </c>
      <c r="K63" s="182" t="s">
        <v>227</v>
      </c>
      <c r="L63" s="181" t="s">
        <v>341</v>
      </c>
      <c r="M63" s="181" t="s">
        <v>343</v>
      </c>
    </row>
    <row r="64" spans="1:16" x14ac:dyDescent="0.35">
      <c r="C64" s="181" t="s">
        <v>142</v>
      </c>
      <c r="D64" s="193">
        <f>B17</f>
        <v>262000</v>
      </c>
      <c r="E64" s="193">
        <f>D64/D69*100</f>
        <v>17.67610044707239</v>
      </c>
      <c r="F64" s="193">
        <f>C17</f>
        <v>271500</v>
      </c>
      <c r="G64" s="193">
        <f>F64/F69*100</f>
        <v>17.357383999995506</v>
      </c>
      <c r="H64" s="193">
        <f>D17</f>
        <v>349800</v>
      </c>
      <c r="I64" s="193">
        <f>H64/H69*100</f>
        <v>18.069065747453863</v>
      </c>
      <c r="J64" s="193">
        <f>E17</f>
        <v>262450</v>
      </c>
      <c r="K64" s="193">
        <f>J64/J69*100</f>
        <v>17.56814087532624</v>
      </c>
      <c r="L64" s="193">
        <f>(D64+F64+H64+J64)/4</f>
        <v>286437.5</v>
      </c>
      <c r="M64" s="193">
        <f>L64/L69*100</f>
        <v>17.691685888514389</v>
      </c>
    </row>
    <row r="65" spans="3:13" x14ac:dyDescent="0.35">
      <c r="C65" s="181" t="s">
        <v>85</v>
      </c>
      <c r="D65" s="193">
        <f>B25</f>
        <v>878011.11</v>
      </c>
      <c r="E65" s="193">
        <f>D65/D69*100</f>
        <v>59.235925854982916</v>
      </c>
      <c r="F65" s="193">
        <f>C25</f>
        <v>921423.61</v>
      </c>
      <c r="G65" s="193">
        <f>F65/F69*100</f>
        <v>58.907931585385263</v>
      </c>
      <c r="H65" s="193">
        <f>D25</f>
        <v>1100961.1100000001</v>
      </c>
      <c r="I65" s="193">
        <f>H65/H69*100</f>
        <v>56.870608010233802</v>
      </c>
      <c r="J65" s="193">
        <f>E25</f>
        <v>882573.61</v>
      </c>
      <c r="K65" s="193">
        <f>J65/J69*100</f>
        <v>59.078595973805434</v>
      </c>
      <c r="L65" s="193">
        <f>(D65+F65+H65+J65)/4</f>
        <v>945742.36</v>
      </c>
      <c r="M65" s="193">
        <f>L65/L69*100</f>
        <v>58.413359858895205</v>
      </c>
    </row>
    <row r="66" spans="3:13" x14ac:dyDescent="0.35">
      <c r="C66" s="181" t="s">
        <v>143</v>
      </c>
      <c r="D66" s="193">
        <v>1250</v>
      </c>
      <c r="E66" s="193">
        <f>D66/D69*100</f>
        <v>8.4332540300917885E-2</v>
      </c>
      <c r="F66" s="193">
        <v>500</v>
      </c>
      <c r="G66" s="193">
        <f>F66/F69*100</f>
        <v>3.1965716390415302E-2</v>
      </c>
      <c r="H66" s="193">
        <v>625</v>
      </c>
      <c r="I66" s="193">
        <f>H66/H69*100</f>
        <v>3.2284637198852668E-2</v>
      </c>
      <c r="J66" s="193">
        <v>875</v>
      </c>
      <c r="K66" s="193">
        <f>J66/J69*100</f>
        <v>5.8571626084627397E-2</v>
      </c>
      <c r="L66" s="193">
        <f t="shared" ref="L66:L71" si="3">(D66+F66+H66+J66)/4</f>
        <v>812.5</v>
      </c>
      <c r="M66" s="193">
        <f>L66/L69*100</f>
        <v>5.0183704244094927E-2</v>
      </c>
    </row>
    <row r="67" spans="3:13" x14ac:dyDescent="0.35">
      <c r="C67" s="181" t="s">
        <v>87</v>
      </c>
      <c r="D67" s="193">
        <v>96000</v>
      </c>
      <c r="E67" s="193">
        <f>D67/D69*100</f>
        <v>6.4767390951104939</v>
      </c>
      <c r="F67" s="193">
        <v>100000</v>
      </c>
      <c r="G67" s="193">
        <f>F67/F69*100</f>
        <v>6.393143278083059</v>
      </c>
      <c r="H67" s="193">
        <v>120000</v>
      </c>
      <c r="I67" s="193">
        <f>H67/H69*100</f>
        <v>6.1986503421797119</v>
      </c>
      <c r="J67" s="193">
        <v>96000</v>
      </c>
      <c r="K67" s="193">
        <f>J67/J69*100</f>
        <v>6.4261441189991189</v>
      </c>
      <c r="L67" s="193">
        <f>(D67+F67+H67+J67)/4</f>
        <v>103000</v>
      </c>
      <c r="M67" s="193">
        <f>L67/L69*100</f>
        <v>6.361749584174496</v>
      </c>
    </row>
    <row r="68" spans="3:13" ht="15.5" customHeight="1" x14ac:dyDescent="0.35">
      <c r="C68" s="181" t="s">
        <v>318</v>
      </c>
      <c r="D68" s="193">
        <v>244966.266929134</v>
      </c>
      <c r="E68" s="193">
        <f>D68/D69*100</f>
        <v>16.526902062533281</v>
      </c>
      <c r="F68" s="193">
        <v>270752.18976377952</v>
      </c>
      <c r="G68" s="193">
        <f>F68/F69*100</f>
        <v>17.309575420145759</v>
      </c>
      <c r="H68" s="193">
        <v>364519.1818897638</v>
      </c>
      <c r="I68" s="193">
        <f>H68/H69*100</f>
        <v>18.829391262933775</v>
      </c>
      <c r="J68" s="193">
        <v>251998.79133858267</v>
      </c>
      <c r="K68" s="193">
        <f>J68/J69*100</f>
        <v>16.868547405784575</v>
      </c>
      <c r="L68" s="193">
        <f>(D68+F68+H68+J68)/4</f>
        <v>283059.10748031503</v>
      </c>
      <c r="M68" s="193">
        <f>L68/L69*100</f>
        <v>17.483020964171825</v>
      </c>
    </row>
    <row r="69" spans="3:13" x14ac:dyDescent="0.35">
      <c r="C69" s="67" t="s">
        <v>332</v>
      </c>
      <c r="D69" s="188">
        <f>SUM(D64:D68)</f>
        <v>1482227.3769291339</v>
      </c>
      <c r="E69" s="188"/>
      <c r="F69" s="188">
        <f>SUM(F64:F68)</f>
        <v>1564175.7997637794</v>
      </c>
      <c r="G69" s="188"/>
      <c r="H69" s="188">
        <f>SUM(H64:H68)</f>
        <v>1935905.2918897639</v>
      </c>
      <c r="I69" s="188"/>
      <c r="J69" s="188">
        <f>SUM(J64:J68)</f>
        <v>1493897.4013385826</v>
      </c>
      <c r="K69" s="188"/>
      <c r="L69" s="194">
        <f>(D69+F69+H69+J69)/4</f>
        <v>1619051.4674803149</v>
      </c>
      <c r="M69" s="193"/>
    </row>
    <row r="70" spans="3:13" x14ac:dyDescent="0.35">
      <c r="C70" s="181" t="s">
        <v>333</v>
      </c>
      <c r="D70" s="184">
        <v>168.857071876183</v>
      </c>
      <c r="E70" s="184"/>
      <c r="F70" s="184">
        <v>161.221995440505</v>
      </c>
      <c r="G70" s="184"/>
      <c r="H70" s="184">
        <v>148.20894900396294</v>
      </c>
      <c r="I70" s="184"/>
      <c r="J70" s="184">
        <v>165.43714300537999</v>
      </c>
      <c r="K70" s="184"/>
      <c r="L70" s="193">
        <f t="shared" si="3"/>
        <v>160.93128983150774</v>
      </c>
      <c r="M70" s="193"/>
    </row>
    <row r="71" spans="3:13" x14ac:dyDescent="0.35">
      <c r="C71" s="181" t="s">
        <v>334</v>
      </c>
      <c r="D71" s="184">
        <f>D69/8360</f>
        <v>177.2999254699921</v>
      </c>
      <c r="E71" s="184"/>
      <c r="F71" s="184">
        <f>F69/9240</f>
        <v>169.28309521253024</v>
      </c>
      <c r="G71" s="184"/>
      <c r="H71" s="184">
        <f>H69/12440</f>
        <v>155.61939645416109</v>
      </c>
      <c r="I71" s="184"/>
      <c r="J71" s="184">
        <f>J69/8600</f>
        <v>173.70900015564914</v>
      </c>
      <c r="K71" s="184"/>
      <c r="L71" s="193">
        <f t="shared" si="3"/>
        <v>168.97785432308316</v>
      </c>
      <c r="M71" s="193"/>
    </row>
    <row r="72" spans="3:13" x14ac:dyDescent="0.35">
      <c r="C72" s="181" t="s">
        <v>335</v>
      </c>
      <c r="D72" s="184">
        <f>D69/418</f>
        <v>3545.9985093998421</v>
      </c>
      <c r="E72" s="184"/>
      <c r="F72" s="184">
        <f>F69/462</f>
        <v>3385.6619042506049</v>
      </c>
      <c r="G72" s="184"/>
      <c r="H72" s="184">
        <f>H69/622</f>
        <v>3112.3879290832219</v>
      </c>
      <c r="I72" s="184"/>
      <c r="J72" s="184">
        <f>J69/430</f>
        <v>3474.1800031129828</v>
      </c>
      <c r="K72" s="184"/>
      <c r="L72" s="193">
        <f>(D72+F72+H72+J72)/4</f>
        <v>3379.5570864616629</v>
      </c>
      <c r="M72" s="193"/>
    </row>
    <row r="76" spans="3:13" x14ac:dyDescent="0.35">
      <c r="C76" s="234" t="s">
        <v>310</v>
      </c>
      <c r="D76" s="234"/>
      <c r="E76" s="234"/>
      <c r="F76" s="234"/>
      <c r="G76" s="234"/>
      <c r="H76" s="234"/>
      <c r="I76" s="234"/>
    </row>
    <row r="77" spans="3:13" x14ac:dyDescent="0.35">
      <c r="C77" s="4"/>
      <c r="D77" s="208" t="s">
        <v>51</v>
      </c>
      <c r="E77" s="208" t="s">
        <v>52</v>
      </c>
      <c r="F77" s="208" t="s">
        <v>53</v>
      </c>
      <c r="G77" s="208" t="s">
        <v>54</v>
      </c>
      <c r="H77" s="208" t="s">
        <v>355</v>
      </c>
      <c r="I77" s="163"/>
      <c r="J77" s="209"/>
    </row>
    <row r="78" spans="3:13" x14ac:dyDescent="0.35">
      <c r="C78" s="33" t="s">
        <v>352</v>
      </c>
      <c r="D78" s="4">
        <v>418</v>
      </c>
      <c r="E78" s="4">
        <v>462</v>
      </c>
      <c r="F78" s="4">
        <v>622</v>
      </c>
      <c r="G78" s="4">
        <v>430</v>
      </c>
      <c r="H78" s="4">
        <f>AVERAGE(D78:G78)</f>
        <v>483</v>
      </c>
    </row>
    <row r="79" spans="3:13" x14ac:dyDescent="0.35">
      <c r="C79" s="33" t="s">
        <v>353</v>
      </c>
      <c r="D79" s="4">
        <v>8360</v>
      </c>
      <c r="E79" s="4">
        <v>9240</v>
      </c>
      <c r="F79" s="4">
        <v>12440</v>
      </c>
      <c r="G79" s="4">
        <v>8600</v>
      </c>
      <c r="H79" s="4">
        <f t="shared" ref="H79:H80" si="4">AVERAGE(D79:G79)</f>
        <v>9660</v>
      </c>
    </row>
    <row r="80" spans="3:13" x14ac:dyDescent="0.35">
      <c r="C80" s="33" t="s">
        <v>354</v>
      </c>
      <c r="D80" s="4">
        <f>SUM(D78:D79)</f>
        <v>8778</v>
      </c>
      <c r="E80" s="4">
        <f t="shared" ref="E80:G80" si="5">SUM(E78:E79)</f>
        <v>9702</v>
      </c>
      <c r="F80" s="4">
        <f t="shared" si="5"/>
        <v>13062</v>
      </c>
      <c r="G80" s="4">
        <f t="shared" si="5"/>
        <v>9030</v>
      </c>
      <c r="H80" s="4">
        <f t="shared" si="4"/>
        <v>10143</v>
      </c>
    </row>
    <row r="81" spans="3:8" x14ac:dyDescent="0.35">
      <c r="D81" s="234"/>
      <c r="E81" s="234"/>
      <c r="F81" s="234"/>
      <c r="G81" s="234"/>
      <c r="H81" s="234"/>
    </row>
    <row r="82" spans="3:8" x14ac:dyDescent="0.35">
      <c r="D82" s="88"/>
      <c r="E82" s="88"/>
      <c r="F82" s="88"/>
      <c r="G82" s="88"/>
    </row>
    <row r="85" spans="3:8" x14ac:dyDescent="0.35">
      <c r="C85" s="88"/>
    </row>
  </sheetData>
  <mergeCells count="17">
    <mergeCell ref="C76:I76"/>
    <mergeCell ref="D81:H81"/>
    <mergeCell ref="D62:M62"/>
    <mergeCell ref="P28:R28"/>
    <mergeCell ref="T28:V28"/>
    <mergeCell ref="A49:A50"/>
    <mergeCell ref="B49:E49"/>
    <mergeCell ref="B29:E29"/>
    <mergeCell ref="C61:M61"/>
    <mergeCell ref="A1:E1"/>
    <mergeCell ref="G1:N1"/>
    <mergeCell ref="B2:E2"/>
    <mergeCell ref="H2:N2"/>
    <mergeCell ref="H28:J28"/>
    <mergeCell ref="L28:N28"/>
    <mergeCell ref="G16:M16"/>
    <mergeCell ref="H20:L2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
  <sheetViews>
    <sheetView topLeftCell="A46" zoomScale="59" zoomScaleNormal="59" workbookViewId="0">
      <selection activeCell="F76" sqref="F76"/>
    </sheetView>
  </sheetViews>
  <sheetFormatPr defaultRowHeight="14.5" x14ac:dyDescent="0.35"/>
  <cols>
    <col min="1" max="1" width="33.54296875" customWidth="1"/>
    <col min="2" max="2" width="11.54296875" bestFit="1" customWidth="1"/>
    <col min="3" max="3" width="26.453125" customWidth="1"/>
    <col min="4" max="4" width="12.453125" customWidth="1"/>
    <col min="5" max="5" width="11.453125" customWidth="1"/>
    <col min="6" max="6" width="16.7265625" customWidth="1"/>
    <col min="7" max="7" width="20.54296875" customWidth="1"/>
    <col min="8" max="8" width="12.54296875" customWidth="1"/>
    <col min="9" max="9" width="10.54296875" customWidth="1"/>
    <col min="10" max="10" width="13.81640625" customWidth="1"/>
    <col min="11" max="11" width="10.26953125" customWidth="1"/>
    <col min="12" max="12" width="21.81640625" customWidth="1"/>
    <col min="13" max="13" width="14.54296875" customWidth="1"/>
    <col min="14" max="14" width="17.54296875" customWidth="1"/>
    <col min="15" max="15" width="8.453125" customWidth="1"/>
    <col min="16" max="16" width="14.26953125" customWidth="1"/>
    <col min="17" max="17" width="17" customWidth="1"/>
    <col min="19" max="19" width="24.54296875" customWidth="1"/>
    <col min="20" max="20" width="12.1796875" customWidth="1"/>
    <col min="21" max="21" width="12.54296875" customWidth="1"/>
  </cols>
  <sheetData>
    <row r="1" spans="1:25" x14ac:dyDescent="0.35">
      <c r="A1" s="232" t="s">
        <v>149</v>
      </c>
      <c r="B1" s="232"/>
      <c r="C1" s="232"/>
      <c r="D1" s="232"/>
      <c r="E1" s="232"/>
      <c r="G1" s="232" t="s">
        <v>149</v>
      </c>
      <c r="H1" s="232"/>
      <c r="I1" s="232"/>
      <c r="J1" s="232"/>
      <c r="K1" s="232"/>
      <c r="L1" s="232"/>
      <c r="M1" s="232"/>
      <c r="N1" s="232"/>
      <c r="O1" s="32"/>
      <c r="Q1" t="s">
        <v>149</v>
      </c>
    </row>
    <row r="2" spans="1:25" x14ac:dyDescent="0.35">
      <c r="A2" s="3"/>
      <c r="B2" s="233" t="s">
        <v>141</v>
      </c>
      <c r="C2" s="233"/>
      <c r="D2" s="233"/>
      <c r="E2" s="233"/>
      <c r="G2" s="3"/>
      <c r="H2" s="233" t="s">
        <v>141</v>
      </c>
      <c r="I2" s="233"/>
      <c r="J2" s="233"/>
      <c r="K2" s="233"/>
      <c r="L2" s="233"/>
      <c r="M2" s="233"/>
      <c r="N2" s="233"/>
      <c r="O2" s="36"/>
      <c r="R2" t="s">
        <v>141</v>
      </c>
    </row>
    <row r="3" spans="1:25" x14ac:dyDescent="0.35">
      <c r="A3" s="30" t="s">
        <v>97</v>
      </c>
      <c r="B3" s="30" t="s">
        <v>51</v>
      </c>
      <c r="C3" s="30" t="s">
        <v>52</v>
      </c>
      <c r="D3" s="30" t="s">
        <v>53</v>
      </c>
      <c r="E3" s="30" t="s">
        <v>54</v>
      </c>
      <c r="F3" s="37" t="s">
        <v>228</v>
      </c>
      <c r="G3" s="25" t="s">
        <v>97</v>
      </c>
      <c r="H3" s="37" t="s">
        <v>51</v>
      </c>
      <c r="I3" s="38" t="s">
        <v>227</v>
      </c>
      <c r="J3" s="38" t="s">
        <v>52</v>
      </c>
      <c r="K3" s="38" t="s">
        <v>225</v>
      </c>
      <c r="L3" s="38" t="s">
        <v>53</v>
      </c>
      <c r="M3" s="38" t="s">
        <v>225</v>
      </c>
      <c r="N3" s="38" t="s">
        <v>54</v>
      </c>
      <c r="O3" s="38" t="s">
        <v>225</v>
      </c>
      <c r="Q3" t="s">
        <v>97</v>
      </c>
      <c r="R3" t="s">
        <v>51</v>
      </c>
      <c r="S3" t="s">
        <v>227</v>
      </c>
      <c r="T3" t="s">
        <v>52</v>
      </c>
      <c r="U3" t="s">
        <v>225</v>
      </c>
      <c r="V3" t="s">
        <v>53</v>
      </c>
      <c r="W3" t="s">
        <v>225</v>
      </c>
      <c r="X3" t="s">
        <v>54</v>
      </c>
      <c r="Y3" t="s">
        <v>225</v>
      </c>
    </row>
    <row r="4" spans="1:25" x14ac:dyDescent="0.35">
      <c r="A4" s="28"/>
      <c r="B4" s="28"/>
      <c r="C4" s="28"/>
      <c r="D4" s="28"/>
      <c r="E4" s="28"/>
      <c r="G4" s="3"/>
      <c r="H4" s="3"/>
      <c r="I4" s="3"/>
      <c r="J4" s="3"/>
      <c r="K4" s="3"/>
      <c r="L4" s="3"/>
      <c r="M4" s="3"/>
      <c r="N4" s="3"/>
      <c r="O4" s="3"/>
    </row>
    <row r="5" spans="1:25" x14ac:dyDescent="0.35">
      <c r="A5" s="37" t="s">
        <v>142</v>
      </c>
      <c r="B5" s="28">
        <f t="shared" ref="B5:E5" si="0">B17</f>
        <v>163166.66666666669</v>
      </c>
      <c r="C5" s="28">
        <f t="shared" si="0"/>
        <v>168666.66666666669</v>
      </c>
      <c r="D5" s="28">
        <f t="shared" si="0"/>
        <v>226966.66666666669</v>
      </c>
      <c r="E5" s="28">
        <f t="shared" si="0"/>
        <v>163616.66666666669</v>
      </c>
      <c r="F5" s="80">
        <f>SUM(B5:E5)</f>
        <v>722416.66666666674</v>
      </c>
      <c r="G5" s="25" t="s">
        <v>142</v>
      </c>
      <c r="H5" s="3">
        <f>B5</f>
        <v>163166.66666666669</v>
      </c>
      <c r="I5" s="39">
        <f>H5/H9*100</f>
        <v>59.457052288426638</v>
      </c>
      <c r="J5" s="3">
        <f>C5</f>
        <v>168666.66666666669</v>
      </c>
      <c r="K5" s="39">
        <f>J5/J9*100</f>
        <v>58.042777136739033</v>
      </c>
      <c r="L5" s="3">
        <f>D5</f>
        <v>226966.66666666669</v>
      </c>
      <c r="M5" s="39">
        <f>L5/L9*100</f>
        <v>61.583219836095303</v>
      </c>
      <c r="N5" s="3">
        <f>E5</f>
        <v>163616.66666666669</v>
      </c>
      <c r="O5" s="39">
        <f>N5/N9*100</f>
        <v>58.630249030265723</v>
      </c>
      <c r="Q5" t="s">
        <v>142</v>
      </c>
      <c r="R5">
        <v>1126000</v>
      </c>
      <c r="S5">
        <v>91.007467292009196</v>
      </c>
      <c r="T5">
        <v>1171500</v>
      </c>
      <c r="U5">
        <v>90.57357473163799</v>
      </c>
      <c r="V5">
        <v>1429800</v>
      </c>
      <c r="W5">
        <v>90.989731352531805</v>
      </c>
      <c r="X5">
        <v>1126450</v>
      </c>
      <c r="Y5">
        <v>90.703861887726873</v>
      </c>
    </row>
    <row r="6" spans="1:25" x14ac:dyDescent="0.35">
      <c r="A6" s="37" t="s">
        <v>85</v>
      </c>
      <c r="B6" s="53">
        <f>B25</f>
        <v>14011.11</v>
      </c>
      <c r="C6" s="53">
        <f>C25</f>
        <v>21423.61</v>
      </c>
      <c r="D6" s="53">
        <f>D25</f>
        <v>20961.11</v>
      </c>
      <c r="E6" s="53">
        <f>E25</f>
        <v>18573.61</v>
      </c>
      <c r="F6" s="162">
        <f>SUM(B6:E6)</f>
        <v>74969.440000000002</v>
      </c>
      <c r="G6" s="25" t="s">
        <v>85</v>
      </c>
      <c r="H6" s="39">
        <f>B6</f>
        <v>14011.11</v>
      </c>
      <c r="I6" s="39">
        <f>H6/H9*100</f>
        <v>5.1055728287368582</v>
      </c>
      <c r="J6" s="39">
        <f>C6</f>
        <v>21423.61</v>
      </c>
      <c r="K6" s="39">
        <f>J6/J9*100</f>
        <v>7.3724455772396063</v>
      </c>
      <c r="L6" s="39">
        <f>D6</f>
        <v>20961.11</v>
      </c>
      <c r="M6" s="39">
        <f>L6/L9*100</f>
        <v>5.6874106849988646</v>
      </c>
      <c r="N6" s="39">
        <f>E6</f>
        <v>18573.61</v>
      </c>
      <c r="O6" s="39">
        <f>N6/N9*100</f>
        <v>6.6556506856944084</v>
      </c>
      <c r="Q6" t="s">
        <v>85</v>
      </c>
      <c r="R6">
        <v>14011.11</v>
      </c>
      <c r="S6">
        <v>1.1324295160299671</v>
      </c>
      <c r="T6">
        <v>21423.61</v>
      </c>
      <c r="U6">
        <v>1.6563490749948502</v>
      </c>
      <c r="V6">
        <v>20961.11</v>
      </c>
      <c r="W6">
        <v>1.3339248620442496</v>
      </c>
      <c r="X6">
        <v>18573.61</v>
      </c>
      <c r="Y6">
        <v>1.4955818333672184</v>
      </c>
    </row>
    <row r="7" spans="1:25" x14ac:dyDescent="0.35">
      <c r="A7" s="37" t="s">
        <v>143</v>
      </c>
      <c r="B7" s="28">
        <f>B20</f>
        <v>1250</v>
      </c>
      <c r="C7" s="28">
        <f>C20</f>
        <v>500</v>
      </c>
      <c r="D7" s="28">
        <f>D20</f>
        <v>625</v>
      </c>
      <c r="E7" s="28">
        <f>E20</f>
        <v>875</v>
      </c>
      <c r="F7" s="80">
        <f>SUM(B7:E7)</f>
        <v>3250</v>
      </c>
      <c r="G7" s="25" t="s">
        <v>143</v>
      </c>
      <c r="H7" s="3">
        <f>B7</f>
        <v>1250</v>
      </c>
      <c r="I7" s="39">
        <f>H7/H9*100</f>
        <v>0.45549325042206307</v>
      </c>
      <c r="J7" s="3">
        <f>C7</f>
        <v>500</v>
      </c>
      <c r="K7" s="39">
        <f>J7/J9*100</f>
        <v>0.17206356858717101</v>
      </c>
      <c r="L7" s="3">
        <f>D7</f>
        <v>625</v>
      </c>
      <c r="M7" s="39">
        <f>L7/L9*100</f>
        <v>0.16958222527930486</v>
      </c>
      <c r="N7" s="3">
        <f>E7</f>
        <v>875</v>
      </c>
      <c r="O7" s="39">
        <f>N7/N9*100</f>
        <v>0.31354671224294078</v>
      </c>
      <c r="Q7" t="s">
        <v>143</v>
      </c>
      <c r="R7">
        <v>1250</v>
      </c>
      <c r="S7">
        <v>0.10102960400977931</v>
      </c>
      <c r="T7">
        <v>500</v>
      </c>
      <c r="U7">
        <v>3.865709548938881E-2</v>
      </c>
      <c r="V7">
        <v>625</v>
      </c>
      <c r="W7">
        <v>3.9773801997015232E-2</v>
      </c>
      <c r="X7">
        <v>875</v>
      </c>
      <c r="Y7">
        <v>7.0456637357859661E-2</v>
      </c>
    </row>
    <row r="8" spans="1:25" x14ac:dyDescent="0.35">
      <c r="A8" s="37" t="s">
        <v>87</v>
      </c>
      <c r="B8" s="28">
        <f>B33</f>
        <v>96000</v>
      </c>
      <c r="C8" s="28">
        <f>C33</f>
        <v>100000</v>
      </c>
      <c r="D8" s="28">
        <v>120000</v>
      </c>
      <c r="E8" s="28">
        <v>96000</v>
      </c>
      <c r="F8" s="80">
        <f>SUM(B8:E8)</f>
        <v>412000</v>
      </c>
      <c r="G8" s="25" t="s">
        <v>87</v>
      </c>
      <c r="H8" s="3">
        <f>B8</f>
        <v>96000</v>
      </c>
      <c r="I8" s="39">
        <f>H8/H9*100</f>
        <v>34.981881632414449</v>
      </c>
      <c r="J8" s="26">
        <f>C8</f>
        <v>100000</v>
      </c>
      <c r="K8" s="40">
        <f>J8/J9*100</f>
        <v>34.412713717434201</v>
      </c>
      <c r="L8" s="26">
        <f>D8</f>
        <v>120000</v>
      </c>
      <c r="M8" s="40">
        <f>L8/L9*100</f>
        <v>32.559787253626531</v>
      </c>
      <c r="N8" s="26">
        <f>E8</f>
        <v>96000</v>
      </c>
      <c r="O8" s="40">
        <f>N8/N9*100</f>
        <v>34.400553571796934</v>
      </c>
      <c r="Q8" t="s">
        <v>87</v>
      </c>
      <c r="R8">
        <v>96000</v>
      </c>
      <c r="S8">
        <v>7.7590735879510504</v>
      </c>
      <c r="T8">
        <v>100000</v>
      </c>
      <c r="U8">
        <v>7.7314190978777635</v>
      </c>
      <c r="V8">
        <v>120000</v>
      </c>
      <c r="W8">
        <v>7.6365699834269245</v>
      </c>
      <c r="X8">
        <v>96000</v>
      </c>
      <c r="Y8">
        <v>7.7300996415480316</v>
      </c>
    </row>
    <row r="9" spans="1:25" x14ac:dyDescent="0.35">
      <c r="A9" s="41" t="s">
        <v>27</v>
      </c>
      <c r="B9" s="29">
        <f>SUM(B5:B8)</f>
        <v>274427.77666666667</v>
      </c>
      <c r="C9" s="108">
        <f>SUM(C5:C8)</f>
        <v>290590.27666666667</v>
      </c>
      <c r="D9" s="107">
        <f>SUM(D5:D8)</f>
        <v>368552.77666666667</v>
      </c>
      <c r="E9" s="107">
        <f>SUM(E5:E8)</f>
        <v>279065.27666666667</v>
      </c>
      <c r="F9" s="80">
        <f>SUM(B9:E9)</f>
        <v>1212636.1066666667</v>
      </c>
      <c r="G9" s="42" t="s">
        <v>27</v>
      </c>
      <c r="H9" s="43">
        <f>B9</f>
        <v>274427.77666666667</v>
      </c>
      <c r="I9" s="44"/>
      <c r="J9" s="39">
        <f>C9</f>
        <v>290590.27666666667</v>
      </c>
      <c r="K9" s="39"/>
      <c r="L9" s="39">
        <f>D9</f>
        <v>368552.77666666667</v>
      </c>
      <c r="M9" s="3"/>
      <c r="N9" s="39">
        <f>E9</f>
        <v>279065.27666666667</v>
      </c>
      <c r="O9" s="3"/>
      <c r="Q9" t="s">
        <v>27</v>
      </c>
      <c r="R9">
        <v>1237261.1100000001</v>
      </c>
      <c r="T9">
        <v>1293423.6100000001</v>
      </c>
      <c r="V9">
        <v>1571386.11</v>
      </c>
      <c r="X9">
        <v>1241898.6100000001</v>
      </c>
    </row>
    <row r="10" spans="1:25" x14ac:dyDescent="0.35">
      <c r="A10" s="37"/>
      <c r="B10" s="28"/>
      <c r="C10" s="164"/>
      <c r="D10" s="53"/>
      <c r="E10" s="53"/>
      <c r="F10" s="80"/>
      <c r="G10" s="25" t="s">
        <v>318</v>
      </c>
      <c r="H10" s="3">
        <f>P19*H18</f>
        <v>244966.26692913385</v>
      </c>
      <c r="I10" s="39"/>
      <c r="J10" s="39">
        <f>P19*I18</f>
        <v>270752.18976377952</v>
      </c>
      <c r="K10" s="39"/>
      <c r="L10" s="39">
        <f>P19*J18</f>
        <v>364519.1818897638</v>
      </c>
      <c r="M10" s="3"/>
      <c r="N10" s="39">
        <f>P19*K18</f>
        <v>251998.79133858267</v>
      </c>
      <c r="O10" s="3"/>
      <c r="Q10" t="s">
        <v>318</v>
      </c>
      <c r="R10">
        <v>244966.26692913385</v>
      </c>
      <c r="T10">
        <v>270752.18976377952</v>
      </c>
      <c r="V10">
        <v>364519.1818897638</v>
      </c>
      <c r="X10">
        <v>251998.79133858267</v>
      </c>
    </row>
    <row r="11" spans="1:25" x14ac:dyDescent="0.35">
      <c r="A11" s="37"/>
      <c r="B11" s="28"/>
      <c r="C11" s="164"/>
      <c r="D11" s="53"/>
      <c r="E11" s="53"/>
      <c r="F11" s="80"/>
      <c r="G11" s="172" t="s">
        <v>319</v>
      </c>
      <c r="H11" s="173">
        <f t="shared" ref="H11:N11" si="1">SUM(H9:H10)</f>
        <v>519394.04359580053</v>
      </c>
      <c r="I11" s="173">
        <f t="shared" si="1"/>
        <v>0</v>
      </c>
      <c r="J11" s="174">
        <f t="shared" si="1"/>
        <v>561342.46643044613</v>
      </c>
      <c r="K11" s="173">
        <f t="shared" si="1"/>
        <v>0</v>
      </c>
      <c r="L11" s="174">
        <f>SUM(L9:L10)</f>
        <v>733071.95855643041</v>
      </c>
      <c r="M11" s="173">
        <f t="shared" si="1"/>
        <v>0</v>
      </c>
      <c r="N11" s="174">
        <f t="shared" si="1"/>
        <v>531064.06800524937</v>
      </c>
      <c r="O11" s="3"/>
      <c r="Q11" t="s">
        <v>319</v>
      </c>
      <c r="R11">
        <v>1482227.3769291339</v>
      </c>
      <c r="S11">
        <v>0</v>
      </c>
      <c r="T11">
        <v>1564175.7997637796</v>
      </c>
      <c r="U11">
        <v>0</v>
      </c>
      <c r="V11">
        <v>1935905.2918897639</v>
      </c>
      <c r="W11">
        <v>0</v>
      </c>
      <c r="X11">
        <v>1493897.4013385829</v>
      </c>
    </row>
    <row r="12" spans="1:25" x14ac:dyDescent="0.35">
      <c r="A12" s="205"/>
      <c r="B12" s="206"/>
      <c r="C12" s="206"/>
      <c r="D12" s="206"/>
      <c r="E12" s="206"/>
      <c r="G12" s="165" t="s">
        <v>236</v>
      </c>
      <c r="H12" s="166">
        <f>H11/H24</f>
        <v>59.169975346981147</v>
      </c>
      <c r="I12" s="167"/>
      <c r="J12" s="166">
        <f>J11/I24</f>
        <v>57.858427791223058</v>
      </c>
      <c r="K12" s="167"/>
      <c r="L12" s="166">
        <f>L11/J24</f>
        <v>56.122489554159422</v>
      </c>
      <c r="M12" s="167"/>
      <c r="N12" s="166">
        <f>N11/K24</f>
        <v>58.811081728156076</v>
      </c>
      <c r="Q12" t="s">
        <v>236</v>
      </c>
      <c r="R12">
        <v>168.85707187618294</v>
      </c>
      <c r="T12">
        <v>161.221995440505</v>
      </c>
      <c r="V12">
        <v>148.20894900396294</v>
      </c>
      <c r="X12">
        <v>165.43714300538016</v>
      </c>
    </row>
    <row r="13" spans="1:25" x14ac:dyDescent="0.35">
      <c r="A13" s="189" t="s">
        <v>144</v>
      </c>
      <c r="B13" s="189" t="s">
        <v>51</v>
      </c>
      <c r="C13" s="189" t="s">
        <v>52</v>
      </c>
      <c r="D13" s="189" t="s">
        <v>53</v>
      </c>
      <c r="E13" s="189" t="s">
        <v>54</v>
      </c>
    </row>
    <row r="14" spans="1:25" x14ac:dyDescent="0.35">
      <c r="A14" s="190" t="s">
        <v>168</v>
      </c>
      <c r="B14" s="190">
        <v>126800</v>
      </c>
      <c r="C14" s="190">
        <v>121200</v>
      </c>
      <c r="D14" s="190">
        <v>174600</v>
      </c>
      <c r="E14" s="190">
        <v>103200</v>
      </c>
    </row>
    <row r="15" spans="1:25" x14ac:dyDescent="0.35">
      <c r="A15" s="190" t="s">
        <v>145</v>
      </c>
      <c r="B15" s="190">
        <f>3200</f>
        <v>3200</v>
      </c>
      <c r="C15" s="190">
        <f>14300</f>
        <v>14300</v>
      </c>
      <c r="D15" s="190">
        <f>19200</f>
        <v>19200</v>
      </c>
      <c r="E15" s="190">
        <f>27250</f>
        <v>27250</v>
      </c>
    </row>
    <row r="16" spans="1:25" x14ac:dyDescent="0.35">
      <c r="A16" s="190" t="s">
        <v>146</v>
      </c>
      <c r="B16" s="191">
        <v>33166.666666666672</v>
      </c>
      <c r="C16" s="191">
        <v>33166.666666666672</v>
      </c>
      <c r="D16" s="191">
        <v>33166.666666666672</v>
      </c>
      <c r="E16" s="191">
        <v>33166.666666666701</v>
      </c>
      <c r="F16" s="105"/>
      <c r="G16" s="234" t="s">
        <v>310</v>
      </c>
      <c r="H16" s="234"/>
      <c r="I16" s="234"/>
      <c r="J16" s="234"/>
      <c r="K16" s="234"/>
      <c r="L16" s="234"/>
      <c r="M16" s="234"/>
    </row>
    <row r="17" spans="1:22" x14ac:dyDescent="0.35">
      <c r="A17" s="189" t="s">
        <v>147</v>
      </c>
      <c r="B17" s="189">
        <f>SUM(B14:B16)</f>
        <v>163166.66666666669</v>
      </c>
      <c r="C17" s="189">
        <f>SUM(C14:C16)</f>
        <v>168666.66666666669</v>
      </c>
      <c r="D17" s="189">
        <f>SUM(D14:D16)</f>
        <v>226966.66666666669</v>
      </c>
      <c r="E17" s="189">
        <f>SUM(E14:E16)</f>
        <v>163616.66666666669</v>
      </c>
      <c r="H17" s="163" t="s">
        <v>51</v>
      </c>
      <c r="I17" s="163" t="s">
        <v>52</v>
      </c>
      <c r="J17" s="163" t="s">
        <v>53</v>
      </c>
      <c r="K17" s="163" t="s">
        <v>54</v>
      </c>
      <c r="L17" s="163" t="s">
        <v>311</v>
      </c>
      <c r="M17" s="163" t="s">
        <v>312</v>
      </c>
      <c r="N17" s="163" t="s">
        <v>316</v>
      </c>
      <c r="P17" s="88" t="s">
        <v>315</v>
      </c>
    </row>
    <row r="18" spans="1:22" x14ac:dyDescent="0.35">
      <c r="A18" s="28"/>
      <c r="B18" s="28"/>
      <c r="C18" s="28"/>
      <c r="D18" s="28"/>
      <c r="E18" s="28"/>
      <c r="H18">
        <v>418</v>
      </c>
      <c r="I18">
        <v>462</v>
      </c>
      <c r="J18">
        <v>622</v>
      </c>
      <c r="K18">
        <v>430</v>
      </c>
      <c r="L18">
        <v>228</v>
      </c>
      <c r="M18">
        <v>380</v>
      </c>
      <c r="N18">
        <f>SUM(H18:M18)</f>
        <v>2540</v>
      </c>
      <c r="P18">
        <v>1488551</v>
      </c>
    </row>
    <row r="19" spans="1:22" x14ac:dyDescent="0.35">
      <c r="A19" s="189" t="s">
        <v>86</v>
      </c>
      <c r="B19" s="189" t="s">
        <v>51</v>
      </c>
      <c r="C19" s="189" t="s">
        <v>52</v>
      </c>
      <c r="D19" s="189" t="s">
        <v>53</v>
      </c>
      <c r="E19" s="189" t="s">
        <v>54</v>
      </c>
      <c r="O19" t="s">
        <v>317</v>
      </c>
      <c r="P19" s="58">
        <f>P18/N18</f>
        <v>586.04370078740158</v>
      </c>
    </row>
    <row r="20" spans="1:22" x14ac:dyDescent="0.35">
      <c r="A20" s="190"/>
      <c r="B20" s="190">
        <v>1250</v>
      </c>
      <c r="C20" s="190">
        <v>500</v>
      </c>
      <c r="D20" s="190">
        <v>625</v>
      </c>
      <c r="E20" s="190">
        <v>875</v>
      </c>
      <c r="H20" s="234" t="s">
        <v>313</v>
      </c>
      <c r="I20" s="234"/>
      <c r="J20" s="234"/>
      <c r="K20" s="234"/>
      <c r="L20" s="234"/>
    </row>
    <row r="21" spans="1:22" x14ac:dyDescent="0.35">
      <c r="A21" s="28"/>
      <c r="B21" s="28"/>
      <c r="C21" s="28"/>
      <c r="D21" s="28"/>
      <c r="E21" s="28"/>
      <c r="H21" s="88" t="s">
        <v>51</v>
      </c>
      <c r="I21" s="88" t="s">
        <v>52</v>
      </c>
      <c r="J21" s="88" t="s">
        <v>53</v>
      </c>
      <c r="K21" s="88" t="s">
        <v>54</v>
      </c>
    </row>
    <row r="22" spans="1:22" x14ac:dyDescent="0.35">
      <c r="A22" s="189" t="s">
        <v>85</v>
      </c>
      <c r="B22" s="189" t="s">
        <v>51</v>
      </c>
      <c r="C22" s="189" t="s">
        <v>52</v>
      </c>
      <c r="D22" s="189" t="s">
        <v>53</v>
      </c>
      <c r="E22" s="189" t="s">
        <v>54</v>
      </c>
      <c r="H22">
        <v>8360</v>
      </c>
      <c r="I22">
        <v>9240</v>
      </c>
      <c r="J22">
        <v>12440</v>
      </c>
      <c r="K22">
        <v>8600</v>
      </c>
      <c r="M22">
        <f>SUM(H22:K22)</f>
        <v>38640</v>
      </c>
    </row>
    <row r="23" spans="1:22" x14ac:dyDescent="0.35">
      <c r="A23" s="190" t="s">
        <v>145</v>
      </c>
      <c r="B23" s="190">
        <f>650</f>
        <v>650</v>
      </c>
      <c r="C23" s="190">
        <f>8062.5</f>
        <v>8062.5</v>
      </c>
      <c r="D23" s="190">
        <f>7600</f>
        <v>7600</v>
      </c>
      <c r="E23" s="190">
        <f>5212.5</f>
        <v>5212.5</v>
      </c>
    </row>
    <row r="24" spans="1:22" x14ac:dyDescent="0.35">
      <c r="A24" s="190" t="s">
        <v>146</v>
      </c>
      <c r="B24" s="191">
        <v>13361.11</v>
      </c>
      <c r="C24" s="191">
        <f>B24</f>
        <v>13361.11</v>
      </c>
      <c r="D24" s="191">
        <f>C24</f>
        <v>13361.11</v>
      </c>
      <c r="E24" s="191">
        <f>D24</f>
        <v>13361.11</v>
      </c>
      <c r="G24" s="88" t="s">
        <v>314</v>
      </c>
      <c r="H24">
        <f>H22+H18</f>
        <v>8778</v>
      </c>
      <c r="I24">
        <f>I22+I18</f>
        <v>9702</v>
      </c>
      <c r="J24">
        <f>J22+J18</f>
        <v>13062</v>
      </c>
      <c r="K24">
        <f>K22+K18</f>
        <v>9030</v>
      </c>
    </row>
    <row r="25" spans="1:22" x14ac:dyDescent="0.35">
      <c r="A25" s="189" t="s">
        <v>29</v>
      </c>
      <c r="B25" s="192">
        <f>SUM(B23:B24)</f>
        <v>14011.11</v>
      </c>
      <c r="C25" s="192">
        <f>SUM(C23:C24)</f>
        <v>21423.61</v>
      </c>
      <c r="D25" s="192">
        <f>SUM(D23:D24)</f>
        <v>20961.11</v>
      </c>
      <c r="E25" s="192">
        <f>SUM(E23:E24)</f>
        <v>18573.61</v>
      </c>
    </row>
    <row r="26" spans="1:22" x14ac:dyDescent="0.35">
      <c r="A26" s="166"/>
      <c r="B26" s="166"/>
      <c r="C26" s="166"/>
      <c r="D26" s="166"/>
      <c r="E26" s="166"/>
    </row>
    <row r="27" spans="1:22" x14ac:dyDescent="0.35">
      <c r="A27" s="25" t="s">
        <v>139</v>
      </c>
      <c r="B27" s="25" t="s">
        <v>51</v>
      </c>
      <c r="C27" s="25" t="s">
        <v>52</v>
      </c>
      <c r="D27" s="25" t="s">
        <v>53</v>
      </c>
      <c r="E27" s="25" t="s">
        <v>54</v>
      </c>
      <c r="G27" s="9"/>
    </row>
    <row r="28" spans="1:22" x14ac:dyDescent="0.35">
      <c r="B28" s="25">
        <v>0</v>
      </c>
      <c r="C28" s="25">
        <v>0</v>
      </c>
      <c r="D28" s="25">
        <v>0</v>
      </c>
      <c r="E28" s="25">
        <v>0</v>
      </c>
      <c r="G28" s="9"/>
      <c r="H28" s="232" t="s">
        <v>148</v>
      </c>
      <c r="I28" s="232"/>
      <c r="J28" s="232"/>
      <c r="L28" s="232" t="s">
        <v>150</v>
      </c>
      <c r="M28" s="232"/>
      <c r="N28" s="232"/>
      <c r="P28" s="232" t="s">
        <v>152</v>
      </c>
      <c r="Q28" s="232"/>
      <c r="R28" s="232"/>
      <c r="T28" s="232" t="s">
        <v>151</v>
      </c>
      <c r="U28" s="232"/>
      <c r="V28" s="232"/>
    </row>
    <row r="29" spans="1:22" x14ac:dyDescent="0.35">
      <c r="B29" s="233" t="s">
        <v>160</v>
      </c>
      <c r="C29" s="233"/>
      <c r="D29" s="233"/>
      <c r="E29" s="233"/>
      <c r="G29" s="9"/>
      <c r="H29" s="25" t="s">
        <v>97</v>
      </c>
      <c r="I29" s="38" t="s">
        <v>51</v>
      </c>
      <c r="J29" s="38" t="s">
        <v>226</v>
      </c>
      <c r="L29" s="25" t="s">
        <v>97</v>
      </c>
      <c r="M29" s="38" t="s">
        <v>52</v>
      </c>
      <c r="N29" s="38" t="s">
        <v>225</v>
      </c>
      <c r="P29" s="25" t="s">
        <v>97</v>
      </c>
      <c r="Q29" s="38" t="s">
        <v>53</v>
      </c>
      <c r="R29" s="38" t="s">
        <v>225</v>
      </c>
      <c r="T29" s="25" t="s">
        <v>97</v>
      </c>
      <c r="U29" s="38" t="s">
        <v>54</v>
      </c>
      <c r="V29" s="38" t="s">
        <v>225</v>
      </c>
    </row>
    <row r="30" spans="1:22" x14ac:dyDescent="0.35">
      <c r="A30" s="28" t="s">
        <v>158</v>
      </c>
      <c r="B30" s="3" t="s">
        <v>51</v>
      </c>
      <c r="C30" s="3" t="s">
        <v>52</v>
      </c>
      <c r="D30" s="3" t="s">
        <v>53</v>
      </c>
      <c r="E30" s="3" t="s">
        <v>54</v>
      </c>
      <c r="G30" s="9"/>
      <c r="H30" s="3"/>
      <c r="I30" s="3"/>
      <c r="J30" s="3"/>
      <c r="L30" s="3"/>
      <c r="M30" s="3"/>
      <c r="N30" s="3"/>
      <c r="P30" s="3"/>
      <c r="Q30" s="3"/>
      <c r="R30" s="3"/>
      <c r="T30" s="3"/>
      <c r="U30" s="3"/>
      <c r="V30" s="3"/>
    </row>
    <row r="31" spans="1:22" x14ac:dyDescent="0.35">
      <c r="A31" s="28" t="s">
        <v>139</v>
      </c>
      <c r="B31" s="3">
        <v>0</v>
      </c>
      <c r="C31" s="3">
        <v>0</v>
      </c>
      <c r="D31" s="3">
        <v>0</v>
      </c>
      <c r="E31" s="39">
        <v>0</v>
      </c>
      <c r="G31" s="37"/>
      <c r="H31" s="25" t="s">
        <v>142</v>
      </c>
      <c r="I31" s="3">
        <f>H5</f>
        <v>163166.66666666669</v>
      </c>
      <c r="J31" s="39">
        <f>I31/I35*100</f>
        <v>59.457052288426638</v>
      </c>
      <c r="L31" s="25" t="s">
        <v>142</v>
      </c>
      <c r="M31" s="3">
        <f>J5</f>
        <v>168666.66666666669</v>
      </c>
      <c r="N31" s="39">
        <f>M31/M35*100</f>
        <v>58.042777136739033</v>
      </c>
      <c r="P31" s="25" t="s">
        <v>142</v>
      </c>
      <c r="Q31" s="3">
        <f>L5</f>
        <v>226966.66666666669</v>
      </c>
      <c r="R31" s="39">
        <f>Q31/Q35*100</f>
        <v>61.583219836095303</v>
      </c>
      <c r="T31" s="25" t="s">
        <v>142</v>
      </c>
      <c r="U31" s="3">
        <f>N5</f>
        <v>163616.66666666669</v>
      </c>
      <c r="V31" s="39">
        <f>U31/U35*100</f>
        <v>58.630249030265723</v>
      </c>
    </row>
    <row r="32" spans="1:22" x14ac:dyDescent="0.35">
      <c r="A32" s="28" t="s">
        <v>140</v>
      </c>
      <c r="B32" s="3">
        <v>96000</v>
      </c>
      <c r="C32" s="3">
        <v>100000</v>
      </c>
      <c r="D32" s="3">
        <v>120000</v>
      </c>
      <c r="E32" s="39">
        <v>96000</v>
      </c>
      <c r="G32" s="52"/>
      <c r="H32" s="25" t="s">
        <v>85</v>
      </c>
      <c r="I32" s="39">
        <f>H6</f>
        <v>14011.11</v>
      </c>
      <c r="J32" s="39">
        <f>I32/I35*100</f>
        <v>5.1055728287368582</v>
      </c>
      <c r="L32" s="25" t="s">
        <v>85</v>
      </c>
      <c r="M32" s="39">
        <f>J6</f>
        <v>21423.61</v>
      </c>
      <c r="N32" s="39">
        <f>M32/M35*100</f>
        <v>7.3724455772396063</v>
      </c>
      <c r="P32" s="25" t="s">
        <v>85</v>
      </c>
      <c r="Q32" s="39">
        <f>L6</f>
        <v>20961.11</v>
      </c>
      <c r="R32" s="39">
        <f>Q32/Q35*100</f>
        <v>5.6874106849988646</v>
      </c>
      <c r="T32" s="25" t="s">
        <v>85</v>
      </c>
      <c r="U32" s="39">
        <f>N6</f>
        <v>18573.61</v>
      </c>
      <c r="V32" s="39">
        <f>U32/U35*100</f>
        <v>6.6556506856944084</v>
      </c>
    </row>
    <row r="33" spans="1:22" x14ac:dyDescent="0.35">
      <c r="A33" s="28" t="s">
        <v>136</v>
      </c>
      <c r="B33" s="3">
        <v>96000</v>
      </c>
      <c r="C33" s="3">
        <v>100000</v>
      </c>
      <c r="D33" s="3">
        <v>120000</v>
      </c>
      <c r="E33" s="39">
        <v>96000</v>
      </c>
      <c r="G33" s="37"/>
      <c r="H33" s="25" t="s">
        <v>143</v>
      </c>
      <c r="I33" s="3">
        <f>H7</f>
        <v>1250</v>
      </c>
      <c r="J33" s="39">
        <f>I33/I35*100</f>
        <v>0.45549325042206307</v>
      </c>
      <c r="L33" s="25" t="s">
        <v>143</v>
      </c>
      <c r="M33" s="3">
        <f>J7</f>
        <v>500</v>
      </c>
      <c r="N33" s="39">
        <f>M33/M35*100</f>
        <v>0.17206356858717101</v>
      </c>
      <c r="P33" s="25" t="s">
        <v>143</v>
      </c>
      <c r="Q33" s="3">
        <f>L7</f>
        <v>625</v>
      </c>
      <c r="R33" s="39">
        <f>Q33/Q35*100</f>
        <v>0.16958222527930486</v>
      </c>
      <c r="T33" s="25" t="s">
        <v>143</v>
      </c>
      <c r="U33" s="3">
        <f>N7</f>
        <v>875</v>
      </c>
      <c r="V33" s="39">
        <f>U33/U35*100</f>
        <v>0.31354671224294078</v>
      </c>
    </row>
    <row r="34" spans="1:22" x14ac:dyDescent="0.35">
      <c r="A34" s="37"/>
      <c r="C34" s="25"/>
      <c r="D34" s="3"/>
      <c r="E34" s="39"/>
      <c r="G34" s="25"/>
      <c r="H34" s="25" t="s">
        <v>87</v>
      </c>
      <c r="I34" s="3">
        <f>H8</f>
        <v>96000</v>
      </c>
      <c r="J34" s="39">
        <f>I34/I35*100</f>
        <v>34.981881632414449</v>
      </c>
      <c r="L34" s="59" t="s">
        <v>87</v>
      </c>
      <c r="M34" s="26">
        <f>J8</f>
        <v>100000</v>
      </c>
      <c r="N34" s="40">
        <f>M34/M35*100</f>
        <v>34.412713717434201</v>
      </c>
      <c r="P34" s="25" t="s">
        <v>87</v>
      </c>
      <c r="Q34" s="3">
        <f>L8</f>
        <v>120000</v>
      </c>
      <c r="R34" s="39">
        <f>Q34/Q35*100</f>
        <v>32.559787253626531</v>
      </c>
      <c r="T34" s="59" t="s">
        <v>87</v>
      </c>
      <c r="U34" s="26">
        <f>N8</f>
        <v>96000</v>
      </c>
      <c r="V34" s="40">
        <f>U34/U35*100</f>
        <v>34.400553571796934</v>
      </c>
    </row>
    <row r="35" spans="1:22" x14ac:dyDescent="0.35">
      <c r="H35" s="42" t="s">
        <v>27</v>
      </c>
      <c r="I35" s="43">
        <f>H9</f>
        <v>274427.77666666667</v>
      </c>
      <c r="J35" s="44"/>
      <c r="L35" s="25" t="s">
        <v>27</v>
      </c>
      <c r="M35" s="39">
        <f>J9</f>
        <v>290590.27666666667</v>
      </c>
      <c r="N35" s="39"/>
      <c r="P35" s="42" t="s">
        <v>27</v>
      </c>
      <c r="Q35" s="44">
        <f>L9</f>
        <v>368552.77666666667</v>
      </c>
      <c r="R35" s="43"/>
      <c r="T35" s="25" t="s">
        <v>27</v>
      </c>
      <c r="U35" s="39">
        <f>N9</f>
        <v>279065.27666666667</v>
      </c>
      <c r="V35" s="3"/>
    </row>
    <row r="36" spans="1:22" x14ac:dyDescent="0.35">
      <c r="A36" t="s">
        <v>149</v>
      </c>
    </row>
    <row r="37" spans="1:22" x14ac:dyDescent="0.35">
      <c r="B37" t="s">
        <v>141</v>
      </c>
    </row>
    <row r="38" spans="1:22" x14ac:dyDescent="0.35">
      <c r="A38" t="s">
        <v>97</v>
      </c>
      <c r="B38" t="s">
        <v>51</v>
      </c>
      <c r="C38" t="s">
        <v>52</v>
      </c>
      <c r="D38" t="s">
        <v>53</v>
      </c>
      <c r="E38" t="s">
        <v>54</v>
      </c>
      <c r="F38" t="s">
        <v>29</v>
      </c>
      <c r="H38" s="25"/>
      <c r="M38" t="s">
        <v>94</v>
      </c>
      <c r="N38" t="s">
        <v>95</v>
      </c>
      <c r="O38" t="s">
        <v>96</v>
      </c>
      <c r="P38" t="s">
        <v>166</v>
      </c>
    </row>
    <row r="39" spans="1:22" x14ac:dyDescent="0.35">
      <c r="H39" s="25"/>
      <c r="M39">
        <f>E55*15</f>
        <v>1200</v>
      </c>
      <c r="N39">
        <f>D55*15</f>
        <v>1170</v>
      </c>
      <c r="O39">
        <f>C55*15</f>
        <v>2700</v>
      </c>
      <c r="P39">
        <f>B55*15</f>
        <v>900</v>
      </c>
    </row>
    <row r="40" spans="1:22" x14ac:dyDescent="0.35">
      <c r="A40" t="s">
        <v>142</v>
      </c>
      <c r="B40">
        <v>1178500</v>
      </c>
      <c r="C40">
        <v>1224000</v>
      </c>
      <c r="D40">
        <v>1482300</v>
      </c>
      <c r="E40">
        <v>1178950</v>
      </c>
      <c r="F40" s="114">
        <f>SUM(B40:E40)</f>
        <v>5063750</v>
      </c>
    </row>
    <row r="41" spans="1:22" x14ac:dyDescent="0.35">
      <c r="A41" t="s">
        <v>85</v>
      </c>
      <c r="B41">
        <v>11261.1111111111</v>
      </c>
      <c r="C41">
        <v>18673.611111111109</v>
      </c>
      <c r="D41">
        <v>18211.111111111109</v>
      </c>
      <c r="E41">
        <v>15823.611111111109</v>
      </c>
      <c r="F41" s="114">
        <f t="shared" ref="F41:F42" si="2">SUM(B41:E41)</f>
        <v>63969.444444444431</v>
      </c>
    </row>
    <row r="42" spans="1:22" x14ac:dyDescent="0.35">
      <c r="A42" t="s">
        <v>143</v>
      </c>
      <c r="B42">
        <v>1250</v>
      </c>
      <c r="C42">
        <v>500</v>
      </c>
      <c r="D42">
        <v>625</v>
      </c>
      <c r="E42">
        <v>875</v>
      </c>
      <c r="F42" s="114">
        <f t="shared" si="2"/>
        <v>3250</v>
      </c>
      <c r="H42" s="112"/>
    </row>
    <row r="43" spans="1:22" x14ac:dyDescent="0.35">
      <c r="A43" t="s">
        <v>139</v>
      </c>
      <c r="F43" s="114">
        <v>0</v>
      </c>
    </row>
    <row r="44" spans="1:22" x14ac:dyDescent="0.35">
      <c r="A44" t="s">
        <v>87</v>
      </c>
      <c r="B44">
        <v>96000</v>
      </c>
      <c r="C44">
        <v>100000</v>
      </c>
      <c r="D44">
        <v>120000</v>
      </c>
      <c r="E44">
        <v>96000</v>
      </c>
      <c r="F44" s="114">
        <f>SUM(B44:E44)</f>
        <v>412000</v>
      </c>
      <c r="I44" s="112"/>
    </row>
    <row r="45" spans="1:22" x14ac:dyDescent="0.35">
      <c r="A45" t="s">
        <v>27</v>
      </c>
      <c r="B45" s="112">
        <v>1287011.111111111</v>
      </c>
      <c r="C45" s="112">
        <v>1343173.611111111</v>
      </c>
      <c r="D45" s="112">
        <v>1621136.111111111</v>
      </c>
      <c r="E45">
        <v>1291648.611111111</v>
      </c>
      <c r="F45" s="115">
        <f>SUM(F40:F44)</f>
        <v>5542969.444444444</v>
      </c>
    </row>
    <row r="47" spans="1:22" x14ac:dyDescent="0.35">
      <c r="G47" t="s">
        <v>238</v>
      </c>
      <c r="H47" t="s">
        <v>42</v>
      </c>
      <c r="I47" t="s">
        <v>142</v>
      </c>
      <c r="J47" t="s">
        <v>85</v>
      </c>
      <c r="K47" t="s">
        <v>239</v>
      </c>
      <c r="L47" t="s">
        <v>143</v>
      </c>
      <c r="M47" t="s">
        <v>87</v>
      </c>
      <c r="N47" t="s">
        <v>330</v>
      </c>
      <c r="O47" t="s">
        <v>331</v>
      </c>
      <c r="P47" t="s">
        <v>244</v>
      </c>
    </row>
    <row r="48" spans="1:22" x14ac:dyDescent="0.35">
      <c r="B48" t="s">
        <v>220</v>
      </c>
      <c r="G48">
        <v>1</v>
      </c>
      <c r="H48" t="s">
        <v>51</v>
      </c>
      <c r="I48">
        <v>1046541.6666666666</v>
      </c>
      <c r="J48">
        <v>11281.94</v>
      </c>
      <c r="K48">
        <v>113835</v>
      </c>
      <c r="L48">
        <v>89815</v>
      </c>
      <c r="M48">
        <v>107383</v>
      </c>
      <c r="N48">
        <v>153726.56862745096</v>
      </c>
      <c r="O48">
        <v>26500</v>
      </c>
      <c r="P48">
        <v>1</v>
      </c>
    </row>
    <row r="49" spans="1:16" x14ac:dyDescent="0.35">
      <c r="A49" s="242"/>
      <c r="B49" s="243" t="s">
        <v>132</v>
      </c>
      <c r="C49" s="243"/>
      <c r="D49" s="243"/>
      <c r="E49" s="243"/>
      <c r="G49">
        <v>1</v>
      </c>
      <c r="H49" t="s">
        <v>52</v>
      </c>
      <c r="I49">
        <v>1077300</v>
      </c>
      <c r="J49">
        <v>18756.940000000002</v>
      </c>
      <c r="K49">
        <v>60875</v>
      </c>
      <c r="L49">
        <v>245460</v>
      </c>
      <c r="M49">
        <v>106087</v>
      </c>
      <c r="N49">
        <v>179512.96078431371</v>
      </c>
      <c r="O49">
        <v>14500</v>
      </c>
      <c r="P49">
        <v>1</v>
      </c>
    </row>
    <row r="50" spans="1:16" x14ac:dyDescent="0.35">
      <c r="A50" s="242"/>
      <c r="B50" s="119" t="s">
        <v>54</v>
      </c>
      <c r="C50" s="119" t="s">
        <v>53</v>
      </c>
      <c r="D50" s="119" t="s">
        <v>52</v>
      </c>
      <c r="E50" s="119" t="s">
        <v>51</v>
      </c>
      <c r="G50">
        <v>1</v>
      </c>
      <c r="H50" t="s">
        <v>53</v>
      </c>
      <c r="I50">
        <v>1362341.6666666667</v>
      </c>
      <c r="J50">
        <v>18294.440000000002</v>
      </c>
      <c r="K50">
        <v>0</v>
      </c>
      <c r="L50">
        <v>220455</v>
      </c>
      <c r="M50">
        <v>120000</v>
      </c>
      <c r="N50">
        <v>177529.39215686274</v>
      </c>
      <c r="O50">
        <v>0</v>
      </c>
      <c r="P50">
        <v>1</v>
      </c>
    </row>
    <row r="51" spans="1:16" ht="26" x14ac:dyDescent="0.35">
      <c r="A51" s="120" t="s">
        <v>230</v>
      </c>
      <c r="B51" s="19">
        <v>18</v>
      </c>
      <c r="C51" s="19">
        <v>311</v>
      </c>
      <c r="D51" s="19">
        <v>231</v>
      </c>
      <c r="E51" s="19">
        <v>209</v>
      </c>
      <c r="G51">
        <v>1</v>
      </c>
      <c r="H51" t="s">
        <v>54</v>
      </c>
      <c r="I51">
        <v>1089891.6666666667</v>
      </c>
      <c r="J51">
        <v>15404.44</v>
      </c>
      <c r="K51">
        <v>222675</v>
      </c>
      <c r="L51">
        <v>128005</v>
      </c>
      <c r="M51">
        <v>118268</v>
      </c>
      <c r="N51">
        <v>190422.5882352941</v>
      </c>
      <c r="O51">
        <v>23500</v>
      </c>
      <c r="P51">
        <v>1</v>
      </c>
    </row>
    <row r="52" spans="1:16" ht="39" x14ac:dyDescent="0.35">
      <c r="A52" s="121" t="s">
        <v>231</v>
      </c>
      <c r="B52" s="19">
        <v>215</v>
      </c>
      <c r="C52" s="19">
        <v>29</v>
      </c>
      <c r="D52" s="19">
        <v>21</v>
      </c>
      <c r="E52" s="19">
        <v>22</v>
      </c>
      <c r="G52">
        <v>2</v>
      </c>
      <c r="H52" t="s">
        <v>240</v>
      </c>
      <c r="I52">
        <v>462528.75</v>
      </c>
      <c r="J52">
        <v>17908.330000000002</v>
      </c>
      <c r="K52">
        <v>0</v>
      </c>
      <c r="L52">
        <v>2400</v>
      </c>
      <c r="M52">
        <v>36000</v>
      </c>
      <c r="N52">
        <v>0</v>
      </c>
      <c r="O52">
        <v>0</v>
      </c>
      <c r="P52">
        <v>2</v>
      </c>
    </row>
    <row r="53" spans="1:16" ht="26" x14ac:dyDescent="0.35">
      <c r="A53" s="120" t="s">
        <v>232</v>
      </c>
      <c r="B53" s="19"/>
      <c r="C53" s="19"/>
      <c r="D53" s="19"/>
      <c r="E53" s="19"/>
      <c r="G53">
        <v>2</v>
      </c>
      <c r="H53" t="s">
        <v>241</v>
      </c>
      <c r="I53">
        <v>390481.25</v>
      </c>
      <c r="J53">
        <v>14389.58</v>
      </c>
      <c r="K53">
        <v>0</v>
      </c>
      <c r="L53">
        <v>281.25</v>
      </c>
      <c r="M53">
        <v>36000</v>
      </c>
      <c r="N53">
        <v>0</v>
      </c>
      <c r="O53">
        <v>0</v>
      </c>
      <c r="P53">
        <v>2</v>
      </c>
    </row>
    <row r="54" spans="1:16" ht="39" x14ac:dyDescent="0.35">
      <c r="A54" s="122" t="s">
        <v>233</v>
      </c>
      <c r="B54" s="19">
        <v>8</v>
      </c>
      <c r="C54" s="19">
        <v>12</v>
      </c>
      <c r="D54" s="19">
        <v>10</v>
      </c>
      <c r="E54" s="19">
        <v>8</v>
      </c>
      <c r="G54">
        <v>2</v>
      </c>
      <c r="H54" t="s">
        <v>242</v>
      </c>
      <c r="I54">
        <v>457481.25</v>
      </c>
      <c r="J54">
        <v>15983.33</v>
      </c>
      <c r="K54">
        <v>0</v>
      </c>
      <c r="L54">
        <v>1687.5</v>
      </c>
      <c r="M54">
        <v>36000</v>
      </c>
      <c r="N54">
        <v>0</v>
      </c>
      <c r="O54">
        <v>0</v>
      </c>
      <c r="P54">
        <v>2</v>
      </c>
    </row>
    <row r="55" spans="1:16" ht="26" x14ac:dyDescent="0.35">
      <c r="A55" s="121" t="s">
        <v>234</v>
      </c>
      <c r="B55" s="19">
        <v>60</v>
      </c>
      <c r="C55" s="19">
        <v>180</v>
      </c>
      <c r="D55" s="19">
        <v>78</v>
      </c>
      <c r="E55" s="19">
        <v>80</v>
      </c>
      <c r="G55">
        <v>2</v>
      </c>
      <c r="H55" t="s">
        <v>243</v>
      </c>
      <c r="I55">
        <v>448346.25</v>
      </c>
      <c r="J55">
        <v>12827.08</v>
      </c>
      <c r="K55">
        <v>0</v>
      </c>
      <c r="L55">
        <v>1000</v>
      </c>
      <c r="M55">
        <v>36000</v>
      </c>
      <c r="N55">
        <v>0</v>
      </c>
      <c r="O55">
        <v>0</v>
      </c>
      <c r="P55">
        <v>2</v>
      </c>
    </row>
    <row r="56" spans="1:16" x14ac:dyDescent="0.35">
      <c r="G56">
        <v>1</v>
      </c>
      <c r="H56" t="s">
        <v>51</v>
      </c>
      <c r="I56">
        <f>B5</f>
        <v>163166.66666666669</v>
      </c>
      <c r="J56" s="58">
        <f>B6</f>
        <v>14011.11</v>
      </c>
      <c r="K56">
        <v>0</v>
      </c>
      <c r="L56">
        <f>B7</f>
        <v>1250</v>
      </c>
      <c r="M56">
        <f>B8</f>
        <v>96000</v>
      </c>
      <c r="N56">
        <f>H10</f>
        <v>244966.26692913385</v>
      </c>
      <c r="O56">
        <v>0</v>
      </c>
      <c r="P56">
        <v>2</v>
      </c>
    </row>
    <row r="57" spans="1:16" x14ac:dyDescent="0.35">
      <c r="G57">
        <v>1</v>
      </c>
      <c r="H57" t="s">
        <v>52</v>
      </c>
      <c r="I57">
        <f>C5</f>
        <v>168666.66666666669</v>
      </c>
      <c r="J57" s="58">
        <f>C6</f>
        <v>21423.61</v>
      </c>
      <c r="K57">
        <v>0</v>
      </c>
      <c r="L57">
        <f>C7</f>
        <v>500</v>
      </c>
      <c r="M57">
        <f>C8</f>
        <v>100000</v>
      </c>
      <c r="N57" s="58">
        <f>J10</f>
        <v>270752.18976377952</v>
      </c>
      <c r="O57">
        <v>0</v>
      </c>
      <c r="P57">
        <v>2</v>
      </c>
    </row>
    <row r="58" spans="1:16" x14ac:dyDescent="0.35">
      <c r="G58">
        <v>1</v>
      </c>
      <c r="H58" t="s">
        <v>53</v>
      </c>
      <c r="I58">
        <f>D5</f>
        <v>226966.66666666669</v>
      </c>
      <c r="J58" s="58">
        <f>D6</f>
        <v>20961.11</v>
      </c>
      <c r="K58">
        <v>0</v>
      </c>
      <c r="L58">
        <f>D7</f>
        <v>625</v>
      </c>
      <c r="M58">
        <f>D8</f>
        <v>120000</v>
      </c>
      <c r="N58" s="58">
        <f>L10</f>
        <v>364519.1818897638</v>
      </c>
      <c r="O58">
        <v>0</v>
      </c>
      <c r="P58">
        <v>2</v>
      </c>
    </row>
    <row r="59" spans="1:16" x14ac:dyDescent="0.35">
      <c r="G59">
        <v>1</v>
      </c>
      <c r="H59" t="s">
        <v>54</v>
      </c>
      <c r="I59">
        <f>E5</f>
        <v>163616.66666666669</v>
      </c>
      <c r="J59" s="58">
        <f>E6</f>
        <v>18573.61</v>
      </c>
      <c r="K59">
        <v>0</v>
      </c>
      <c r="L59">
        <f>E7</f>
        <v>875</v>
      </c>
      <c r="M59">
        <f>E8</f>
        <v>96000</v>
      </c>
      <c r="N59" s="58">
        <f>N10</f>
        <v>251998.79133858267</v>
      </c>
      <c r="O59">
        <v>0</v>
      </c>
      <c r="P59">
        <v>2</v>
      </c>
    </row>
    <row r="61" spans="1:16" ht="15.5" x14ac:dyDescent="0.35">
      <c r="B61" t="s">
        <v>344</v>
      </c>
      <c r="C61" s="244" t="s">
        <v>350</v>
      </c>
      <c r="D61" s="245"/>
      <c r="E61" s="245"/>
      <c r="F61" s="245"/>
      <c r="G61" s="245"/>
      <c r="H61" s="245"/>
      <c r="I61" s="245"/>
      <c r="J61" s="245"/>
      <c r="K61" s="245"/>
      <c r="L61" s="245"/>
      <c r="M61" s="246"/>
    </row>
    <row r="62" spans="1:16" x14ac:dyDescent="0.35">
      <c r="C62" s="181"/>
      <c r="D62" s="247" t="s">
        <v>141</v>
      </c>
      <c r="E62" s="247"/>
      <c r="F62" s="247"/>
      <c r="G62" s="247"/>
      <c r="H62" s="247"/>
      <c r="I62" s="247"/>
      <c r="J62" s="247"/>
      <c r="K62" s="247"/>
      <c r="L62" s="247"/>
      <c r="M62" s="247"/>
    </row>
    <row r="63" spans="1:16" x14ac:dyDescent="0.35">
      <c r="C63" s="181" t="s">
        <v>97</v>
      </c>
      <c r="D63" s="182" t="s">
        <v>51</v>
      </c>
      <c r="E63" s="182" t="s">
        <v>227</v>
      </c>
      <c r="F63" s="182" t="s">
        <v>52</v>
      </c>
      <c r="G63" s="182" t="s">
        <v>229</v>
      </c>
      <c r="H63" s="182" t="s">
        <v>53</v>
      </c>
      <c r="I63" s="182" t="s">
        <v>227</v>
      </c>
      <c r="J63" s="182" t="s">
        <v>54</v>
      </c>
      <c r="K63" s="182" t="s">
        <v>227</v>
      </c>
      <c r="L63" s="181" t="s">
        <v>341</v>
      </c>
      <c r="M63" s="181" t="s">
        <v>343</v>
      </c>
    </row>
    <row r="64" spans="1:16" x14ac:dyDescent="0.35">
      <c r="C64" s="181" t="s">
        <v>142</v>
      </c>
      <c r="D64" s="193">
        <f>B17</f>
        <v>163166.66666666669</v>
      </c>
      <c r="E64" s="193">
        <f>D64/D68*100</f>
        <v>38.537780380877571</v>
      </c>
      <c r="F64" s="193">
        <f>C17</f>
        <v>168666.66666666669</v>
      </c>
      <c r="G64" s="193">
        <f>F64/F68*100</f>
        <v>36.559969857467159</v>
      </c>
      <c r="H64" s="193">
        <f>D17</f>
        <v>226966.66666666669</v>
      </c>
      <c r="I64" s="193">
        <f>H64/H68*100</f>
        <v>37.021211539521993</v>
      </c>
      <c r="J64" s="193">
        <f>E17</f>
        <v>163616.66666666669</v>
      </c>
      <c r="K64" s="193">
        <f>J64/J68*100</f>
        <v>37.607487884909062</v>
      </c>
      <c r="L64" s="193">
        <f>(D64+F64+H64+J64)/4</f>
        <v>180604.16666666669</v>
      </c>
      <c r="M64" s="193">
        <f>L64/L68*100</f>
        <v>37.375287453871067</v>
      </c>
    </row>
    <row r="65" spans="3:13" x14ac:dyDescent="0.35">
      <c r="C65" s="181" t="s">
        <v>85</v>
      </c>
      <c r="D65" s="193">
        <f>B25</f>
        <v>14011.11</v>
      </c>
      <c r="E65" s="193">
        <f>D65/D68*100</f>
        <v>3.3092364457956132</v>
      </c>
      <c r="F65" s="193">
        <f>C25</f>
        <v>21423.61</v>
      </c>
      <c r="G65" s="193">
        <f>F65/F68*100</f>
        <v>4.6437541650482128</v>
      </c>
      <c r="H65" s="193">
        <f>D25</f>
        <v>20961.11</v>
      </c>
      <c r="I65" s="193">
        <f>H65/H68*100</f>
        <v>3.4190293174321771</v>
      </c>
      <c r="J65" s="193">
        <f>E25</f>
        <v>18573.61</v>
      </c>
      <c r="K65" s="193">
        <f>J65/J68*100</f>
        <v>4.2691666276094065</v>
      </c>
      <c r="L65" s="193">
        <f>(D65+F65+H65+J65)/4</f>
        <v>18742.36</v>
      </c>
      <c r="M65" s="193">
        <f>L65/L68*100</f>
        <v>3.8786541057871582</v>
      </c>
    </row>
    <row r="66" spans="3:13" x14ac:dyDescent="0.35">
      <c r="C66" s="181" t="s">
        <v>143</v>
      </c>
      <c r="D66" s="193">
        <v>1250</v>
      </c>
      <c r="E66" s="193">
        <f>D66/D68*100</f>
        <v>0.29523325113031845</v>
      </c>
      <c r="F66" s="193">
        <v>500</v>
      </c>
      <c r="G66" s="193">
        <f>F66/F68*100</f>
        <v>0.10837935728498169</v>
      </c>
      <c r="H66" s="193">
        <v>625</v>
      </c>
      <c r="I66" s="193">
        <f>H66/H68*100</f>
        <v>0.10194561849993203</v>
      </c>
      <c r="J66" s="193">
        <v>875</v>
      </c>
      <c r="K66" s="193">
        <f>J66/J68*100</f>
        <v>0.20111980380541158</v>
      </c>
      <c r="L66" s="193">
        <f>(D66+F66+H66+J66)/4</f>
        <v>812.5</v>
      </c>
      <c r="M66" s="193">
        <f>L66/L68*100</f>
        <v>0.16814352413207653</v>
      </c>
    </row>
    <row r="67" spans="3:13" ht="15.5" customHeight="1" x14ac:dyDescent="0.35">
      <c r="C67" s="181" t="s">
        <v>318</v>
      </c>
      <c r="D67" s="193">
        <v>244966.266929134</v>
      </c>
      <c r="E67" s="193">
        <f>D67/D68*100</f>
        <v>57.857749922196511</v>
      </c>
      <c r="F67" s="193">
        <v>270752.18976377952</v>
      </c>
      <c r="G67" s="193">
        <f>F67/F68*100</f>
        <v>58.687896620199645</v>
      </c>
      <c r="H67" s="193">
        <v>364519.1818897638</v>
      </c>
      <c r="I67" s="193">
        <f>H67/H68*100</f>
        <v>59.457813524545912</v>
      </c>
      <c r="J67" s="193">
        <v>251998.79133858267</v>
      </c>
      <c r="K67" s="193">
        <f>J67/J68*100</f>
        <v>57.92222568367611</v>
      </c>
      <c r="L67" s="193">
        <f>(D67+F67+H67+J67)/4</f>
        <v>283059.10748031503</v>
      </c>
      <c r="M67" s="193">
        <f>L67/L68*100</f>
        <v>58.577914916209714</v>
      </c>
    </row>
    <row r="68" spans="3:13" x14ac:dyDescent="0.35">
      <c r="C68" s="67" t="s">
        <v>332</v>
      </c>
      <c r="D68" s="188">
        <f>SUM(D64:D67)</f>
        <v>423394.04359580064</v>
      </c>
      <c r="E68" s="188"/>
      <c r="F68" s="188">
        <f>SUM(F64:F67)</f>
        <v>461342.46643044619</v>
      </c>
      <c r="G68" s="188"/>
      <c r="H68" s="188">
        <f>SUM(H64:H67)</f>
        <v>613071.95855643041</v>
      </c>
      <c r="I68" s="188"/>
      <c r="J68" s="188">
        <f>SUM(J64:J67)</f>
        <v>435064.06800524937</v>
      </c>
      <c r="K68" s="188"/>
      <c r="L68" s="194">
        <f>(D68+F68+H68+J68)/4</f>
        <v>483218.13414698164</v>
      </c>
      <c r="M68" s="193"/>
    </row>
    <row r="69" spans="3:13" x14ac:dyDescent="0.35">
      <c r="C69" s="181" t="s">
        <v>333</v>
      </c>
      <c r="D69" s="184">
        <v>168.857071876183</v>
      </c>
      <c r="E69" s="184"/>
      <c r="F69" s="184">
        <v>161.221995440505</v>
      </c>
      <c r="G69" s="184"/>
      <c r="H69" s="184">
        <v>148.20894900396294</v>
      </c>
      <c r="I69" s="184"/>
      <c r="J69" s="184">
        <v>165.43714300537999</v>
      </c>
      <c r="K69" s="184"/>
      <c r="L69" s="193">
        <f t="shared" ref="L69:L71" si="3">(D69+F69+H69+J69)/4</f>
        <v>160.93128983150774</v>
      </c>
      <c r="M69" s="193"/>
    </row>
    <row r="70" spans="3:13" x14ac:dyDescent="0.35">
      <c r="C70" s="181" t="s">
        <v>334</v>
      </c>
      <c r="D70" s="184">
        <f>D68/8360</f>
        <v>50.645220525813471</v>
      </c>
      <c r="E70" s="184"/>
      <c r="F70" s="184">
        <f>F68/9240</f>
        <v>49.928838358273396</v>
      </c>
      <c r="G70" s="184"/>
      <c r="H70" s="184">
        <f>H68/12440</f>
        <v>49.282311781063541</v>
      </c>
      <c r="I70" s="184"/>
      <c r="J70" s="184">
        <f>J68/8600</f>
        <v>50.588845116889459</v>
      </c>
      <c r="K70" s="184"/>
      <c r="L70" s="193">
        <f t="shared" si="3"/>
        <v>50.11130394550996</v>
      </c>
      <c r="M70" s="193"/>
    </row>
    <row r="71" spans="3:13" x14ac:dyDescent="0.35">
      <c r="C71" s="181" t="s">
        <v>335</v>
      </c>
      <c r="D71" s="184">
        <f>D68/418</f>
        <v>1012.9044105162694</v>
      </c>
      <c r="E71" s="184"/>
      <c r="F71" s="184">
        <f>F68/462</f>
        <v>998.57676716546791</v>
      </c>
      <c r="G71" s="184"/>
      <c r="H71" s="184">
        <f>H68/622</f>
        <v>985.64623562127076</v>
      </c>
      <c r="I71" s="184"/>
      <c r="J71" s="184">
        <f>J68/430</f>
        <v>1011.7769023377892</v>
      </c>
      <c r="K71" s="184"/>
      <c r="L71" s="193">
        <f t="shared" si="3"/>
        <v>1002.2260789101994</v>
      </c>
      <c r="M71" s="193"/>
    </row>
  </sheetData>
  <mergeCells count="15">
    <mergeCell ref="C61:M61"/>
    <mergeCell ref="D62:M62"/>
    <mergeCell ref="H28:J28"/>
    <mergeCell ref="L28:N28"/>
    <mergeCell ref="P28:R28"/>
    <mergeCell ref="T28:V28"/>
    <mergeCell ref="B29:E29"/>
    <mergeCell ref="A49:A50"/>
    <mergeCell ref="B49:E49"/>
    <mergeCell ref="A1:E1"/>
    <mergeCell ref="G1:N1"/>
    <mergeCell ref="B2:E2"/>
    <mergeCell ref="H2:N2"/>
    <mergeCell ref="G16:M16"/>
    <mergeCell ref="H20:L2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7"/>
  <sheetViews>
    <sheetView zoomScale="87" zoomScaleNormal="87" workbookViewId="0">
      <selection activeCell="Q5" sqref="Q5"/>
    </sheetView>
  </sheetViews>
  <sheetFormatPr defaultColWidth="9.1796875" defaultRowHeight="14.5" x14ac:dyDescent="0.35"/>
  <cols>
    <col min="1" max="1" width="18" customWidth="1"/>
    <col min="15" max="15" width="9.1796875" customWidth="1"/>
    <col min="16" max="16" width="11.7265625" customWidth="1"/>
    <col min="19" max="19" width="5.453125" customWidth="1"/>
    <col min="20" max="20" width="20.54296875" customWidth="1"/>
    <col min="26" max="26" width="10.1796875" bestFit="1" customWidth="1"/>
    <col min="37" max="37" width="28.54296875" customWidth="1"/>
  </cols>
  <sheetData>
    <row r="1" spans="1:37" x14ac:dyDescent="0.35">
      <c r="A1" s="230" t="s">
        <v>122</v>
      </c>
      <c r="B1" s="230"/>
      <c r="C1" s="230"/>
      <c r="D1" s="230"/>
      <c r="E1" s="230"/>
      <c r="F1" s="230"/>
      <c r="G1" s="230"/>
      <c r="H1" s="230"/>
      <c r="I1" s="230"/>
      <c r="J1" s="230"/>
      <c r="K1" s="230"/>
      <c r="L1" s="230"/>
      <c r="M1" s="230"/>
      <c r="N1" s="230"/>
      <c r="O1" s="230"/>
      <c r="P1" s="230"/>
      <c r="Q1" s="230"/>
      <c r="R1" s="230"/>
      <c r="T1" s="215" t="s">
        <v>121</v>
      </c>
      <c r="U1" s="216"/>
      <c r="V1" s="216"/>
      <c r="W1" s="216"/>
      <c r="X1" s="216"/>
      <c r="Y1" s="216"/>
      <c r="Z1" s="216"/>
      <c r="AA1" s="216"/>
      <c r="AB1" s="216"/>
      <c r="AC1" s="216"/>
      <c r="AD1" s="216"/>
      <c r="AE1" s="216"/>
      <c r="AF1" s="216"/>
      <c r="AG1" s="216"/>
      <c r="AH1" s="216"/>
      <c r="AI1" s="216"/>
      <c r="AJ1" s="216"/>
      <c r="AK1" s="217"/>
    </row>
    <row r="2" spans="1:37" ht="132" customHeight="1" x14ac:dyDescent="0.35">
      <c r="A2" s="95"/>
      <c r="B2" s="95" t="s">
        <v>81</v>
      </c>
      <c r="C2" s="91" t="s">
        <v>201</v>
      </c>
      <c r="D2" s="91" t="s">
        <v>200</v>
      </c>
      <c r="E2" s="91" t="s">
        <v>100</v>
      </c>
      <c r="F2" s="91" t="s">
        <v>179</v>
      </c>
      <c r="G2" s="94" t="s">
        <v>203</v>
      </c>
      <c r="H2" s="94" t="s">
        <v>202</v>
      </c>
      <c r="I2" s="94" t="s">
        <v>207</v>
      </c>
      <c r="J2" s="94" t="s">
        <v>190</v>
      </c>
      <c r="K2" s="96" t="s">
        <v>0</v>
      </c>
      <c r="L2" s="91" t="s">
        <v>1</v>
      </c>
      <c r="M2" s="91" t="s">
        <v>119</v>
      </c>
      <c r="N2" s="92" t="s">
        <v>206</v>
      </c>
      <c r="O2" s="97" t="s">
        <v>208</v>
      </c>
      <c r="P2" s="91" t="s">
        <v>118</v>
      </c>
      <c r="Q2" s="106" t="s">
        <v>164</v>
      </c>
      <c r="R2" s="106" t="s">
        <v>216</v>
      </c>
      <c r="T2" s="93" t="s">
        <v>2</v>
      </c>
      <c r="U2" s="93" t="s">
        <v>209</v>
      </c>
      <c r="V2" s="93" t="s">
        <v>201</v>
      </c>
      <c r="W2" s="93" t="s">
        <v>210</v>
      </c>
      <c r="X2" s="93" t="s">
        <v>211</v>
      </c>
      <c r="Y2" s="93" t="s">
        <v>222</v>
      </c>
      <c r="Z2" s="94" t="s">
        <v>203</v>
      </c>
      <c r="AA2" s="94" t="s">
        <v>202</v>
      </c>
      <c r="AB2" s="94" t="s">
        <v>207</v>
      </c>
      <c r="AC2" s="94" t="s">
        <v>190</v>
      </c>
      <c r="AD2" s="93" t="s">
        <v>1</v>
      </c>
      <c r="AE2" s="93" t="s">
        <v>161</v>
      </c>
      <c r="AF2" s="93" t="s">
        <v>206</v>
      </c>
      <c r="AG2" s="93" t="s">
        <v>102</v>
      </c>
      <c r="AH2" s="93" t="s">
        <v>118</v>
      </c>
      <c r="AI2" s="93" t="s">
        <v>165</v>
      </c>
      <c r="AJ2" s="93" t="s">
        <v>216</v>
      </c>
      <c r="AK2" s="93" t="s">
        <v>98</v>
      </c>
    </row>
    <row r="3" spans="1:37" ht="15" customHeight="1" x14ac:dyDescent="0.35">
      <c r="A3" s="2" t="s">
        <v>10</v>
      </c>
      <c r="B3" s="75">
        <v>1</v>
      </c>
      <c r="C3" s="75">
        <v>24</v>
      </c>
      <c r="D3" s="75">
        <v>24</v>
      </c>
      <c r="E3" s="75" t="s">
        <v>116</v>
      </c>
      <c r="F3" s="118">
        <v>240000</v>
      </c>
      <c r="G3" s="2">
        <f>C3*8*60</f>
        <v>11520</v>
      </c>
      <c r="H3" s="2">
        <f>20*24</f>
        <v>480</v>
      </c>
      <c r="I3" s="86">
        <f>F3/G3*H3/6</f>
        <v>1666.6666666666667</v>
      </c>
      <c r="J3" s="2">
        <v>150000</v>
      </c>
      <c r="K3" s="2">
        <f>J3/30</f>
        <v>5000</v>
      </c>
      <c r="L3" s="2">
        <f>K3/8</f>
        <v>625</v>
      </c>
      <c r="M3" s="2">
        <f>L3/60*20</f>
        <v>208.33333333333331</v>
      </c>
      <c r="N3" s="86">
        <f>M3*24/6</f>
        <v>833.33333333333337</v>
      </c>
      <c r="O3" s="86">
        <f>N3+I3</f>
        <v>2500</v>
      </c>
      <c r="P3" s="2">
        <v>12</v>
      </c>
      <c r="Q3" s="2">
        <f>L3*P3*12/6</f>
        <v>15000</v>
      </c>
      <c r="R3" s="105">
        <f>Q3</f>
        <v>15000</v>
      </c>
      <c r="T3" s="2" t="s">
        <v>10</v>
      </c>
      <c r="U3" s="2">
        <v>1</v>
      </c>
      <c r="V3" s="2">
        <v>24</v>
      </c>
      <c r="W3" s="2">
        <v>24</v>
      </c>
      <c r="X3" s="2">
        <v>20</v>
      </c>
      <c r="Y3" s="118">
        <v>240000</v>
      </c>
      <c r="Z3" s="2">
        <f>V3*8*60</f>
        <v>11520</v>
      </c>
      <c r="AA3" s="2">
        <f>V3*X3</f>
        <v>480</v>
      </c>
      <c r="AB3" s="86">
        <f>Y3/Z3*AA3/6</f>
        <v>1666.6666666666667</v>
      </c>
      <c r="AC3" s="2">
        <v>150000</v>
      </c>
      <c r="AD3" s="2">
        <f>AC3/30/8</f>
        <v>625</v>
      </c>
      <c r="AE3" s="2">
        <f>AD3/60*20</f>
        <v>208.33333333333331</v>
      </c>
      <c r="AF3" s="54">
        <f>AE3*24/6</f>
        <v>833.33333333333337</v>
      </c>
      <c r="AG3" s="86">
        <f>AB3+AF3</f>
        <v>2500</v>
      </c>
      <c r="AH3" s="2">
        <v>12</v>
      </c>
      <c r="AI3" s="2">
        <f>AH3*AD3*12/6</f>
        <v>15000</v>
      </c>
      <c r="AJ3" s="74">
        <f>AI3</f>
        <v>15000</v>
      </c>
      <c r="AK3" s="227" t="s">
        <v>213</v>
      </c>
    </row>
    <row r="4" spans="1:37" x14ac:dyDescent="0.35">
      <c r="A4" s="2" t="s">
        <v>11</v>
      </c>
      <c r="B4" s="75">
        <v>1</v>
      </c>
      <c r="C4" s="75">
        <v>24</v>
      </c>
      <c r="D4" s="75">
        <v>24</v>
      </c>
      <c r="E4" s="75" t="s">
        <v>117</v>
      </c>
      <c r="F4" s="118">
        <v>240000</v>
      </c>
      <c r="G4" s="2">
        <f>C4*8*60</f>
        <v>11520</v>
      </c>
      <c r="H4" s="2">
        <f>20*24</f>
        <v>480</v>
      </c>
      <c r="I4" s="54">
        <f>F4/G4*H4/6</f>
        <v>1666.6666666666667</v>
      </c>
      <c r="J4" s="2">
        <v>65000</v>
      </c>
      <c r="K4" s="2">
        <f>J4/30</f>
        <v>2166.6666666666665</v>
      </c>
      <c r="L4" s="79">
        <f>K4/8</f>
        <v>270.83333333333331</v>
      </c>
      <c r="M4" s="2">
        <f>L4/60*20</f>
        <v>90.277777777777771</v>
      </c>
      <c r="N4" s="86">
        <f>M4*24/6</f>
        <v>361.11111111111109</v>
      </c>
      <c r="O4" s="86">
        <f t="shared" ref="O4" si="0">N4+I4</f>
        <v>2027.7777777777778</v>
      </c>
      <c r="P4" s="2">
        <v>12</v>
      </c>
      <c r="Q4" s="2">
        <f>L4*P4*12/6</f>
        <v>6500</v>
      </c>
      <c r="R4" s="105">
        <f>Q4</f>
        <v>6500</v>
      </c>
      <c r="T4" s="2" t="s">
        <v>11</v>
      </c>
      <c r="U4" s="2">
        <v>1</v>
      </c>
      <c r="V4" s="2">
        <v>24</v>
      </c>
      <c r="W4" s="2">
        <v>24</v>
      </c>
      <c r="X4" s="2">
        <v>20</v>
      </c>
      <c r="Y4" s="118">
        <v>240000</v>
      </c>
      <c r="Z4" s="2">
        <f t="shared" ref="Z4:Z5" si="1">V4*8*60</f>
        <v>11520</v>
      </c>
      <c r="AA4" s="2">
        <f>W4*X4</f>
        <v>480</v>
      </c>
      <c r="AB4" s="54">
        <f>Y4/Z4*AA4/6</f>
        <v>1666.6666666666667</v>
      </c>
      <c r="AC4" s="2">
        <v>65000</v>
      </c>
      <c r="AD4" s="79">
        <f>AC4/30/8</f>
        <v>270.83333333333331</v>
      </c>
      <c r="AE4" s="2">
        <f>AD4/60*20</f>
        <v>90.277777777777771</v>
      </c>
      <c r="AF4" s="54">
        <f>AE4*24/6</f>
        <v>361.11111111111109</v>
      </c>
      <c r="AG4" s="54">
        <f>AB4+AF4</f>
        <v>2027.7777777777778</v>
      </c>
      <c r="AH4" s="2">
        <v>12</v>
      </c>
      <c r="AI4" s="2">
        <f>AH4*AD4*12/6</f>
        <v>6500</v>
      </c>
      <c r="AJ4" s="105">
        <f>AI4</f>
        <v>6500</v>
      </c>
      <c r="AK4" s="228"/>
    </row>
    <row r="5" spans="1:37" x14ac:dyDescent="0.35">
      <c r="A5" s="2" t="s">
        <v>12</v>
      </c>
      <c r="B5" s="75">
        <v>1</v>
      </c>
      <c r="C5" s="75">
        <v>120</v>
      </c>
      <c r="D5" s="75">
        <v>120</v>
      </c>
      <c r="E5" s="75" t="s">
        <v>204</v>
      </c>
      <c r="F5" s="118">
        <f>6000*12</f>
        <v>72000</v>
      </c>
      <c r="G5" s="2">
        <f>C5*8*60</f>
        <v>57600</v>
      </c>
      <c r="H5" s="2">
        <f>120*120</f>
        <v>14400</v>
      </c>
      <c r="I5" s="54">
        <f>F5/G5*H5/6</f>
        <v>3000</v>
      </c>
      <c r="J5" s="2">
        <v>35000</v>
      </c>
      <c r="K5" s="79">
        <f>J5/30</f>
        <v>1166.6666666666667</v>
      </c>
      <c r="L5" s="79">
        <f>K5/8</f>
        <v>145.83333333333334</v>
      </c>
      <c r="M5" s="79">
        <f>L5/60*120</f>
        <v>291.66666666666669</v>
      </c>
      <c r="N5" s="54">
        <f>M5*120/6</f>
        <v>5833.333333333333</v>
      </c>
      <c r="O5" s="86">
        <f>N5+I5</f>
        <v>8833.3333333333321</v>
      </c>
      <c r="P5" s="76" t="s">
        <v>205</v>
      </c>
      <c r="Q5" s="118">
        <f>J5*12/6/4</f>
        <v>17500</v>
      </c>
      <c r="R5" s="118">
        <f>Q5-N5</f>
        <v>11666.666666666668</v>
      </c>
      <c r="T5" s="2" t="s">
        <v>12</v>
      </c>
      <c r="U5" s="2">
        <v>1</v>
      </c>
      <c r="V5" s="2">
        <v>120</v>
      </c>
      <c r="W5" s="2">
        <v>120</v>
      </c>
      <c r="X5" s="2">
        <v>120</v>
      </c>
      <c r="Y5" s="118">
        <f>3000*12</f>
        <v>36000</v>
      </c>
      <c r="Z5" s="2">
        <f t="shared" si="1"/>
        <v>57600</v>
      </c>
      <c r="AA5" s="2">
        <f>W5*X5</f>
        <v>14400</v>
      </c>
      <c r="AB5" s="54">
        <f>Y5/Z5*AA5/6</f>
        <v>1500</v>
      </c>
      <c r="AC5" s="2">
        <v>28000</v>
      </c>
      <c r="AD5" s="79">
        <f>AC5/30/8</f>
        <v>116.66666666666667</v>
      </c>
      <c r="AE5" s="2">
        <f>AD5/60*120</f>
        <v>233.33333333333334</v>
      </c>
      <c r="AF5" s="54">
        <f>AE5*120/6</f>
        <v>4666.666666666667</v>
      </c>
      <c r="AG5" s="54">
        <f>AB5+AF5</f>
        <v>6166.666666666667</v>
      </c>
      <c r="AH5" s="74" t="s">
        <v>205</v>
      </c>
      <c r="AI5" s="118">
        <f>AC5*12/6/4</f>
        <v>14000</v>
      </c>
      <c r="AJ5" s="118">
        <f>AI5-AF5</f>
        <v>9333.3333333333321</v>
      </c>
      <c r="AK5" s="228"/>
    </row>
    <row r="6" spans="1:37" x14ac:dyDescent="0.35">
      <c r="A6" s="2" t="s">
        <v>29</v>
      </c>
      <c r="B6" s="75"/>
      <c r="C6" s="75"/>
      <c r="D6" s="75"/>
      <c r="E6" s="75"/>
      <c r="F6" s="2"/>
      <c r="G6" s="2"/>
      <c r="H6" s="2"/>
      <c r="I6" s="2"/>
      <c r="J6" s="2"/>
      <c r="K6" s="2"/>
      <c r="L6" s="2"/>
      <c r="M6" s="79"/>
      <c r="N6" s="2"/>
      <c r="O6" s="86">
        <f>SUM(O3:O5)</f>
        <v>13361.111111111109</v>
      </c>
      <c r="P6" s="2"/>
      <c r="Q6" s="2"/>
      <c r="R6" s="105">
        <f>SUM(R3:R5)</f>
        <v>33166.666666666672</v>
      </c>
      <c r="T6" s="2" t="s">
        <v>29</v>
      </c>
      <c r="U6" s="224"/>
      <c r="V6" s="225"/>
      <c r="W6" s="225"/>
      <c r="X6" s="225"/>
      <c r="Y6" s="225"/>
      <c r="Z6" s="225"/>
      <c r="AA6" s="225"/>
      <c r="AB6" s="225"/>
      <c r="AC6" s="225"/>
      <c r="AD6" s="225"/>
      <c r="AE6" s="225"/>
      <c r="AF6" s="226"/>
      <c r="AG6" s="86">
        <f>SUM(AG3:AG5)</f>
        <v>10694.444444444445</v>
      </c>
      <c r="AH6" s="2"/>
      <c r="AI6" s="2"/>
      <c r="AJ6" s="74">
        <f>SUM(AJ3:AJ5)</f>
        <v>30833.333333333332</v>
      </c>
      <c r="AK6" s="229"/>
    </row>
    <row r="7" spans="1:37" x14ac:dyDescent="0.35">
      <c r="A7" s="3"/>
      <c r="B7" s="3"/>
      <c r="C7" s="3"/>
      <c r="D7" s="3"/>
      <c r="E7" s="3"/>
      <c r="F7" s="3"/>
      <c r="G7" s="3"/>
      <c r="H7" s="3"/>
      <c r="I7" s="3"/>
      <c r="J7" s="3"/>
      <c r="K7" s="3"/>
      <c r="L7" s="3"/>
      <c r="M7" s="3"/>
      <c r="N7" s="3"/>
      <c r="O7" s="3"/>
      <c r="P7" s="3"/>
      <c r="Q7" s="3"/>
      <c r="R7" s="3"/>
      <c r="Z7" s="3"/>
      <c r="AA7" s="3"/>
      <c r="AB7" s="3"/>
      <c r="AC7" s="3"/>
    </row>
    <row r="8" spans="1:37" x14ac:dyDescent="0.35">
      <c r="A8" s="3" t="s">
        <v>123</v>
      </c>
      <c r="B8" s="3"/>
      <c r="C8" s="3"/>
      <c r="D8" s="3"/>
      <c r="E8" s="3"/>
      <c r="F8" s="3"/>
      <c r="G8" s="3"/>
      <c r="H8" s="3"/>
      <c r="I8" s="3"/>
      <c r="J8" s="3"/>
      <c r="K8" s="3"/>
      <c r="L8" s="3"/>
      <c r="M8" s="3"/>
      <c r="N8" s="3"/>
      <c r="O8" s="3"/>
      <c r="P8" s="3"/>
      <c r="Q8" s="3"/>
      <c r="R8" s="3"/>
      <c r="Z8" s="3"/>
      <c r="AA8" s="3"/>
      <c r="AB8" s="3"/>
      <c r="AC8" s="3"/>
    </row>
    <row r="9" spans="1:37" x14ac:dyDescent="0.35">
      <c r="A9" s="3" t="s">
        <v>212</v>
      </c>
      <c r="B9" s="3"/>
      <c r="C9" s="3"/>
      <c r="D9" s="3"/>
      <c r="E9" s="3"/>
      <c r="F9" s="3"/>
      <c r="G9" s="3"/>
      <c r="H9" s="3"/>
      <c r="I9" s="3"/>
      <c r="J9" s="3"/>
      <c r="K9" s="3"/>
      <c r="L9" s="3"/>
      <c r="M9" s="3"/>
      <c r="N9" s="3"/>
      <c r="O9" s="3"/>
      <c r="P9" s="3"/>
      <c r="Q9" s="3"/>
      <c r="R9" s="3"/>
      <c r="Z9" s="3"/>
      <c r="AA9" s="3"/>
      <c r="AB9" s="3"/>
      <c r="AC9" s="3"/>
      <c r="AF9" s="58"/>
    </row>
    <row r="10" spans="1:37" x14ac:dyDescent="0.35">
      <c r="A10" s="3"/>
      <c r="B10" s="3"/>
      <c r="C10" s="3"/>
      <c r="D10" s="3"/>
      <c r="E10" s="3"/>
      <c r="F10" s="3"/>
      <c r="G10" s="3" t="s">
        <v>300</v>
      </c>
      <c r="H10" s="3"/>
      <c r="I10" s="3"/>
      <c r="J10" s="3"/>
      <c r="K10" s="3"/>
      <c r="L10" s="3"/>
      <c r="M10" s="3"/>
      <c r="N10" s="3"/>
      <c r="O10" s="3"/>
      <c r="P10" s="3"/>
      <c r="Q10" s="3"/>
      <c r="R10" s="3"/>
      <c r="Z10" s="3"/>
      <c r="AA10" s="3"/>
      <c r="AB10" s="3"/>
      <c r="AC10" s="3"/>
    </row>
    <row r="11" spans="1:37" x14ac:dyDescent="0.35">
      <c r="A11" s="3"/>
      <c r="B11" s="3"/>
      <c r="C11" s="3"/>
      <c r="D11" s="3"/>
      <c r="E11" s="3"/>
      <c r="F11" s="3"/>
      <c r="G11" s="231" t="s">
        <v>297</v>
      </c>
      <c r="H11" s="231"/>
      <c r="I11" s="231"/>
      <c r="J11" s="231"/>
      <c r="K11" s="3"/>
      <c r="L11" s="3"/>
      <c r="M11" s="3"/>
      <c r="N11" s="3"/>
      <c r="O11" s="3"/>
      <c r="P11" s="3"/>
      <c r="Q11" s="3"/>
      <c r="R11" s="39"/>
      <c r="Z11" s="3"/>
      <c r="AA11" s="3"/>
      <c r="AB11" s="3"/>
      <c r="AC11" s="3"/>
    </row>
    <row r="12" spans="1:37" x14ac:dyDescent="0.35">
      <c r="G12" s="218" t="s">
        <v>303</v>
      </c>
      <c r="H12" s="218"/>
      <c r="I12" s="218"/>
      <c r="J12" s="218"/>
    </row>
    <row r="13" spans="1:37" x14ac:dyDescent="0.35">
      <c r="G13" s="218" t="s">
        <v>302</v>
      </c>
      <c r="H13" s="218"/>
      <c r="I13" s="218"/>
      <c r="J13" s="218"/>
      <c r="K13" s="218"/>
    </row>
    <row r="15" spans="1:37" x14ac:dyDescent="0.35">
      <c r="G15" s="218" t="s">
        <v>298</v>
      </c>
      <c r="H15" s="218"/>
      <c r="I15" s="218"/>
      <c r="J15" s="218"/>
      <c r="K15" s="218"/>
      <c r="L15" s="218"/>
      <c r="M15" s="218"/>
      <c r="N15" s="218"/>
    </row>
    <row r="16" spans="1:37" x14ac:dyDescent="0.35">
      <c r="G16" s="218" t="s">
        <v>299</v>
      </c>
      <c r="H16" s="218"/>
      <c r="I16" s="218"/>
      <c r="J16" s="218"/>
      <c r="K16" s="218"/>
      <c r="L16" s="218"/>
      <c r="M16" s="218"/>
      <c r="N16" s="218"/>
      <c r="O16" s="218"/>
    </row>
    <row r="17" spans="7:20" x14ac:dyDescent="0.35">
      <c r="G17" s="218">
        <v>11520</v>
      </c>
      <c r="H17" s="218"/>
      <c r="I17" s="218"/>
      <c r="J17" s="218"/>
      <c r="K17" s="218"/>
      <c r="L17" s="218"/>
      <c r="M17" s="218"/>
      <c r="N17" s="218"/>
      <c r="O17" s="218"/>
    </row>
    <row r="18" spans="7:20" x14ac:dyDescent="0.35">
      <c r="G18" s="218" t="s">
        <v>301</v>
      </c>
      <c r="H18" s="218"/>
      <c r="I18" s="218"/>
      <c r="J18" s="218"/>
      <c r="K18" s="218"/>
      <c r="L18" s="218"/>
      <c r="M18" s="218"/>
      <c r="N18" s="218"/>
      <c r="O18" s="218"/>
    </row>
    <row r="19" spans="7:20" x14ac:dyDescent="0.35">
      <c r="G19" s="219">
        <f>480</f>
        <v>480</v>
      </c>
      <c r="H19" s="219"/>
      <c r="I19" s="219"/>
      <c r="J19" s="219"/>
      <c r="K19" s="219"/>
      <c r="L19" s="219"/>
      <c r="M19" s="219"/>
      <c r="N19" s="219"/>
    </row>
    <row r="20" spans="7:20" x14ac:dyDescent="0.35">
      <c r="G20" s="222" t="s">
        <v>304</v>
      </c>
      <c r="H20" s="223"/>
      <c r="I20" s="223"/>
      <c r="J20" s="223"/>
      <c r="K20" s="223"/>
      <c r="L20" s="223"/>
      <c r="M20" s="223"/>
      <c r="N20" s="223"/>
      <c r="O20" s="223"/>
      <c r="P20" s="223"/>
      <c r="Q20" s="223"/>
      <c r="R20" s="223"/>
      <c r="S20" s="223"/>
      <c r="T20" s="223"/>
    </row>
    <row r="21" spans="7:20" x14ac:dyDescent="0.35">
      <c r="G21" s="223"/>
      <c r="H21" s="223"/>
      <c r="I21" s="223"/>
      <c r="J21" s="223"/>
      <c r="K21" s="223"/>
      <c r="L21" s="223"/>
      <c r="M21" s="223"/>
      <c r="N21" s="223"/>
      <c r="O21" s="223"/>
      <c r="P21" s="223"/>
      <c r="Q21" s="223"/>
      <c r="R21" s="223"/>
      <c r="S21" s="223"/>
      <c r="T21" s="223"/>
    </row>
    <row r="22" spans="7:20" x14ac:dyDescent="0.35">
      <c r="G22" s="220" t="s">
        <v>307</v>
      </c>
      <c r="H22" s="220"/>
      <c r="I22" s="220"/>
      <c r="J22" s="220"/>
      <c r="K22" s="220"/>
      <c r="L22" s="220"/>
      <c r="M22" s="220"/>
      <c r="N22" s="220"/>
      <c r="O22" s="220"/>
      <c r="P22" s="220"/>
      <c r="Q22" s="220"/>
      <c r="R22" s="220"/>
    </row>
    <row r="23" spans="7:20" x14ac:dyDescent="0.35">
      <c r="G23" s="219">
        <f>1666.67</f>
        <v>1666.67</v>
      </c>
      <c r="H23" s="219"/>
      <c r="I23" s="219"/>
      <c r="J23" s="219"/>
      <c r="K23" s="219"/>
      <c r="L23" s="219"/>
      <c r="M23" s="219"/>
      <c r="N23" s="219"/>
      <c r="O23" s="219"/>
      <c r="P23" s="219"/>
      <c r="Q23" s="219"/>
      <c r="R23" s="219"/>
    </row>
    <row r="24" spans="7:20" x14ac:dyDescent="0.35">
      <c r="G24" s="218" t="s">
        <v>305</v>
      </c>
      <c r="H24" s="218"/>
      <c r="I24" s="218"/>
      <c r="J24" s="218"/>
      <c r="K24" s="218"/>
      <c r="L24" s="218"/>
      <c r="M24" s="218"/>
      <c r="N24" s="218"/>
      <c r="O24" s="218"/>
      <c r="P24" s="218"/>
      <c r="Q24" s="218"/>
      <c r="R24" s="218"/>
    </row>
    <row r="25" spans="7:20" x14ac:dyDescent="0.35">
      <c r="G25" s="220" t="s">
        <v>308</v>
      </c>
      <c r="H25" s="220"/>
      <c r="I25" s="220"/>
      <c r="J25" s="220"/>
      <c r="K25" s="220"/>
      <c r="L25" s="220"/>
      <c r="M25" s="220"/>
      <c r="N25" s="220"/>
      <c r="O25" s="220"/>
    </row>
    <row r="26" spans="7:20" x14ac:dyDescent="0.35">
      <c r="G26" s="218" t="s">
        <v>306</v>
      </c>
      <c r="H26" s="218"/>
      <c r="I26" s="218"/>
      <c r="J26" s="218"/>
      <c r="K26" s="218"/>
      <c r="L26" s="218"/>
      <c r="M26" s="218"/>
      <c r="N26" s="218"/>
    </row>
    <row r="27" spans="7:20" x14ac:dyDescent="0.35">
      <c r="G27" s="221">
        <f>O3</f>
        <v>2500</v>
      </c>
      <c r="H27" s="220"/>
      <c r="I27" s="220"/>
      <c r="J27" s="220"/>
      <c r="K27" s="220"/>
      <c r="L27" s="220"/>
      <c r="M27" s="220"/>
    </row>
  </sheetData>
  <mergeCells count="19">
    <mergeCell ref="G27:M27"/>
    <mergeCell ref="G20:T21"/>
    <mergeCell ref="G22:R22"/>
    <mergeCell ref="G23:R23"/>
    <mergeCell ref="G24:R24"/>
    <mergeCell ref="G25:O25"/>
    <mergeCell ref="G26:N26"/>
    <mergeCell ref="G19:N19"/>
    <mergeCell ref="A1:R1"/>
    <mergeCell ref="T1:AK1"/>
    <mergeCell ref="AK3:AK6"/>
    <mergeCell ref="U6:AF6"/>
    <mergeCell ref="G11:J11"/>
    <mergeCell ref="G12:J12"/>
    <mergeCell ref="G13:K13"/>
    <mergeCell ref="G15:N15"/>
    <mergeCell ref="G16:O16"/>
    <mergeCell ref="G17:O17"/>
    <mergeCell ref="G18:O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workbookViewId="0">
      <selection activeCell="L14" sqref="L14"/>
    </sheetView>
  </sheetViews>
  <sheetFormatPr defaultRowHeight="14.5" x14ac:dyDescent="0.35"/>
  <cols>
    <col min="1" max="1" width="17.54296875" customWidth="1"/>
    <col min="2" max="2" width="20.26953125" customWidth="1"/>
    <col min="3" max="3" width="10.7265625" customWidth="1"/>
    <col min="4" max="4" width="11.1796875" customWidth="1"/>
    <col min="5" max="5" width="11.453125" customWidth="1"/>
    <col min="8" max="8" width="15.54296875" customWidth="1"/>
    <col min="9" max="9" width="15.453125" customWidth="1"/>
    <col min="10" max="10" width="16" customWidth="1"/>
    <col min="11" max="11" width="17.26953125" customWidth="1"/>
    <col min="12" max="12" width="6.453125" customWidth="1"/>
    <col min="14" max="14" width="14.7265625" customWidth="1"/>
  </cols>
  <sheetData>
    <row r="1" spans="1:23" x14ac:dyDescent="0.35">
      <c r="A1" s="250" t="s">
        <v>88</v>
      </c>
      <c r="B1" s="250"/>
      <c r="C1" s="250"/>
      <c r="D1" s="250"/>
      <c r="E1" s="250"/>
      <c r="F1" s="250"/>
      <c r="G1" s="250"/>
      <c r="H1" s="250"/>
      <c r="I1" s="250"/>
      <c r="J1" s="250"/>
      <c r="K1" s="250"/>
      <c r="M1" s="250" t="s">
        <v>50</v>
      </c>
      <c r="N1" s="250"/>
      <c r="O1" s="250"/>
      <c r="P1" s="250"/>
      <c r="Q1" s="250"/>
      <c r="R1" s="250"/>
      <c r="S1" s="250"/>
      <c r="T1" s="250"/>
      <c r="U1" s="250"/>
      <c r="V1" s="250"/>
      <c r="W1" s="250"/>
    </row>
    <row r="2" spans="1:23" x14ac:dyDescent="0.35">
      <c r="A2" s="248" t="s">
        <v>30</v>
      </c>
      <c r="B2" s="251" t="s">
        <v>31</v>
      </c>
      <c r="C2" s="251" t="s">
        <v>32</v>
      </c>
      <c r="D2" s="251" t="s">
        <v>33</v>
      </c>
      <c r="E2" s="251" t="s">
        <v>34</v>
      </c>
      <c r="F2" s="251" t="s">
        <v>35</v>
      </c>
      <c r="G2" s="252" t="s">
        <v>36</v>
      </c>
      <c r="H2" s="252"/>
      <c r="I2" s="252"/>
      <c r="J2" s="252"/>
      <c r="K2" s="249" t="s">
        <v>43</v>
      </c>
      <c r="M2" s="248" t="s">
        <v>30</v>
      </c>
      <c r="N2" s="251" t="s">
        <v>31</v>
      </c>
      <c r="O2" s="251" t="s">
        <v>32</v>
      </c>
      <c r="P2" s="251" t="s">
        <v>33</v>
      </c>
      <c r="Q2" s="251" t="s">
        <v>34</v>
      </c>
      <c r="R2" s="251" t="s">
        <v>35</v>
      </c>
      <c r="S2" s="252" t="s">
        <v>36</v>
      </c>
      <c r="T2" s="252"/>
      <c r="U2" s="252"/>
      <c r="V2" s="252"/>
      <c r="W2" s="249"/>
    </row>
    <row r="3" spans="1:23" ht="26" x14ac:dyDescent="0.35">
      <c r="A3" s="248"/>
      <c r="B3" s="251"/>
      <c r="C3" s="251"/>
      <c r="D3" s="251"/>
      <c r="E3" s="251"/>
      <c r="F3" s="251"/>
      <c r="G3" s="251" t="s">
        <v>37</v>
      </c>
      <c r="H3" s="251" t="s">
        <v>38</v>
      </c>
      <c r="I3" s="1" t="s">
        <v>90</v>
      </c>
      <c r="J3" s="248" t="s">
        <v>27</v>
      </c>
      <c r="K3" s="249"/>
      <c r="M3" s="248"/>
      <c r="N3" s="251"/>
      <c r="O3" s="251"/>
      <c r="P3" s="251"/>
      <c r="Q3" s="251"/>
      <c r="R3" s="251"/>
      <c r="S3" s="251" t="s">
        <v>37</v>
      </c>
      <c r="T3" s="251" t="s">
        <v>38</v>
      </c>
      <c r="U3" s="1" t="s">
        <v>39</v>
      </c>
      <c r="V3" s="248" t="s">
        <v>27</v>
      </c>
      <c r="W3" s="249"/>
    </row>
    <row r="4" spans="1:23" ht="26" x14ac:dyDescent="0.35">
      <c r="A4" s="248"/>
      <c r="B4" s="251"/>
      <c r="C4" s="251"/>
      <c r="D4" s="251"/>
      <c r="E4" s="251"/>
      <c r="F4" s="251"/>
      <c r="G4" s="251"/>
      <c r="H4" s="251"/>
      <c r="I4" s="1" t="s">
        <v>40</v>
      </c>
      <c r="J4" s="248"/>
      <c r="K4" s="249"/>
      <c r="M4" s="248"/>
      <c r="N4" s="251"/>
      <c r="O4" s="251"/>
      <c r="P4" s="251"/>
      <c r="Q4" s="251"/>
      <c r="R4" s="251"/>
      <c r="S4" s="251"/>
      <c r="T4" s="251"/>
      <c r="U4" s="1" t="s">
        <v>40</v>
      </c>
      <c r="V4" s="248"/>
      <c r="W4" s="249"/>
    </row>
    <row r="5" spans="1:23" x14ac:dyDescent="0.35">
      <c r="A5" s="7" t="s">
        <v>51</v>
      </c>
      <c r="B5" s="8" t="s">
        <v>55</v>
      </c>
      <c r="C5" s="14" t="s">
        <v>41</v>
      </c>
      <c r="D5" s="8">
        <v>11</v>
      </c>
      <c r="E5" s="8"/>
      <c r="F5" s="8">
        <v>4</v>
      </c>
      <c r="G5" s="8"/>
      <c r="H5" s="8"/>
      <c r="I5" s="8"/>
      <c r="J5" s="16">
        <f>11*500/4</f>
        <v>1375</v>
      </c>
      <c r="K5" s="253">
        <f>SUM(J5:J6)</f>
        <v>89815</v>
      </c>
      <c r="M5" s="7" t="s">
        <v>51</v>
      </c>
      <c r="N5" s="8" t="s">
        <v>55</v>
      </c>
      <c r="O5" s="14" t="s">
        <v>41</v>
      </c>
      <c r="P5" s="8">
        <v>10</v>
      </c>
      <c r="Q5" s="8"/>
      <c r="R5" s="8">
        <v>4</v>
      </c>
      <c r="S5" s="8"/>
      <c r="T5" s="8"/>
      <c r="U5" s="8"/>
      <c r="V5" s="16">
        <f>10*500/4</f>
        <v>1250</v>
      </c>
      <c r="W5" s="8"/>
    </row>
    <row r="6" spans="1:23" x14ac:dyDescent="0.35">
      <c r="A6" s="7"/>
      <c r="B6" s="8" t="s">
        <v>89</v>
      </c>
      <c r="C6" s="14"/>
      <c r="D6" s="8">
        <v>55</v>
      </c>
      <c r="E6" s="8">
        <v>1661</v>
      </c>
      <c r="F6" s="8">
        <v>3.5</v>
      </c>
      <c r="G6" s="8"/>
      <c r="H6" s="8"/>
      <c r="I6" s="8" t="s">
        <v>91</v>
      </c>
      <c r="J6" s="16">
        <f>400*55+1661*40</f>
        <v>88440</v>
      </c>
      <c r="K6" s="254"/>
      <c r="M6" s="7"/>
      <c r="N6" s="8" t="s">
        <v>89</v>
      </c>
      <c r="O6" s="14"/>
      <c r="P6" s="8">
        <v>0</v>
      </c>
      <c r="Q6" s="8"/>
      <c r="R6" s="8"/>
      <c r="S6" s="8"/>
      <c r="T6" s="8"/>
      <c r="U6" s="8"/>
      <c r="V6" s="16"/>
      <c r="W6" s="8"/>
    </row>
    <row r="7" spans="1:23" x14ac:dyDescent="0.35">
      <c r="A7" s="8" t="s">
        <v>52</v>
      </c>
      <c r="B7" s="8" t="s">
        <v>55</v>
      </c>
      <c r="C7" s="14" t="s">
        <v>41</v>
      </c>
      <c r="D7" s="8">
        <v>12</v>
      </c>
      <c r="E7" s="8"/>
      <c r="F7" s="8">
        <v>4</v>
      </c>
      <c r="G7" s="8"/>
      <c r="H7" s="8"/>
      <c r="I7" s="8"/>
      <c r="J7" s="13">
        <f>12*500/4</f>
        <v>1500</v>
      </c>
      <c r="K7" s="253">
        <f>SUM(J7:J8)</f>
        <v>245460</v>
      </c>
      <c r="M7" s="8" t="s">
        <v>52</v>
      </c>
      <c r="N7" s="8" t="s">
        <v>55</v>
      </c>
      <c r="O7" s="14" t="s">
        <v>41</v>
      </c>
      <c r="P7" s="8">
        <v>4</v>
      </c>
      <c r="Q7" s="8"/>
      <c r="R7" s="8">
        <v>4</v>
      </c>
      <c r="S7" s="8"/>
      <c r="T7" s="8"/>
      <c r="U7" s="8"/>
      <c r="V7" s="13">
        <f>4*500/4</f>
        <v>500</v>
      </c>
      <c r="W7" s="4"/>
    </row>
    <row r="8" spans="1:23" x14ac:dyDescent="0.35">
      <c r="A8" s="8"/>
      <c r="B8" s="8" t="s">
        <v>89</v>
      </c>
      <c r="C8" s="14"/>
      <c r="D8" s="8">
        <v>216</v>
      </c>
      <c r="E8" s="8">
        <v>3939</v>
      </c>
      <c r="F8" s="8">
        <v>3.5</v>
      </c>
      <c r="G8" s="8"/>
      <c r="H8" s="8"/>
      <c r="I8" s="8" t="s">
        <v>91</v>
      </c>
      <c r="J8" s="13">
        <f>216*400+E8*40</f>
        <v>243960</v>
      </c>
      <c r="K8" s="254"/>
      <c r="M8" s="8"/>
      <c r="N8" s="8" t="s">
        <v>89</v>
      </c>
      <c r="O8" s="14"/>
      <c r="P8" s="8">
        <v>0</v>
      </c>
      <c r="Q8" s="8"/>
      <c r="R8" s="8"/>
      <c r="S8" s="8"/>
      <c r="T8" s="8"/>
      <c r="U8" s="8"/>
      <c r="V8" s="13"/>
      <c r="W8" s="4"/>
    </row>
    <row r="9" spans="1:23" ht="19.5" customHeight="1" x14ac:dyDescent="0.35">
      <c r="A9" s="4" t="s">
        <v>53</v>
      </c>
      <c r="B9" s="8" t="s">
        <v>55</v>
      </c>
      <c r="C9" s="14" t="s">
        <v>41</v>
      </c>
      <c r="D9" s="13">
        <v>11</v>
      </c>
      <c r="E9" s="8"/>
      <c r="F9" s="8">
        <v>4</v>
      </c>
      <c r="G9" s="8"/>
      <c r="H9" s="8"/>
      <c r="I9" s="8"/>
      <c r="J9" s="8">
        <f>D9*500/4</f>
        <v>1375</v>
      </c>
      <c r="K9" s="253">
        <f>SUM(J9:J10)</f>
        <v>220455</v>
      </c>
      <c r="M9" s="4" t="s">
        <v>53</v>
      </c>
      <c r="N9" s="8" t="s">
        <v>55</v>
      </c>
      <c r="O9" s="14" t="s">
        <v>42</v>
      </c>
      <c r="P9" s="13">
        <v>5</v>
      </c>
      <c r="Q9" s="8"/>
      <c r="R9" s="8">
        <v>4</v>
      </c>
      <c r="S9" s="8"/>
      <c r="T9" s="8"/>
      <c r="U9" s="8"/>
      <c r="V9" s="8">
        <f>5*500/4</f>
        <v>625</v>
      </c>
      <c r="W9" s="4"/>
    </row>
    <row r="10" spans="1:23" ht="15" customHeight="1" x14ac:dyDescent="0.35">
      <c r="B10" s="8" t="s">
        <v>89</v>
      </c>
      <c r="C10" s="14"/>
      <c r="D10" s="13">
        <v>143</v>
      </c>
      <c r="E10" s="8">
        <v>4047</v>
      </c>
      <c r="F10" s="8">
        <v>3.5</v>
      </c>
      <c r="G10" s="8"/>
      <c r="H10" s="8"/>
      <c r="I10" s="8" t="s">
        <v>91</v>
      </c>
      <c r="J10" s="8">
        <f>D10*400+E10*40</f>
        <v>219080</v>
      </c>
      <c r="K10" s="254"/>
      <c r="M10" s="4"/>
      <c r="N10" s="8" t="s">
        <v>89</v>
      </c>
      <c r="O10" s="14"/>
      <c r="P10" s="13">
        <v>0</v>
      </c>
      <c r="Q10" s="8"/>
      <c r="R10" s="8"/>
      <c r="S10" s="8"/>
      <c r="T10" s="8"/>
      <c r="U10" s="8"/>
      <c r="V10" s="8"/>
      <c r="W10" s="4"/>
    </row>
    <row r="11" spans="1:23" x14ac:dyDescent="0.35">
      <c r="A11" s="4" t="s">
        <v>54</v>
      </c>
      <c r="B11" s="8" t="s">
        <v>55</v>
      </c>
      <c r="C11" s="14" t="s">
        <v>41</v>
      </c>
      <c r="D11" s="27">
        <v>9</v>
      </c>
      <c r="E11" s="8"/>
      <c r="F11" s="8">
        <v>4</v>
      </c>
      <c r="G11" s="8"/>
      <c r="H11" s="8"/>
      <c r="I11" s="8"/>
      <c r="J11" s="12">
        <f>D11*500/4</f>
        <v>1125</v>
      </c>
      <c r="K11" s="253">
        <f>SUM(J11:J12)</f>
        <v>128005</v>
      </c>
      <c r="M11" s="4" t="s">
        <v>54</v>
      </c>
      <c r="N11" s="8" t="s">
        <v>55</v>
      </c>
      <c r="O11" s="14" t="s">
        <v>41</v>
      </c>
      <c r="P11" s="8">
        <v>7</v>
      </c>
      <c r="Q11" s="8"/>
      <c r="R11" s="8">
        <v>4</v>
      </c>
      <c r="S11" s="8"/>
      <c r="T11" s="8"/>
      <c r="U11" s="8"/>
      <c r="V11" s="12">
        <f>7*500/4</f>
        <v>875</v>
      </c>
      <c r="W11" s="4"/>
    </row>
    <row r="12" spans="1:23" x14ac:dyDescent="0.35">
      <c r="A12" s="4"/>
      <c r="B12" s="8" t="s">
        <v>89</v>
      </c>
      <c r="C12" s="14"/>
      <c r="D12" s="8">
        <v>108</v>
      </c>
      <c r="E12" s="8">
        <v>2092</v>
      </c>
      <c r="F12" s="8">
        <v>3.5</v>
      </c>
      <c r="G12" s="8"/>
      <c r="H12" s="8"/>
      <c r="I12" s="8" t="s">
        <v>91</v>
      </c>
      <c r="J12" s="12">
        <f>D12*400+E12*40</f>
        <v>126880</v>
      </c>
      <c r="K12" s="254"/>
      <c r="M12" s="4"/>
      <c r="N12" s="8" t="s">
        <v>89</v>
      </c>
      <c r="O12" s="14"/>
      <c r="P12" s="8">
        <v>0</v>
      </c>
      <c r="Q12" s="8"/>
      <c r="R12" s="8"/>
      <c r="S12" s="8"/>
      <c r="T12" s="8"/>
      <c r="U12" s="8"/>
      <c r="V12" s="12"/>
      <c r="W12" s="4"/>
    </row>
    <row r="13" spans="1:23" x14ac:dyDescent="0.35">
      <c r="A13" s="4" t="s">
        <v>29</v>
      </c>
      <c r="B13" s="4"/>
      <c r="C13" s="4"/>
      <c r="D13" s="4"/>
      <c r="E13" s="4"/>
      <c r="F13" s="4"/>
      <c r="G13" s="4"/>
      <c r="H13" s="4"/>
      <c r="I13" s="4"/>
      <c r="J13" s="4"/>
      <c r="K13" s="55">
        <f>SUM(K5:K12)</f>
        <v>683735</v>
      </c>
      <c r="M13" s="4" t="s">
        <v>29</v>
      </c>
      <c r="N13" s="4"/>
      <c r="O13" s="4"/>
      <c r="P13" s="4"/>
      <c r="Q13" s="4"/>
      <c r="R13" s="4"/>
      <c r="S13" s="4"/>
      <c r="T13" s="4"/>
      <c r="U13" s="4"/>
      <c r="V13" s="56">
        <f>SUM(V5:V11)</f>
        <v>3250</v>
      </c>
      <c r="W13" s="4"/>
    </row>
    <row r="15" spans="1:23" x14ac:dyDescent="0.35">
      <c r="B15" s="11"/>
    </row>
    <row r="17" spans="2:17" x14ac:dyDescent="0.35">
      <c r="B17" s="9"/>
      <c r="C17" s="10"/>
      <c r="D17" s="11"/>
      <c r="E17" s="11"/>
      <c r="F17" s="11"/>
      <c r="G17" s="11"/>
      <c r="H17" s="11"/>
      <c r="I17" s="11"/>
      <c r="J17" s="11"/>
    </row>
    <row r="21" spans="2:17" x14ac:dyDescent="0.35">
      <c r="B21" t="s">
        <v>94</v>
      </c>
      <c r="C21" t="s">
        <v>95</v>
      </c>
      <c r="D21" t="s">
        <v>96</v>
      </c>
      <c r="E21" t="s">
        <v>166</v>
      </c>
      <c r="N21" t="s">
        <v>94</v>
      </c>
      <c r="O21" t="s">
        <v>95</v>
      </c>
      <c r="P21" t="s">
        <v>96</v>
      </c>
      <c r="Q21" t="s">
        <v>166</v>
      </c>
    </row>
    <row r="22" spans="2:17" x14ac:dyDescent="0.35">
      <c r="B22" s="57">
        <f>K5</f>
        <v>89815</v>
      </c>
      <c r="C22" s="57">
        <f>K7</f>
        <v>245460</v>
      </c>
      <c r="D22" s="57">
        <f>K9</f>
        <v>220455</v>
      </c>
      <c r="E22" s="57">
        <f>K11</f>
        <v>128005</v>
      </c>
      <c r="N22" s="57">
        <f>V5</f>
        <v>1250</v>
      </c>
      <c r="O22">
        <f>V7</f>
        <v>500</v>
      </c>
      <c r="P22">
        <f>V9</f>
        <v>625</v>
      </c>
      <c r="Q22" s="57">
        <f>V11</f>
        <v>875</v>
      </c>
    </row>
  </sheetData>
  <mergeCells count="28">
    <mergeCell ref="K5:K6"/>
    <mergeCell ref="K7:K8"/>
    <mergeCell ref="K9:K10"/>
    <mergeCell ref="K11:K12"/>
    <mergeCell ref="M1:W1"/>
    <mergeCell ref="M2:M4"/>
    <mergeCell ref="N2:N4"/>
    <mergeCell ref="O2:O4"/>
    <mergeCell ref="P2:P4"/>
    <mergeCell ref="Q2:Q4"/>
    <mergeCell ref="R2:R4"/>
    <mergeCell ref="S2:V2"/>
    <mergeCell ref="W2:W4"/>
    <mergeCell ref="S3:S4"/>
    <mergeCell ref="T3:T4"/>
    <mergeCell ref="V3:V4"/>
    <mergeCell ref="J3:J4"/>
    <mergeCell ref="K2:K4"/>
    <mergeCell ref="A1:K1"/>
    <mergeCell ref="A2:A4"/>
    <mergeCell ref="B2:B4"/>
    <mergeCell ref="C2:C4"/>
    <mergeCell ref="D2:D4"/>
    <mergeCell ref="E2:E4"/>
    <mergeCell ref="F2:F4"/>
    <mergeCell ref="G2:J2"/>
    <mergeCell ref="G3:G4"/>
    <mergeCell ref="H3:H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topLeftCell="H1" workbookViewId="0">
      <selection activeCell="B11" sqref="B11"/>
    </sheetView>
  </sheetViews>
  <sheetFormatPr defaultRowHeight="14.5" x14ac:dyDescent="0.35"/>
  <cols>
    <col min="1" max="1" width="15.1796875" customWidth="1"/>
    <col min="2" max="3" width="13.453125" customWidth="1"/>
  </cols>
  <sheetData>
    <row r="1" spans="1:27" ht="15" x14ac:dyDescent="0.35">
      <c r="A1" s="256" t="s">
        <v>49</v>
      </c>
      <c r="B1" s="256"/>
      <c r="C1" s="256"/>
      <c r="D1" s="256"/>
      <c r="E1" s="256"/>
      <c r="F1" s="256"/>
      <c r="G1" s="256"/>
      <c r="H1" s="256"/>
      <c r="I1" s="256"/>
      <c r="J1" s="256"/>
      <c r="K1" s="256"/>
      <c r="L1" s="256"/>
      <c r="M1" s="256"/>
      <c r="O1" s="256" t="s">
        <v>59</v>
      </c>
      <c r="P1" s="256"/>
      <c r="Q1" s="256"/>
      <c r="R1" s="256"/>
      <c r="S1" s="256"/>
      <c r="T1" s="256"/>
      <c r="U1" s="256"/>
      <c r="V1" s="256"/>
      <c r="W1" s="256"/>
      <c r="X1" s="256"/>
      <c r="Y1" s="256"/>
      <c r="Z1" s="256"/>
      <c r="AA1" s="256"/>
    </row>
    <row r="2" spans="1:27" ht="26" x14ac:dyDescent="0.35">
      <c r="A2" s="257" t="s">
        <v>56</v>
      </c>
      <c r="B2" s="6" t="s">
        <v>15</v>
      </c>
      <c r="C2" s="258" t="s">
        <v>16</v>
      </c>
      <c r="D2" s="258" t="s">
        <v>17</v>
      </c>
      <c r="E2" s="259" t="s">
        <v>18</v>
      </c>
      <c r="F2" s="251" t="s">
        <v>19</v>
      </c>
      <c r="G2" s="251"/>
      <c r="H2" s="251"/>
      <c r="I2" s="251"/>
      <c r="J2" s="251"/>
      <c r="K2" s="251"/>
      <c r="L2" s="251"/>
      <c r="M2" s="251"/>
      <c r="O2" s="257" t="s">
        <v>56</v>
      </c>
      <c r="P2" s="6" t="s">
        <v>15</v>
      </c>
      <c r="Q2" s="258" t="s">
        <v>16</v>
      </c>
      <c r="R2" s="258" t="s">
        <v>17</v>
      </c>
      <c r="S2" s="259" t="s">
        <v>18</v>
      </c>
      <c r="T2" s="251" t="s">
        <v>19</v>
      </c>
      <c r="U2" s="251"/>
      <c r="V2" s="251"/>
      <c r="W2" s="251"/>
      <c r="X2" s="251"/>
      <c r="Y2" s="251"/>
      <c r="Z2" s="251"/>
      <c r="AA2" s="251"/>
    </row>
    <row r="3" spans="1:27" ht="91" x14ac:dyDescent="0.35">
      <c r="A3" s="257"/>
      <c r="B3" s="6" t="s">
        <v>20</v>
      </c>
      <c r="C3" s="258"/>
      <c r="D3" s="258"/>
      <c r="E3" s="258"/>
      <c r="F3" s="6" t="s">
        <v>21</v>
      </c>
      <c r="G3" s="6" t="s">
        <v>22</v>
      </c>
      <c r="H3" s="6" t="s">
        <v>23</v>
      </c>
      <c r="I3" s="6" t="s">
        <v>24</v>
      </c>
      <c r="J3" s="6" t="s">
        <v>25</v>
      </c>
      <c r="K3" s="6" t="s">
        <v>26</v>
      </c>
      <c r="L3" s="260" t="s">
        <v>27</v>
      </c>
      <c r="M3" s="261"/>
      <c r="O3" s="257"/>
      <c r="P3" s="6" t="s">
        <v>20</v>
      </c>
      <c r="Q3" s="258"/>
      <c r="R3" s="258"/>
      <c r="S3" s="258"/>
      <c r="T3" s="6" t="s">
        <v>21</v>
      </c>
      <c r="U3" s="6" t="s">
        <v>22</v>
      </c>
      <c r="V3" s="6" t="s">
        <v>23</v>
      </c>
      <c r="W3" s="6" t="s">
        <v>24</v>
      </c>
      <c r="X3" s="6" t="s">
        <v>25</v>
      </c>
      <c r="Y3" s="6" t="s">
        <v>26</v>
      </c>
      <c r="Z3" s="260" t="s">
        <v>27</v>
      </c>
      <c r="AA3" s="261"/>
    </row>
    <row r="4" spans="1:27" x14ac:dyDescent="0.35">
      <c r="A4" s="17" t="s">
        <v>51</v>
      </c>
      <c r="B4" s="15" t="s">
        <v>58</v>
      </c>
      <c r="C4" s="15"/>
      <c r="D4" s="15"/>
      <c r="E4" s="15"/>
      <c r="F4" s="15"/>
      <c r="G4" s="15"/>
      <c r="H4" s="15"/>
      <c r="I4" s="15"/>
      <c r="J4" s="15"/>
      <c r="K4" s="15"/>
      <c r="L4" s="255">
        <v>0</v>
      </c>
      <c r="M4" s="255"/>
      <c r="O4" s="17" t="s">
        <v>51</v>
      </c>
      <c r="P4" s="15" t="s">
        <v>58</v>
      </c>
      <c r="Q4" s="15"/>
      <c r="R4" s="15"/>
      <c r="S4" s="15"/>
      <c r="T4" s="15"/>
      <c r="U4" s="15"/>
      <c r="V4" s="15"/>
      <c r="W4" s="15"/>
      <c r="X4" s="15"/>
      <c r="Y4" s="15"/>
      <c r="Z4" s="255">
        <v>113835</v>
      </c>
      <c r="AA4" s="255"/>
    </row>
    <row r="5" spans="1:27" x14ac:dyDescent="0.35">
      <c r="A5" s="17" t="s">
        <v>52</v>
      </c>
      <c r="B5" s="15" t="s">
        <v>58</v>
      </c>
      <c r="C5" s="15"/>
      <c r="D5" s="15"/>
      <c r="E5" s="15"/>
      <c r="F5" s="15"/>
      <c r="G5" s="15"/>
      <c r="H5" s="15"/>
      <c r="I5" s="15"/>
      <c r="J5" s="15"/>
      <c r="K5" s="15"/>
      <c r="L5" s="255">
        <v>0</v>
      </c>
      <c r="M5" s="255"/>
      <c r="O5" s="17" t="s">
        <v>52</v>
      </c>
      <c r="P5" s="15" t="s">
        <v>58</v>
      </c>
      <c r="Q5" s="15"/>
      <c r="R5" s="15"/>
      <c r="S5" s="15"/>
      <c r="T5" s="15"/>
      <c r="U5" s="15"/>
      <c r="V5" s="15"/>
      <c r="W5" s="15"/>
      <c r="X5" s="15"/>
      <c r="Y5" s="15"/>
      <c r="Z5" s="255">
        <v>60875</v>
      </c>
      <c r="AA5" s="255"/>
    </row>
    <row r="6" spans="1:27" x14ac:dyDescent="0.35">
      <c r="A6" s="17" t="s">
        <v>57</v>
      </c>
      <c r="B6" s="15" t="s">
        <v>58</v>
      </c>
      <c r="C6" s="15"/>
      <c r="D6" s="15"/>
      <c r="E6" s="15"/>
      <c r="F6" s="15"/>
      <c r="G6" s="15"/>
      <c r="H6" s="15"/>
      <c r="I6" s="15"/>
      <c r="J6" s="15"/>
      <c r="K6" s="15"/>
      <c r="L6" s="255">
        <v>0</v>
      </c>
      <c r="M6" s="255"/>
      <c r="O6" s="17" t="s">
        <v>57</v>
      </c>
      <c r="P6" s="15" t="s">
        <v>58</v>
      </c>
      <c r="Q6" s="15"/>
      <c r="R6" s="15"/>
      <c r="S6" s="15"/>
      <c r="T6" s="15"/>
      <c r="U6" s="15"/>
      <c r="V6" s="15"/>
      <c r="W6" s="15"/>
      <c r="X6" s="15"/>
      <c r="Y6" s="15"/>
      <c r="Z6" s="255">
        <v>0</v>
      </c>
      <c r="AA6" s="255"/>
    </row>
    <row r="7" spans="1:27" x14ac:dyDescent="0.35">
      <c r="A7" s="17" t="s">
        <v>54</v>
      </c>
      <c r="B7" s="4" t="s">
        <v>58</v>
      </c>
      <c r="C7" s="4"/>
      <c r="D7" s="4"/>
      <c r="E7" s="4"/>
      <c r="F7" s="4"/>
      <c r="G7" s="4"/>
      <c r="H7" s="4"/>
      <c r="I7" s="4"/>
      <c r="J7" s="4"/>
      <c r="K7" s="4"/>
      <c r="L7" s="263">
        <v>0</v>
      </c>
      <c r="M7" s="264"/>
      <c r="O7" s="17" t="s">
        <v>54</v>
      </c>
      <c r="P7" s="4" t="s">
        <v>58</v>
      </c>
      <c r="Q7" s="4"/>
      <c r="R7" s="4"/>
      <c r="S7" s="4"/>
      <c r="T7" s="4"/>
      <c r="U7" s="4"/>
      <c r="V7" s="4"/>
      <c r="W7" s="4"/>
      <c r="X7" s="4"/>
      <c r="Y7" s="4"/>
      <c r="Z7" s="263">
        <v>222675</v>
      </c>
      <c r="AA7" s="264"/>
    </row>
    <row r="8" spans="1:27" x14ac:dyDescent="0.35">
      <c r="O8" s="17" t="s">
        <v>29</v>
      </c>
      <c r="P8" s="4"/>
      <c r="Q8" s="4"/>
      <c r="R8" s="4"/>
      <c r="S8" s="4"/>
      <c r="T8" s="4"/>
      <c r="U8" s="4"/>
      <c r="V8" s="4"/>
      <c r="W8" s="4"/>
      <c r="X8" s="4"/>
      <c r="Y8" s="4"/>
      <c r="Z8" s="263">
        <f>SUM(Z4:AA7)</f>
        <v>397385</v>
      </c>
      <c r="AA8" s="264"/>
    </row>
    <row r="9" spans="1:27" x14ac:dyDescent="0.35">
      <c r="A9" s="18" t="s">
        <v>92</v>
      </c>
      <c r="O9" s="262"/>
      <c r="P9" s="262"/>
      <c r="Q9" s="262"/>
      <c r="R9" s="262"/>
      <c r="S9" s="262"/>
      <c r="T9" s="262"/>
      <c r="U9" s="262"/>
      <c r="V9" s="262"/>
      <c r="W9" s="262"/>
      <c r="X9" s="262"/>
      <c r="Y9" s="262"/>
      <c r="Z9" s="262"/>
      <c r="AA9" s="262"/>
    </row>
    <row r="10" spans="1:27" x14ac:dyDescent="0.35">
      <c r="O10" s="262"/>
      <c r="P10" s="262"/>
      <c r="Q10" s="262"/>
      <c r="R10" s="262"/>
      <c r="S10" s="262"/>
      <c r="T10" s="262"/>
      <c r="U10" s="262"/>
      <c r="V10" s="262"/>
      <c r="W10" s="262"/>
      <c r="X10" s="262"/>
      <c r="Y10" s="262"/>
      <c r="Z10" s="262"/>
      <c r="AA10" s="262"/>
    </row>
  </sheetData>
  <mergeCells count="24">
    <mergeCell ref="O9:AA10"/>
    <mergeCell ref="Z8:AA8"/>
    <mergeCell ref="L7:M7"/>
    <mergeCell ref="O1:AA1"/>
    <mergeCell ref="O2:O3"/>
    <mergeCell ref="Q2:Q3"/>
    <mergeCell ref="R2:R3"/>
    <mergeCell ref="S2:S3"/>
    <mergeCell ref="T2:AA2"/>
    <mergeCell ref="Z3:AA3"/>
    <mergeCell ref="Z4:AA4"/>
    <mergeCell ref="Z5:AA5"/>
    <mergeCell ref="Z6:AA6"/>
    <mergeCell ref="Z7:AA7"/>
    <mergeCell ref="L4:M4"/>
    <mergeCell ref="L5:M5"/>
    <mergeCell ref="L6:M6"/>
    <mergeCell ref="A1:M1"/>
    <mergeCell ref="A2:A3"/>
    <mergeCell ref="C2:C3"/>
    <mergeCell ref="D2:D3"/>
    <mergeCell ref="E2:E3"/>
    <mergeCell ref="F2:M2"/>
    <mergeCell ref="L3:M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HR Community level</vt:lpstr>
      <vt:lpstr>HR+ Moni District Level correct</vt:lpstr>
      <vt:lpstr>Calculation_2019-20</vt:lpstr>
      <vt:lpstr>Calculation 2020-21</vt:lpstr>
      <vt:lpstr>without NGO costs_05062023</vt:lpstr>
      <vt:lpstr>without NGO District</vt:lpstr>
      <vt:lpstr>Sheet3</vt:lpstr>
      <vt:lpstr>Meeting </vt:lpstr>
      <vt:lpstr>Training</vt:lpstr>
      <vt:lpstr>Sheet1</vt:lpstr>
      <vt:lpstr>Final table</vt:lpstr>
      <vt:lpstr>HR +Moni  Block Level corrected</vt:lpstr>
      <vt:lpstr>Sheet2</vt:lpstr>
      <vt:lpstr>Admin Cost.</vt:lpstr>
      <vt:lpstr>New Calculation</vt:lpstr>
      <vt:lpstr>Footfall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Priya Amrit</dc:creator>
  <cp:lastModifiedBy>sarit rout</cp:lastModifiedBy>
  <dcterms:created xsi:type="dcterms:W3CDTF">2022-05-06T08:30:39Z</dcterms:created>
  <dcterms:modified xsi:type="dcterms:W3CDTF">2024-08-22T02:52:12Z</dcterms:modified>
</cp:coreProperties>
</file>