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Sarit\MRC\Manuscript\BMC\"/>
    </mc:Choice>
  </mc:AlternateContent>
  <bookViews>
    <workbookView xWindow="0" yWindow="0" windowWidth="19200" windowHeight="7050" activeTab="3"/>
  </bookViews>
  <sheets>
    <sheet name="HR district " sheetId="13" r:id="rId1"/>
    <sheet name="Calculation" sheetId="14" r:id="rId2"/>
    <sheet name="Training" sheetId="3" r:id="rId3"/>
    <sheet name="Monitoring Block (2020-21) " sheetId="12" r:id="rId4"/>
    <sheet name="HR Block" sheetId="10" r:id="rId5"/>
    <sheet name="Meetings " sheetId="8" r:id="rId6"/>
    <sheet name="Administrative cost" sheetId="6" r:id="rId7"/>
    <sheet name="monitoring district" sheetId="15" r:id="rId8"/>
    <sheet name="Sheet3" sheetId="18" r:id="rId9"/>
  </sheets>
  <definedNames>
    <definedName name="_Hlk112328010" localSheetId="8">Sheet3!$B$19</definedName>
    <definedName name="_Hlk112328087" localSheetId="8">Sheet3!$D$19</definedName>
    <definedName name="_Hlk112328197" localSheetId="8">Sheet3!$F$19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2" i="14" l="1"/>
  <c r="N13" i="14"/>
  <c r="H13" i="14"/>
  <c r="H19" i="14"/>
  <c r="H12" i="14"/>
  <c r="H11" i="14"/>
  <c r="P10" i="14"/>
  <c r="M3" i="15"/>
  <c r="N3" i="15"/>
  <c r="I31" i="10"/>
  <c r="E13" i="14" s="1"/>
  <c r="E15" i="14" s="1"/>
  <c r="I24" i="10"/>
  <c r="I18" i="10"/>
  <c r="I11" i="10"/>
  <c r="O4" i="12"/>
  <c r="O9" i="12"/>
  <c r="O14" i="12"/>
  <c r="O18" i="12"/>
  <c r="B13" i="14"/>
  <c r="B15" i="14" s="1"/>
  <c r="C13" i="14"/>
  <c r="C15" i="14" s="1"/>
  <c r="D13" i="14"/>
  <c r="D15" i="14" s="1"/>
  <c r="F29" i="10"/>
  <c r="G29" i="10" s="1"/>
  <c r="H29" i="10" s="1"/>
  <c r="I29" i="10" s="1"/>
  <c r="F28" i="10"/>
  <c r="G28" i="10" s="1"/>
  <c r="H28" i="10" s="1"/>
  <c r="I28" i="10" s="1"/>
  <c r="G27" i="10"/>
  <c r="H27" i="10" s="1"/>
  <c r="I27" i="10" s="1"/>
  <c r="F27" i="10"/>
  <c r="K12" i="10"/>
  <c r="I10" i="10" s="1"/>
  <c r="N20" i="12"/>
  <c r="N15" i="12"/>
  <c r="N11" i="12"/>
  <c r="N6" i="12"/>
  <c r="P27" i="12"/>
  <c r="P7" i="14" l="1"/>
  <c r="P8" i="14"/>
  <c r="P9" i="14"/>
  <c r="H8" i="14"/>
  <c r="N9" i="14"/>
  <c r="L9" i="14"/>
  <c r="J9" i="14"/>
  <c r="H9" i="14"/>
  <c r="G9" i="14"/>
  <c r="N19" i="14"/>
  <c r="L19" i="14"/>
  <c r="J19" i="14"/>
  <c r="I5" i="8"/>
  <c r="E10" i="18"/>
  <c r="D10" i="18"/>
  <c r="C10" i="18"/>
  <c r="B10" i="18"/>
  <c r="F9" i="18"/>
  <c r="F6" i="18"/>
  <c r="F7" i="18"/>
  <c r="F8" i="18"/>
  <c r="F4" i="18"/>
  <c r="F10" i="18" l="1"/>
  <c r="C8" i="14"/>
  <c r="J8" i="14" s="1"/>
  <c r="D8" i="14"/>
  <c r="E8" i="14"/>
  <c r="B8" i="14"/>
  <c r="G4" i="12"/>
  <c r="E4" i="12"/>
  <c r="I4" i="12" s="1"/>
  <c r="L5" i="15"/>
  <c r="M5" i="15" s="1"/>
  <c r="N5" i="15" s="1"/>
  <c r="G5" i="15"/>
  <c r="E5" i="15"/>
  <c r="I5" i="15"/>
  <c r="K5" i="15"/>
  <c r="H5" i="15"/>
  <c r="E4" i="15"/>
  <c r="E3" i="15"/>
  <c r="N8" i="14" l="1"/>
  <c r="L8" i="14"/>
  <c r="K4" i="15"/>
  <c r="L4" i="15" s="1"/>
  <c r="M4" i="15" s="1"/>
  <c r="K3" i="15"/>
  <c r="L3" i="15" s="1"/>
  <c r="N4" i="15" l="1"/>
  <c r="G3" i="15"/>
  <c r="I3" i="15" s="1"/>
  <c r="N6" i="15" s="1"/>
  <c r="G4" i="15"/>
  <c r="I4" i="15" s="1"/>
  <c r="K4" i="12"/>
  <c r="L4" i="12" s="1"/>
  <c r="M4" i="12" s="1"/>
  <c r="N4" i="12" s="1"/>
  <c r="K5" i="12"/>
  <c r="K9" i="12"/>
  <c r="K10" i="12"/>
  <c r="K14" i="12"/>
  <c r="K18" i="12"/>
  <c r="K19" i="12"/>
  <c r="G19" i="12"/>
  <c r="G18" i="12"/>
  <c r="G14" i="12"/>
  <c r="G10" i="12"/>
  <c r="G9" i="12"/>
  <c r="G5" i="12"/>
  <c r="C22" i="14" l="1"/>
  <c r="D22" i="14"/>
  <c r="E22" i="14"/>
  <c r="B22" i="14"/>
  <c r="L10" i="12"/>
  <c r="M10" i="12" s="1"/>
  <c r="L19" i="12"/>
  <c r="M19" i="12" s="1"/>
  <c r="L9" i="12"/>
  <c r="M9" i="12" s="1"/>
  <c r="L18" i="12"/>
  <c r="M18" i="12" s="1"/>
  <c r="L5" i="12"/>
  <c r="M5" i="12" s="1"/>
  <c r="L14" i="12"/>
  <c r="M14" i="12" s="1"/>
  <c r="E19" i="12" l="1"/>
  <c r="I19" i="12" s="1"/>
  <c r="N19" i="12" s="1"/>
  <c r="E18" i="12"/>
  <c r="I18" i="12" s="1"/>
  <c r="N18" i="12" s="1"/>
  <c r="E14" i="12"/>
  <c r="I14" i="12" s="1"/>
  <c r="N14" i="12" s="1"/>
  <c r="D21" i="14" s="1"/>
  <c r="E10" i="12"/>
  <c r="I10" i="12" s="1"/>
  <c r="N10" i="12" s="1"/>
  <c r="E9" i="12"/>
  <c r="I9" i="12" s="1"/>
  <c r="N9" i="12" s="1"/>
  <c r="C21" i="14" s="1"/>
  <c r="C23" i="14" s="1"/>
  <c r="C6" i="14" s="1"/>
  <c r="J6" i="14" s="1"/>
  <c r="E5" i="12"/>
  <c r="I5" i="12" s="1"/>
  <c r="N5" i="12" s="1"/>
  <c r="H7" i="13"/>
  <c r="I7" i="13" s="1"/>
  <c r="J7" i="13" s="1"/>
  <c r="F6" i="13"/>
  <c r="G6" i="13" s="1"/>
  <c r="H6" i="13" s="1"/>
  <c r="I6" i="13" s="1"/>
  <c r="J6" i="13" s="1"/>
  <c r="F4" i="13"/>
  <c r="F5" i="13"/>
  <c r="G5" i="13" s="1"/>
  <c r="H5" i="13" s="1"/>
  <c r="I5" i="13" s="1"/>
  <c r="J5" i="13" s="1"/>
  <c r="G4" i="13"/>
  <c r="H4" i="13" s="1"/>
  <c r="I4" i="13" s="1"/>
  <c r="J4" i="13" s="1"/>
  <c r="J5" i="8"/>
  <c r="J7" i="8"/>
  <c r="J8" i="8"/>
  <c r="K8" i="8" s="1"/>
  <c r="E18" i="14" s="1"/>
  <c r="E7" i="14" s="1"/>
  <c r="N7" i="14" s="1"/>
  <c r="I8" i="8"/>
  <c r="I7" i="8"/>
  <c r="K5" i="8"/>
  <c r="K7" i="8"/>
  <c r="D18" i="14" s="1"/>
  <c r="D7" i="14" s="1"/>
  <c r="L7" i="14" s="1"/>
  <c r="I6" i="8"/>
  <c r="J6" i="8" s="1"/>
  <c r="K6" i="8" s="1"/>
  <c r="C18" i="14" s="1"/>
  <c r="C7" i="14" s="1"/>
  <c r="J7" i="14" s="1"/>
  <c r="D23" i="14" l="1"/>
  <c r="D6" i="14" s="1"/>
  <c r="L6" i="14" s="1"/>
  <c r="E21" i="14"/>
  <c r="B21" i="14"/>
  <c r="B23" i="14" s="1"/>
  <c r="J8" i="13"/>
  <c r="B18" i="14"/>
  <c r="B7" i="14" s="1"/>
  <c r="H7" i="14" s="1"/>
  <c r="K9" i="8"/>
  <c r="F16" i="10"/>
  <c r="G16" i="10" s="1"/>
  <c r="H16" i="10" s="1"/>
  <c r="I16" i="10" s="1"/>
  <c r="F15" i="10"/>
  <c r="G15" i="10" s="1"/>
  <c r="H15" i="10" s="1"/>
  <c r="I15" i="10" s="1"/>
  <c r="F14" i="10"/>
  <c r="G14" i="10" s="1"/>
  <c r="H14" i="10" s="1"/>
  <c r="I14" i="10" s="1"/>
  <c r="F22" i="10"/>
  <c r="G22" i="10" s="1"/>
  <c r="H22" i="10" s="1"/>
  <c r="I22" i="10" s="1"/>
  <c r="F21" i="10"/>
  <c r="G21" i="10" s="1"/>
  <c r="H21" i="10" s="1"/>
  <c r="I21" i="10" s="1"/>
  <c r="F9" i="10"/>
  <c r="G9" i="10" s="1"/>
  <c r="H9" i="10" s="1"/>
  <c r="I9" i="10" s="1"/>
  <c r="F8" i="10"/>
  <c r="G8" i="10" s="1"/>
  <c r="H8" i="10" s="1"/>
  <c r="I8" i="10" s="1"/>
  <c r="F7" i="10"/>
  <c r="G7" i="10" s="1"/>
  <c r="H7" i="10" s="1"/>
  <c r="I7" i="10" s="1"/>
  <c r="E23" i="14" l="1"/>
  <c r="E6" i="14" s="1"/>
  <c r="N6" i="14" s="1"/>
  <c r="B6" i="14"/>
  <c r="C14" i="14"/>
  <c r="B14" i="14"/>
  <c r="D14" i="14"/>
  <c r="E14" i="14"/>
  <c r="H6" i="14" l="1"/>
  <c r="D5" i="14"/>
  <c r="D10" i="14" s="1"/>
  <c r="E5" i="14"/>
  <c r="E10" i="14" s="1"/>
  <c r="B5" i="14"/>
  <c r="H5" i="14" s="1"/>
  <c r="G16" i="6"/>
  <c r="F16" i="6"/>
  <c r="E16" i="6"/>
  <c r="D16" i="6"/>
  <c r="G13" i="6"/>
  <c r="F13" i="6"/>
  <c r="E13" i="6"/>
  <c r="D13" i="6"/>
  <c r="G10" i="6"/>
  <c r="F10" i="6"/>
  <c r="E10" i="6"/>
  <c r="D10" i="6"/>
  <c r="G7" i="6"/>
  <c r="F7" i="6"/>
  <c r="E7" i="6"/>
  <c r="D7" i="6"/>
  <c r="L5" i="14" l="1"/>
  <c r="L10" i="14" s="1"/>
  <c r="M7" i="14" s="1"/>
  <c r="N5" i="14"/>
  <c r="N10" i="14" s="1"/>
  <c r="O6" i="14" s="1"/>
  <c r="B10" i="14"/>
  <c r="L13" i="14"/>
  <c r="P6" i="14"/>
  <c r="H10" i="14"/>
  <c r="I6" i="14" s="1"/>
  <c r="M6" i="14" l="1"/>
  <c r="L11" i="14"/>
  <c r="M9" i="14"/>
  <c r="M5" i="14"/>
  <c r="M8" i="14"/>
  <c r="O5" i="14"/>
  <c r="O7" i="14"/>
  <c r="O8" i="14"/>
  <c r="N12" i="14"/>
  <c r="O9" i="14"/>
  <c r="N11" i="14"/>
  <c r="I5" i="14"/>
  <c r="I8" i="14"/>
  <c r="I7" i="14"/>
  <c r="I9" i="14"/>
  <c r="C5" i="14"/>
  <c r="C10" i="14" l="1"/>
  <c r="J5" i="14"/>
  <c r="P5" i="14" l="1"/>
  <c r="J10" i="14"/>
  <c r="K5" i="14" s="1"/>
  <c r="J12" i="14" l="1"/>
  <c r="P12" i="14" s="1"/>
  <c r="K6" i="14"/>
  <c r="J13" i="14"/>
  <c r="P13" i="14" s="1"/>
  <c r="K7" i="14"/>
  <c r="J11" i="14"/>
  <c r="P11" i="14" s="1"/>
  <c r="K8" i="14"/>
  <c r="K9" i="14"/>
  <c r="Q8" i="14" l="1"/>
  <c r="Q6" i="14"/>
  <c r="Q7" i="14"/>
  <c r="Q9" i="14"/>
  <c r="Q5" i="14"/>
</calcChain>
</file>

<file path=xl/sharedStrings.xml><?xml version="1.0" encoding="utf-8"?>
<sst xmlns="http://schemas.openxmlformats.org/spreadsheetml/2006/main" count="328" uniqueCount="192">
  <si>
    <t xml:space="preserve">Human Resource Cost for the year 2020-21 :  DAMOH </t>
  </si>
  <si>
    <t>Per day's salary</t>
  </si>
  <si>
    <t>Per hour's salary</t>
  </si>
  <si>
    <t>Apportioned salary for a month</t>
  </si>
  <si>
    <t>S. No</t>
  </si>
  <si>
    <t>A. Personnel</t>
  </si>
  <si>
    <t xml:space="preserve">B. No. of personnel </t>
  </si>
  <si>
    <t>G. Gross salary per month (INR)</t>
  </si>
  <si>
    <t>Total cost For an year</t>
  </si>
  <si>
    <r>
      <t xml:space="preserve"> </t>
    </r>
    <r>
      <rPr>
        <b/>
        <sz val="11"/>
        <color rgb="FF000000"/>
        <rFont val="Times New Roman"/>
        <family val="1"/>
      </rPr>
      <t>BLOCK 1 : Hindoriya</t>
    </r>
  </si>
  <si>
    <t>ASHA incentive for 250 PE</t>
  </si>
  <si>
    <t>Asha F.</t>
  </si>
  <si>
    <t>BPM</t>
  </si>
  <si>
    <t>TOTAL</t>
  </si>
  <si>
    <r>
      <t xml:space="preserve"> </t>
    </r>
    <r>
      <rPr>
        <b/>
        <sz val="11"/>
        <color rgb="FF000000"/>
        <rFont val="Times New Roman"/>
        <family val="1"/>
      </rPr>
      <t xml:space="preserve">BLOCK 2 : Pathariya </t>
    </r>
  </si>
  <si>
    <t>ASHA incentive</t>
  </si>
  <si>
    <t>ASHA Facilitor</t>
  </si>
  <si>
    <r>
      <t xml:space="preserve"> </t>
    </r>
    <r>
      <rPr>
        <b/>
        <sz val="11"/>
        <color rgb="FF000000"/>
        <rFont val="Times New Roman"/>
        <family val="1"/>
      </rPr>
      <t xml:space="preserve">BLOCK 3 : Patera </t>
    </r>
  </si>
  <si>
    <t>ASHA (incentive for 244 PE)</t>
  </si>
  <si>
    <t>BCM ( Incharge BPM)</t>
  </si>
  <si>
    <t>ASHA FACILITATOR</t>
  </si>
  <si>
    <t>ASHA incentive (for 202 PE)</t>
  </si>
  <si>
    <t>BPM Incharge</t>
  </si>
  <si>
    <t>Remarks</t>
  </si>
  <si>
    <t>Total cost for a year</t>
  </si>
  <si>
    <t>CHMO</t>
  </si>
  <si>
    <t>DPM</t>
  </si>
  <si>
    <t>He is incharge DPM . His actual post is District Media Officer.</t>
  </si>
  <si>
    <t>RKSK Coordinator</t>
  </si>
  <si>
    <t xml:space="preserve">Total </t>
  </si>
  <si>
    <r>
      <t>P</t>
    </r>
    <r>
      <rPr>
        <b/>
        <sz val="10"/>
        <color theme="1"/>
        <rFont val="Times New Roman"/>
        <family val="1"/>
      </rPr>
      <t>rog. Coordinator (NGO)</t>
    </r>
  </si>
  <si>
    <t>Human Resource Cost for the year 2020-21 (DAMOH)</t>
  </si>
  <si>
    <r>
      <t xml:space="preserve"> </t>
    </r>
    <r>
      <rPr>
        <b/>
        <sz val="11"/>
        <color rgb="FF000000"/>
        <rFont val="Times New Roman"/>
        <family val="1"/>
      </rPr>
      <t xml:space="preserve">BLOCK 4 : Jabera </t>
    </r>
  </si>
  <si>
    <t>ASHA Facilitator</t>
  </si>
  <si>
    <t>Training Cost for 2020-21</t>
  </si>
  <si>
    <t>Name of the Training</t>
  </si>
  <si>
    <t>Level of training</t>
  </si>
  <si>
    <t>Duration of training (in hrs.)</t>
  </si>
  <si>
    <t>No of trainees trained</t>
  </si>
  <si>
    <t>Type of Trainer - (Hired/ department personnel)</t>
  </si>
  <si>
    <t>Expenditure incurred in Training Activities.</t>
  </si>
  <si>
    <t xml:space="preserve"> (State level/District level/Block level/ any other training)  </t>
  </si>
  <si>
    <t>Trainer (TA/DA, Accomodation etc.)</t>
  </si>
  <si>
    <t xml:space="preserve">Trainees (TA/DA, Accomodation etc.)  </t>
  </si>
  <si>
    <t xml:space="preserve"> Development of training materials </t>
  </si>
  <si>
    <t>Printing of training material</t>
  </si>
  <si>
    <t>Venue cost</t>
  </si>
  <si>
    <t>Any other cost (Food expenses etc.)</t>
  </si>
  <si>
    <t>Total Cost</t>
  </si>
  <si>
    <t>Peer Educator Training</t>
  </si>
  <si>
    <t>S. no.</t>
  </si>
  <si>
    <t xml:space="preserve">Activity Name </t>
  </si>
  <si>
    <t>Expenditure</t>
  </si>
  <si>
    <t>Expenditure on Training</t>
  </si>
  <si>
    <t xml:space="preserve">Administrative cost </t>
  </si>
  <si>
    <t>Total expenditure</t>
  </si>
  <si>
    <t>Programme Coordinator  RKSK</t>
  </si>
  <si>
    <t>Expenditure on salary</t>
  </si>
  <si>
    <t>Counselling activities</t>
  </si>
  <si>
    <t>Administartive cost</t>
  </si>
  <si>
    <t xml:space="preserve">Total expenditure </t>
  </si>
  <si>
    <t>Total expenditure for 2020-21 (April 2020 to March 2021)</t>
  </si>
  <si>
    <t>BLOCK NAME</t>
  </si>
  <si>
    <t>Jabera</t>
  </si>
  <si>
    <t>Patera</t>
  </si>
  <si>
    <t>Pathariya</t>
  </si>
  <si>
    <t>Hindoriya</t>
  </si>
  <si>
    <t>Administrative Cost (April 2020-March 2021)</t>
  </si>
  <si>
    <t>Name of the meeting /Workshop</t>
  </si>
  <si>
    <t xml:space="preserve"> Level (District/Block/Sub centre)</t>
  </si>
  <si>
    <t xml:space="preserve"> No of meetings in a year</t>
  </si>
  <si>
    <t xml:space="preserve"> No. of participants in the meeting</t>
  </si>
  <si>
    <t>Duration of meeting in hrs.</t>
  </si>
  <si>
    <t>Block</t>
  </si>
  <si>
    <t xml:space="preserve">Block </t>
  </si>
  <si>
    <t>Supportive supervision by the trainers/mentors</t>
  </si>
  <si>
    <t>BLOCK</t>
  </si>
  <si>
    <t xml:space="preserve">Pathariya </t>
  </si>
  <si>
    <t>Total Meeting Cost for the Year</t>
  </si>
  <si>
    <t xml:space="preserve"> ASHA meet</t>
  </si>
  <si>
    <t xml:space="preserve">ASHA meeting  </t>
  </si>
  <si>
    <t xml:space="preserve"> ASHA Meeing</t>
  </si>
  <si>
    <t>Meeting Costs (2020-21)</t>
  </si>
  <si>
    <t>Time duration for which RKSK is discussed.</t>
  </si>
  <si>
    <t>30 min</t>
  </si>
  <si>
    <t xml:space="preserve">Total cost of Meetings </t>
  </si>
  <si>
    <t>Total Apportioned cost for 1 Meeting</t>
  </si>
  <si>
    <t xml:space="preserve">Block 2 </t>
  </si>
  <si>
    <t xml:space="preserve">Block 1 </t>
  </si>
  <si>
    <t>Block 3</t>
  </si>
  <si>
    <t>Block 4</t>
  </si>
  <si>
    <t xml:space="preserve">Patera </t>
  </si>
  <si>
    <t>BCM</t>
  </si>
  <si>
    <t>BCM (Here BEE )</t>
  </si>
  <si>
    <t>BPM (Here an MPW was the BPM then)</t>
  </si>
  <si>
    <t>BCM (Here BCM was also the incharge BPM in the mentioned year)</t>
  </si>
  <si>
    <t>Mobility Support (Per month)</t>
  </si>
  <si>
    <t>BEE (He is incharge BPM)</t>
  </si>
  <si>
    <t>Total monitoring cost for a year</t>
  </si>
  <si>
    <t xml:space="preserve">Remarks </t>
  </si>
  <si>
    <t xml:space="preserve">The BPMs salary has been taken as per Panna. </t>
  </si>
  <si>
    <t>BLOCK LEVEL STAFF</t>
  </si>
  <si>
    <t>DISTRICT LEVEL STAFF</t>
  </si>
  <si>
    <r>
      <t>1)</t>
    </r>
    <r>
      <rPr>
        <sz val="11"/>
        <color theme="1"/>
        <rFont val="Times New Roman"/>
        <family val="1"/>
      </rPr>
      <t xml:space="preserve">The data is entered as per the data received by the NGO. 
2) For the costing exercise, we have considered only Supportive supervision by the mentors  (also called the trainers ) as they are directly involved with the PEs in the villages.
3)As there were no trainings held in the given financial year , as the programme started in July 2020, henec the expenditure on training is zero.
4)The administrative cost from the counselling activities have not been considered in the costing as the counsellors are based in AFHC and have out reach sessions in school twice a week. The PEs refer the adolescents in the AFHCs and sometimes accompany them to the clinic. Hence the counsellors are not directly engaged to the PE programme. In the outreach sessions at schools or Anganwadi (2 days per week), they deliver on 1-2 sessions on adolescent health issues like nutrition, IFA . If the schools are closed, they take part in the peer educator sessions with the Adolescents or in the AFC Baithak (which are apart of their out reach sessions ). Apart from it during the Peer Educator trainings, they may or may not be present in the trainings. Since no direct involvement per se, for the Peer Educator Programme can be seen , have excluded the admnistrative expenditure on counselling activities for the costing exercise  
</t>
    </r>
  </si>
  <si>
    <t>The Peer Educators were selected but no trainings were conducted in this year for any of the blocks. Hence the training cost is nil.</t>
  </si>
  <si>
    <t>NOTE: The programme began from July 2020. Hence only 9 months are accounted for during the costing.</t>
  </si>
  <si>
    <t xml:space="preserve">Total no. of visits for monitoring </t>
  </si>
  <si>
    <t>NA</t>
  </si>
  <si>
    <t>The incharge BPM mentioned  he does not know of the programme</t>
  </si>
  <si>
    <t>The RKSK coordinator is incharge RKSK coordinator. He has 2 additonal charges as well. As per him, the mobility support is 6000 per month for RKSK exclusively. While going on visits however he monitors other programmes also and mentions about 4-5 hrs per vsisit for all activities of RKSK in a month. He could not pin point as to how many programmes can be monitored in  a month nor does exclsively for PE programme.  As the programme was new, AHD was not being conducted, hence divided the time for monitoring into other components namely  AFHC,WIFS,MHS and PE prog.Hence for apportioning the time period a ratio of 1:4 for both the programmes have been assumed for calculating the costs.</t>
  </si>
  <si>
    <t xml:space="preserve">D. Total no of hours contributed for PE programme </t>
  </si>
  <si>
    <t>40 min.</t>
  </si>
  <si>
    <t>Incharge BCM (BEE)</t>
  </si>
  <si>
    <t>Apportioned salary for a month for all the personnels</t>
  </si>
  <si>
    <t>As per the RKSK District Coordinantor , no RKSK Nodal Officer is in charge, neither is the any contribution in the programme mentionedby him.</t>
  </si>
  <si>
    <t>D. Total no of hours contributed in a month for PE prog</t>
  </si>
  <si>
    <t xml:space="preserve">15 days </t>
  </si>
  <si>
    <t>45 min</t>
  </si>
  <si>
    <t>1)Cost and the duration of the meetings recorded as per the response of the BPM,as the Counsellor was newly appointed and could not provide any information upon repeated calls in Hindoriya.</t>
  </si>
  <si>
    <t>2) In Jabera there wascno counsellor  during the time when the data was asked. The data is providec by the BEE.</t>
  </si>
  <si>
    <t>3) In Patera , the cost is noted  as per BCM and counsellors.</t>
  </si>
  <si>
    <t>4)The number of meetings were providedcby the counseelor and cost for each ASHA meeting by BPM in Pathariya.</t>
  </si>
  <si>
    <t xml:space="preserve">** As the programme started in July in the given financial year, there were no meetings conducted specific to RKSK i.e. the AFC or the Block level Review meetings. Instead RKSK related information were delivered by the counsellors during the regular ASHA meetings conducted in the CHC. The total time duration for which RKSK is discussed is then apprtioned for PE programme (1:4). </t>
  </si>
  <si>
    <t>40 min</t>
  </si>
  <si>
    <t>Total apportioned cost for PE activity.</t>
  </si>
  <si>
    <t>Total Apportioned cost for the year for PE activity.</t>
  </si>
  <si>
    <t>For tHe DPM and CHMO , the total no of annual visits are taken inyo account while calculating the monitiring visits and divided by 6 for there are 6 blocks in which programme is being implemented. 
The data is  recorded as per Dpm Panna (2019-21) conversation with sir.</t>
  </si>
  <si>
    <t xml:space="preserve">The PCs are also involved in supportive supervision of PE for around 12 days. Since the NGO is primarily engaged in PE and AFHC programme , henve an equal time (1:1) contribution has been apportioned here. </t>
  </si>
  <si>
    <t>BPM (Incharge)</t>
  </si>
  <si>
    <t>BCM (incharge)</t>
  </si>
  <si>
    <t>Monitoring</t>
  </si>
  <si>
    <t xml:space="preserve">Meetings </t>
  </si>
  <si>
    <t>Administrative cost</t>
  </si>
  <si>
    <t>BLOCKS</t>
  </si>
  <si>
    <t>Human Resource Cost</t>
  </si>
  <si>
    <t>B level</t>
  </si>
  <si>
    <t>D level</t>
  </si>
  <si>
    <t>Total HR</t>
  </si>
  <si>
    <t>Meetings</t>
  </si>
  <si>
    <t>HR</t>
  </si>
  <si>
    <t>Total</t>
  </si>
  <si>
    <t>Programme Activity</t>
  </si>
  <si>
    <t>Total Programme cost for Damoh (2020-2021)</t>
  </si>
  <si>
    <t xml:space="preserve">Total apportioned HR cost for a block for an year </t>
  </si>
  <si>
    <t>Time contribtion for PE prog in each visit (in min)</t>
  </si>
  <si>
    <t>Total time contribution for monitoring in a month (in min)</t>
  </si>
  <si>
    <t>Total Time contribtion for PE prog in a month (in min)</t>
  </si>
  <si>
    <t xml:space="preserve">Total no. of Visits for RKSK </t>
  </si>
  <si>
    <t>Total mobility cost apportioned from mobility support for an year</t>
  </si>
  <si>
    <t xml:space="preserve">Per hour salary </t>
  </si>
  <si>
    <t>Apportioned cost from the salary for a month</t>
  </si>
  <si>
    <t>Total Apportioned cost from the salary for a year</t>
  </si>
  <si>
    <t xml:space="preserve"> Personnel</t>
  </si>
  <si>
    <t>Total Time contribtion for PE prog in a year (in min)</t>
  </si>
  <si>
    <t>Mobility Support (year)</t>
  </si>
  <si>
    <t>Apportioned cost from the salary for a visit</t>
  </si>
  <si>
    <t>Total Apportioned cost from the salary for a year per block</t>
  </si>
  <si>
    <t>Total mobility cost apportioned from mobility support for an year per block</t>
  </si>
  <si>
    <t>Total time contribution for monitoring in a year (in min)</t>
  </si>
  <si>
    <t>The District RKSK coordinator is incharge district coordinator. He is also incharge district IEC Officer but his actual post is District Community Mobiliser and gets the salary for that.</t>
  </si>
  <si>
    <t>Total monitoring cost for a block</t>
  </si>
  <si>
    <t>% Share</t>
  </si>
  <si>
    <t>No. of ASHAs involved in RKSK (From April 2020-March 2021)</t>
  </si>
  <si>
    <t>No. of ASHA faciliataors involved in RKSK(From April 2020-March 2021)</t>
  </si>
  <si>
    <t>No. of ANM involved in RKSK (From April 2020-March 2021)</t>
  </si>
  <si>
    <t>No. of Mentors involved in RKSK (From April 2020-March 2021)</t>
  </si>
  <si>
    <t>No. of new PE selected.(From April 2020-March 2021)</t>
  </si>
  <si>
    <t>Per unit Cost</t>
  </si>
  <si>
    <t>17908.33 (3.45 %)</t>
  </si>
  <si>
    <t>2400 (0.47 %)</t>
  </si>
  <si>
    <t>36000 (6.94 %)</t>
  </si>
  <si>
    <t>14389.58 (3.26%)</t>
  </si>
  <si>
    <t>281.25 (0.06%)</t>
  </si>
  <si>
    <t>36000 (8.16%)</t>
  </si>
  <si>
    <t>15983.33 (3.13%)</t>
  </si>
  <si>
    <t>1687.5 (0.33%)</t>
  </si>
  <si>
    <t>36000 (7.04 %)</t>
  </si>
  <si>
    <t>12827.08 (2.57%)</t>
  </si>
  <si>
    <t>1000 (0.2%)</t>
  </si>
  <si>
    <t>36000 (7.23%)</t>
  </si>
  <si>
    <t>Average Cost</t>
  </si>
  <si>
    <t>Total PE</t>
  </si>
  <si>
    <t>Total AEP</t>
  </si>
  <si>
    <t>PE +AEP</t>
  </si>
  <si>
    <t>Damoh</t>
  </si>
  <si>
    <t>Per Unit cost (PE+AEP)</t>
  </si>
  <si>
    <t>Per Unit cost (AEP)</t>
  </si>
  <si>
    <t>Per Unit Cost (PE)</t>
  </si>
  <si>
    <t>Mentors</t>
  </si>
  <si>
    <t>Peer Educators Incentives Costs</t>
  </si>
  <si>
    <t>Total Programme Cost for Damoh (2020-2021)</t>
  </si>
  <si>
    <t>Average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</si>
</sst>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9">
    <font>
      <sz val="11"/>
      <color theme="1"/>
      <name val="Calibri"/>
      <family val="2"/>
      <scheme val="minor"/>
    </font>
    <font>
      <b/>
      <sz val="11"/>
      <color rgb="FF000000"/>
      <name val="Times New Roman"/>
      <family val="1"/>
    </font>
    <font>
      <b/>
      <sz val="10"/>
      <color rgb="FF000000"/>
      <name val="Times New Roman"/>
      <family val="1"/>
    </font>
    <font>
      <sz val="11"/>
      <color theme="1"/>
      <name val="Times New Roman"/>
      <family val="1"/>
    </font>
    <font>
      <b/>
      <sz val="11"/>
      <color theme="1"/>
      <name val="Times New Roman"/>
      <family val="1"/>
    </font>
    <font>
      <sz val="11"/>
      <color rgb="FF000000"/>
      <name val="Times New Roman"/>
      <family val="1"/>
    </font>
    <font>
      <sz val="10"/>
      <color rgb="FF000000"/>
      <name val="Times New Roman"/>
      <family val="1"/>
    </font>
    <font>
      <b/>
      <sz val="10"/>
      <color theme="1"/>
      <name val="Times New Roman"/>
      <family val="1"/>
    </font>
    <font>
      <b/>
      <sz val="12"/>
      <color rgb="FF000000"/>
      <name val="Times New Roman"/>
      <family val="1"/>
    </font>
    <font>
      <sz val="11"/>
      <color rgb="FF000000"/>
      <name val="Calibri"/>
      <family val="2"/>
      <scheme val="minor"/>
    </font>
    <font>
      <b/>
      <sz val="11"/>
      <color theme="1"/>
      <name val="Calibri"/>
      <family val="2"/>
      <scheme val="minor"/>
    </font>
    <font>
      <sz val="8"/>
      <name val="Calibri"/>
      <family val="2"/>
      <scheme val="minor"/>
    </font>
    <font>
      <sz val="10"/>
      <color theme="1"/>
      <name val="Calibri"/>
      <family val="2"/>
      <scheme val="minor"/>
    </font>
    <font>
      <b/>
      <sz val="10"/>
      <color theme="1"/>
      <name val="Calibri"/>
      <family val="2"/>
      <scheme val="minor"/>
    </font>
    <font>
      <b/>
      <sz val="11"/>
      <color rgb="FF000000"/>
      <name val="Calibri"/>
      <family val="2"/>
      <scheme val="minor"/>
    </font>
    <font>
      <b/>
      <sz val="10"/>
      <color rgb="FF000000"/>
      <name val="Times New Rpman"/>
    </font>
    <font>
      <b/>
      <sz val="10"/>
      <color theme="1"/>
      <name val="Times New Rpman"/>
    </font>
    <font>
      <sz val="11"/>
      <color theme="1"/>
      <name val="Times New Rpman"/>
    </font>
    <font>
      <b/>
      <sz val="11"/>
      <color theme="1"/>
      <name val="Times New Rpman"/>
    </font>
  </fonts>
  <fills count="8">
    <fill>
      <patternFill patternType="none"/>
    </fill>
    <fill>
      <patternFill patternType="gray125"/>
    </fill>
    <fill>
      <patternFill patternType="solid">
        <fgColor rgb="FFA9D08E"/>
        <bgColor indexed="64"/>
      </patternFill>
    </fill>
    <fill>
      <patternFill patternType="solid">
        <fgColor theme="9" tint="0.39997558519241921"/>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92D050"/>
        <bgColor indexed="64"/>
      </patternFill>
    </fill>
  </fills>
  <borders count="30">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thin">
        <color indexed="64"/>
      </right>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right style="thin">
        <color indexed="64"/>
      </right>
      <top style="thin">
        <color indexed="64"/>
      </top>
      <bottom/>
      <diagonal/>
    </border>
  </borders>
  <cellStyleXfs count="1">
    <xf numFmtId="0" fontId="0" fillId="0" borderId="0"/>
  </cellStyleXfs>
  <cellXfs count="281">
    <xf numFmtId="0" fontId="0" fillId="0" borderId="0" xfId="0"/>
    <xf numFmtId="0" fontId="6" fillId="0" borderId="3" xfId="0" applyFont="1" applyBorder="1" applyAlignment="1">
      <alignment vertical="center"/>
    </xf>
    <xf numFmtId="3" fontId="3" fillId="0" borderId="3" xfId="0" applyNumberFormat="1" applyFont="1" applyBorder="1"/>
    <xf numFmtId="0" fontId="3" fillId="0" borderId="3" xfId="0" applyFont="1" applyBorder="1"/>
    <xf numFmtId="0" fontId="3" fillId="0" borderId="0" xfId="0" applyFont="1"/>
    <xf numFmtId="0" fontId="1" fillId="0" borderId="3" xfId="0" applyFont="1" applyBorder="1" applyAlignment="1">
      <alignment horizontal="center" vertical="center"/>
    </xf>
    <xf numFmtId="0" fontId="2" fillId="0" borderId="3" xfId="0" applyFont="1" applyBorder="1" applyAlignment="1">
      <alignment vertical="center"/>
    </xf>
    <xf numFmtId="0" fontId="0" fillId="0" borderId="3" xfId="0" applyBorder="1"/>
    <xf numFmtId="0" fontId="4" fillId="0" borderId="3" xfId="0" applyFont="1" applyBorder="1"/>
    <xf numFmtId="0" fontId="3" fillId="0" borderId="3" xfId="0" applyFont="1" applyBorder="1" applyAlignment="1">
      <alignment wrapText="1"/>
    </xf>
    <xf numFmtId="0" fontId="4" fillId="0" borderId="3" xfId="0" applyFont="1" applyBorder="1" applyAlignment="1">
      <alignment horizontal="center" vertical="center"/>
    </xf>
    <xf numFmtId="0" fontId="6" fillId="0" borderId="3" xfId="0" applyFont="1" applyBorder="1"/>
    <xf numFmtId="0" fontId="3" fillId="0" borderId="3" xfId="0" applyFont="1" applyBorder="1" applyAlignment="1">
      <alignment vertical="center" wrapText="1"/>
    </xf>
    <xf numFmtId="0" fontId="2" fillId="0" borderId="3" xfId="0" applyFont="1" applyBorder="1" applyAlignment="1">
      <alignment vertical="center" wrapText="1"/>
    </xf>
    <xf numFmtId="0" fontId="4" fillId="3" borderId="3" xfId="0" applyFont="1" applyFill="1" applyBorder="1"/>
    <xf numFmtId="0" fontId="3" fillId="3" borderId="3" xfId="0" applyFont="1" applyFill="1" applyBorder="1"/>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13" xfId="0" applyFont="1" applyFill="1" applyBorder="1" applyAlignment="1">
      <alignment vertical="center" wrapText="1"/>
    </xf>
    <xf numFmtId="0" fontId="9" fillId="0" borderId="3" xfId="0" applyFont="1" applyBorder="1" applyAlignment="1">
      <alignment vertical="center"/>
    </xf>
    <xf numFmtId="0" fontId="9" fillId="0" borderId="0" xfId="0" applyFont="1" applyAlignment="1">
      <alignment vertical="center"/>
    </xf>
    <xf numFmtId="0" fontId="10" fillId="0" borderId="3" xfId="0" applyFont="1" applyBorder="1"/>
    <xf numFmtId="0" fontId="0" fillId="0" borderId="9" xfId="0" applyBorder="1"/>
    <xf numFmtId="0" fontId="5" fillId="4" borderId="3" xfId="0" applyFont="1" applyFill="1" applyBorder="1" applyAlignment="1">
      <alignment vertical="center"/>
    </xf>
    <xf numFmtId="0" fontId="3" fillId="4" borderId="3" xfId="0" applyFont="1" applyFill="1" applyBorder="1"/>
    <xf numFmtId="0" fontId="0" fillId="3" borderId="3" xfId="0" applyFill="1" applyBorder="1"/>
    <xf numFmtId="0" fontId="1" fillId="0" borderId="3" xfId="0" applyFont="1" applyBorder="1" applyAlignment="1">
      <alignment horizontal="center"/>
    </xf>
    <xf numFmtId="0" fontId="2"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3" xfId="0" applyBorder="1" applyAlignment="1">
      <alignment wrapText="1"/>
    </xf>
    <xf numFmtId="0" fontId="0" fillId="0" borderId="3" xfId="0" applyBorder="1" applyAlignment="1">
      <alignment horizontal="center"/>
    </xf>
    <xf numFmtId="0" fontId="3" fillId="0" borderId="3" xfId="0" applyFont="1" applyBorder="1" applyAlignment="1">
      <alignment vertical="center"/>
    </xf>
    <xf numFmtId="0" fontId="7" fillId="3" borderId="6" xfId="0" applyFont="1" applyFill="1" applyBorder="1" applyAlignment="1">
      <alignment horizontal="center" vertical="center" wrapText="1"/>
    </xf>
    <xf numFmtId="0" fontId="4" fillId="3" borderId="1" xfId="0" applyFont="1" applyFill="1" applyBorder="1"/>
    <xf numFmtId="0" fontId="3" fillId="0" borderId="15" xfId="0" applyFont="1" applyBorder="1"/>
    <xf numFmtId="0" fontId="3" fillId="0" borderId="18" xfId="0" applyFont="1" applyBorder="1"/>
    <xf numFmtId="0" fontId="0" fillId="3" borderId="1" xfId="0" applyFill="1" applyBorder="1"/>
    <xf numFmtId="0" fontId="0" fillId="3" borderId="5" xfId="0" applyFill="1" applyBorder="1"/>
    <xf numFmtId="0" fontId="10" fillId="3" borderId="6" xfId="0" applyFont="1" applyFill="1" applyBorder="1" applyAlignment="1">
      <alignment horizontal="center"/>
    </xf>
    <xf numFmtId="0" fontId="0" fillId="0" borderId="0" xfId="0" applyAlignment="1">
      <alignment horizontal="center"/>
    </xf>
    <xf numFmtId="0" fontId="1" fillId="0" borderId="6" xfId="0" applyFont="1" applyBorder="1" applyAlignment="1">
      <alignment horizontal="center" vertical="center"/>
    </xf>
    <xf numFmtId="0" fontId="3" fillId="0" borderId="3" xfId="0" applyFont="1" applyBorder="1" applyAlignment="1">
      <alignment horizontal="center"/>
    </xf>
    <xf numFmtId="0" fontId="6" fillId="0" borderId="3" xfId="0" applyFont="1" applyBorder="1" applyAlignment="1">
      <alignment horizontal="center" vertical="center"/>
    </xf>
    <xf numFmtId="0" fontId="2" fillId="0" borderId="6" xfId="0" applyFont="1" applyBorder="1" applyAlignment="1">
      <alignment horizontal="center" vertical="center"/>
    </xf>
    <xf numFmtId="0" fontId="6" fillId="0" borderId="6" xfId="0" applyFont="1" applyBorder="1" applyAlignment="1">
      <alignment horizontal="center" vertical="center"/>
    </xf>
    <xf numFmtId="0" fontId="2" fillId="0" borderId="3" xfId="0" applyFont="1" applyBorder="1" applyAlignment="1">
      <alignment horizontal="center" vertical="center"/>
    </xf>
    <xf numFmtId="3" fontId="6" fillId="0" borderId="3" xfId="0" applyNumberFormat="1" applyFont="1" applyBorder="1" applyAlignment="1">
      <alignment horizontal="center" vertical="center"/>
    </xf>
    <xf numFmtId="0" fontId="2" fillId="0" borderId="1" xfId="0" applyFont="1" applyBorder="1" applyAlignment="1">
      <alignment horizontal="center" vertical="center"/>
    </xf>
    <xf numFmtId="0" fontId="6" fillId="0" borderId="1" xfId="0" applyFont="1" applyBorder="1" applyAlignment="1">
      <alignment horizontal="center" vertical="center"/>
    </xf>
    <xf numFmtId="3" fontId="6" fillId="0" borderId="1" xfId="0" applyNumberFormat="1" applyFont="1" applyBorder="1" applyAlignment="1">
      <alignment horizontal="center" vertical="center"/>
    </xf>
    <xf numFmtId="2" fontId="3" fillId="0" borderId="3" xfId="0" applyNumberFormat="1" applyFont="1" applyBorder="1" applyAlignment="1">
      <alignment horizontal="center"/>
    </xf>
    <xf numFmtId="0" fontId="2" fillId="0" borderId="8" xfId="0" applyFont="1" applyBorder="1" applyAlignment="1">
      <alignment horizontal="center" vertical="center"/>
    </xf>
    <xf numFmtId="0" fontId="0" fillId="0" borderId="8" xfId="0" applyBorder="1"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2" fillId="0" borderId="22" xfId="0" applyFont="1" applyBorder="1" applyAlignment="1">
      <alignment horizontal="center" vertical="center"/>
    </xf>
    <xf numFmtId="0" fontId="6" fillId="0" borderId="22" xfId="0" applyFont="1" applyBorder="1" applyAlignment="1">
      <alignment horizontal="center" vertical="center"/>
    </xf>
    <xf numFmtId="3" fontId="6" fillId="0" borderId="22" xfId="0" applyNumberFormat="1" applyFont="1" applyBorder="1" applyAlignment="1">
      <alignment horizontal="center" vertical="center"/>
    </xf>
    <xf numFmtId="0" fontId="1" fillId="0" borderId="4" xfId="0" applyFont="1" applyBorder="1" applyAlignment="1">
      <alignment horizontal="left" vertical="center"/>
    </xf>
    <xf numFmtId="0" fontId="5" fillId="4" borderId="3" xfId="0" applyFont="1" applyFill="1" applyBorder="1" applyAlignment="1">
      <alignment horizontal="left" vertical="top"/>
    </xf>
    <xf numFmtId="0" fontId="5" fillId="4" borderId="3" xfId="0" applyFont="1" applyFill="1" applyBorder="1" applyAlignment="1">
      <alignment horizontal="left" vertical="center"/>
    </xf>
    <xf numFmtId="3" fontId="5" fillId="4" borderId="3" xfId="0" applyNumberFormat="1" applyFont="1" applyFill="1" applyBorder="1" applyAlignment="1">
      <alignment vertical="center"/>
    </xf>
    <xf numFmtId="0" fontId="5" fillId="4" borderId="3" xfId="0" applyFont="1" applyFill="1" applyBorder="1" applyAlignment="1">
      <alignment vertical="center" wrapText="1"/>
    </xf>
    <xf numFmtId="0" fontId="3" fillId="4" borderId="3" xfId="0" applyFont="1" applyFill="1" applyBorder="1" applyAlignment="1">
      <alignment wrapText="1"/>
    </xf>
    <xf numFmtId="2" fontId="3" fillId="0" borderId="3" xfId="0" applyNumberFormat="1" applyFont="1" applyBorder="1"/>
    <xf numFmtId="2" fontId="3" fillId="4" borderId="3" xfId="0" applyNumberFormat="1" applyFont="1" applyFill="1" applyBorder="1"/>
    <xf numFmtId="0" fontId="2" fillId="2" borderId="6" xfId="0" applyFont="1" applyFill="1" applyBorder="1" applyAlignment="1">
      <alignment horizontal="center" vertical="center"/>
    </xf>
    <xf numFmtId="0" fontId="2" fillId="2" borderId="23" xfId="0" applyFont="1" applyFill="1" applyBorder="1" applyAlignment="1">
      <alignment horizontal="center" vertical="top" wrapText="1"/>
    </xf>
    <xf numFmtId="0" fontId="2" fillId="2" borderId="11" xfId="0" applyFont="1" applyFill="1" applyBorder="1" applyAlignment="1">
      <alignment horizontal="center" vertical="top" wrapText="1"/>
    </xf>
    <xf numFmtId="0" fontId="2" fillId="2" borderId="7"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0" fillId="3" borderId="3" xfId="0" applyFill="1" applyBorder="1" applyAlignment="1">
      <alignment horizontal="center"/>
    </xf>
    <xf numFmtId="0" fontId="4" fillId="0" borderId="0" xfId="0" applyFont="1"/>
    <xf numFmtId="0" fontId="4" fillId="0" borderId="0" xfId="0" applyFont="1" applyAlignment="1">
      <alignment horizontal="right"/>
    </xf>
    <xf numFmtId="2" fontId="3" fillId="0" borderId="0" xfId="0" applyNumberFormat="1" applyFont="1"/>
    <xf numFmtId="0" fontId="4" fillId="0" borderId="0" xfId="0" applyFont="1" applyAlignment="1">
      <alignment horizontal="center"/>
    </xf>
    <xf numFmtId="2" fontId="3" fillId="0" borderId="24" xfId="0" applyNumberFormat="1" applyFont="1" applyBorder="1"/>
    <xf numFmtId="0" fontId="4" fillId="0" borderId="0" xfId="0" applyFont="1" applyAlignment="1">
      <alignment horizontal="left"/>
    </xf>
    <xf numFmtId="0" fontId="3" fillId="0" borderId="0" xfId="0" applyFont="1" applyAlignment="1">
      <alignment horizontal="left"/>
    </xf>
    <xf numFmtId="0" fontId="4" fillId="0" borderId="22" xfId="0" applyFont="1" applyBorder="1" applyAlignment="1">
      <alignment horizontal="left"/>
    </xf>
    <xf numFmtId="0" fontId="0" fillId="5" borderId="3" xfId="0" applyFill="1" applyBorder="1"/>
    <xf numFmtId="2" fontId="0" fillId="5" borderId="3" xfId="0" applyNumberFormat="1" applyFill="1" applyBorder="1"/>
    <xf numFmtId="2" fontId="3" fillId="0" borderId="3" xfId="0" applyNumberFormat="1" applyFont="1" applyBorder="1" applyAlignment="1">
      <alignment vertical="center"/>
    </xf>
    <xf numFmtId="0" fontId="2" fillId="6" borderId="6" xfId="0" applyFont="1" applyFill="1" applyBorder="1" applyAlignment="1">
      <alignment horizontal="center" vertical="center" wrapText="1"/>
    </xf>
    <xf numFmtId="0" fontId="0" fillId="6" borderId="3" xfId="0" applyFill="1" applyBorder="1"/>
    <xf numFmtId="0" fontId="0" fillId="6" borderId="3" xfId="0" applyFill="1" applyBorder="1" applyAlignment="1">
      <alignment horizontal="center"/>
    </xf>
    <xf numFmtId="0" fontId="3" fillId="5" borderId="3" xfId="0" applyFont="1" applyFill="1" applyBorder="1"/>
    <xf numFmtId="2" fontId="3" fillId="0" borderId="0" xfId="0" applyNumberFormat="1" applyFont="1" applyAlignment="1">
      <alignment horizontal="left"/>
    </xf>
    <xf numFmtId="2" fontId="3" fillId="0" borderId="22" xfId="0" applyNumberFormat="1" applyFont="1" applyBorder="1" applyAlignment="1">
      <alignment horizontal="left"/>
    </xf>
    <xf numFmtId="0" fontId="3" fillId="0" borderId="24" xfId="0" applyFont="1" applyBorder="1"/>
    <xf numFmtId="2" fontId="4" fillId="0" borderId="0" xfId="0" applyNumberFormat="1" applyFont="1" applyAlignment="1">
      <alignment horizontal="right"/>
    </xf>
    <xf numFmtId="2" fontId="4" fillId="0" borderId="0" xfId="0" applyNumberFormat="1" applyFont="1"/>
    <xf numFmtId="2" fontId="0" fillId="0" borderId="0" xfId="0" applyNumberFormat="1"/>
    <xf numFmtId="0" fontId="3" fillId="0" borderId="24" xfId="0" applyFont="1" applyBorder="1" applyAlignment="1">
      <alignment horizontal="left"/>
    </xf>
    <xf numFmtId="2" fontId="3" fillId="0" borderId="24" xfId="0" applyNumberFormat="1" applyFont="1" applyBorder="1" applyAlignment="1">
      <alignment horizontal="left"/>
    </xf>
    <xf numFmtId="0" fontId="6" fillId="6" borderId="3" xfId="0" applyFont="1" applyFill="1" applyBorder="1" applyAlignment="1">
      <alignment vertical="center"/>
    </xf>
    <xf numFmtId="0" fontId="3" fillId="6" borderId="3" xfId="0" applyFont="1" applyFill="1" applyBorder="1" applyAlignment="1">
      <alignment vertical="center"/>
    </xf>
    <xf numFmtId="0" fontId="13" fillId="0" borderId="3" xfId="0" applyFont="1" applyBorder="1" applyAlignment="1">
      <alignment horizontal="center" wrapText="1"/>
    </xf>
    <xf numFmtId="0" fontId="13" fillId="0" borderId="26" xfId="0" applyFont="1" applyBorder="1" applyAlignment="1">
      <alignment horizontal="center" wrapText="1"/>
    </xf>
    <xf numFmtId="0" fontId="12" fillId="0" borderId="16" xfId="0" applyFont="1" applyBorder="1" applyAlignment="1">
      <alignment vertical="top" wrapText="1"/>
    </xf>
    <xf numFmtId="0" fontId="0" fillId="0" borderId="26" xfId="0" applyBorder="1" applyAlignment="1">
      <alignment wrapText="1"/>
    </xf>
    <xf numFmtId="0" fontId="1" fillId="0" borderId="28" xfId="0" applyFont="1" applyBorder="1" applyAlignment="1">
      <alignment vertical="center"/>
    </xf>
    <xf numFmtId="0" fontId="5" fillId="0" borderId="0" xfId="0" applyFont="1" applyAlignment="1">
      <alignment vertical="center"/>
    </xf>
    <xf numFmtId="0" fontId="5" fillId="0" borderId="0" xfId="0" applyFont="1" applyAlignment="1">
      <alignment horizontal="right" vertical="center"/>
    </xf>
    <xf numFmtId="0" fontId="5" fillId="0" borderId="28" xfId="0" applyFont="1" applyBorder="1" applyAlignment="1">
      <alignment vertical="center"/>
    </xf>
    <xf numFmtId="0" fontId="5" fillId="0" borderId="28" xfId="0" applyFont="1" applyBorder="1" applyAlignment="1">
      <alignment horizontal="right" vertical="center"/>
    </xf>
    <xf numFmtId="0" fontId="1" fillId="0" borderId="0" xfId="0" applyFont="1" applyAlignment="1">
      <alignment vertical="center"/>
    </xf>
    <xf numFmtId="0" fontId="1" fillId="0" borderId="0" xfId="0" applyFont="1" applyAlignment="1">
      <alignment horizontal="right" vertical="center"/>
    </xf>
    <xf numFmtId="0" fontId="14" fillId="0" borderId="0" xfId="0" applyFont="1" applyAlignment="1">
      <alignment vertical="center"/>
    </xf>
    <xf numFmtId="2" fontId="1" fillId="0" borderId="0" xfId="0" applyNumberFormat="1" applyFont="1" applyAlignment="1">
      <alignment horizontal="left" vertical="center"/>
    </xf>
    <xf numFmtId="2" fontId="4" fillId="0" borderId="0" xfId="0" applyNumberFormat="1" applyFont="1" applyAlignment="1">
      <alignment horizontal="left"/>
    </xf>
    <xf numFmtId="0" fontId="4" fillId="0" borderId="23" xfId="0" applyFont="1" applyBorder="1"/>
    <xf numFmtId="0" fontId="1" fillId="0" borderId="23" xfId="0" applyFont="1" applyBorder="1" applyAlignment="1">
      <alignment vertical="center"/>
    </xf>
    <xf numFmtId="10" fontId="3" fillId="0" borderId="0" xfId="0" applyNumberFormat="1" applyFont="1" applyAlignment="1">
      <alignment horizontal="left"/>
    </xf>
    <xf numFmtId="9" fontId="3" fillId="0" borderId="0" xfId="0" applyNumberFormat="1" applyFont="1" applyAlignment="1">
      <alignment horizontal="left"/>
    </xf>
    <xf numFmtId="0" fontId="15" fillId="2" borderId="6" xfId="0" applyFont="1" applyFill="1" applyBorder="1" applyAlignment="1">
      <alignment horizontal="center" vertical="center"/>
    </xf>
    <xf numFmtId="0" fontId="15" fillId="2" borderId="6"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7" fillId="3" borderId="3" xfId="0" applyFont="1" applyFill="1" applyBorder="1" applyAlignment="1">
      <alignment horizontal="center"/>
    </xf>
    <xf numFmtId="0" fontId="17" fillId="0" borderId="0" xfId="0" applyFont="1"/>
    <xf numFmtId="0" fontId="15" fillId="4" borderId="2" xfId="0" applyFont="1" applyFill="1" applyBorder="1" applyAlignment="1">
      <alignment vertical="center"/>
    </xf>
    <xf numFmtId="0" fontId="15" fillId="4" borderId="0" xfId="0" applyFont="1" applyFill="1" applyAlignment="1">
      <alignment vertical="center"/>
    </xf>
    <xf numFmtId="0" fontId="15" fillId="0" borderId="0" xfId="0" applyFont="1" applyAlignment="1">
      <alignment vertical="center"/>
    </xf>
    <xf numFmtId="0" fontId="15" fillId="4" borderId="9" xfId="0" applyFont="1" applyFill="1" applyBorder="1" applyAlignment="1">
      <alignment vertical="center"/>
    </xf>
    <xf numFmtId="0" fontId="15" fillId="4" borderId="3" xfId="0" applyFont="1" applyFill="1" applyBorder="1" applyAlignment="1">
      <alignment vertical="center"/>
    </xf>
    <xf numFmtId="0" fontId="18" fillId="4" borderId="3" xfId="0" applyFont="1" applyFill="1" applyBorder="1"/>
    <xf numFmtId="0" fontId="18" fillId="0" borderId="3" xfId="0" applyFont="1" applyBorder="1"/>
    <xf numFmtId="0" fontId="18" fillId="0" borderId="0" xfId="0" applyFont="1"/>
    <xf numFmtId="0" fontId="17" fillId="0" borderId="3" xfId="0" applyFont="1" applyBorder="1"/>
    <xf numFmtId="0" fontId="17" fillId="0" borderId="3" xfId="0" applyFont="1" applyBorder="1" applyAlignment="1">
      <alignment horizontal="center"/>
    </xf>
    <xf numFmtId="2" fontId="17" fillId="5" borderId="3" xfId="0" applyNumberFormat="1" applyFont="1" applyFill="1" applyBorder="1" applyAlignment="1">
      <alignment horizontal="center"/>
    </xf>
    <xf numFmtId="0" fontId="17" fillId="4" borderId="3" xfId="0" applyFont="1" applyFill="1" applyBorder="1" applyAlignment="1">
      <alignment horizontal="center"/>
    </xf>
    <xf numFmtId="2" fontId="17" fillId="4" borderId="3" xfId="0" applyNumberFormat="1" applyFont="1" applyFill="1" applyBorder="1" applyAlignment="1">
      <alignment horizontal="center"/>
    </xf>
    <xf numFmtId="0" fontId="17" fillId="5" borderId="3" xfId="0" applyFont="1" applyFill="1" applyBorder="1" applyAlignment="1">
      <alignment horizontal="center"/>
    </xf>
    <xf numFmtId="2" fontId="17" fillId="5" borderId="3" xfId="0" applyNumberFormat="1" applyFont="1" applyFill="1" applyBorder="1"/>
    <xf numFmtId="0" fontId="18" fillId="0" borderId="3" xfId="0" applyFont="1" applyBorder="1" applyAlignment="1">
      <alignment horizontal="center"/>
    </xf>
    <xf numFmtId="0" fontId="18" fillId="5" borderId="3" xfId="0" applyFont="1" applyFill="1" applyBorder="1" applyAlignment="1">
      <alignment horizontal="center"/>
    </xf>
    <xf numFmtId="0" fontId="18" fillId="4" borderId="3" xfId="0" applyFont="1" applyFill="1" applyBorder="1" applyAlignment="1">
      <alignment horizontal="center"/>
    </xf>
    <xf numFmtId="2" fontId="18" fillId="5" borderId="3" xfId="0" applyNumberFormat="1" applyFont="1" applyFill="1" applyBorder="1"/>
    <xf numFmtId="0" fontId="17" fillId="0" borderId="3" xfId="0" applyFont="1" applyBorder="1" applyAlignment="1">
      <alignment wrapText="1"/>
    </xf>
    <xf numFmtId="0" fontId="17" fillId="0" borderId="0" xfId="0" applyFont="1" applyAlignment="1">
      <alignment horizontal="left"/>
    </xf>
    <xf numFmtId="0" fontId="18" fillId="4" borderId="4" xfId="0" applyFont="1" applyFill="1" applyBorder="1"/>
    <xf numFmtId="0" fontId="17" fillId="5" borderId="4" xfId="0" applyFont="1" applyFill="1" applyBorder="1" applyAlignment="1">
      <alignment horizontal="center"/>
    </xf>
    <xf numFmtId="0" fontId="18" fillId="5" borderId="4" xfId="0" applyFont="1" applyFill="1" applyBorder="1" applyAlignment="1">
      <alignment horizontal="center"/>
    </xf>
    <xf numFmtId="0" fontId="16" fillId="3" borderId="11" xfId="0" applyFont="1" applyFill="1" applyBorder="1" applyAlignment="1">
      <alignment horizontal="center" vertical="center" wrapText="1"/>
    </xf>
    <xf numFmtId="0" fontId="18" fillId="4" borderId="9" xfId="0" applyFont="1" applyFill="1" applyBorder="1"/>
    <xf numFmtId="2" fontId="18" fillId="5" borderId="9" xfId="0" applyNumberFormat="1" applyFont="1" applyFill="1" applyBorder="1"/>
    <xf numFmtId="0" fontId="16" fillId="3" borderId="3" xfId="0" applyFont="1" applyFill="1" applyBorder="1" applyAlignment="1">
      <alignment horizontal="center" vertical="center" wrapText="1"/>
    </xf>
    <xf numFmtId="0" fontId="18" fillId="4" borderId="4" xfId="0" applyFont="1" applyFill="1" applyBorder="1" applyAlignment="1">
      <alignment horizontal="center"/>
    </xf>
    <xf numFmtId="2" fontId="18" fillId="4" borderId="3" xfId="0" applyNumberFormat="1" applyFont="1" applyFill="1" applyBorder="1"/>
    <xf numFmtId="2" fontId="18" fillId="4" borderId="9" xfId="0" applyNumberFormat="1" applyFont="1" applyFill="1" applyBorder="1"/>
    <xf numFmtId="0" fontId="18" fillId="4" borderId="0" xfId="0" applyFont="1" applyFill="1"/>
    <xf numFmtId="0" fontId="0" fillId="4" borderId="3" xfId="0" applyFill="1" applyBorder="1" applyAlignment="1">
      <alignment horizontal="left" vertical="center"/>
    </xf>
    <xf numFmtId="0" fontId="4" fillId="0" borderId="3" xfId="0" applyFont="1" applyBorder="1" applyAlignment="1">
      <alignment horizontal="left"/>
    </xf>
    <xf numFmtId="2" fontId="3" fillId="0" borderId="3" xfId="0" applyNumberFormat="1" applyFont="1" applyBorder="1" applyAlignment="1">
      <alignment horizontal="left"/>
    </xf>
    <xf numFmtId="0" fontId="3" fillId="0" borderId="3" xfId="0" applyFont="1" applyBorder="1" applyAlignment="1">
      <alignment horizontal="left"/>
    </xf>
    <xf numFmtId="0" fontId="4" fillId="0" borderId="4" xfId="0" applyFont="1" applyBorder="1" applyAlignment="1">
      <alignment horizontal="left"/>
    </xf>
    <xf numFmtId="0" fontId="4" fillId="0" borderId="3" xfId="0" applyFont="1" applyBorder="1" applyAlignment="1">
      <alignment horizontal="center"/>
    </xf>
    <xf numFmtId="0" fontId="4" fillId="0" borderId="3" xfId="0" applyFont="1" applyBorder="1" applyAlignment="1">
      <alignment horizontal="right"/>
    </xf>
    <xf numFmtId="0" fontId="4" fillId="7" borderId="3" xfId="0" applyFont="1" applyFill="1" applyBorder="1"/>
    <xf numFmtId="164" fontId="3" fillId="0" borderId="3" xfId="0" applyNumberFormat="1" applyFont="1" applyBorder="1"/>
    <xf numFmtId="164" fontId="3" fillId="0" borderId="3" xfId="0" applyNumberFormat="1" applyFont="1" applyBorder="1" applyAlignment="1">
      <alignment horizontal="right"/>
    </xf>
    <xf numFmtId="164" fontId="0" fillId="0" borderId="3" xfId="0" applyNumberFormat="1" applyBorder="1"/>
    <xf numFmtId="164" fontId="4" fillId="0" borderId="3" xfId="0" applyNumberFormat="1" applyFont="1" applyBorder="1" applyAlignment="1">
      <alignment horizontal="right"/>
    </xf>
    <xf numFmtId="164" fontId="4" fillId="0" borderId="3" xfId="0" applyNumberFormat="1" applyFont="1" applyBorder="1" applyAlignment="1">
      <alignment horizontal="center"/>
    </xf>
    <xf numFmtId="164" fontId="4" fillId="0" borderId="3" xfId="0" applyNumberFormat="1" applyFont="1" applyBorder="1"/>
    <xf numFmtId="2" fontId="3" fillId="7" borderId="3" xfId="0" applyNumberFormat="1" applyFont="1" applyFill="1" applyBorder="1"/>
    <xf numFmtId="0" fontId="0" fillId="7" borderId="3" xfId="0" applyFill="1" applyBorder="1"/>
    <xf numFmtId="2" fontId="4" fillId="0" borderId="0" xfId="0" applyNumberFormat="1" applyFont="1" applyAlignment="1">
      <alignment horizontal="center"/>
    </xf>
    <xf numFmtId="0" fontId="4" fillId="7" borderId="0" xfId="0" applyFont="1" applyFill="1" applyAlignment="1">
      <alignment horizontal="left"/>
    </xf>
    <xf numFmtId="2" fontId="4" fillId="7" borderId="0" xfId="0" applyNumberFormat="1" applyFont="1" applyFill="1" applyAlignment="1">
      <alignment horizontal="left"/>
    </xf>
    <xf numFmtId="0" fontId="10" fillId="0" borderId="0" xfId="0" applyFont="1"/>
    <xf numFmtId="164" fontId="4" fillId="7" borderId="3" xfId="0" applyNumberFormat="1" applyFont="1" applyFill="1" applyBorder="1" applyAlignment="1">
      <alignment horizontal="right"/>
    </xf>
    <xf numFmtId="164" fontId="0" fillId="0" borderId="0" xfId="0" applyNumberFormat="1"/>
    <xf numFmtId="164" fontId="3" fillId="7" borderId="3" xfId="0" applyNumberFormat="1" applyFont="1" applyFill="1" applyBorder="1"/>
    <xf numFmtId="164" fontId="4" fillId="7" borderId="3" xfId="0" applyNumberFormat="1" applyFont="1" applyFill="1" applyBorder="1"/>
    <xf numFmtId="0" fontId="1" fillId="0" borderId="4" xfId="0" applyFont="1" applyBorder="1"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6" fillId="0" borderId="0" xfId="0" applyFont="1" applyAlignment="1">
      <alignment horizontal="center" vertical="center"/>
    </xf>
    <xf numFmtId="0" fontId="3" fillId="0" borderId="0" xfId="0" applyFont="1" applyAlignment="1">
      <alignment horizontal="center"/>
    </xf>
    <xf numFmtId="2" fontId="3" fillId="0" borderId="0" xfId="0" applyNumberFormat="1" applyFont="1" applyAlignment="1">
      <alignment horizontal="center"/>
    </xf>
    <xf numFmtId="0" fontId="1" fillId="0" borderId="0" xfId="0" applyFont="1" applyAlignment="1">
      <alignment horizontal="left" vertical="center"/>
    </xf>
    <xf numFmtId="0" fontId="3" fillId="4" borderId="0" xfId="0" applyFont="1" applyFill="1"/>
    <xf numFmtId="0" fontId="3" fillId="3" borderId="3" xfId="0" applyFont="1" applyFill="1" applyBorder="1" applyAlignment="1">
      <alignment horizontal="left"/>
    </xf>
    <xf numFmtId="0" fontId="3" fillId="0" borderId="3" xfId="0" applyFont="1" applyBorder="1" applyAlignment="1">
      <alignment vertical="top"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 fillId="3"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23" xfId="0" applyFont="1" applyFill="1" applyBorder="1" applyAlignment="1">
      <alignment horizontal="center" vertical="top" wrapText="1"/>
    </xf>
    <xf numFmtId="0" fontId="2" fillId="2" borderId="11" xfId="0" applyFont="1" applyFill="1" applyBorder="1" applyAlignment="1">
      <alignment horizontal="center" vertical="top" wrapText="1"/>
    </xf>
    <xf numFmtId="0" fontId="4" fillId="0" borderId="8" xfId="0" applyFont="1" applyBorder="1" applyAlignment="1">
      <alignment horizontal="center"/>
    </xf>
    <xf numFmtId="0" fontId="0" fillId="0" borderId="24" xfId="0" applyBorder="1" applyAlignment="1">
      <alignment horizontal="center"/>
    </xf>
    <xf numFmtId="0" fontId="4" fillId="0" borderId="0" xfId="0" applyFont="1" applyAlignment="1">
      <alignment horizontal="center"/>
    </xf>
    <xf numFmtId="0" fontId="4" fillId="0" borderId="3" xfId="0" applyFont="1" applyBorder="1" applyAlignment="1">
      <alignment horizontal="center"/>
    </xf>
    <xf numFmtId="0" fontId="12" fillId="0" borderId="16" xfId="0" applyFont="1" applyBorder="1" applyAlignment="1">
      <alignment horizontal="center" wrapText="1"/>
    </xf>
    <xf numFmtId="0" fontId="10" fillId="0" borderId="4" xfId="0" applyFont="1" applyBorder="1" applyAlignment="1">
      <alignment horizontal="center"/>
    </xf>
    <xf numFmtId="0" fontId="10" fillId="0" borderId="8" xfId="0" applyFont="1" applyBorder="1" applyAlignment="1">
      <alignment horizontal="center"/>
    </xf>
    <xf numFmtId="0" fontId="10" fillId="0" borderId="25" xfId="0" applyFont="1" applyBorder="1" applyAlignment="1">
      <alignment horizontal="center"/>
    </xf>
    <xf numFmtId="0" fontId="9" fillId="0" borderId="3" xfId="0" applyFont="1" applyBorder="1" applyAlignment="1">
      <alignment horizontal="center" vertical="center"/>
    </xf>
    <xf numFmtId="0" fontId="9" fillId="0" borderId="0" xfId="0" applyFont="1" applyAlignment="1">
      <alignment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2" fillId="2" borderId="12" xfId="0" applyFont="1" applyFill="1" applyBorder="1" applyAlignment="1">
      <alignment horizontal="center" vertical="center" wrapText="1"/>
    </xf>
    <xf numFmtId="0" fontId="2" fillId="2" borderId="12" xfId="0" applyFont="1" applyFill="1" applyBorder="1" applyAlignment="1">
      <alignment vertical="center" wrapText="1"/>
    </xf>
    <xf numFmtId="0" fontId="2" fillId="2" borderId="10" xfId="0" applyFont="1" applyFill="1" applyBorder="1" applyAlignment="1">
      <alignment vertical="center" wrapText="1"/>
    </xf>
    <xf numFmtId="0" fontId="2" fillId="2" borderId="10" xfId="0" applyFont="1" applyFill="1" applyBorder="1" applyAlignment="1">
      <alignment horizontal="center" vertical="center"/>
    </xf>
    <xf numFmtId="0" fontId="2" fillId="2" borderId="0" xfId="0" applyFont="1" applyFill="1" applyAlignment="1">
      <alignment horizontal="center" vertical="center"/>
    </xf>
    <xf numFmtId="0" fontId="17" fillId="0" borderId="0" xfId="0" applyFont="1" applyAlignment="1">
      <alignment horizontal="left"/>
    </xf>
    <xf numFmtId="0" fontId="17" fillId="0" borderId="2" xfId="0" applyFont="1" applyBorder="1"/>
    <xf numFmtId="0" fontId="17" fillId="0" borderId="0" xfId="0" applyFont="1"/>
    <xf numFmtId="0" fontId="17" fillId="0" borderId="3" xfId="0" applyFont="1" applyBorder="1"/>
    <xf numFmtId="0" fontId="17" fillId="0" borderId="2" xfId="0" applyFont="1" applyBorder="1" applyAlignment="1">
      <alignment horizontal="center"/>
    </xf>
    <xf numFmtId="0" fontId="17" fillId="0" borderId="0" xfId="0" applyFont="1" applyAlignment="1">
      <alignment horizontal="center"/>
    </xf>
    <xf numFmtId="0" fontId="17" fillId="0" borderId="3" xfId="0" applyFont="1" applyBorder="1" applyAlignment="1">
      <alignment horizontal="center"/>
    </xf>
    <xf numFmtId="2" fontId="17" fillId="5" borderId="1" xfId="0" applyNumberFormat="1" applyFont="1" applyFill="1" applyBorder="1" applyAlignment="1">
      <alignment horizontal="center"/>
    </xf>
    <xf numFmtId="2" fontId="17" fillId="5" borderId="5" xfId="0" applyNumberFormat="1" applyFont="1" applyFill="1" applyBorder="1" applyAlignment="1">
      <alignment horizontal="center"/>
    </xf>
    <xf numFmtId="2" fontId="17" fillId="5" borderId="6" xfId="0" applyNumberFormat="1" applyFont="1" applyFill="1" applyBorder="1" applyAlignment="1">
      <alignment horizontal="center"/>
    </xf>
    <xf numFmtId="0" fontId="5" fillId="4" borderId="0" xfId="0" applyFont="1" applyFill="1" applyAlignment="1">
      <alignment horizontal="center" vertical="center"/>
    </xf>
    <xf numFmtId="0" fontId="5" fillId="4" borderId="4"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6"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5" fillId="4" borderId="3" xfId="0" applyFont="1" applyFill="1" applyBorder="1" applyAlignment="1">
      <alignment horizontal="center" vertical="center"/>
    </xf>
    <xf numFmtId="0" fontId="4" fillId="0" borderId="3" xfId="0" applyFont="1" applyBorder="1" applyAlignment="1">
      <alignment horizontal="center" wrapText="1"/>
    </xf>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2" fillId="3" borderId="6" xfId="0" applyFont="1" applyFill="1" applyBorder="1" applyAlignment="1">
      <alignment horizontal="center" wrapText="1"/>
    </xf>
    <xf numFmtId="0" fontId="2" fillId="3" borderId="3" xfId="0" applyFont="1" applyFill="1" applyBorder="1" applyAlignment="1">
      <alignment horizontal="center" wrapText="1"/>
    </xf>
    <xf numFmtId="0" fontId="2" fillId="3" borderId="5" xfId="0" applyFont="1" applyFill="1" applyBorder="1" applyAlignment="1">
      <alignment horizontal="center" wrapText="1"/>
    </xf>
    <xf numFmtId="0" fontId="4" fillId="3" borderId="2" xfId="0" applyFont="1" applyFill="1" applyBorder="1" applyAlignment="1">
      <alignment horizontal="center"/>
    </xf>
    <xf numFmtId="0" fontId="4" fillId="3" borderId="0" xfId="0" applyFont="1" applyFill="1" applyAlignment="1">
      <alignment horizontal="center"/>
    </xf>
    <xf numFmtId="0" fontId="4" fillId="3" borderId="3" xfId="0" applyFont="1" applyFill="1" applyBorder="1" applyAlignment="1">
      <alignment horizontal="center"/>
    </xf>
    <xf numFmtId="0" fontId="4" fillId="0" borderId="0" xfId="0" applyFont="1" applyAlignment="1">
      <alignment horizontal="left" vertical="top"/>
    </xf>
    <xf numFmtId="0" fontId="7" fillId="3" borderId="3" xfId="0" applyFont="1" applyFill="1" applyBorder="1" applyAlignment="1">
      <alignment horizontal="center" wrapText="1"/>
    </xf>
    <xf numFmtId="0" fontId="3" fillId="3" borderId="3" xfId="0" applyFont="1" applyFill="1" applyBorder="1" applyAlignment="1">
      <alignment horizontal="left"/>
    </xf>
    <xf numFmtId="0" fontId="0" fillId="3" borderId="3" xfId="0" applyFill="1" applyBorder="1" applyAlignment="1">
      <alignment horizontal="center"/>
    </xf>
    <xf numFmtId="0" fontId="0" fillId="3" borderId="1" xfId="0" applyFill="1" applyBorder="1" applyAlignment="1">
      <alignment horizontal="center"/>
    </xf>
    <xf numFmtId="0" fontId="0" fillId="0" borderId="19" xfId="0" applyBorder="1" applyAlignment="1">
      <alignment horizontal="left" vertical="top" wrapText="1"/>
    </xf>
    <xf numFmtId="0" fontId="0" fillId="0" borderId="20" xfId="0" applyBorder="1" applyAlignment="1">
      <alignment horizontal="left" vertical="top"/>
    </xf>
    <xf numFmtId="0" fontId="0" fillId="0" borderId="21" xfId="0" applyBorder="1" applyAlignment="1">
      <alignment horizontal="left" vertical="top"/>
    </xf>
    <xf numFmtId="0" fontId="3" fillId="0" borderId="14"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wrapText="1"/>
    </xf>
    <xf numFmtId="0" fontId="3" fillId="0" borderId="3" xfId="0" applyFont="1" applyBorder="1" applyAlignment="1">
      <alignment horizontal="left" wrapText="1"/>
    </xf>
    <xf numFmtId="0" fontId="3" fillId="0" borderId="18" xfId="0" applyFont="1" applyBorder="1" applyAlignment="1">
      <alignment horizontal="left" wrapText="1"/>
    </xf>
    <xf numFmtId="0" fontId="3" fillId="0" borderId="14"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5" xfId="0" applyFont="1" applyBorder="1" applyAlignment="1">
      <alignment horizontal="left" vertical="center"/>
    </xf>
    <xf numFmtId="0" fontId="3" fillId="0" borderId="3" xfId="0" applyFont="1" applyBorder="1" applyAlignment="1">
      <alignment horizontal="left" vertical="center"/>
    </xf>
    <xf numFmtId="0" fontId="3" fillId="0" borderId="18" xfId="0" applyFont="1" applyBorder="1" applyAlignment="1">
      <alignment horizontal="left" vertical="center"/>
    </xf>
    <xf numFmtId="0" fontId="3" fillId="3" borderId="3" xfId="0" applyFont="1" applyFill="1" applyBorder="1" applyAlignment="1">
      <alignment horizontal="center"/>
    </xf>
    <xf numFmtId="0" fontId="4" fillId="3" borderId="1" xfId="0" applyFont="1" applyFill="1" applyBorder="1" applyAlignment="1">
      <alignment horizontal="center"/>
    </xf>
    <xf numFmtId="0" fontId="4" fillId="3" borderId="3" xfId="0" applyFont="1" applyFill="1" applyBorder="1" applyAlignment="1">
      <alignment horizontal="center" wrapText="1"/>
    </xf>
    <xf numFmtId="0" fontId="4" fillId="3" borderId="1" xfId="0" applyFont="1" applyFill="1" applyBorder="1" applyAlignment="1">
      <alignment horizontal="center" wrapText="1"/>
    </xf>
    <xf numFmtId="0" fontId="4" fillId="0" borderId="4" xfId="0" applyFont="1" applyBorder="1"/>
    <xf numFmtId="0" fontId="0" fillId="0" borderId="8" xfId="0" applyBorder="1"/>
    <xf numFmtId="0" fontId="0" fillId="0" borderId="9" xfId="0" applyBorder="1"/>
    <xf numFmtId="0" fontId="0" fillId="0" borderId="1" xfId="0" applyBorder="1" applyAlignment="1">
      <alignment vertical="top" wrapText="1"/>
    </xf>
    <xf numFmtId="0" fontId="0" fillId="0" borderId="6" xfId="0" applyBorder="1" applyAlignment="1">
      <alignment vertical="top" wrapText="1"/>
    </xf>
    <xf numFmtId="0" fontId="1" fillId="0" borderId="27" xfId="0" applyFont="1" applyBorder="1" applyAlignment="1">
      <alignment horizontal="center" vertical="center"/>
    </xf>
    <xf numFmtId="0" fontId="4" fillId="0" borderId="24" xfId="0" applyFont="1" applyBorder="1" applyAlignment="1">
      <alignment horizontal="center"/>
    </xf>
    <xf numFmtId="0" fontId="4" fillId="0" borderId="29" xfId="0" applyFont="1" applyBorder="1" applyAlignment="1">
      <alignment horizontal="left"/>
    </xf>
    <xf numFmtId="0" fontId="4" fillId="0" borderId="23"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zoomScale="98" zoomScaleNormal="98" workbookViewId="0">
      <selection activeCell="J9" sqref="J9"/>
    </sheetView>
  </sheetViews>
  <sheetFormatPr defaultRowHeight="14.5"/>
  <cols>
    <col min="2" max="2" width="20.26953125" customWidth="1"/>
    <col min="3" max="3" width="16" customWidth="1"/>
    <col min="4" max="4" width="14" customWidth="1"/>
    <col min="5" max="5" width="12" customWidth="1"/>
    <col min="6" max="6" width="10.81640625" customWidth="1"/>
    <col min="7" max="7" width="11.54296875" customWidth="1"/>
    <col min="8" max="8" width="13.1796875" customWidth="1"/>
    <col min="9" max="9" width="13.26953125" customWidth="1"/>
    <col min="10" max="10" width="18.26953125" customWidth="1"/>
    <col min="11" max="11" width="38.1796875" customWidth="1"/>
  </cols>
  <sheetData>
    <row r="1" spans="1:11" ht="15" customHeight="1">
      <c r="A1" s="191" t="s">
        <v>31</v>
      </c>
      <c r="B1" s="191"/>
      <c r="C1" s="191"/>
      <c r="D1" s="191"/>
      <c r="E1" s="191"/>
      <c r="F1" s="191"/>
      <c r="G1" s="191"/>
      <c r="H1" s="191"/>
      <c r="I1" s="191"/>
      <c r="J1" s="191"/>
      <c r="K1" s="191"/>
    </row>
    <row r="2" spans="1:11">
      <c r="A2" s="192" t="s">
        <v>4</v>
      </c>
      <c r="B2" s="192" t="s">
        <v>5</v>
      </c>
      <c r="C2" s="194" t="s">
        <v>6</v>
      </c>
      <c r="D2" s="194" t="s">
        <v>115</v>
      </c>
      <c r="E2" s="196" t="s">
        <v>7</v>
      </c>
      <c r="F2" s="16"/>
      <c r="G2" s="194" t="s">
        <v>2</v>
      </c>
      <c r="H2" s="198" t="s">
        <v>3</v>
      </c>
      <c r="I2" s="200" t="s">
        <v>24</v>
      </c>
      <c r="J2" s="68"/>
      <c r="K2" s="189" t="s">
        <v>23</v>
      </c>
    </row>
    <row r="3" spans="1:11" ht="41.25" customHeight="1">
      <c r="A3" s="193"/>
      <c r="B3" s="193"/>
      <c r="C3" s="195"/>
      <c r="D3" s="195"/>
      <c r="E3" s="197"/>
      <c r="F3" s="17" t="s">
        <v>1</v>
      </c>
      <c r="G3" s="195"/>
      <c r="H3" s="199"/>
      <c r="I3" s="201"/>
      <c r="J3" s="69" t="s">
        <v>143</v>
      </c>
      <c r="K3" s="190"/>
    </row>
    <row r="4" spans="1:11" ht="41.25" customHeight="1">
      <c r="A4" s="10">
        <v>1</v>
      </c>
      <c r="B4" s="8" t="s">
        <v>25</v>
      </c>
      <c r="C4" s="3">
        <v>1</v>
      </c>
      <c r="D4" s="3">
        <v>12</v>
      </c>
      <c r="E4" s="3">
        <v>150000</v>
      </c>
      <c r="F4" s="3">
        <f>E4/30</f>
        <v>5000</v>
      </c>
      <c r="G4" s="3">
        <f>F4/8</f>
        <v>625</v>
      </c>
      <c r="H4" s="3">
        <f>G4*D4</f>
        <v>7500</v>
      </c>
      <c r="I4" s="3">
        <f>H4*9</f>
        <v>67500</v>
      </c>
      <c r="J4" s="65">
        <f>I4/6</f>
        <v>11250</v>
      </c>
      <c r="K4" s="3"/>
    </row>
    <row r="5" spans="1:11" ht="31.5" customHeight="1">
      <c r="A5" s="5">
        <v>2</v>
      </c>
      <c r="B5" s="6" t="s">
        <v>26</v>
      </c>
      <c r="C5" s="1">
        <v>1</v>
      </c>
      <c r="D5" s="1">
        <v>1</v>
      </c>
      <c r="E5" s="11">
        <v>57000</v>
      </c>
      <c r="F5" s="3">
        <f>E5/30</f>
        <v>1900</v>
      </c>
      <c r="G5" s="3">
        <f>F5/8</f>
        <v>237.5</v>
      </c>
      <c r="H5" s="3">
        <f>G5*D5</f>
        <v>237.5</v>
      </c>
      <c r="I5" s="3">
        <f>H5*9</f>
        <v>2137.5</v>
      </c>
      <c r="J5" s="65">
        <f>I5/6</f>
        <v>356.25</v>
      </c>
      <c r="K5" s="12" t="s">
        <v>27</v>
      </c>
    </row>
    <row r="6" spans="1:11" ht="81.75" customHeight="1">
      <c r="A6" s="5">
        <v>3</v>
      </c>
      <c r="B6" s="13" t="s">
        <v>28</v>
      </c>
      <c r="C6" s="1">
        <v>1</v>
      </c>
      <c r="D6" s="96">
        <v>28</v>
      </c>
      <c r="E6" s="1">
        <v>35000</v>
      </c>
      <c r="F6" s="32">
        <f>E6/30</f>
        <v>1166.6666666666667</v>
      </c>
      <c r="G6" s="97">
        <f>F6/8</f>
        <v>145.83333333333334</v>
      </c>
      <c r="H6" s="32">
        <f>G6*28</f>
        <v>4083.3333333333335</v>
      </c>
      <c r="I6" s="32">
        <f>H6*9</f>
        <v>36750</v>
      </c>
      <c r="J6" s="83">
        <f>I6/6</f>
        <v>6125</v>
      </c>
      <c r="K6" s="9" t="s">
        <v>159</v>
      </c>
    </row>
    <row r="7" spans="1:11" ht="57.75" customHeight="1">
      <c r="A7" s="26">
        <v>4</v>
      </c>
      <c r="B7" s="8" t="s">
        <v>30</v>
      </c>
      <c r="C7" s="3">
        <v>1</v>
      </c>
      <c r="D7" s="3" t="s">
        <v>116</v>
      </c>
      <c r="E7" s="2">
        <v>17000</v>
      </c>
      <c r="F7" s="3"/>
      <c r="G7" s="3"/>
      <c r="H7" s="2">
        <f>E7/2</f>
        <v>8500</v>
      </c>
      <c r="I7" s="3">
        <f>H7*9</f>
        <v>76500</v>
      </c>
      <c r="J7" s="65">
        <f>I7/6</f>
        <v>12750</v>
      </c>
      <c r="K7" s="64" t="s">
        <v>127</v>
      </c>
    </row>
    <row r="8" spans="1:11">
      <c r="A8" s="14" t="s">
        <v>29</v>
      </c>
      <c r="B8" s="15"/>
      <c r="C8" s="15"/>
      <c r="D8" s="15"/>
      <c r="E8" s="15"/>
      <c r="F8" s="15"/>
      <c r="G8" s="15"/>
      <c r="H8" s="15"/>
      <c r="I8" s="24"/>
      <c r="J8" s="66">
        <f>SUM(J4:J7)</f>
        <v>30481.25</v>
      </c>
      <c r="K8" s="3"/>
    </row>
  </sheetData>
  <mergeCells count="10">
    <mergeCell ref="K2:K3"/>
    <mergeCell ref="A1:K1"/>
    <mergeCell ref="A2:A3"/>
    <mergeCell ref="B2:B3"/>
    <mergeCell ref="C2:C3"/>
    <mergeCell ref="D2:D3"/>
    <mergeCell ref="E2:E3"/>
    <mergeCell ref="G2:G3"/>
    <mergeCell ref="H2:H3"/>
    <mergeCell ref="I2: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3"/>
  <sheetViews>
    <sheetView zoomScale="90" zoomScaleNormal="90" workbookViewId="0">
      <selection activeCell="P20" sqref="P20"/>
    </sheetView>
  </sheetViews>
  <sheetFormatPr defaultRowHeight="14.5"/>
  <cols>
    <col min="1" max="1" width="29.08984375" customWidth="1"/>
    <col min="2" max="2" width="13.1796875" customWidth="1"/>
    <col min="3" max="3" width="13.81640625" customWidth="1"/>
    <col min="4" max="4" width="13.54296875" customWidth="1"/>
    <col min="5" max="5" width="13.26953125" customWidth="1"/>
    <col min="6" max="6" width="10.54296875" bestFit="1" customWidth="1"/>
    <col min="7" max="7" width="28.453125" customWidth="1"/>
    <col min="8" max="8" width="12.36328125" customWidth="1"/>
    <col min="9" max="9" width="8.6328125" customWidth="1"/>
    <col min="10" max="10" width="12" customWidth="1"/>
    <col min="11" max="11" width="9.1796875" customWidth="1"/>
    <col min="12" max="12" width="12.08984375" customWidth="1"/>
    <col min="13" max="13" width="8.81640625" customWidth="1"/>
    <col min="14" max="14" width="12" customWidth="1"/>
    <col min="15" max="15" width="9.1796875" customWidth="1"/>
    <col min="16" max="16" width="14.08984375" customWidth="1"/>
    <col min="17" max="17" width="10.08984375" customWidth="1"/>
    <col min="18" max="18" width="18.7265625" customWidth="1"/>
    <col min="19" max="19" width="23.54296875" customWidth="1"/>
    <col min="20" max="20" width="10.7265625" customWidth="1"/>
    <col min="21" max="21" width="21.26953125" customWidth="1"/>
  </cols>
  <sheetData>
    <row r="1" spans="1:21">
      <c r="A1" s="202" t="s">
        <v>142</v>
      </c>
      <c r="B1" s="202"/>
      <c r="C1" s="202"/>
      <c r="D1" s="202"/>
      <c r="E1" s="202"/>
      <c r="G1" s="205" t="s">
        <v>190</v>
      </c>
      <c r="H1" s="205"/>
      <c r="I1" s="205"/>
      <c r="J1" s="205"/>
      <c r="K1" s="205"/>
      <c r="L1" s="205"/>
      <c r="M1" s="205"/>
      <c r="N1" s="205"/>
      <c r="O1" s="205"/>
      <c r="P1" s="205"/>
      <c r="Q1" s="205"/>
    </row>
    <row r="2" spans="1:21">
      <c r="A2" s="4"/>
      <c r="B2" s="205" t="s">
        <v>133</v>
      </c>
      <c r="C2" s="205"/>
      <c r="D2" s="205"/>
      <c r="E2" s="205"/>
      <c r="G2" s="3"/>
      <c r="H2" s="205" t="s">
        <v>133</v>
      </c>
      <c r="I2" s="205"/>
      <c r="J2" s="205"/>
      <c r="K2" s="205"/>
      <c r="L2" s="205"/>
      <c r="M2" s="205"/>
      <c r="N2" s="205"/>
      <c r="O2" s="205"/>
      <c r="P2" s="205"/>
      <c r="Q2" s="205"/>
    </row>
    <row r="3" spans="1:21">
      <c r="A3" s="78" t="s">
        <v>141</v>
      </c>
      <c r="B3" s="156" t="s">
        <v>66</v>
      </c>
      <c r="C3" s="156" t="s">
        <v>63</v>
      </c>
      <c r="D3" s="156" t="s">
        <v>64</v>
      </c>
      <c r="E3" s="156" t="s">
        <v>65</v>
      </c>
      <c r="G3" s="8" t="s">
        <v>141</v>
      </c>
      <c r="H3" s="161" t="s">
        <v>184</v>
      </c>
      <c r="I3" s="161" t="s">
        <v>161</v>
      </c>
      <c r="J3" s="161" t="s">
        <v>63</v>
      </c>
      <c r="K3" s="161" t="s">
        <v>161</v>
      </c>
      <c r="L3" s="161" t="s">
        <v>64</v>
      </c>
      <c r="M3" s="161" t="s">
        <v>161</v>
      </c>
      <c r="N3" s="161" t="s">
        <v>65</v>
      </c>
      <c r="O3" s="161" t="s">
        <v>161</v>
      </c>
      <c r="P3" s="161" t="s">
        <v>191</v>
      </c>
      <c r="Q3" s="161" t="s">
        <v>161</v>
      </c>
    </row>
    <row r="4" spans="1:21">
      <c r="A4" s="79"/>
      <c r="B4" s="158"/>
      <c r="C4" s="158"/>
      <c r="D4" s="158"/>
      <c r="E4" s="158"/>
      <c r="G4" s="3"/>
      <c r="H4" s="3"/>
      <c r="I4" s="3"/>
      <c r="J4" s="3"/>
      <c r="K4" s="3"/>
      <c r="L4" s="3"/>
      <c r="M4" s="3"/>
      <c r="N4" s="3"/>
      <c r="O4" s="3"/>
      <c r="P4" s="7"/>
      <c r="Q4" s="7"/>
    </row>
    <row r="5" spans="1:21">
      <c r="A5" s="159" t="s">
        <v>134</v>
      </c>
      <c r="B5" s="157">
        <f>B15</f>
        <v>138528.75</v>
      </c>
      <c r="C5" s="157">
        <f>C15</f>
        <v>124706.25</v>
      </c>
      <c r="D5" s="157">
        <f>D15</f>
        <v>133481.25</v>
      </c>
      <c r="E5" s="157">
        <f>E15</f>
        <v>124346.25</v>
      </c>
      <c r="F5" s="93"/>
      <c r="G5" s="8" t="s">
        <v>134</v>
      </c>
      <c r="H5" s="163">
        <f>B5</f>
        <v>138528.75</v>
      </c>
      <c r="I5" s="163">
        <f>H5/H10*100</f>
        <v>23.932252094537255</v>
      </c>
      <c r="J5" s="163">
        <f t="shared" ref="J5:J8" si="0">C5</f>
        <v>124706.25</v>
      </c>
      <c r="K5" s="163">
        <f>J5/J10*100</f>
        <v>22.293771717796211</v>
      </c>
      <c r="L5" s="163">
        <f t="shared" ref="L5:L8" si="1">D5</f>
        <v>133481.25</v>
      </c>
      <c r="M5" s="163">
        <f>L5/L10*100</f>
        <v>23.370526676709723</v>
      </c>
      <c r="N5" s="163">
        <f t="shared" ref="N5:N8" si="2">E5</f>
        <v>124346.25</v>
      </c>
      <c r="O5" s="163">
        <f>N5/N10*100</f>
        <v>22.277354107445717</v>
      </c>
      <c r="P5" s="163">
        <f>(H5+J5+L5+N5)/4</f>
        <v>130265.625</v>
      </c>
      <c r="Q5" s="163">
        <f>P5/P10*100</f>
        <v>22.979201943369237</v>
      </c>
      <c r="R5" s="176"/>
    </row>
    <row r="6" spans="1:21">
      <c r="A6" s="159" t="s">
        <v>130</v>
      </c>
      <c r="B6" s="157">
        <f>B23</f>
        <v>341908.33333333331</v>
      </c>
      <c r="C6" s="157">
        <f>C23</f>
        <v>338389.58333333331</v>
      </c>
      <c r="D6" s="157">
        <f>D23</f>
        <v>339983.33333333331</v>
      </c>
      <c r="E6" s="157">
        <f>E23</f>
        <v>336827.08333333331</v>
      </c>
      <c r="G6" s="8" t="s">
        <v>130</v>
      </c>
      <c r="H6" s="163">
        <f>B6</f>
        <v>341908.33333333331</v>
      </c>
      <c r="I6" s="163">
        <f>H6/H10*100</f>
        <v>59.068145973715978</v>
      </c>
      <c r="J6" s="163">
        <f>C6</f>
        <v>338389.58333333331</v>
      </c>
      <c r="K6" s="163">
        <f>J6/J10*100</f>
        <v>60.49400188453675</v>
      </c>
      <c r="L6" s="163">
        <f t="shared" si="1"/>
        <v>339983.33333333331</v>
      </c>
      <c r="M6" s="163">
        <f>L6/L10*100</f>
        <v>59.525885180902641</v>
      </c>
      <c r="N6" s="163">
        <f t="shared" si="2"/>
        <v>336827.08333333331</v>
      </c>
      <c r="O6" s="163">
        <f>N6/N10*100</f>
        <v>60.344531567255103</v>
      </c>
      <c r="P6" s="163">
        <f t="shared" ref="P6:P13" si="3">(H6+J6+L6+N6)/4</f>
        <v>339277.08333333331</v>
      </c>
      <c r="Q6" s="163">
        <f>P6/P10*100</f>
        <v>59.849377859078167</v>
      </c>
    </row>
    <row r="7" spans="1:21">
      <c r="A7" s="159" t="s">
        <v>131</v>
      </c>
      <c r="B7" s="158">
        <f t="shared" ref="B7:E7" si="4">B18</f>
        <v>2400</v>
      </c>
      <c r="C7" s="158">
        <f t="shared" si="4"/>
        <v>281.25</v>
      </c>
      <c r="D7" s="158">
        <f t="shared" si="4"/>
        <v>1687.5</v>
      </c>
      <c r="E7" s="158">
        <f t="shared" si="4"/>
        <v>1000.0000000000001</v>
      </c>
      <c r="G7" s="8" t="s">
        <v>131</v>
      </c>
      <c r="H7" s="163">
        <f t="shared" ref="H7" si="5">B7</f>
        <v>2400</v>
      </c>
      <c r="I7" s="163">
        <f>H7/H10*100</f>
        <v>0.41462443735967736</v>
      </c>
      <c r="J7" s="163">
        <f t="shared" si="0"/>
        <v>281.25</v>
      </c>
      <c r="K7" s="163">
        <f>J7/J10*100</f>
        <v>5.0279142349562954E-2</v>
      </c>
      <c r="L7" s="163">
        <f t="shared" si="1"/>
        <v>1687.5</v>
      </c>
      <c r="M7" s="163">
        <f>L7/L10*100</f>
        <v>0.29545545735410522</v>
      </c>
      <c r="N7" s="163">
        <f t="shared" si="2"/>
        <v>1000.0000000000001</v>
      </c>
      <c r="O7" s="163">
        <f>N7/N10*100</f>
        <v>0.17915581778658965</v>
      </c>
      <c r="P7" s="163">
        <f t="shared" si="3"/>
        <v>1342.1875</v>
      </c>
      <c r="Q7" s="163">
        <f>P7/P10*100</f>
        <v>0.23676543684004051</v>
      </c>
    </row>
    <row r="8" spans="1:21">
      <c r="A8" s="159" t="s">
        <v>132</v>
      </c>
      <c r="B8" s="158">
        <f>'Administrative cost'!$D$12</f>
        <v>36000</v>
      </c>
      <c r="C8" s="158">
        <f>'Administrative cost'!$D$12</f>
        <v>36000</v>
      </c>
      <c r="D8" s="158">
        <f>'Administrative cost'!$D$12</f>
        <v>36000</v>
      </c>
      <c r="E8" s="158">
        <f>'Administrative cost'!$D$12</f>
        <v>36000</v>
      </c>
      <c r="G8" s="8" t="s">
        <v>132</v>
      </c>
      <c r="H8" s="163">
        <f>B8</f>
        <v>36000</v>
      </c>
      <c r="I8" s="163">
        <f>H8/H10*100</f>
        <v>6.2193665603951604</v>
      </c>
      <c r="J8" s="163">
        <f t="shared" si="0"/>
        <v>36000</v>
      </c>
      <c r="K8" s="163">
        <f>J8/J10*100</f>
        <v>6.4357302207440581</v>
      </c>
      <c r="L8" s="163">
        <f t="shared" si="1"/>
        <v>36000</v>
      </c>
      <c r="M8" s="163">
        <f>L8/L10*100</f>
        <v>6.3030497568875781</v>
      </c>
      <c r="N8" s="163">
        <f t="shared" si="2"/>
        <v>36000</v>
      </c>
      <c r="O8" s="163">
        <f>N8/N10*100</f>
        <v>6.4496094403172259</v>
      </c>
      <c r="P8" s="163">
        <f t="shared" si="3"/>
        <v>36000</v>
      </c>
      <c r="Q8" s="163">
        <f>P8/P10*100</f>
        <v>6.3504955352672106</v>
      </c>
    </row>
    <row r="9" spans="1:21">
      <c r="A9" s="159" t="s">
        <v>189</v>
      </c>
      <c r="B9" s="155">
        <v>60000</v>
      </c>
      <c r="C9" s="155">
        <v>60000</v>
      </c>
      <c r="D9" s="155">
        <v>60000</v>
      </c>
      <c r="E9" s="155">
        <v>60000</v>
      </c>
      <c r="G9" s="8" t="str">
        <f>A9</f>
        <v>Peer Educators Incentives Costs</v>
      </c>
      <c r="H9" s="163">
        <f>B9</f>
        <v>60000</v>
      </c>
      <c r="I9" s="163">
        <f>H9/H10*100</f>
        <v>10.365610933991935</v>
      </c>
      <c r="J9" s="163">
        <f>C9</f>
        <v>60000</v>
      </c>
      <c r="K9" s="163">
        <f>J9/J10*100</f>
        <v>10.726217034573429</v>
      </c>
      <c r="L9" s="163">
        <f>D9</f>
        <v>60000</v>
      </c>
      <c r="M9" s="163">
        <f>L9/L10*100</f>
        <v>10.505082928145963</v>
      </c>
      <c r="N9" s="163">
        <f>E9</f>
        <v>60000</v>
      </c>
      <c r="O9" s="163">
        <f>N9/N10*100</f>
        <v>10.749349067195377</v>
      </c>
      <c r="P9" s="163">
        <f t="shared" si="3"/>
        <v>60000</v>
      </c>
      <c r="Q9" s="163">
        <f>P9/P10*100</f>
        <v>10.584159225445349</v>
      </c>
    </row>
    <row r="10" spans="1:21">
      <c r="A10" s="80" t="s">
        <v>48</v>
      </c>
      <c r="B10" s="89">
        <f>SUM(B5:B9)</f>
        <v>578837.08333333326</v>
      </c>
      <c r="C10" s="89">
        <f>SUM(C5:C9)</f>
        <v>559377.08333333326</v>
      </c>
      <c r="D10" s="89">
        <f>SUM(D5:D9)</f>
        <v>571152.08333333326</v>
      </c>
      <c r="E10" s="89">
        <f>SUM(E5:E9)</f>
        <v>558173.33333333326</v>
      </c>
      <c r="G10" s="162" t="s">
        <v>48</v>
      </c>
      <c r="H10" s="175">
        <f>SUM(H5:H9)</f>
        <v>578837.08333333326</v>
      </c>
      <c r="I10" s="175"/>
      <c r="J10" s="175">
        <f>SUM(J5:J9)</f>
        <v>559377.08333333326</v>
      </c>
      <c r="K10" s="175"/>
      <c r="L10" s="175">
        <f>SUM(L5:L9)</f>
        <v>571152.08333333326</v>
      </c>
      <c r="M10" s="175"/>
      <c r="N10" s="175">
        <f>SUM(N5:N9)</f>
        <v>558173.33333333326</v>
      </c>
      <c r="O10" s="177"/>
      <c r="P10" s="178">
        <f>(H10+J10+L10+N10)/4</f>
        <v>566884.89583333326</v>
      </c>
      <c r="Q10" s="3"/>
    </row>
    <row r="11" spans="1:21">
      <c r="G11" s="8" t="s">
        <v>185</v>
      </c>
      <c r="H11" s="164">
        <f>H10/H19</f>
        <v>296.83952991452986</v>
      </c>
      <c r="I11" s="164"/>
      <c r="J11" s="164">
        <f>J10/J19</f>
        <v>310.42013503514607</v>
      </c>
      <c r="K11" s="164"/>
      <c r="L11" s="164">
        <f>L10/L19</f>
        <v>301.558650123196</v>
      </c>
      <c r="M11" s="164"/>
      <c r="N11" s="164">
        <f>N10/N19</f>
        <v>336.24899598393569</v>
      </c>
      <c r="O11" s="165"/>
      <c r="P11" s="163">
        <f t="shared" si="3"/>
        <v>311.26682776420188</v>
      </c>
      <c r="Q11" s="3"/>
    </row>
    <row r="12" spans="1:21">
      <c r="A12" s="78" t="s">
        <v>139</v>
      </c>
      <c r="B12" s="78" t="s">
        <v>66</v>
      </c>
      <c r="C12" s="78" t="s">
        <v>63</v>
      </c>
      <c r="D12" s="78" t="s">
        <v>64</v>
      </c>
      <c r="E12" s="78" t="s">
        <v>65</v>
      </c>
      <c r="G12" s="156" t="s">
        <v>186</v>
      </c>
      <c r="H12" s="166">
        <f>H10/H18</f>
        <v>340.49240196078426</v>
      </c>
      <c r="I12" s="166"/>
      <c r="J12" s="166">
        <f>J10/J18</f>
        <v>349.61067708333326</v>
      </c>
      <c r="K12" s="166"/>
      <c r="L12" s="166">
        <f>L10/L18</f>
        <v>346.15277777777771</v>
      </c>
      <c r="M12" s="166"/>
      <c r="N12" s="166">
        <f>N10/N18</f>
        <v>387.62037037037032</v>
      </c>
      <c r="O12" s="167"/>
      <c r="P12" s="168">
        <f t="shared" si="3"/>
        <v>355.96905679806639</v>
      </c>
      <c r="Q12" s="160"/>
      <c r="S12" s="204"/>
      <c r="T12" s="204"/>
      <c r="U12" s="204"/>
    </row>
    <row r="13" spans="1:21">
      <c r="A13" s="79" t="s">
        <v>135</v>
      </c>
      <c r="B13" s="79">
        <f>'HR Block'!$I$11</f>
        <v>108047.5</v>
      </c>
      <c r="C13" s="79">
        <f>'HR Block'!$I$18</f>
        <v>94225</v>
      </c>
      <c r="D13" s="79">
        <f>'HR Block'!$I$24</f>
        <v>103000</v>
      </c>
      <c r="E13" s="79">
        <f>'HR Block'!$I$31</f>
        <v>93865</v>
      </c>
      <c r="G13" s="8" t="s">
        <v>187</v>
      </c>
      <c r="H13" s="166">
        <f>H10/H17</f>
        <v>2315.3483333333329</v>
      </c>
      <c r="I13" s="166"/>
      <c r="J13" s="166">
        <f>J10/J17</f>
        <v>2769.1934818481845</v>
      </c>
      <c r="K13" s="166"/>
      <c r="L13" s="166">
        <f>L10/L17</f>
        <v>2340.7872267759558</v>
      </c>
      <c r="M13" s="166"/>
      <c r="N13" s="166">
        <f>N10/N17</f>
        <v>2537.151515151515</v>
      </c>
      <c r="O13" s="168"/>
      <c r="P13" s="168">
        <f t="shared" si="3"/>
        <v>2490.6201392772473</v>
      </c>
      <c r="Q13" s="161"/>
      <c r="S13" s="73"/>
      <c r="T13" s="74"/>
      <c r="U13" s="74"/>
    </row>
    <row r="14" spans="1:21">
      <c r="A14" s="79" t="s">
        <v>136</v>
      </c>
      <c r="B14" s="88">
        <f>'HR district '!$J$8</f>
        <v>30481.25</v>
      </c>
      <c r="C14" s="88">
        <f>'HR district '!$J$8</f>
        <v>30481.25</v>
      </c>
      <c r="D14" s="88">
        <f>'HR district '!$J$8</f>
        <v>30481.25</v>
      </c>
      <c r="E14" s="88">
        <f>'HR district '!$J$8</f>
        <v>30481.25</v>
      </c>
      <c r="G14" s="4"/>
      <c r="H14" s="4"/>
      <c r="I14" s="4"/>
      <c r="K14" s="4"/>
      <c r="L14" s="4"/>
      <c r="M14" s="4"/>
      <c r="O14" s="4"/>
      <c r="P14" s="4"/>
      <c r="Q14" s="4"/>
      <c r="S14" s="4"/>
      <c r="T14" s="4"/>
      <c r="U14" s="4"/>
    </row>
    <row r="15" spans="1:21" s="174" customFormat="1">
      <c r="A15" s="172" t="s">
        <v>137</v>
      </c>
      <c r="B15" s="173">
        <f>B13+B14</f>
        <v>138528.75</v>
      </c>
      <c r="C15" s="173">
        <f>C13+C14</f>
        <v>124706.25</v>
      </c>
      <c r="D15" s="173">
        <f>D13+D14</f>
        <v>133481.25</v>
      </c>
      <c r="E15" s="173">
        <f>E13+E14</f>
        <v>124346.25</v>
      </c>
      <c r="G15" s="73"/>
      <c r="H15" s="92"/>
      <c r="I15" s="92"/>
      <c r="K15" s="73"/>
      <c r="L15" s="92"/>
      <c r="M15" s="92"/>
      <c r="O15" s="73"/>
      <c r="P15" s="92"/>
      <c r="Q15" s="92"/>
      <c r="S15" s="73"/>
      <c r="T15" s="92"/>
      <c r="U15" s="92"/>
    </row>
    <row r="16" spans="1:21">
      <c r="A16" s="79"/>
      <c r="B16" s="79"/>
      <c r="C16" s="79"/>
      <c r="D16" s="79"/>
      <c r="E16" s="79"/>
      <c r="G16" s="73"/>
      <c r="H16" s="75"/>
      <c r="I16" s="75"/>
      <c r="K16" s="73"/>
      <c r="L16" s="75"/>
      <c r="M16" s="75"/>
      <c r="O16" s="73"/>
      <c r="P16" s="75"/>
      <c r="Q16" s="75"/>
      <c r="S16" s="73"/>
      <c r="T16" s="75"/>
      <c r="U16" s="75"/>
    </row>
    <row r="17" spans="1:21">
      <c r="A17" s="78" t="s">
        <v>138</v>
      </c>
      <c r="B17" s="78" t="s">
        <v>66</v>
      </c>
      <c r="C17" s="78" t="s">
        <v>63</v>
      </c>
      <c r="D17" s="78" t="s">
        <v>64</v>
      </c>
      <c r="E17" s="78" t="s">
        <v>65</v>
      </c>
      <c r="G17" s="162" t="s">
        <v>181</v>
      </c>
      <c r="H17" s="169">
        <v>250</v>
      </c>
      <c r="I17" s="169"/>
      <c r="J17" s="170">
        <v>202</v>
      </c>
      <c r="K17" s="162"/>
      <c r="L17" s="169">
        <v>244</v>
      </c>
      <c r="M17" s="169"/>
      <c r="N17" s="170">
        <v>220</v>
      </c>
      <c r="O17" s="73"/>
      <c r="P17" s="75"/>
      <c r="Q17" s="75"/>
      <c r="S17" s="73"/>
      <c r="T17" s="75"/>
      <c r="U17" s="75"/>
    </row>
    <row r="18" spans="1:21">
      <c r="A18" s="79"/>
      <c r="B18" s="79">
        <f>'Meetings '!$K$5</f>
        <v>2400</v>
      </c>
      <c r="C18" s="79">
        <f>'Meetings '!$K$6</f>
        <v>281.25</v>
      </c>
      <c r="D18" s="79">
        <f>'Meetings '!$K$7</f>
        <v>1687.5</v>
      </c>
      <c r="E18" s="79">
        <f>'Meetings '!$K$8</f>
        <v>1000.0000000000001</v>
      </c>
      <c r="G18" s="162" t="s">
        <v>182</v>
      </c>
      <c r="H18" s="169">
        <v>1700</v>
      </c>
      <c r="I18" s="169"/>
      <c r="J18" s="170">
        <v>1600</v>
      </c>
      <c r="K18" s="162"/>
      <c r="L18" s="169">
        <v>1650</v>
      </c>
      <c r="M18" s="169"/>
      <c r="N18" s="170">
        <v>1440</v>
      </c>
      <c r="O18" s="73"/>
      <c r="P18" s="75"/>
      <c r="Q18" s="75"/>
      <c r="S18" s="73"/>
      <c r="T18" s="75"/>
      <c r="U18" s="75"/>
    </row>
    <row r="19" spans="1:21">
      <c r="A19" s="79"/>
      <c r="B19" s="79"/>
      <c r="C19" s="79"/>
      <c r="D19" s="79"/>
      <c r="E19" s="79"/>
      <c r="G19" s="162" t="s">
        <v>183</v>
      </c>
      <c r="H19" s="169">
        <f>SUM(H17:H18)</f>
        <v>1950</v>
      </c>
      <c r="I19" s="169"/>
      <c r="J19" s="169">
        <f t="shared" ref="J19" si="6">SUM(J17:J18)</f>
        <v>1802</v>
      </c>
      <c r="K19" s="169"/>
      <c r="L19" s="169">
        <f>SUM(L17:L18)</f>
        <v>1894</v>
      </c>
      <c r="M19" s="169"/>
      <c r="N19" s="169">
        <f>SUM(N17:N18)</f>
        <v>1660</v>
      </c>
      <c r="O19" s="73"/>
      <c r="P19" s="4"/>
      <c r="Q19" s="4"/>
      <c r="S19" s="73"/>
      <c r="T19" s="4"/>
      <c r="U19" s="4"/>
    </row>
    <row r="20" spans="1:21">
      <c r="A20" s="78" t="s">
        <v>130</v>
      </c>
      <c r="B20" s="78" t="s">
        <v>66</v>
      </c>
      <c r="C20" s="78" t="s">
        <v>63</v>
      </c>
      <c r="D20" s="78" t="s">
        <v>64</v>
      </c>
      <c r="E20" s="78" t="s">
        <v>65</v>
      </c>
    </row>
    <row r="21" spans="1:21">
      <c r="A21" s="79" t="s">
        <v>135</v>
      </c>
      <c r="B21" s="88">
        <f>'Monitoring Block (2020-21) '!$O$4</f>
        <v>330800</v>
      </c>
      <c r="C21" s="88">
        <f>'Monitoring Block (2020-21) '!$O$9</f>
        <v>327281.25</v>
      </c>
      <c r="D21" s="88">
        <f>'Monitoring Block (2020-21) '!$O$14</f>
        <v>328875</v>
      </c>
      <c r="E21" s="88">
        <f>'Monitoring Block (2020-21) '!$O$18</f>
        <v>325718.75</v>
      </c>
    </row>
    <row r="22" spans="1:21">
      <c r="A22" s="79" t="s">
        <v>136</v>
      </c>
      <c r="B22" s="88">
        <f>'monitoring district'!$N$6</f>
        <v>11108.333333333334</v>
      </c>
      <c r="C22" s="88">
        <f>'monitoring district'!$N$6</f>
        <v>11108.333333333334</v>
      </c>
      <c r="D22" s="88">
        <f>'monitoring district'!$N$6</f>
        <v>11108.333333333334</v>
      </c>
      <c r="E22" s="88">
        <f>'monitoring district'!$N$6</f>
        <v>11108.333333333334</v>
      </c>
      <c r="G22" s="76"/>
      <c r="H22" s="76"/>
      <c r="I22" s="76"/>
      <c r="J22" s="76"/>
      <c r="K22" s="76"/>
      <c r="L22" s="76"/>
      <c r="M22" s="76"/>
      <c r="N22" s="76"/>
      <c r="O22" s="76"/>
    </row>
    <row r="23" spans="1:21" s="174" customFormat="1">
      <c r="A23" s="172" t="s">
        <v>140</v>
      </c>
      <c r="B23" s="173">
        <f>B21+B22</f>
        <v>341908.33333333331</v>
      </c>
      <c r="C23" s="173">
        <f>C21+C22</f>
        <v>338389.58333333331</v>
      </c>
      <c r="D23" s="173">
        <f>D21+D22</f>
        <v>339983.33333333331</v>
      </c>
      <c r="E23" s="173">
        <f>E21+E22</f>
        <v>336827.08333333331</v>
      </c>
      <c r="G23" s="171"/>
      <c r="H23" s="76"/>
      <c r="I23" s="76"/>
      <c r="J23" s="76"/>
      <c r="K23" s="76"/>
      <c r="L23" s="76"/>
      <c r="M23" s="76"/>
      <c r="N23" s="76"/>
      <c r="O23" s="76"/>
    </row>
    <row r="24" spans="1:21">
      <c r="G24" s="73"/>
      <c r="H24" s="73"/>
      <c r="I24" s="73"/>
      <c r="J24" s="73"/>
      <c r="K24" s="73"/>
      <c r="L24" s="73"/>
      <c r="M24" s="73"/>
      <c r="N24" s="73"/>
      <c r="O24" s="4"/>
      <c r="P24" s="73"/>
      <c r="Q24" s="73"/>
    </row>
    <row r="25" spans="1:21">
      <c r="G25" s="4"/>
      <c r="H25" s="4"/>
      <c r="I25" s="4"/>
      <c r="J25" s="4"/>
      <c r="K25" s="4"/>
      <c r="L25" s="4"/>
      <c r="M25" s="4"/>
      <c r="N25" s="4"/>
      <c r="O25" s="4"/>
    </row>
    <row r="26" spans="1:21">
      <c r="G26" s="4"/>
      <c r="H26" s="4"/>
      <c r="I26" s="75"/>
      <c r="J26" s="4"/>
      <c r="K26" s="75"/>
      <c r="L26" s="4"/>
      <c r="M26" s="75"/>
      <c r="N26" s="4"/>
      <c r="O26" s="75"/>
      <c r="P26" s="4"/>
      <c r="Q26" s="75"/>
    </row>
    <row r="27" spans="1:21">
      <c r="G27" s="4"/>
      <c r="H27" s="75"/>
      <c r="I27" s="75"/>
      <c r="J27" s="75"/>
      <c r="K27" s="75"/>
      <c r="L27" s="75"/>
      <c r="M27" s="75"/>
      <c r="N27" s="75"/>
      <c r="O27" s="75"/>
      <c r="P27" s="4"/>
      <c r="Q27" s="93"/>
    </row>
    <row r="28" spans="1:21">
      <c r="G28" s="4"/>
      <c r="H28" s="4"/>
      <c r="I28" s="75"/>
      <c r="J28" s="4"/>
      <c r="K28" s="75"/>
      <c r="L28" s="4"/>
      <c r="M28" s="75"/>
      <c r="N28" s="4"/>
      <c r="O28" s="75"/>
      <c r="P28" s="4"/>
      <c r="Q28" s="75"/>
    </row>
    <row r="29" spans="1:21">
      <c r="G29" s="90"/>
      <c r="H29" s="90"/>
      <c r="I29" s="77"/>
      <c r="J29" s="90"/>
      <c r="K29" s="77"/>
      <c r="L29" s="90"/>
      <c r="M29" s="77"/>
      <c r="N29" s="90"/>
      <c r="O29" s="77"/>
      <c r="P29" s="4"/>
      <c r="Q29" s="75"/>
    </row>
    <row r="30" spans="1:21">
      <c r="G30" s="73"/>
      <c r="H30" s="91"/>
      <c r="I30" s="73"/>
      <c r="J30" s="92"/>
      <c r="K30" s="73"/>
      <c r="L30" s="92"/>
      <c r="M30" s="73"/>
      <c r="N30" s="92"/>
      <c r="O30" s="4"/>
      <c r="P30" s="73"/>
      <c r="Q30" s="93"/>
    </row>
    <row r="31" spans="1:21">
      <c r="H31" s="4"/>
      <c r="J31" s="4"/>
      <c r="L31" s="4"/>
      <c r="N31" s="4"/>
    </row>
    <row r="32" spans="1:21">
      <c r="A32" s="206"/>
      <c r="B32" s="207" t="s">
        <v>62</v>
      </c>
      <c r="C32" s="208"/>
      <c r="D32" s="208"/>
      <c r="E32" s="209"/>
    </row>
    <row r="33" spans="1:15">
      <c r="A33" s="206"/>
      <c r="B33" s="98" t="s">
        <v>63</v>
      </c>
      <c r="C33" s="98" t="s">
        <v>64</v>
      </c>
      <c r="D33" s="98" t="s">
        <v>65</v>
      </c>
      <c r="E33" s="99" t="s">
        <v>66</v>
      </c>
      <c r="G33" s="202"/>
      <c r="H33" s="202"/>
      <c r="I33" s="202"/>
      <c r="J33" s="73"/>
      <c r="K33" s="73"/>
      <c r="L33" s="73"/>
      <c r="M33" s="73"/>
      <c r="N33" s="73"/>
      <c r="O33" s="73"/>
    </row>
    <row r="34" spans="1:15" ht="26">
      <c r="A34" s="100" t="s">
        <v>162</v>
      </c>
      <c r="B34" s="30">
        <v>100</v>
      </c>
      <c r="C34" s="30">
        <v>122</v>
      </c>
      <c r="D34" s="98">
        <v>110</v>
      </c>
      <c r="E34" s="101">
        <v>125</v>
      </c>
      <c r="G34" s="202"/>
      <c r="H34" s="202"/>
      <c r="I34" s="202"/>
      <c r="J34" s="73"/>
      <c r="K34" s="73"/>
      <c r="L34" s="73"/>
      <c r="M34" s="73"/>
      <c r="N34" s="73"/>
      <c r="O34" s="73"/>
    </row>
    <row r="35" spans="1:15" ht="26">
      <c r="A35" s="100" t="s">
        <v>163</v>
      </c>
      <c r="B35" s="30">
        <v>6</v>
      </c>
      <c r="C35" s="30">
        <v>13</v>
      </c>
      <c r="D35" s="30">
        <v>10</v>
      </c>
      <c r="E35" s="101">
        <v>11</v>
      </c>
      <c r="G35" s="78"/>
      <c r="H35" s="78"/>
      <c r="I35" s="78"/>
      <c r="J35" s="73"/>
      <c r="K35" s="73"/>
      <c r="L35" s="73"/>
      <c r="M35" s="73"/>
      <c r="N35" s="73"/>
      <c r="O35" s="73"/>
    </row>
    <row r="36" spans="1:15" ht="26">
      <c r="A36" s="100" t="s">
        <v>164</v>
      </c>
      <c r="B36" s="30">
        <v>17</v>
      </c>
      <c r="C36" s="30">
        <v>12</v>
      </c>
      <c r="D36" s="30">
        <v>15</v>
      </c>
      <c r="E36" s="101">
        <v>14</v>
      </c>
      <c r="G36" s="79"/>
      <c r="H36" s="79"/>
      <c r="I36" s="88"/>
    </row>
    <row r="37" spans="1:15" ht="26">
      <c r="A37" s="100" t="s">
        <v>165</v>
      </c>
      <c r="B37" s="30">
        <v>4</v>
      </c>
      <c r="C37" s="30">
        <v>4</v>
      </c>
      <c r="D37" s="30">
        <v>4</v>
      </c>
      <c r="E37" s="101">
        <v>4</v>
      </c>
      <c r="G37" s="79"/>
      <c r="H37" s="88"/>
      <c r="I37" s="88"/>
    </row>
    <row r="38" spans="1:15" ht="26">
      <c r="A38" s="100" t="s">
        <v>166</v>
      </c>
      <c r="B38" s="30">
        <v>202</v>
      </c>
      <c r="C38" s="30">
        <v>244</v>
      </c>
      <c r="D38" s="30">
        <v>220</v>
      </c>
      <c r="E38" s="101">
        <v>250</v>
      </c>
      <c r="G38" s="79"/>
      <c r="H38" s="79"/>
      <c r="I38" s="88"/>
    </row>
    <row r="39" spans="1:15">
      <c r="G39" s="94"/>
      <c r="H39" s="94"/>
      <c r="I39" s="95"/>
    </row>
    <row r="40" spans="1:15">
      <c r="G40" s="78"/>
      <c r="H40" s="88"/>
      <c r="I40" s="79"/>
    </row>
    <row r="42" spans="1:15">
      <c r="A42" s="203"/>
      <c r="B42" s="203"/>
      <c r="C42" s="203"/>
      <c r="D42" s="203"/>
    </row>
    <row r="43" spans="1:15">
      <c r="A43" s="40"/>
      <c r="B43" s="40"/>
      <c r="C43" s="40"/>
      <c r="D43" s="40"/>
    </row>
  </sheetData>
  <mergeCells count="10">
    <mergeCell ref="A1:E1"/>
    <mergeCell ref="A42:D42"/>
    <mergeCell ref="S12:U12"/>
    <mergeCell ref="B2:E2"/>
    <mergeCell ref="G33:I33"/>
    <mergeCell ref="G34:I34"/>
    <mergeCell ref="A32:A33"/>
    <mergeCell ref="B32:E32"/>
    <mergeCell ref="H2:Q2"/>
    <mergeCell ref="G1:Q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
  <sheetViews>
    <sheetView workbookViewId="0">
      <selection activeCell="J6" sqref="J6"/>
    </sheetView>
  </sheetViews>
  <sheetFormatPr defaultRowHeight="14.5"/>
  <cols>
    <col min="1" max="1" width="15.1796875" customWidth="1"/>
    <col min="2" max="3" width="13.453125" customWidth="1"/>
    <col min="14" max="14" width="36.7265625" customWidth="1"/>
  </cols>
  <sheetData>
    <row r="1" spans="1:14" ht="15">
      <c r="A1" s="212" t="s">
        <v>34</v>
      </c>
      <c r="B1" s="212"/>
      <c r="C1" s="212"/>
      <c r="D1" s="212"/>
      <c r="E1" s="212"/>
      <c r="F1" s="212"/>
      <c r="G1" s="212"/>
      <c r="H1" s="212"/>
      <c r="I1" s="212"/>
      <c r="J1" s="212"/>
      <c r="K1" s="212"/>
      <c r="L1" s="212"/>
      <c r="M1" s="213"/>
      <c r="N1" s="37"/>
    </row>
    <row r="2" spans="1:14" ht="26">
      <c r="A2" s="214" t="s">
        <v>35</v>
      </c>
      <c r="B2" s="18" t="s">
        <v>36</v>
      </c>
      <c r="C2" s="215" t="s">
        <v>37</v>
      </c>
      <c r="D2" s="215" t="s">
        <v>38</v>
      </c>
      <c r="E2" s="216" t="s">
        <v>39</v>
      </c>
      <c r="F2" s="195" t="s">
        <v>40</v>
      </c>
      <c r="G2" s="195"/>
      <c r="H2" s="195"/>
      <c r="I2" s="195"/>
      <c r="J2" s="195"/>
      <c r="K2" s="195"/>
      <c r="L2" s="195"/>
      <c r="M2" s="197"/>
      <c r="N2" s="38"/>
    </row>
    <row r="3" spans="1:14" ht="65">
      <c r="A3" s="214"/>
      <c r="B3" s="18" t="s">
        <v>41</v>
      </c>
      <c r="C3" s="215"/>
      <c r="D3" s="215"/>
      <c r="E3" s="215"/>
      <c r="F3" s="18" t="s">
        <v>42</v>
      </c>
      <c r="G3" s="18" t="s">
        <v>43</v>
      </c>
      <c r="H3" s="18" t="s">
        <v>44</v>
      </c>
      <c r="I3" s="18" t="s">
        <v>45</v>
      </c>
      <c r="J3" s="18" t="s">
        <v>46</v>
      </c>
      <c r="K3" s="18" t="s">
        <v>47</v>
      </c>
      <c r="L3" s="217" t="s">
        <v>48</v>
      </c>
      <c r="M3" s="218"/>
      <c r="N3" s="39" t="s">
        <v>23</v>
      </c>
    </row>
    <row r="4" spans="1:14" ht="58">
      <c r="A4" s="19" t="s">
        <v>49</v>
      </c>
      <c r="B4" s="19"/>
      <c r="C4" s="19"/>
      <c r="D4" s="19"/>
      <c r="E4" s="19"/>
      <c r="F4" s="19"/>
      <c r="G4" s="19"/>
      <c r="H4" s="19"/>
      <c r="I4" s="19"/>
      <c r="J4" s="19"/>
      <c r="K4" s="19"/>
      <c r="L4" s="210">
        <v>0</v>
      </c>
      <c r="M4" s="210"/>
      <c r="N4" s="30" t="s">
        <v>104</v>
      </c>
    </row>
    <row r="5" spans="1:14">
      <c r="A5" s="20"/>
      <c r="B5" s="20"/>
      <c r="C5" s="20"/>
      <c r="D5" s="20"/>
      <c r="E5" s="20"/>
      <c r="F5" s="20"/>
      <c r="G5" s="20"/>
      <c r="H5" s="20"/>
      <c r="I5" s="20"/>
      <c r="J5" s="20"/>
      <c r="K5" s="20"/>
      <c r="L5" s="211"/>
      <c r="M5" s="211"/>
    </row>
    <row r="6" spans="1:14">
      <c r="A6" s="20"/>
      <c r="B6" s="20"/>
      <c r="C6" s="20"/>
      <c r="D6" s="20"/>
      <c r="E6" s="20"/>
      <c r="F6" s="20"/>
      <c r="G6" s="20"/>
      <c r="H6" s="20"/>
      <c r="I6" s="20"/>
      <c r="J6" s="20"/>
      <c r="K6" s="20"/>
      <c r="L6" s="211"/>
      <c r="M6" s="211"/>
    </row>
  </sheetData>
  <mergeCells count="10">
    <mergeCell ref="L4:M4"/>
    <mergeCell ref="L5:M5"/>
    <mergeCell ref="L6:M6"/>
    <mergeCell ref="A1:M1"/>
    <mergeCell ref="A2:A3"/>
    <mergeCell ref="C2:C3"/>
    <mergeCell ref="D2:D3"/>
    <mergeCell ref="E2:E3"/>
    <mergeCell ref="F2:M2"/>
    <mergeCell ref="L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87"/>
  <sheetViews>
    <sheetView tabSelected="1" workbookViewId="0">
      <selection activeCell="A7" sqref="A7:XFD7"/>
    </sheetView>
  </sheetViews>
  <sheetFormatPr defaultRowHeight="14"/>
  <cols>
    <col min="1" max="1" width="19.26953125" style="122" customWidth="1"/>
    <col min="2" max="2" width="20.26953125" style="122" customWidth="1"/>
    <col min="3" max="3" width="12.7265625" style="122" customWidth="1"/>
    <col min="4" max="4" width="16" style="122" customWidth="1"/>
    <col min="5" max="5" width="12.7265625" style="122" customWidth="1"/>
    <col min="6" max="7" width="17.453125" style="122" customWidth="1"/>
    <col min="8" max="9" width="16" style="122" customWidth="1"/>
    <col min="10" max="13" width="18.81640625" style="122" customWidth="1"/>
    <col min="14" max="14" width="13.81640625" style="131" customWidth="1"/>
    <col min="15" max="15" width="13.81640625" style="122" customWidth="1"/>
    <col min="16" max="16" width="18" style="122" customWidth="1"/>
    <col min="17" max="16384" width="8.7265625" style="122"/>
  </cols>
  <sheetData>
    <row r="1" spans="1:54" ht="72" customHeight="1">
      <c r="A1" s="116" t="s">
        <v>4</v>
      </c>
      <c r="B1" s="116" t="s">
        <v>5</v>
      </c>
      <c r="C1" s="117" t="s">
        <v>106</v>
      </c>
      <c r="D1" s="117" t="s">
        <v>147</v>
      </c>
      <c r="E1" s="117" t="s">
        <v>145</v>
      </c>
      <c r="F1" s="117" t="s">
        <v>144</v>
      </c>
      <c r="G1" s="118" t="s">
        <v>146</v>
      </c>
      <c r="H1" s="117" t="s">
        <v>96</v>
      </c>
      <c r="I1" s="119" t="s">
        <v>148</v>
      </c>
      <c r="J1" s="120" t="s">
        <v>7</v>
      </c>
      <c r="K1" s="119" t="s">
        <v>149</v>
      </c>
      <c r="L1" s="119" t="s">
        <v>150</v>
      </c>
      <c r="M1" s="119" t="s">
        <v>151</v>
      </c>
      <c r="N1" s="150" t="s">
        <v>98</v>
      </c>
      <c r="O1" s="147" t="s">
        <v>160</v>
      </c>
      <c r="P1" s="121" t="s">
        <v>99</v>
      </c>
    </row>
    <row r="2" spans="1:54" s="127" customFormat="1" ht="13.5" customHeight="1">
      <c r="A2" s="123" t="s">
        <v>101</v>
      </c>
      <c r="B2" s="124"/>
      <c r="C2" s="124"/>
      <c r="D2" s="124"/>
      <c r="E2" s="124"/>
      <c r="F2" s="124"/>
      <c r="G2" s="125"/>
      <c r="H2" s="124"/>
      <c r="I2" s="124"/>
      <c r="J2" s="124"/>
      <c r="K2" s="124"/>
      <c r="L2" s="124"/>
      <c r="M2" s="124"/>
      <c r="O2" s="124"/>
      <c r="P2" s="126"/>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row>
    <row r="3" spans="1:54" s="130" customFormat="1">
      <c r="A3" s="128" t="s">
        <v>88</v>
      </c>
      <c r="B3" s="128" t="s">
        <v>66</v>
      </c>
      <c r="C3" s="128"/>
      <c r="D3" s="128"/>
      <c r="E3" s="128"/>
      <c r="F3" s="128"/>
      <c r="G3" s="129"/>
      <c r="H3" s="128"/>
      <c r="I3" s="128"/>
      <c r="J3" s="128"/>
      <c r="K3" s="128"/>
      <c r="L3" s="128"/>
      <c r="M3" s="144"/>
      <c r="N3" s="128"/>
      <c r="O3" s="148"/>
      <c r="P3" s="129"/>
    </row>
    <row r="4" spans="1:54">
      <c r="A4" s="131"/>
      <c r="B4" s="131" t="s">
        <v>12</v>
      </c>
      <c r="C4" s="132">
        <v>4</v>
      </c>
      <c r="D4" s="132">
        <v>2</v>
      </c>
      <c r="E4" s="132">
        <f>8*60*C4</f>
        <v>1920</v>
      </c>
      <c r="F4" s="132">
        <v>20</v>
      </c>
      <c r="G4" s="132">
        <f>F4*D4</f>
        <v>40</v>
      </c>
      <c r="H4" s="132">
        <v>2000</v>
      </c>
      <c r="I4" s="133">
        <f>H4/E4*G4*9</f>
        <v>375.00000000000006</v>
      </c>
      <c r="J4" s="134">
        <v>32000</v>
      </c>
      <c r="K4" s="135">
        <f>J4/30/8</f>
        <v>133.33333333333334</v>
      </c>
      <c r="L4" s="135">
        <f>K4/60*G4</f>
        <v>88.888888888888886</v>
      </c>
      <c r="M4" s="145">
        <f>L4*9</f>
        <v>800</v>
      </c>
      <c r="N4" s="137">
        <f>I4+M4</f>
        <v>1175</v>
      </c>
      <c r="O4" s="226">
        <f>SUM(N4:N6)</f>
        <v>330800</v>
      </c>
      <c r="P4" s="131" t="s">
        <v>100</v>
      </c>
    </row>
    <row r="5" spans="1:54" ht="14.5" thickBot="1">
      <c r="A5" s="131"/>
      <c r="B5" s="131" t="s">
        <v>92</v>
      </c>
      <c r="C5" s="132">
        <v>10</v>
      </c>
      <c r="D5" s="132">
        <v>5</v>
      </c>
      <c r="E5" s="132">
        <f>8*60*C5</f>
        <v>4800</v>
      </c>
      <c r="F5" s="132">
        <v>60</v>
      </c>
      <c r="G5" s="132">
        <f>F5*D5</f>
        <v>300</v>
      </c>
      <c r="H5" s="132">
        <v>3000</v>
      </c>
      <c r="I5" s="136">
        <f>H5/E5*G5*9</f>
        <v>1687.5</v>
      </c>
      <c r="J5" s="132">
        <v>21000</v>
      </c>
      <c r="K5" s="134">
        <f t="shared" ref="K5:K19" si="0">J5/30/8</f>
        <v>87.5</v>
      </c>
      <c r="L5" s="134">
        <f t="shared" ref="L5:L19" si="1">K5/60*G5</f>
        <v>437.5</v>
      </c>
      <c r="M5" s="145">
        <f>L5*9</f>
        <v>3937.5</v>
      </c>
      <c r="N5" s="137">
        <f t="shared" ref="N5:N19" si="2">I5+M5</f>
        <v>5625</v>
      </c>
      <c r="O5" s="227"/>
      <c r="P5" s="131"/>
    </row>
    <row r="6" spans="1:54">
      <c r="A6" s="131"/>
      <c r="B6" s="131" t="s">
        <v>188</v>
      </c>
      <c r="C6" s="132"/>
      <c r="D6" s="132"/>
      <c r="E6" s="132"/>
      <c r="F6" s="132"/>
      <c r="G6" s="132"/>
      <c r="H6" s="132"/>
      <c r="I6" s="136"/>
      <c r="J6" s="132"/>
      <c r="K6" s="134"/>
      <c r="L6" s="35">
        <v>360000</v>
      </c>
      <c r="M6" s="145"/>
      <c r="N6" s="87">
        <f>P27</f>
        <v>324000</v>
      </c>
      <c r="O6" s="228"/>
      <c r="P6" s="131"/>
    </row>
    <row r="7" spans="1:54" s="222" customFormat="1">
      <c r="A7" s="220"/>
      <c r="B7" s="221"/>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221"/>
      <c r="AM7" s="221"/>
      <c r="AN7" s="221"/>
      <c r="AO7" s="221"/>
      <c r="AP7" s="221"/>
      <c r="AQ7" s="221"/>
      <c r="AR7" s="221"/>
      <c r="AS7" s="221"/>
      <c r="AT7" s="221"/>
      <c r="AU7" s="221"/>
      <c r="AV7" s="221"/>
      <c r="AW7" s="221"/>
      <c r="AX7" s="221"/>
      <c r="AY7" s="221"/>
      <c r="AZ7" s="221"/>
      <c r="BA7" s="221"/>
      <c r="BB7" s="221"/>
    </row>
    <row r="8" spans="1:54" s="154" customFormat="1">
      <c r="A8" s="128" t="s">
        <v>87</v>
      </c>
      <c r="B8" s="128" t="s">
        <v>63</v>
      </c>
      <c r="C8" s="140"/>
      <c r="D8" s="140"/>
      <c r="E8" s="140"/>
      <c r="F8" s="140"/>
      <c r="G8" s="140"/>
      <c r="H8" s="140"/>
      <c r="I8" s="140"/>
      <c r="J8" s="140"/>
      <c r="K8" s="140"/>
      <c r="L8" s="140"/>
      <c r="M8" s="151"/>
      <c r="N8" s="152"/>
      <c r="O8" s="153"/>
      <c r="P8" s="128"/>
    </row>
    <row r="9" spans="1:54">
      <c r="A9" s="131"/>
      <c r="B9" s="131" t="s">
        <v>94</v>
      </c>
      <c r="C9" s="132">
        <v>8</v>
      </c>
      <c r="D9" s="132">
        <v>2</v>
      </c>
      <c r="E9" s="132">
        <f>8*60*C9</f>
        <v>3840</v>
      </c>
      <c r="F9" s="132">
        <v>30</v>
      </c>
      <c r="G9" s="132">
        <f>F9*D9</f>
        <v>60</v>
      </c>
      <c r="H9" s="132">
        <v>2000</v>
      </c>
      <c r="I9" s="136">
        <f>H9/E9*G9*9</f>
        <v>281.25000000000006</v>
      </c>
      <c r="J9" s="132">
        <v>40000</v>
      </c>
      <c r="K9" s="135">
        <f t="shared" si="0"/>
        <v>166.66666666666666</v>
      </c>
      <c r="L9" s="135">
        <f t="shared" si="1"/>
        <v>166.66666666666666</v>
      </c>
      <c r="M9" s="145">
        <f>L9*9</f>
        <v>1500</v>
      </c>
      <c r="N9" s="137">
        <f t="shared" si="2"/>
        <v>1781.25</v>
      </c>
      <c r="O9" s="226">
        <f>SUM(N9:N11)</f>
        <v>327281.25</v>
      </c>
      <c r="P9" s="131"/>
    </row>
    <row r="10" spans="1:54" ht="14.5" thickBot="1">
      <c r="A10" s="131"/>
      <c r="B10" s="131" t="s">
        <v>93</v>
      </c>
      <c r="C10" s="132">
        <v>2</v>
      </c>
      <c r="D10" s="132">
        <v>1</v>
      </c>
      <c r="E10" s="132">
        <f>8*60*C10</f>
        <v>960</v>
      </c>
      <c r="F10" s="132">
        <v>30</v>
      </c>
      <c r="G10" s="132">
        <f>F10*D10</f>
        <v>30</v>
      </c>
      <c r="H10" s="132">
        <v>3000</v>
      </c>
      <c r="I10" s="136">
        <f>H10/E10*G10*9</f>
        <v>843.75</v>
      </c>
      <c r="J10" s="132">
        <v>35000</v>
      </c>
      <c r="K10" s="135">
        <f t="shared" si="0"/>
        <v>145.83333333333334</v>
      </c>
      <c r="L10" s="135">
        <f t="shared" si="1"/>
        <v>72.916666666666671</v>
      </c>
      <c r="M10" s="145">
        <f>L10*9</f>
        <v>656.25</v>
      </c>
      <c r="N10" s="137">
        <f t="shared" si="2"/>
        <v>1500</v>
      </c>
      <c r="O10" s="227"/>
      <c r="P10" s="131"/>
    </row>
    <row r="11" spans="1:54">
      <c r="A11" s="131"/>
      <c r="B11" s="131" t="s">
        <v>188</v>
      </c>
      <c r="C11" s="132"/>
      <c r="D11" s="132"/>
      <c r="E11" s="132"/>
      <c r="F11" s="132"/>
      <c r="G11" s="132"/>
      <c r="H11" s="132"/>
      <c r="I11" s="136"/>
      <c r="J11" s="132"/>
      <c r="K11" s="135"/>
      <c r="L11" s="35">
        <v>360000</v>
      </c>
      <c r="M11" s="145"/>
      <c r="N11" s="87">
        <f>P27</f>
        <v>324000</v>
      </c>
      <c r="O11" s="228"/>
      <c r="P11" s="131"/>
    </row>
    <row r="12" spans="1:54" s="225" customFormat="1">
      <c r="A12" s="223"/>
      <c r="B12" s="224"/>
      <c r="C12" s="224"/>
      <c r="D12" s="224"/>
      <c r="E12" s="224"/>
      <c r="F12" s="224"/>
      <c r="G12" s="224"/>
      <c r="H12" s="224"/>
      <c r="I12" s="224"/>
      <c r="J12" s="224"/>
      <c r="K12" s="224"/>
      <c r="L12" s="224"/>
      <c r="M12" s="224"/>
      <c r="N12" s="224"/>
      <c r="O12" s="224"/>
      <c r="P12" s="224"/>
      <c r="Q12" s="224"/>
      <c r="R12" s="224"/>
      <c r="S12" s="224"/>
      <c r="T12" s="224"/>
      <c r="U12" s="224"/>
      <c r="V12" s="224"/>
      <c r="W12" s="224"/>
      <c r="X12" s="224"/>
      <c r="Y12" s="224"/>
      <c r="Z12" s="224"/>
      <c r="AA12" s="224"/>
      <c r="AB12" s="224"/>
      <c r="AC12" s="224"/>
      <c r="AD12" s="224"/>
      <c r="AE12" s="224"/>
      <c r="AF12" s="224"/>
      <c r="AG12" s="224"/>
      <c r="AH12" s="224"/>
      <c r="AI12" s="224"/>
      <c r="AJ12" s="224"/>
      <c r="AK12" s="224"/>
      <c r="AL12" s="224"/>
      <c r="AM12" s="224"/>
      <c r="AN12" s="224"/>
      <c r="AO12" s="224"/>
      <c r="AP12" s="224"/>
      <c r="AQ12" s="224"/>
      <c r="AR12" s="224"/>
      <c r="AS12" s="224"/>
      <c r="AT12" s="224"/>
      <c r="AU12" s="224"/>
      <c r="AV12" s="224"/>
      <c r="AW12" s="224"/>
      <c r="AX12" s="224"/>
      <c r="AY12" s="224"/>
      <c r="AZ12" s="224"/>
      <c r="BA12" s="224"/>
      <c r="BB12" s="224"/>
    </row>
    <row r="13" spans="1:54" s="130" customFormat="1">
      <c r="A13" s="129" t="s">
        <v>89</v>
      </c>
      <c r="B13" s="129" t="s">
        <v>91</v>
      </c>
      <c r="C13" s="138"/>
      <c r="D13" s="138"/>
      <c r="E13" s="138"/>
      <c r="F13" s="138"/>
      <c r="G13" s="138"/>
      <c r="H13" s="138"/>
      <c r="I13" s="139"/>
      <c r="J13" s="138"/>
      <c r="K13" s="140"/>
      <c r="L13" s="140"/>
      <c r="M13" s="146"/>
      <c r="N13" s="141"/>
      <c r="O13" s="149"/>
      <c r="P13" s="129"/>
    </row>
    <row r="14" spans="1:54" ht="12" customHeight="1" thickBot="1">
      <c r="A14" s="131"/>
      <c r="B14" s="142" t="s">
        <v>95</v>
      </c>
      <c r="C14" s="132">
        <v>12</v>
      </c>
      <c r="D14" s="132">
        <v>8</v>
      </c>
      <c r="E14" s="132">
        <f>8*60*C14</f>
        <v>5760</v>
      </c>
      <c r="F14" s="132">
        <v>30</v>
      </c>
      <c r="G14" s="132">
        <f>F14*D14</f>
        <v>240</v>
      </c>
      <c r="H14" s="132">
        <v>3000</v>
      </c>
      <c r="I14" s="136">
        <f>H14/E14*G14*9</f>
        <v>1125.0000000000002</v>
      </c>
      <c r="J14" s="132">
        <v>25000</v>
      </c>
      <c r="K14" s="135">
        <f t="shared" si="0"/>
        <v>104.16666666666667</v>
      </c>
      <c r="L14" s="135">
        <f t="shared" si="1"/>
        <v>416.66666666666669</v>
      </c>
      <c r="M14" s="145">
        <f t="shared" ref="M14" si="3">L14*9</f>
        <v>3750</v>
      </c>
      <c r="N14" s="137">
        <f t="shared" si="2"/>
        <v>4875</v>
      </c>
      <c r="O14" s="226">
        <f>SUM(N14:N15)</f>
        <v>328875</v>
      </c>
      <c r="P14" s="131"/>
    </row>
    <row r="15" spans="1:54" ht="12" customHeight="1">
      <c r="A15" s="131"/>
      <c r="B15" s="142" t="s">
        <v>188</v>
      </c>
      <c r="C15" s="132"/>
      <c r="D15" s="132"/>
      <c r="E15" s="132"/>
      <c r="F15" s="132"/>
      <c r="G15" s="132"/>
      <c r="H15" s="132"/>
      <c r="I15" s="136"/>
      <c r="J15" s="132"/>
      <c r="K15" s="135"/>
      <c r="L15" s="35">
        <v>360000</v>
      </c>
      <c r="M15" s="145"/>
      <c r="N15" s="87">
        <f>P27</f>
        <v>324000</v>
      </c>
      <c r="O15" s="228"/>
      <c r="P15" s="131"/>
    </row>
    <row r="16" spans="1:54" s="225" customFormat="1" ht="12" customHeight="1">
      <c r="A16" s="223"/>
      <c r="B16" s="224"/>
      <c r="C16" s="224"/>
      <c r="D16" s="224"/>
      <c r="E16" s="224"/>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row>
    <row r="17" spans="1:16" s="130" customFormat="1">
      <c r="A17" s="129" t="s">
        <v>90</v>
      </c>
      <c r="B17" s="129" t="s">
        <v>65</v>
      </c>
      <c r="C17" s="138"/>
      <c r="D17" s="138"/>
      <c r="E17" s="138"/>
      <c r="F17" s="138"/>
      <c r="G17" s="138"/>
      <c r="H17" s="138"/>
      <c r="I17" s="139"/>
      <c r="J17" s="138"/>
      <c r="K17" s="140"/>
      <c r="L17" s="140"/>
      <c r="M17" s="146"/>
      <c r="N17" s="141"/>
      <c r="O17" s="149"/>
      <c r="P17" s="129"/>
    </row>
    <row r="18" spans="1:16">
      <c r="A18" s="131"/>
      <c r="B18" s="131" t="s">
        <v>97</v>
      </c>
      <c r="C18" s="132">
        <v>8</v>
      </c>
      <c r="D18" s="134">
        <v>1</v>
      </c>
      <c r="E18" s="132">
        <f>8*60*C18</f>
        <v>3840</v>
      </c>
      <c r="F18" s="134">
        <v>20</v>
      </c>
      <c r="G18" s="132">
        <f>F18*D18</f>
        <v>20</v>
      </c>
      <c r="H18" s="132">
        <v>2000</v>
      </c>
      <c r="I18" s="133">
        <f>H18/E18*G18*9</f>
        <v>93.750000000000014</v>
      </c>
      <c r="J18" s="132">
        <v>40000</v>
      </c>
      <c r="K18" s="135">
        <f t="shared" si="0"/>
        <v>166.66666666666666</v>
      </c>
      <c r="L18" s="135">
        <f t="shared" si="1"/>
        <v>55.555555555555557</v>
      </c>
      <c r="M18" s="145">
        <f>L18*9</f>
        <v>500</v>
      </c>
      <c r="N18" s="137">
        <f>I18+M18</f>
        <v>593.75</v>
      </c>
      <c r="O18" s="226">
        <f>SUM(N18:N20)</f>
        <v>325718.75</v>
      </c>
      <c r="P18" s="131" t="s">
        <v>108</v>
      </c>
    </row>
    <row r="19" spans="1:16" ht="14.5" thickBot="1">
      <c r="A19" s="131"/>
      <c r="B19" s="131" t="s">
        <v>92</v>
      </c>
      <c r="C19" s="132">
        <v>10</v>
      </c>
      <c r="D19" s="132">
        <v>2</v>
      </c>
      <c r="E19" s="132">
        <f>8*60*C19</f>
        <v>4800</v>
      </c>
      <c r="F19" s="132">
        <v>30</v>
      </c>
      <c r="G19" s="132">
        <f>F19*D19</f>
        <v>60</v>
      </c>
      <c r="H19" s="132">
        <v>3000</v>
      </c>
      <c r="I19" s="136">
        <f>H19/E19*G19*9</f>
        <v>337.5</v>
      </c>
      <c r="J19" s="132">
        <v>21000</v>
      </c>
      <c r="K19" s="134">
        <f t="shared" si="0"/>
        <v>87.5</v>
      </c>
      <c r="L19" s="134">
        <f t="shared" si="1"/>
        <v>87.5</v>
      </c>
      <c r="M19" s="145">
        <f>L19*9</f>
        <v>787.5</v>
      </c>
      <c r="N19" s="137">
        <f t="shared" si="2"/>
        <v>1125</v>
      </c>
      <c r="O19" s="227"/>
      <c r="P19" s="131"/>
    </row>
    <row r="20" spans="1:16">
      <c r="A20" s="131"/>
      <c r="B20" s="131" t="s">
        <v>188</v>
      </c>
      <c r="C20" s="132"/>
      <c r="D20" s="132"/>
      <c r="E20" s="132"/>
      <c r="F20" s="132"/>
      <c r="G20" s="132"/>
      <c r="H20" s="132"/>
      <c r="I20" s="136"/>
      <c r="J20" s="132"/>
      <c r="K20" s="134"/>
      <c r="L20" s="35">
        <v>360000</v>
      </c>
      <c r="M20" s="145"/>
      <c r="N20" s="87">
        <f>P27</f>
        <v>324000</v>
      </c>
      <c r="O20" s="228"/>
      <c r="P20" s="131"/>
    </row>
    <row r="21" spans="1:16">
      <c r="A21" s="219" t="s">
        <v>105</v>
      </c>
      <c r="B21" s="219"/>
      <c r="C21" s="219"/>
      <c r="D21" s="219"/>
      <c r="E21" s="219"/>
      <c r="F21" s="219"/>
      <c r="G21" s="143"/>
      <c r="N21" s="122"/>
    </row>
    <row r="22" spans="1:16">
      <c r="N22" s="122"/>
    </row>
    <row r="23" spans="1:16">
      <c r="N23" s="122"/>
    </row>
    <row r="24" spans="1:16">
      <c r="N24" s="122"/>
    </row>
    <row r="25" spans="1:16">
      <c r="N25" s="122"/>
    </row>
    <row r="26" spans="1:16">
      <c r="N26" s="122"/>
      <c r="P26" s="122">
        <v>360000</v>
      </c>
    </row>
    <row r="27" spans="1:16">
      <c r="N27" s="122"/>
      <c r="P27" s="122">
        <f>90/100*P26</f>
        <v>324000</v>
      </c>
    </row>
    <row r="28" spans="1:16">
      <c r="N28" s="122"/>
    </row>
    <row r="29" spans="1:16">
      <c r="N29" s="122"/>
    </row>
    <row r="30" spans="1:16">
      <c r="N30" s="122"/>
    </row>
    <row r="31" spans="1:16">
      <c r="N31" s="122"/>
    </row>
    <row r="32" spans="1:16">
      <c r="N32" s="122"/>
    </row>
    <row r="33" spans="14:14">
      <c r="N33" s="122"/>
    </row>
    <row r="34" spans="14:14">
      <c r="N34" s="122"/>
    </row>
    <row r="35" spans="14:14">
      <c r="N35" s="122"/>
    </row>
    <row r="36" spans="14:14">
      <c r="N36" s="122"/>
    </row>
    <row r="37" spans="14:14">
      <c r="N37" s="122"/>
    </row>
    <row r="38" spans="14:14">
      <c r="N38" s="122"/>
    </row>
    <row r="39" spans="14:14">
      <c r="N39" s="122"/>
    </row>
    <row r="40" spans="14:14">
      <c r="N40" s="122"/>
    </row>
    <row r="41" spans="14:14">
      <c r="N41" s="122"/>
    </row>
    <row r="42" spans="14:14">
      <c r="N42" s="122"/>
    </row>
    <row r="43" spans="14:14">
      <c r="N43" s="122"/>
    </row>
    <row r="44" spans="14:14">
      <c r="N44" s="122"/>
    </row>
    <row r="45" spans="14:14">
      <c r="N45" s="122"/>
    </row>
    <row r="46" spans="14:14">
      <c r="N46" s="122"/>
    </row>
    <row r="47" spans="14:14">
      <c r="N47" s="122"/>
    </row>
    <row r="48" spans="14:14">
      <c r="N48" s="122"/>
    </row>
    <row r="49" spans="14:14">
      <c r="N49" s="122"/>
    </row>
    <row r="50" spans="14:14">
      <c r="N50" s="122"/>
    </row>
    <row r="51" spans="14:14">
      <c r="N51" s="122"/>
    </row>
    <row r="52" spans="14:14">
      <c r="N52" s="122"/>
    </row>
    <row r="53" spans="14:14">
      <c r="N53" s="122"/>
    </row>
    <row r="54" spans="14:14">
      <c r="N54" s="122"/>
    </row>
    <row r="55" spans="14:14">
      <c r="N55" s="122"/>
    </row>
    <row r="56" spans="14:14">
      <c r="N56" s="122"/>
    </row>
    <row r="57" spans="14:14">
      <c r="N57" s="122"/>
    </row>
    <row r="58" spans="14:14">
      <c r="N58" s="122"/>
    </row>
    <row r="59" spans="14:14">
      <c r="N59" s="122"/>
    </row>
    <row r="60" spans="14:14">
      <c r="N60" s="122"/>
    </row>
    <row r="61" spans="14:14">
      <c r="N61" s="122"/>
    </row>
    <row r="62" spans="14:14">
      <c r="N62" s="122"/>
    </row>
    <row r="63" spans="14:14">
      <c r="N63" s="122"/>
    </row>
    <row r="64" spans="14:14">
      <c r="N64" s="122"/>
    </row>
    <row r="65" spans="14:14">
      <c r="N65" s="122"/>
    </row>
    <row r="66" spans="14:14">
      <c r="N66" s="122"/>
    </row>
    <row r="67" spans="14:14">
      <c r="N67" s="122"/>
    </row>
    <row r="68" spans="14:14">
      <c r="N68" s="122"/>
    </row>
    <row r="69" spans="14:14">
      <c r="N69" s="122"/>
    </row>
    <row r="70" spans="14:14">
      <c r="N70" s="122"/>
    </row>
    <row r="71" spans="14:14">
      <c r="N71" s="122"/>
    </row>
    <row r="72" spans="14:14">
      <c r="N72" s="122"/>
    </row>
    <row r="73" spans="14:14">
      <c r="N73" s="122"/>
    </row>
    <row r="74" spans="14:14">
      <c r="N74" s="122"/>
    </row>
    <row r="75" spans="14:14">
      <c r="N75" s="122"/>
    </row>
    <row r="76" spans="14:14">
      <c r="N76" s="122"/>
    </row>
    <row r="77" spans="14:14">
      <c r="N77" s="122"/>
    </row>
    <row r="78" spans="14:14">
      <c r="N78" s="122"/>
    </row>
    <row r="79" spans="14:14">
      <c r="N79" s="122"/>
    </row>
    <row r="80" spans="14:14">
      <c r="N80" s="122"/>
    </row>
    <row r="81" spans="14:14">
      <c r="N81" s="122"/>
    </row>
    <row r="82" spans="14:14">
      <c r="N82" s="122"/>
    </row>
    <row r="83" spans="14:14">
      <c r="N83" s="122"/>
    </row>
    <row r="84" spans="14:14">
      <c r="N84" s="122"/>
    </row>
    <row r="85" spans="14:14">
      <c r="N85" s="122"/>
    </row>
    <row r="86" spans="14:14">
      <c r="N86" s="122"/>
    </row>
    <row r="87" spans="14:14">
      <c r="N87" s="122"/>
    </row>
  </sheetData>
  <mergeCells count="8">
    <mergeCell ref="A21:F21"/>
    <mergeCell ref="A7:XFD7"/>
    <mergeCell ref="A12:XFD12"/>
    <mergeCell ref="A16:XFD16"/>
    <mergeCell ref="O4:O6"/>
    <mergeCell ref="O9:O11"/>
    <mergeCell ref="O14:O15"/>
    <mergeCell ref="O18:O20"/>
  </mergeCells>
  <phoneticPr fontId="11"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topLeftCell="A10" workbookViewId="0">
      <selection activeCell="I32" sqref="I32"/>
    </sheetView>
  </sheetViews>
  <sheetFormatPr defaultRowHeight="14.5"/>
  <cols>
    <col min="1" max="1" width="17.453125" customWidth="1"/>
    <col min="2" max="2" width="23.26953125" customWidth="1"/>
    <col min="3" max="3" width="15.26953125" customWidth="1"/>
    <col min="4" max="4" width="18" customWidth="1"/>
    <col min="5" max="5" width="13.1796875" customWidth="1"/>
    <col min="6" max="6" width="13.7265625" customWidth="1"/>
    <col min="7" max="7" width="12.54296875" customWidth="1"/>
    <col min="8" max="8" width="12.453125" customWidth="1"/>
  </cols>
  <sheetData>
    <row r="1" spans="1:11">
      <c r="A1" s="191" t="s">
        <v>0</v>
      </c>
      <c r="B1" s="191"/>
      <c r="C1" s="191"/>
      <c r="D1" s="191"/>
      <c r="E1" s="191"/>
      <c r="F1" s="191"/>
      <c r="G1" s="191"/>
      <c r="H1" s="191"/>
      <c r="I1" s="191"/>
      <c r="J1" s="25"/>
    </row>
    <row r="2" spans="1:11">
      <c r="A2" s="192" t="s">
        <v>4</v>
      </c>
      <c r="B2" s="192" t="s">
        <v>5</v>
      </c>
      <c r="C2" s="194" t="s">
        <v>6</v>
      </c>
      <c r="D2" s="236" t="s">
        <v>110</v>
      </c>
      <c r="E2" s="236" t="s">
        <v>7</v>
      </c>
      <c r="F2" s="240" t="s">
        <v>1</v>
      </c>
      <c r="G2" s="194" t="s">
        <v>2</v>
      </c>
      <c r="H2" s="242" t="s">
        <v>113</v>
      </c>
      <c r="I2" s="244" t="s">
        <v>8</v>
      </c>
      <c r="J2" s="233" t="s">
        <v>23</v>
      </c>
    </row>
    <row r="3" spans="1:11" ht="27.75" customHeight="1">
      <c r="A3" s="193"/>
      <c r="B3" s="193"/>
      <c r="C3" s="195"/>
      <c r="D3" s="237"/>
      <c r="E3" s="237"/>
      <c r="F3" s="241"/>
      <c r="G3" s="195"/>
      <c r="H3" s="243"/>
      <c r="I3" s="244"/>
      <c r="J3" s="234"/>
    </row>
    <row r="4" spans="1:11">
      <c r="A4" s="193"/>
      <c r="B4" s="193"/>
      <c r="C4" s="195"/>
      <c r="D4" s="194"/>
      <c r="E4" s="194"/>
      <c r="F4" s="192"/>
      <c r="G4" s="195"/>
      <c r="H4" s="243"/>
      <c r="I4" s="242"/>
      <c r="J4" s="235"/>
    </row>
    <row r="5" spans="1:11">
      <c r="A5" s="238" t="s">
        <v>9</v>
      </c>
      <c r="B5" s="238"/>
      <c r="C5" s="238"/>
      <c r="D5" s="238"/>
      <c r="E5" s="238"/>
      <c r="F5" s="238"/>
      <c r="G5" s="238"/>
      <c r="H5" s="238"/>
      <c r="I5" s="238"/>
      <c r="J5" s="40"/>
    </row>
    <row r="6" spans="1:11">
      <c r="A6" s="5">
        <v>1</v>
      </c>
      <c r="B6" s="43" t="s">
        <v>10</v>
      </c>
      <c r="C6" s="43" t="s">
        <v>107</v>
      </c>
      <c r="D6" s="43" t="s">
        <v>107</v>
      </c>
      <c r="E6" s="42">
        <v>25000</v>
      </c>
      <c r="F6" s="42" t="s">
        <v>107</v>
      </c>
      <c r="G6" s="42" t="s">
        <v>107</v>
      </c>
      <c r="H6" s="42" t="s">
        <v>107</v>
      </c>
      <c r="I6" s="42">
        <v>25000</v>
      </c>
      <c r="J6" s="40"/>
    </row>
    <row r="7" spans="1:11">
      <c r="A7" s="5">
        <v>2</v>
      </c>
      <c r="B7" s="43" t="s">
        <v>11</v>
      </c>
      <c r="C7" s="43">
        <v>11</v>
      </c>
      <c r="D7" s="43">
        <v>8</v>
      </c>
      <c r="E7" s="43">
        <v>7200</v>
      </c>
      <c r="F7" s="42">
        <f>E7/30</f>
        <v>240</v>
      </c>
      <c r="G7" s="42">
        <f>F7/8</f>
        <v>30</v>
      </c>
      <c r="H7" s="42">
        <f>G7*D7*11</f>
        <v>2640</v>
      </c>
      <c r="I7" s="42">
        <f>H7*9</f>
        <v>23760</v>
      </c>
      <c r="J7" s="40"/>
    </row>
    <row r="8" spans="1:11">
      <c r="A8" s="5">
        <v>3</v>
      </c>
      <c r="B8" s="43" t="s">
        <v>92</v>
      </c>
      <c r="C8" s="43">
        <v>1</v>
      </c>
      <c r="D8" s="43">
        <v>25</v>
      </c>
      <c r="E8" s="43">
        <v>21000</v>
      </c>
      <c r="F8" s="42">
        <f>E8/30</f>
        <v>700</v>
      </c>
      <c r="G8" s="42">
        <f>F8/8</f>
        <v>87.5</v>
      </c>
      <c r="H8" s="42">
        <f>G8*25</f>
        <v>2187.5</v>
      </c>
      <c r="I8" s="42">
        <f>H8*9</f>
        <v>19687.5</v>
      </c>
      <c r="J8" s="40"/>
    </row>
    <row r="9" spans="1:11">
      <c r="A9" s="5">
        <v>4</v>
      </c>
      <c r="B9" s="43" t="s">
        <v>12</v>
      </c>
      <c r="C9" s="43">
        <v>1</v>
      </c>
      <c r="D9" s="43">
        <v>3</v>
      </c>
      <c r="E9" s="43">
        <v>32000</v>
      </c>
      <c r="F9" s="51">
        <f>E9/30</f>
        <v>1066.6666666666667</v>
      </c>
      <c r="G9" s="51">
        <f>F9/8</f>
        <v>133.33333333333334</v>
      </c>
      <c r="H9" s="42">
        <f>G9*3</f>
        <v>400</v>
      </c>
      <c r="I9" s="42">
        <f>H9*9</f>
        <v>3600</v>
      </c>
      <c r="J9" s="40"/>
    </row>
    <row r="10" spans="1:11">
      <c r="A10" s="5">
        <v>5</v>
      </c>
      <c r="B10" s="43" t="s">
        <v>188</v>
      </c>
      <c r="C10" s="43"/>
      <c r="D10" s="43"/>
      <c r="E10" s="43"/>
      <c r="F10" s="51"/>
      <c r="G10" s="51"/>
      <c r="H10" s="42"/>
      <c r="I10" s="42">
        <f>K12</f>
        <v>36000</v>
      </c>
      <c r="J10" s="40"/>
    </row>
    <row r="11" spans="1:11">
      <c r="A11" s="239" t="s">
        <v>13</v>
      </c>
      <c r="B11" s="239"/>
      <c r="C11" s="42"/>
      <c r="D11" s="42"/>
      <c r="E11" s="42"/>
      <c r="F11" s="42"/>
      <c r="G11" s="42"/>
      <c r="H11" s="42"/>
      <c r="I11" s="42">
        <f>SUM(I6:I10)</f>
        <v>108047.5</v>
      </c>
      <c r="J11" s="40"/>
      <c r="K11">
        <v>360000</v>
      </c>
    </row>
    <row r="12" spans="1:11">
      <c r="A12" s="230" t="s">
        <v>32</v>
      </c>
      <c r="B12" s="231"/>
      <c r="C12" s="231"/>
      <c r="D12" s="231"/>
      <c r="E12" s="231"/>
      <c r="F12" s="231"/>
      <c r="G12" s="231"/>
      <c r="H12" s="231"/>
      <c r="I12" s="232"/>
      <c r="J12" s="40"/>
      <c r="K12">
        <f>10/100*K11</f>
        <v>36000</v>
      </c>
    </row>
    <row r="13" spans="1:11">
      <c r="A13" s="5">
        <v>1</v>
      </c>
      <c r="B13" s="46" t="s">
        <v>21</v>
      </c>
      <c r="C13" s="46" t="s">
        <v>107</v>
      </c>
      <c r="D13" s="43" t="s">
        <v>107</v>
      </c>
      <c r="E13" s="43">
        <v>20200</v>
      </c>
      <c r="F13" s="42" t="s">
        <v>107</v>
      </c>
      <c r="G13" s="42" t="s">
        <v>107</v>
      </c>
      <c r="H13" s="42" t="s">
        <v>107</v>
      </c>
      <c r="I13" s="43">
        <v>20200</v>
      </c>
      <c r="J13" s="40"/>
    </row>
    <row r="14" spans="1:11">
      <c r="A14" s="5">
        <v>2</v>
      </c>
      <c r="B14" s="46" t="s">
        <v>33</v>
      </c>
      <c r="C14" s="46">
        <v>12</v>
      </c>
      <c r="D14" s="43">
        <v>10</v>
      </c>
      <c r="E14" s="50">
        <v>7200</v>
      </c>
      <c r="F14" s="42">
        <f>E14/30</f>
        <v>240</v>
      </c>
      <c r="G14" s="42">
        <f>F14/8</f>
        <v>30</v>
      </c>
      <c r="H14" s="42">
        <f>G14*D14*C14</f>
        <v>3600</v>
      </c>
      <c r="I14" s="42">
        <f>H14*9</f>
        <v>32400</v>
      </c>
      <c r="J14" s="40"/>
    </row>
    <row r="15" spans="1:11">
      <c r="A15" s="5">
        <v>3</v>
      </c>
      <c r="B15" s="46" t="s">
        <v>112</v>
      </c>
      <c r="C15" s="46">
        <v>1</v>
      </c>
      <c r="D15" s="43">
        <v>2</v>
      </c>
      <c r="E15" s="43">
        <v>35000</v>
      </c>
      <c r="F15" s="51">
        <f>E15/30</f>
        <v>1166.6666666666667</v>
      </c>
      <c r="G15" s="51">
        <f>F15/8</f>
        <v>145.83333333333334</v>
      </c>
      <c r="H15" s="51">
        <f>G15*D15</f>
        <v>291.66666666666669</v>
      </c>
      <c r="I15" s="42">
        <f>H15*9</f>
        <v>2625</v>
      </c>
      <c r="J15" s="40"/>
    </row>
    <row r="16" spans="1:11">
      <c r="A16" s="5">
        <v>4</v>
      </c>
      <c r="B16" s="46" t="s">
        <v>22</v>
      </c>
      <c r="C16" s="46">
        <v>1</v>
      </c>
      <c r="D16" s="43">
        <v>2</v>
      </c>
      <c r="E16" s="43">
        <v>40000</v>
      </c>
      <c r="F16" s="51">
        <f>E16/30</f>
        <v>1333.3333333333333</v>
      </c>
      <c r="G16" s="51">
        <f>F16/8</f>
        <v>166.66666666666666</v>
      </c>
      <c r="H16" s="51">
        <f>G16*D16</f>
        <v>333.33333333333331</v>
      </c>
      <c r="I16" s="42">
        <f>H16*9</f>
        <v>3000</v>
      </c>
      <c r="J16" s="40"/>
    </row>
    <row r="17" spans="1:10">
      <c r="A17" s="5">
        <v>5</v>
      </c>
      <c r="B17" s="46" t="s">
        <v>188</v>
      </c>
      <c r="C17" s="46"/>
      <c r="D17" s="43"/>
      <c r="E17" s="43"/>
      <c r="F17" s="51"/>
      <c r="G17" s="51"/>
      <c r="H17" s="51"/>
      <c r="I17" s="42">
        <v>36000</v>
      </c>
      <c r="J17" s="40"/>
    </row>
    <row r="18" spans="1:10">
      <c r="A18" s="21" t="s">
        <v>13</v>
      </c>
      <c r="B18" s="7"/>
      <c r="C18" s="7"/>
      <c r="D18" s="7"/>
      <c r="E18" s="7"/>
      <c r="F18" s="7"/>
      <c r="G18" s="7"/>
      <c r="H18" s="7"/>
      <c r="I18" s="3">
        <f>SUM(I13:I17)</f>
        <v>94225</v>
      </c>
      <c r="J18" s="40"/>
    </row>
    <row r="19" spans="1:10">
      <c r="A19" s="230" t="s">
        <v>17</v>
      </c>
      <c r="B19" s="231"/>
      <c r="C19" s="231"/>
      <c r="D19" s="231"/>
      <c r="E19" s="231"/>
      <c r="F19" s="231"/>
      <c r="G19" s="231"/>
      <c r="H19" s="231"/>
      <c r="I19" s="232"/>
      <c r="J19" s="40"/>
    </row>
    <row r="20" spans="1:10">
      <c r="A20" s="5">
        <v>1</v>
      </c>
      <c r="B20" s="46" t="s">
        <v>18</v>
      </c>
      <c r="C20" s="46" t="s">
        <v>107</v>
      </c>
      <c r="D20" s="43" t="s">
        <v>107</v>
      </c>
      <c r="E20" s="43">
        <v>24400</v>
      </c>
      <c r="F20" s="42" t="s">
        <v>107</v>
      </c>
      <c r="G20" s="42" t="s">
        <v>107</v>
      </c>
      <c r="H20" s="42" t="s">
        <v>107</v>
      </c>
      <c r="I20" s="43">
        <v>24400</v>
      </c>
      <c r="J20" s="40"/>
    </row>
    <row r="21" spans="1:10">
      <c r="A21" s="5">
        <v>2</v>
      </c>
      <c r="B21" s="46" t="s">
        <v>19</v>
      </c>
      <c r="C21" s="46">
        <v>1</v>
      </c>
      <c r="D21" s="43">
        <v>8</v>
      </c>
      <c r="E21" s="47">
        <v>25000</v>
      </c>
      <c r="F21" s="51">
        <f>E21/30</f>
        <v>833.33333333333337</v>
      </c>
      <c r="G21" s="51">
        <f>F21/8</f>
        <v>104.16666666666667</v>
      </c>
      <c r="H21" s="51">
        <f>G21*8</f>
        <v>833.33333333333337</v>
      </c>
      <c r="I21" s="42">
        <f>H21*9</f>
        <v>7500</v>
      </c>
      <c r="J21" s="40"/>
    </row>
    <row r="22" spans="1:10">
      <c r="A22" s="5">
        <v>3</v>
      </c>
      <c r="B22" s="48" t="s">
        <v>20</v>
      </c>
      <c r="C22" s="48">
        <v>13</v>
      </c>
      <c r="D22" s="49">
        <v>10</v>
      </c>
      <c r="E22" s="50">
        <v>7200</v>
      </c>
      <c r="F22" s="42">
        <f>E22/30</f>
        <v>240</v>
      </c>
      <c r="G22" s="42">
        <f>F22/8</f>
        <v>30</v>
      </c>
      <c r="H22" s="42">
        <f>G22*D22*13</f>
        <v>3900</v>
      </c>
      <c r="I22" s="42">
        <f>H22*9</f>
        <v>35100</v>
      </c>
      <c r="J22" s="40"/>
    </row>
    <row r="23" spans="1:10">
      <c r="A23" s="179">
        <v>4</v>
      </c>
      <c r="B23" s="56" t="s">
        <v>188</v>
      </c>
      <c r="C23" s="56"/>
      <c r="D23" s="57"/>
      <c r="E23" s="58"/>
      <c r="F23" s="54"/>
      <c r="G23" s="54"/>
      <c r="H23" s="54"/>
      <c r="I23" s="55">
        <v>36000</v>
      </c>
      <c r="J23" s="40"/>
    </row>
    <row r="24" spans="1:10">
      <c r="A24" s="59" t="s">
        <v>13</v>
      </c>
      <c r="B24" s="56"/>
      <c r="C24" s="56"/>
      <c r="D24" s="57"/>
      <c r="E24" s="58"/>
      <c r="F24" s="54"/>
      <c r="G24" s="54"/>
      <c r="H24" s="54"/>
      <c r="I24" s="55">
        <f>SUM(I20:I23)</f>
        <v>103000</v>
      </c>
      <c r="J24" s="40"/>
    </row>
    <row r="25" spans="1:10">
      <c r="A25" s="230" t="s">
        <v>14</v>
      </c>
      <c r="B25" s="231"/>
      <c r="C25" s="231"/>
      <c r="D25" s="231"/>
      <c r="E25" s="231"/>
      <c r="F25" s="231"/>
      <c r="G25" s="231"/>
      <c r="H25" s="231"/>
      <c r="I25" s="232"/>
      <c r="J25" s="40"/>
    </row>
    <row r="26" spans="1:10">
      <c r="A26" s="41">
        <v>1</v>
      </c>
      <c r="B26" s="44" t="s">
        <v>15</v>
      </c>
      <c r="C26" s="44" t="s">
        <v>107</v>
      </c>
      <c r="D26" s="45" t="s">
        <v>107</v>
      </c>
      <c r="E26" s="45">
        <v>22000</v>
      </c>
      <c r="F26" s="42" t="s">
        <v>107</v>
      </c>
      <c r="G26" s="42" t="s">
        <v>107</v>
      </c>
      <c r="H26" s="42" t="s">
        <v>107</v>
      </c>
      <c r="I26" s="45">
        <v>22000</v>
      </c>
      <c r="J26" s="40"/>
    </row>
    <row r="27" spans="1:10">
      <c r="A27" s="5">
        <v>2</v>
      </c>
      <c r="B27" s="46" t="s">
        <v>129</v>
      </c>
      <c r="C27" s="46">
        <v>1</v>
      </c>
      <c r="D27" s="43">
        <v>10</v>
      </c>
      <c r="E27" s="43">
        <v>21000</v>
      </c>
      <c r="F27" s="42">
        <f>E27/30</f>
        <v>700</v>
      </c>
      <c r="G27" s="42">
        <f>F27/8</f>
        <v>87.5</v>
      </c>
      <c r="H27" s="42">
        <f>G27*D27</f>
        <v>875</v>
      </c>
      <c r="I27" s="42">
        <f>H27*9</f>
        <v>7875</v>
      </c>
      <c r="J27" s="40"/>
    </row>
    <row r="28" spans="1:10">
      <c r="A28" s="5">
        <v>3</v>
      </c>
      <c r="B28" s="46" t="s">
        <v>128</v>
      </c>
      <c r="C28" s="46">
        <v>1</v>
      </c>
      <c r="D28" s="43" t="s">
        <v>111</v>
      </c>
      <c r="E28" s="43">
        <v>40000</v>
      </c>
      <c r="F28" s="51">
        <f>E28/30</f>
        <v>1333.3333333333333</v>
      </c>
      <c r="G28" s="51">
        <f>F28/8</f>
        <v>166.66666666666666</v>
      </c>
      <c r="H28" s="42">
        <f>G28*0.66</f>
        <v>110</v>
      </c>
      <c r="I28" s="42">
        <f>H28*9</f>
        <v>990</v>
      </c>
      <c r="J28" s="40"/>
    </row>
    <row r="29" spans="1:10">
      <c r="A29" s="5">
        <v>4</v>
      </c>
      <c r="B29" s="46" t="s">
        <v>16</v>
      </c>
      <c r="C29" s="31">
        <v>10</v>
      </c>
      <c r="D29" s="31">
        <v>10</v>
      </c>
      <c r="E29" s="31">
        <v>7200</v>
      </c>
      <c r="F29" s="42">
        <f>E29/30</f>
        <v>240</v>
      </c>
      <c r="G29" s="42">
        <f>F29/8</f>
        <v>30</v>
      </c>
      <c r="H29" s="42">
        <f>G29*D29*C29</f>
        <v>3000</v>
      </c>
      <c r="I29" s="42">
        <f>H29*9</f>
        <v>27000</v>
      </c>
      <c r="J29" s="40"/>
    </row>
    <row r="30" spans="1:10">
      <c r="A30" s="179">
        <v>5</v>
      </c>
      <c r="B30" s="52" t="s">
        <v>188</v>
      </c>
      <c r="C30" s="53"/>
      <c r="D30" s="53"/>
      <c r="E30" s="53"/>
      <c r="F30" s="54"/>
      <c r="G30" s="54"/>
      <c r="H30" s="54"/>
      <c r="I30" s="55">
        <v>36000</v>
      </c>
      <c r="J30" s="40"/>
    </row>
    <row r="31" spans="1:10">
      <c r="A31" s="59" t="s">
        <v>13</v>
      </c>
      <c r="B31" s="52"/>
      <c r="C31" s="53"/>
      <c r="D31" s="53"/>
      <c r="E31" s="53"/>
      <c r="F31" s="54"/>
      <c r="G31" s="54"/>
      <c r="H31" s="54"/>
      <c r="I31" s="55">
        <f>SUM(I26:I30)</f>
        <v>93865</v>
      </c>
    </row>
    <row r="33" spans="1:9">
      <c r="A33" s="229"/>
      <c r="B33" s="229"/>
      <c r="C33" s="229"/>
      <c r="D33" s="229"/>
      <c r="E33" s="229"/>
      <c r="F33" s="229"/>
      <c r="G33" s="229"/>
      <c r="H33" s="229"/>
      <c r="I33" s="229"/>
    </row>
    <row r="34" spans="1:9">
      <c r="A34" s="180"/>
      <c r="B34" s="181"/>
      <c r="C34" s="181"/>
      <c r="D34" s="182"/>
      <c r="E34" s="182"/>
      <c r="F34" s="183"/>
      <c r="G34" s="183"/>
      <c r="H34" s="183"/>
      <c r="I34" s="182"/>
    </row>
    <row r="35" spans="1:9">
      <c r="A35" s="180"/>
      <c r="B35" s="181"/>
      <c r="C35" s="181"/>
      <c r="D35" s="182"/>
      <c r="E35" s="182"/>
      <c r="F35" s="183"/>
      <c r="G35" s="183"/>
      <c r="H35" s="183"/>
      <c r="I35" s="183"/>
    </row>
    <row r="36" spans="1:9">
      <c r="A36" s="180"/>
      <c r="B36" s="181"/>
      <c r="C36" s="181"/>
      <c r="D36" s="182"/>
      <c r="E36" s="182"/>
      <c r="F36" s="184"/>
      <c r="G36" s="184"/>
      <c r="H36" s="183"/>
      <c r="I36" s="183"/>
    </row>
    <row r="37" spans="1:9">
      <c r="A37" s="180"/>
      <c r="B37" s="181"/>
      <c r="C37" s="40"/>
      <c r="D37" s="40"/>
      <c r="E37" s="40"/>
      <c r="F37" s="183"/>
      <c r="G37" s="183"/>
      <c r="H37" s="183"/>
      <c r="I37" s="183"/>
    </row>
    <row r="38" spans="1:9">
      <c r="A38" s="180"/>
      <c r="B38" s="181"/>
      <c r="C38" s="40"/>
      <c r="D38" s="40"/>
      <c r="E38" s="40"/>
      <c r="F38" s="183"/>
      <c r="G38" s="183"/>
      <c r="H38" s="183"/>
      <c r="I38" s="183"/>
    </row>
    <row r="39" spans="1:9">
      <c r="A39" s="185"/>
      <c r="B39" s="181"/>
      <c r="C39" s="40"/>
      <c r="D39" s="40"/>
      <c r="E39" s="40"/>
      <c r="G39" s="183"/>
      <c r="H39" s="183"/>
      <c r="I39" s="183"/>
    </row>
  </sheetData>
  <mergeCells count="17">
    <mergeCell ref="A1:I1"/>
    <mergeCell ref="A2:A4"/>
    <mergeCell ref="B2:B4"/>
    <mergeCell ref="C2:C4"/>
    <mergeCell ref="F2:F4"/>
    <mergeCell ref="G2:G4"/>
    <mergeCell ref="H2:H4"/>
    <mergeCell ref="I2:I4"/>
    <mergeCell ref="A33:I33"/>
    <mergeCell ref="A12:I12"/>
    <mergeCell ref="J2:J4"/>
    <mergeCell ref="D2:D4"/>
    <mergeCell ref="E2:E4"/>
    <mergeCell ref="A5:I5"/>
    <mergeCell ref="A11:B11"/>
    <mergeCell ref="A25:I25"/>
    <mergeCell ref="A19:I19"/>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Normal="100" workbookViewId="0">
      <selection activeCell="E15" sqref="E15"/>
    </sheetView>
  </sheetViews>
  <sheetFormatPr defaultRowHeight="14"/>
  <cols>
    <col min="1" max="1" width="14.26953125" style="4" customWidth="1"/>
    <col min="2" max="2" width="18.7265625" style="4" customWidth="1"/>
    <col min="3" max="8" width="8.7265625" style="4"/>
    <col min="9" max="10" width="15.453125" style="4" customWidth="1"/>
    <col min="11" max="11" width="14.1796875" style="4" customWidth="1"/>
    <col min="12" max="12" width="57.26953125" style="4" customWidth="1"/>
    <col min="13" max="16384" width="8.7265625" style="4"/>
  </cols>
  <sheetData>
    <row r="1" spans="1:12">
      <c r="A1" s="245" t="s">
        <v>82</v>
      </c>
      <c r="B1" s="246"/>
      <c r="C1" s="246"/>
      <c r="D1" s="246"/>
      <c r="E1" s="246"/>
      <c r="F1" s="246"/>
      <c r="G1" s="246"/>
      <c r="H1" s="246"/>
      <c r="I1" s="246"/>
      <c r="J1" s="246"/>
      <c r="K1" s="246"/>
      <c r="L1" s="246"/>
    </row>
    <row r="2" spans="1:12">
      <c r="A2" s="193" t="s">
        <v>76</v>
      </c>
      <c r="B2" s="195" t="s">
        <v>68</v>
      </c>
      <c r="C2" s="195" t="s">
        <v>69</v>
      </c>
      <c r="D2" s="195" t="s">
        <v>70</v>
      </c>
      <c r="E2" s="195" t="s">
        <v>71</v>
      </c>
      <c r="F2" s="195" t="s">
        <v>72</v>
      </c>
      <c r="G2" s="236" t="s">
        <v>83</v>
      </c>
      <c r="H2" s="28"/>
      <c r="I2" s="195" t="s">
        <v>86</v>
      </c>
      <c r="J2" s="236" t="s">
        <v>124</v>
      </c>
      <c r="K2" s="249" t="s">
        <v>125</v>
      </c>
      <c r="L2" s="247" t="s">
        <v>99</v>
      </c>
    </row>
    <row r="3" spans="1:12" ht="39">
      <c r="A3" s="193"/>
      <c r="B3" s="195"/>
      <c r="C3" s="195"/>
      <c r="D3" s="195"/>
      <c r="E3" s="195"/>
      <c r="F3" s="195"/>
      <c r="G3" s="237"/>
      <c r="H3" s="29" t="s">
        <v>85</v>
      </c>
      <c r="I3" s="195"/>
      <c r="J3" s="237"/>
      <c r="K3" s="249"/>
      <c r="L3" s="247"/>
    </row>
    <row r="4" spans="1:12">
      <c r="A4" s="193"/>
      <c r="B4" s="195"/>
      <c r="C4" s="195"/>
      <c r="D4" s="195"/>
      <c r="E4" s="195"/>
      <c r="F4" s="195"/>
      <c r="G4" s="194"/>
      <c r="H4" s="27"/>
      <c r="I4" s="195"/>
      <c r="J4" s="194"/>
      <c r="K4" s="249"/>
      <c r="L4" s="247"/>
    </row>
    <row r="5" spans="1:12" s="186" customFormat="1" ht="42.75" customHeight="1">
      <c r="A5" s="60" t="s">
        <v>66</v>
      </c>
      <c r="B5" s="23" t="s">
        <v>81</v>
      </c>
      <c r="C5" s="61" t="s">
        <v>73</v>
      </c>
      <c r="D5" s="23">
        <v>8</v>
      </c>
      <c r="E5" s="23"/>
      <c r="F5" s="23">
        <v>5</v>
      </c>
      <c r="G5" s="23" t="s">
        <v>117</v>
      </c>
      <c r="H5" s="23">
        <v>8000</v>
      </c>
      <c r="I5" s="62">
        <f>H5/F5/60*45</f>
        <v>1200</v>
      </c>
      <c r="J5" s="62">
        <f>1200/4</f>
        <v>300</v>
      </c>
      <c r="K5" s="24">
        <f>J5*D5</f>
        <v>2400</v>
      </c>
      <c r="L5" s="64" t="s">
        <v>118</v>
      </c>
    </row>
    <row r="6" spans="1:12" s="186" customFormat="1" ht="28">
      <c r="A6" s="23" t="s">
        <v>63</v>
      </c>
      <c r="B6" s="63" t="s">
        <v>79</v>
      </c>
      <c r="C6" s="61" t="s">
        <v>73</v>
      </c>
      <c r="D6" s="23">
        <v>3</v>
      </c>
      <c r="E6" s="23"/>
      <c r="F6" s="23">
        <v>4</v>
      </c>
      <c r="G6" s="23" t="s">
        <v>84</v>
      </c>
      <c r="H6" s="23">
        <v>3000</v>
      </c>
      <c r="I6" s="23">
        <f>H6/4/2</f>
        <v>375</v>
      </c>
      <c r="J6" s="23">
        <f>I6/4</f>
        <v>93.75</v>
      </c>
      <c r="K6" s="24">
        <f>J6*D6</f>
        <v>281.25</v>
      </c>
      <c r="L6" s="64" t="s">
        <v>119</v>
      </c>
    </row>
    <row r="7" spans="1:12" s="186" customFormat="1" ht="24" customHeight="1">
      <c r="A7" s="24" t="s">
        <v>64</v>
      </c>
      <c r="B7" s="63" t="s">
        <v>80</v>
      </c>
      <c r="C7" s="61" t="s">
        <v>74</v>
      </c>
      <c r="D7" s="23">
        <v>9</v>
      </c>
      <c r="E7" s="23"/>
      <c r="F7" s="23">
        <v>5</v>
      </c>
      <c r="G7" s="23" t="s">
        <v>117</v>
      </c>
      <c r="H7" s="23">
        <v>5000</v>
      </c>
      <c r="I7" s="23">
        <f>H7/F7/60*45</f>
        <v>750</v>
      </c>
      <c r="J7" s="23">
        <f>I7/4</f>
        <v>187.5</v>
      </c>
      <c r="K7" s="24">
        <f>J7*D7</f>
        <v>1687.5</v>
      </c>
      <c r="L7" s="64" t="s">
        <v>120</v>
      </c>
    </row>
    <row r="8" spans="1:12" s="186" customFormat="1" ht="28">
      <c r="A8" s="24" t="s">
        <v>77</v>
      </c>
      <c r="B8" s="63" t="s">
        <v>80</v>
      </c>
      <c r="C8" s="61" t="s">
        <v>73</v>
      </c>
      <c r="D8" s="23">
        <v>6</v>
      </c>
      <c r="E8" s="23"/>
      <c r="F8" s="23">
        <v>3</v>
      </c>
      <c r="G8" s="23" t="s">
        <v>123</v>
      </c>
      <c r="H8" s="23">
        <v>3000</v>
      </c>
      <c r="I8" s="62">
        <f>H8/F8/60*40</f>
        <v>666.66666666666674</v>
      </c>
      <c r="J8" s="62">
        <f>I8/4</f>
        <v>166.66666666666669</v>
      </c>
      <c r="K8" s="24">
        <f>J8*D8</f>
        <v>1000.0000000000001</v>
      </c>
      <c r="L8" s="64" t="s">
        <v>121</v>
      </c>
    </row>
    <row r="9" spans="1:12" ht="35.25" customHeight="1">
      <c r="A9" s="250" t="s">
        <v>78</v>
      </c>
      <c r="B9" s="250"/>
      <c r="C9" s="250"/>
      <c r="D9" s="250"/>
      <c r="E9" s="250"/>
      <c r="F9" s="250"/>
      <c r="G9" s="250"/>
      <c r="H9" s="250"/>
      <c r="I9" s="250"/>
      <c r="J9" s="187"/>
      <c r="K9" s="15">
        <f>SUM(K5:K8)</f>
        <v>5368.75</v>
      </c>
      <c r="L9" s="188" t="s">
        <v>122</v>
      </c>
    </row>
    <row r="11" spans="1:12">
      <c r="A11" s="248"/>
      <c r="B11" s="248"/>
      <c r="C11" s="248"/>
      <c r="D11" s="248"/>
      <c r="E11" s="248"/>
      <c r="F11" s="248"/>
      <c r="G11" s="248"/>
      <c r="H11" s="248"/>
      <c r="I11" s="248"/>
      <c r="J11" s="248"/>
      <c r="K11" s="248"/>
    </row>
    <row r="12" spans="1:12">
      <c r="A12" s="248"/>
      <c r="B12" s="248"/>
      <c r="C12" s="248"/>
      <c r="D12" s="248"/>
      <c r="E12" s="248"/>
      <c r="F12" s="248"/>
      <c r="G12" s="248"/>
      <c r="H12" s="248"/>
      <c r="I12" s="248"/>
      <c r="J12" s="248"/>
      <c r="K12" s="248"/>
    </row>
    <row r="13" spans="1:12">
      <c r="A13" s="186"/>
    </row>
  </sheetData>
  <mergeCells count="14">
    <mergeCell ref="A1:L1"/>
    <mergeCell ref="L2:L4"/>
    <mergeCell ref="A11:K12"/>
    <mergeCell ref="K2:K4"/>
    <mergeCell ref="A9:I9"/>
    <mergeCell ref="I2:I4"/>
    <mergeCell ref="A2:A4"/>
    <mergeCell ref="B2:B4"/>
    <mergeCell ref="C2:C4"/>
    <mergeCell ref="D2:D4"/>
    <mergeCell ref="E2:E4"/>
    <mergeCell ref="F2:F4"/>
    <mergeCell ref="G2:G4"/>
    <mergeCell ref="J2:J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workbookViewId="0">
      <selection activeCell="D11" sqref="D11"/>
    </sheetView>
  </sheetViews>
  <sheetFormatPr defaultRowHeight="14.5"/>
  <cols>
    <col min="2" max="2" width="20.81640625" customWidth="1"/>
    <col min="3" max="3" width="22" customWidth="1"/>
    <col min="5" max="5" width="10.26953125" customWidth="1"/>
    <col min="6" max="7" width="11.54296875" customWidth="1"/>
    <col min="8" max="8" width="84" customWidth="1"/>
  </cols>
  <sheetData>
    <row r="1" spans="1:8">
      <c r="A1" s="247" t="s">
        <v>67</v>
      </c>
      <c r="B1" s="247"/>
      <c r="C1" s="247"/>
      <c r="D1" s="247"/>
      <c r="E1" s="247"/>
      <c r="F1" s="247"/>
      <c r="G1" s="247"/>
      <c r="H1" s="247" t="s">
        <v>23</v>
      </c>
    </row>
    <row r="2" spans="1:8">
      <c r="A2" s="247" t="s">
        <v>50</v>
      </c>
      <c r="B2" s="247" t="s">
        <v>51</v>
      </c>
      <c r="C2" s="270" t="s">
        <v>52</v>
      </c>
      <c r="D2" s="14" t="s">
        <v>61</v>
      </c>
      <c r="E2" s="14"/>
      <c r="F2" s="14"/>
      <c r="G2" s="14"/>
      <c r="H2" s="251"/>
    </row>
    <row r="3" spans="1:8">
      <c r="A3" s="247"/>
      <c r="B3" s="247"/>
      <c r="C3" s="270"/>
      <c r="D3" s="247" t="s">
        <v>62</v>
      </c>
      <c r="E3" s="268"/>
      <c r="F3" s="268"/>
      <c r="G3" s="268"/>
      <c r="H3" s="251"/>
    </row>
    <row r="4" spans="1:8" ht="15" thickBot="1">
      <c r="A4" s="269"/>
      <c r="B4" s="269"/>
      <c r="C4" s="271"/>
      <c r="D4" s="34" t="s">
        <v>63</v>
      </c>
      <c r="E4" s="34" t="s">
        <v>64</v>
      </c>
      <c r="F4" s="34" t="s">
        <v>65</v>
      </c>
      <c r="G4" s="34" t="s">
        <v>66</v>
      </c>
      <c r="H4" s="252"/>
    </row>
    <row r="5" spans="1:8">
      <c r="A5" s="262">
        <v>1</v>
      </c>
      <c r="B5" s="265" t="s">
        <v>49</v>
      </c>
      <c r="C5" s="35" t="s">
        <v>53</v>
      </c>
      <c r="D5" s="35">
        <v>0</v>
      </c>
      <c r="E5" s="35">
        <v>0</v>
      </c>
      <c r="F5" s="35">
        <v>0</v>
      </c>
      <c r="G5" s="35">
        <v>0</v>
      </c>
      <c r="H5" s="253" t="s">
        <v>103</v>
      </c>
    </row>
    <row r="6" spans="1:8">
      <c r="A6" s="263"/>
      <c r="B6" s="266"/>
      <c r="C6" s="3" t="s">
        <v>54</v>
      </c>
      <c r="D6" s="3">
        <v>0</v>
      </c>
      <c r="E6" s="3">
        <v>0</v>
      </c>
      <c r="F6" s="3">
        <v>0</v>
      </c>
      <c r="G6" s="3">
        <v>0</v>
      </c>
      <c r="H6" s="254"/>
    </row>
    <row r="7" spans="1:8" ht="15" thickBot="1">
      <c r="A7" s="264"/>
      <c r="B7" s="267"/>
      <c r="C7" s="36" t="s">
        <v>55</v>
      </c>
      <c r="D7" s="36">
        <f t="shared" ref="D7:G7" si="0">SUM(D5:D6)</f>
        <v>0</v>
      </c>
      <c r="E7" s="36">
        <f t="shared" si="0"/>
        <v>0</v>
      </c>
      <c r="F7" s="36">
        <f t="shared" si="0"/>
        <v>0</v>
      </c>
      <c r="G7" s="36">
        <f t="shared" si="0"/>
        <v>0</v>
      </c>
      <c r="H7" s="254"/>
    </row>
    <row r="8" spans="1:8">
      <c r="A8" s="262">
        <v>2</v>
      </c>
      <c r="B8" s="259" t="s">
        <v>56</v>
      </c>
      <c r="C8" s="35" t="s">
        <v>57</v>
      </c>
      <c r="D8" s="35">
        <v>0</v>
      </c>
      <c r="E8" s="35">
        <v>0</v>
      </c>
      <c r="F8" s="35">
        <v>0</v>
      </c>
      <c r="G8" s="35">
        <v>0</v>
      </c>
      <c r="H8" s="254"/>
    </row>
    <row r="9" spans="1:8">
      <c r="A9" s="263"/>
      <c r="B9" s="260"/>
      <c r="C9" s="3" t="s">
        <v>54</v>
      </c>
      <c r="D9" s="3">
        <v>0</v>
      </c>
      <c r="E9" s="3">
        <v>0</v>
      </c>
      <c r="F9" s="3">
        <v>0</v>
      </c>
      <c r="G9" s="3">
        <v>0</v>
      </c>
      <c r="H9" s="254"/>
    </row>
    <row r="10" spans="1:8" ht="15" thickBot="1">
      <c r="A10" s="264"/>
      <c r="B10" s="261"/>
      <c r="C10" s="36" t="s">
        <v>55</v>
      </c>
      <c r="D10" s="36">
        <f>SUM(D8:D9)</f>
        <v>0</v>
      </c>
      <c r="E10" s="36">
        <f>SUM(E8:E9)</f>
        <v>0</v>
      </c>
      <c r="F10" s="36">
        <f>SUM(F8:F9)</f>
        <v>0</v>
      </c>
      <c r="G10" s="36">
        <f>SUM(G8:G9)</f>
        <v>0</v>
      </c>
      <c r="H10" s="254"/>
    </row>
    <row r="11" spans="1:8">
      <c r="A11" s="256">
        <v>3</v>
      </c>
      <c r="B11" s="259" t="s">
        <v>75</v>
      </c>
      <c r="C11" s="35" t="s">
        <v>57</v>
      </c>
      <c r="D11" s="35">
        <v>360000</v>
      </c>
      <c r="E11" s="35">
        <v>360000</v>
      </c>
      <c r="F11" s="35">
        <v>360000</v>
      </c>
      <c r="G11" s="35">
        <v>360000</v>
      </c>
      <c r="H11" s="254"/>
    </row>
    <row r="12" spans="1:8">
      <c r="A12" s="257"/>
      <c r="B12" s="260"/>
      <c r="C12" s="3" t="s">
        <v>54</v>
      </c>
      <c r="D12" s="3">
        <v>36000</v>
      </c>
      <c r="E12" s="3">
        <v>36000</v>
      </c>
      <c r="F12" s="3">
        <v>36000</v>
      </c>
      <c r="G12" s="3">
        <v>36000</v>
      </c>
      <c r="H12" s="254"/>
    </row>
    <row r="13" spans="1:8" ht="15" thickBot="1">
      <c r="A13" s="258"/>
      <c r="B13" s="261"/>
      <c r="C13" s="36" t="s">
        <v>55</v>
      </c>
      <c r="D13" s="36">
        <f>SUM(D11:D12)</f>
        <v>396000</v>
      </c>
      <c r="E13" s="36">
        <f>SUM(E11:E12)</f>
        <v>396000</v>
      </c>
      <c r="F13" s="36">
        <f>SUM(F11:F12)</f>
        <v>396000</v>
      </c>
      <c r="G13" s="36">
        <f>SUM(G11:G12)</f>
        <v>396000</v>
      </c>
      <c r="H13" s="254"/>
    </row>
    <row r="14" spans="1:8">
      <c r="A14" s="262">
        <v>4</v>
      </c>
      <c r="B14" s="265" t="s">
        <v>58</v>
      </c>
      <c r="C14" s="35" t="s">
        <v>57</v>
      </c>
      <c r="D14" s="35">
        <v>114800</v>
      </c>
      <c r="E14" s="35">
        <v>114800</v>
      </c>
      <c r="F14" s="35">
        <v>114800</v>
      </c>
      <c r="G14" s="35">
        <v>114800</v>
      </c>
      <c r="H14" s="254"/>
    </row>
    <row r="15" spans="1:8">
      <c r="A15" s="263"/>
      <c r="B15" s="266"/>
      <c r="C15" s="3" t="s">
        <v>59</v>
      </c>
      <c r="D15" s="3">
        <v>11480</v>
      </c>
      <c r="E15" s="3">
        <v>11480</v>
      </c>
      <c r="F15" s="3">
        <v>11480</v>
      </c>
      <c r="G15" s="3">
        <v>11480</v>
      </c>
      <c r="H15" s="254"/>
    </row>
    <row r="16" spans="1:8" ht="15" thickBot="1">
      <c r="A16" s="264"/>
      <c r="B16" s="267"/>
      <c r="C16" s="36" t="s">
        <v>60</v>
      </c>
      <c r="D16" s="36">
        <f>SUM(D14:D15)</f>
        <v>126280</v>
      </c>
      <c r="E16" s="36">
        <f>SUM(E14:E15)</f>
        <v>126280</v>
      </c>
      <c r="F16" s="36">
        <f>SUM(F14:F15)</f>
        <v>126280</v>
      </c>
      <c r="G16" s="36">
        <f>SUM(G14:G15)</f>
        <v>126280</v>
      </c>
      <c r="H16" s="255"/>
    </row>
  </sheetData>
  <mergeCells count="15">
    <mergeCell ref="H1:H4"/>
    <mergeCell ref="H5:H16"/>
    <mergeCell ref="A11:A13"/>
    <mergeCell ref="B11:B13"/>
    <mergeCell ref="A14:A16"/>
    <mergeCell ref="B14:B16"/>
    <mergeCell ref="D3:G3"/>
    <mergeCell ref="A8:A10"/>
    <mergeCell ref="B8:B10"/>
    <mergeCell ref="A1:G1"/>
    <mergeCell ref="A2:A4"/>
    <mergeCell ref="B2:B4"/>
    <mergeCell ref="C2:C4"/>
    <mergeCell ref="A5:A7"/>
    <mergeCell ref="B5:B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workbookViewId="0">
      <selection activeCell="M7" sqref="M7"/>
    </sheetView>
  </sheetViews>
  <sheetFormatPr defaultRowHeight="14.5"/>
  <cols>
    <col min="1" max="1" width="18.54296875" customWidth="1"/>
    <col min="7" max="7" width="12.7265625" customWidth="1"/>
  </cols>
  <sheetData>
    <row r="1" spans="1:15" ht="130">
      <c r="A1" s="67"/>
      <c r="B1" s="67" t="s">
        <v>152</v>
      </c>
      <c r="C1" s="27" t="s">
        <v>106</v>
      </c>
      <c r="D1" s="27" t="s">
        <v>147</v>
      </c>
      <c r="E1" s="27" t="s">
        <v>158</v>
      </c>
      <c r="F1" s="27" t="s">
        <v>144</v>
      </c>
      <c r="G1" s="84" t="s">
        <v>153</v>
      </c>
      <c r="H1" s="27" t="s">
        <v>154</v>
      </c>
      <c r="I1" s="70" t="s">
        <v>157</v>
      </c>
      <c r="J1" s="71" t="s">
        <v>7</v>
      </c>
      <c r="K1" s="70" t="s">
        <v>149</v>
      </c>
      <c r="L1" s="70" t="s">
        <v>155</v>
      </c>
      <c r="M1" s="70" t="s">
        <v>156</v>
      </c>
      <c r="N1" s="33" t="s">
        <v>98</v>
      </c>
      <c r="O1" s="72" t="s">
        <v>99</v>
      </c>
    </row>
    <row r="2" spans="1:15">
      <c r="A2" s="272" t="s">
        <v>102</v>
      </c>
      <c r="B2" s="273"/>
      <c r="C2" s="273"/>
      <c r="D2" s="273"/>
      <c r="E2" s="273"/>
      <c r="F2" s="273"/>
      <c r="G2" s="273"/>
      <c r="H2" s="273"/>
      <c r="I2" s="273"/>
      <c r="J2" s="273"/>
      <c r="K2" s="273"/>
      <c r="L2" s="273"/>
      <c r="M2" s="273"/>
      <c r="N2" s="273"/>
      <c r="O2" s="274"/>
    </row>
    <row r="3" spans="1:15">
      <c r="A3" s="7" t="s">
        <v>25</v>
      </c>
      <c r="B3" s="7">
        <v>1</v>
      </c>
      <c r="C3" s="31">
        <v>24</v>
      </c>
      <c r="D3" s="7">
        <v>24</v>
      </c>
      <c r="E3" s="31">
        <f>8*60*D3</f>
        <v>11520</v>
      </c>
      <c r="F3" s="31">
        <v>20</v>
      </c>
      <c r="G3" s="86">
        <f>F3*D3</f>
        <v>480</v>
      </c>
      <c r="H3" s="3">
        <v>240000</v>
      </c>
      <c r="I3" s="87">
        <f>H3/E3*G3/6</f>
        <v>1666.6666666666667</v>
      </c>
      <c r="J3" s="7">
        <v>150000</v>
      </c>
      <c r="K3" s="7">
        <f>J3/30/8</f>
        <v>625</v>
      </c>
      <c r="L3" s="7">
        <f>K3/60*F3</f>
        <v>208.33333333333331</v>
      </c>
      <c r="M3" s="81">
        <f>L3*24/6</f>
        <v>833.33333333333337</v>
      </c>
      <c r="N3" s="82">
        <f>M3+I3</f>
        <v>2500</v>
      </c>
      <c r="O3" s="275" t="s">
        <v>126</v>
      </c>
    </row>
    <row r="4" spans="1:15">
      <c r="A4" s="7" t="s">
        <v>26</v>
      </c>
      <c r="B4" s="7">
        <v>1</v>
      </c>
      <c r="C4" s="31">
        <v>24</v>
      </c>
      <c r="D4" s="7">
        <v>24</v>
      </c>
      <c r="E4" s="31">
        <f>8*60*D4</f>
        <v>11520</v>
      </c>
      <c r="F4" s="31">
        <v>20</v>
      </c>
      <c r="G4" s="86">
        <f t="shared" ref="G4" si="0">F4*D4</f>
        <v>480</v>
      </c>
      <c r="H4" s="7">
        <v>240000</v>
      </c>
      <c r="I4" s="87">
        <f>H4/E4*G4/6</f>
        <v>1666.6666666666667</v>
      </c>
      <c r="J4" s="7">
        <v>57000</v>
      </c>
      <c r="K4" s="7">
        <f>J4/30/8</f>
        <v>237.5</v>
      </c>
      <c r="L4" s="7">
        <f t="shared" ref="L4" si="1">K4/60*F4</f>
        <v>79.166666666666671</v>
      </c>
      <c r="M4" s="81">
        <f>L4*24/6</f>
        <v>316.66666666666669</v>
      </c>
      <c r="N4" s="82">
        <f>M4+I4</f>
        <v>1983.3333333333335</v>
      </c>
      <c r="O4" s="276"/>
    </row>
    <row r="5" spans="1:15">
      <c r="A5" s="7" t="s">
        <v>28</v>
      </c>
      <c r="B5" s="7">
        <v>1</v>
      </c>
      <c r="C5" s="31">
        <v>90</v>
      </c>
      <c r="D5" s="31">
        <v>90</v>
      </c>
      <c r="E5" s="31">
        <f>8*60*90</f>
        <v>43200</v>
      </c>
      <c r="F5" s="31">
        <v>120</v>
      </c>
      <c r="G5" s="86">
        <f>F5*D5</f>
        <v>10800</v>
      </c>
      <c r="H5" s="7">
        <f>6000*9</f>
        <v>54000</v>
      </c>
      <c r="I5" s="87">
        <f>H5/E5*G5/6</f>
        <v>2250</v>
      </c>
      <c r="J5" s="7">
        <v>35000</v>
      </c>
      <c r="K5" s="7">
        <f>J5/30/8</f>
        <v>145.83333333333334</v>
      </c>
      <c r="L5" s="7">
        <f>K5/60*F5</f>
        <v>291.66666666666669</v>
      </c>
      <c r="M5" s="81">
        <f>L5*90/6</f>
        <v>4375</v>
      </c>
      <c r="N5" s="81">
        <f>M5+I5</f>
        <v>6625</v>
      </c>
      <c r="O5" s="7" t="s">
        <v>109</v>
      </c>
    </row>
    <row r="6" spans="1:15">
      <c r="A6" s="7" t="s">
        <v>140</v>
      </c>
      <c r="B6" s="7"/>
      <c r="C6" s="31"/>
      <c r="D6" s="7"/>
      <c r="E6" s="31"/>
      <c r="F6" s="7"/>
      <c r="G6" s="85"/>
      <c r="H6" s="7"/>
      <c r="I6" s="7"/>
      <c r="J6" s="7"/>
      <c r="K6" s="7"/>
      <c r="L6" s="7"/>
      <c r="M6" s="7"/>
      <c r="N6" s="82">
        <f>SUM(N3:N5)</f>
        <v>11108.333333333334</v>
      </c>
      <c r="O6" s="22" t="s">
        <v>114</v>
      </c>
    </row>
    <row r="7" spans="1:15">
      <c r="C7" s="40"/>
    </row>
  </sheetData>
  <mergeCells count="2">
    <mergeCell ref="A2:O2"/>
    <mergeCell ref="O3:O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workbookViewId="0">
      <selection activeCell="C16" sqref="C16"/>
    </sheetView>
  </sheetViews>
  <sheetFormatPr defaultRowHeight="14.5"/>
  <cols>
    <col min="1" max="1" width="23.26953125" customWidth="1"/>
    <col min="2" max="2" width="19.54296875" customWidth="1"/>
    <col min="3" max="3" width="18.7265625" customWidth="1"/>
    <col min="4" max="4" width="17.7265625" customWidth="1"/>
    <col min="5" max="5" width="17.26953125" customWidth="1"/>
    <col min="6" max="6" width="14.26953125" customWidth="1"/>
  </cols>
  <sheetData>
    <row r="1" spans="1:12" ht="15" thickBot="1">
      <c r="A1" s="278" t="s">
        <v>142</v>
      </c>
      <c r="B1" s="278"/>
      <c r="C1" s="278"/>
      <c r="D1" s="278"/>
      <c r="E1" s="278"/>
      <c r="F1" s="278"/>
      <c r="H1" s="277" t="s">
        <v>142</v>
      </c>
      <c r="I1" s="277"/>
      <c r="J1" s="277"/>
      <c r="K1" s="277"/>
      <c r="L1" s="277"/>
    </row>
    <row r="2" spans="1:12" ht="15" thickBot="1">
      <c r="A2" s="279" t="s">
        <v>141</v>
      </c>
      <c r="B2" s="202" t="s">
        <v>133</v>
      </c>
      <c r="C2" s="202"/>
      <c r="D2" s="202"/>
      <c r="E2" s="202"/>
      <c r="F2" s="202"/>
      <c r="H2" s="277" t="s">
        <v>133</v>
      </c>
      <c r="I2" s="277"/>
      <c r="J2" s="277"/>
      <c r="K2" s="277"/>
      <c r="L2" s="277"/>
    </row>
    <row r="3" spans="1:12" ht="15" thickBot="1">
      <c r="A3" s="280"/>
      <c r="B3" s="73" t="s">
        <v>66</v>
      </c>
      <c r="C3" s="73" t="s">
        <v>63</v>
      </c>
      <c r="D3" s="73" t="s">
        <v>64</v>
      </c>
      <c r="E3" s="73" t="s">
        <v>65</v>
      </c>
      <c r="F3" s="73" t="s">
        <v>180</v>
      </c>
      <c r="H3" s="102" t="s">
        <v>141</v>
      </c>
      <c r="I3" s="102" t="s">
        <v>66</v>
      </c>
      <c r="J3" s="102" t="s">
        <v>63</v>
      </c>
      <c r="K3" s="102" t="s">
        <v>64</v>
      </c>
      <c r="L3" s="102" t="s">
        <v>65</v>
      </c>
    </row>
    <row r="4" spans="1:12">
      <c r="A4" s="112" t="s">
        <v>134</v>
      </c>
      <c r="B4" s="79">
        <v>462528.75</v>
      </c>
      <c r="C4" s="79">
        <v>390481.25</v>
      </c>
      <c r="D4" s="79">
        <v>457481.25</v>
      </c>
      <c r="E4" s="79">
        <v>448346.25</v>
      </c>
      <c r="F4" s="88">
        <f>AVERAGE(I4:L4)</f>
        <v>439709.375</v>
      </c>
      <c r="H4" s="103" t="s">
        <v>134</v>
      </c>
      <c r="I4" s="104">
        <v>462528.75</v>
      </c>
      <c r="J4" s="104">
        <v>390481.25</v>
      </c>
      <c r="K4" s="104">
        <v>457481.25</v>
      </c>
      <c r="L4" s="103">
        <v>448346.25</v>
      </c>
    </row>
    <row r="5" spans="1:12">
      <c r="A5" s="112"/>
      <c r="B5" s="114">
        <v>0.89149999999999996</v>
      </c>
      <c r="C5" s="114">
        <v>0.8851</v>
      </c>
      <c r="D5" s="79">
        <v>89.5</v>
      </c>
      <c r="E5" s="115">
        <v>0.9</v>
      </c>
      <c r="F5" s="88"/>
      <c r="H5" s="103"/>
      <c r="I5" s="104"/>
      <c r="J5" s="104"/>
      <c r="K5" s="104"/>
      <c r="L5" s="103"/>
    </row>
    <row r="6" spans="1:12">
      <c r="A6" s="112" t="s">
        <v>130</v>
      </c>
      <c r="B6" s="79" t="s">
        <v>168</v>
      </c>
      <c r="C6" s="79" t="s">
        <v>171</v>
      </c>
      <c r="D6" s="79" t="s">
        <v>174</v>
      </c>
      <c r="E6" s="88" t="s">
        <v>177</v>
      </c>
      <c r="F6" s="79">
        <f t="shared" ref="F6:F8" si="0">AVERAGE(I6:L6)</f>
        <v>15277.080000000002</v>
      </c>
      <c r="H6" s="103" t="s">
        <v>130</v>
      </c>
      <c r="I6" s="104">
        <v>17908.330000000002</v>
      </c>
      <c r="J6" s="104">
        <v>14389.58</v>
      </c>
      <c r="K6" s="104">
        <v>15983.33</v>
      </c>
      <c r="L6" s="103">
        <v>12827.08</v>
      </c>
    </row>
    <row r="7" spans="1:12">
      <c r="A7" s="112" t="s">
        <v>131</v>
      </c>
      <c r="B7" s="79" t="s">
        <v>169</v>
      </c>
      <c r="C7" s="79" t="s">
        <v>172</v>
      </c>
      <c r="D7" s="79" t="s">
        <v>175</v>
      </c>
      <c r="E7" s="79" t="s">
        <v>178</v>
      </c>
      <c r="F7" s="88">
        <f t="shared" si="0"/>
        <v>1342.1875</v>
      </c>
      <c r="H7" s="103" t="s">
        <v>131</v>
      </c>
      <c r="I7" s="104">
        <v>2400</v>
      </c>
      <c r="J7" s="104">
        <v>281.25</v>
      </c>
      <c r="K7" s="104">
        <v>1687.5</v>
      </c>
      <c r="L7" s="103">
        <v>1000</v>
      </c>
    </row>
    <row r="8" spans="1:12" ht="15" thickBot="1">
      <c r="A8" s="112" t="s">
        <v>132</v>
      </c>
      <c r="B8" s="79" t="s">
        <v>170</v>
      </c>
      <c r="C8" s="79" t="s">
        <v>173</v>
      </c>
      <c r="D8" s="79" t="s">
        <v>176</v>
      </c>
      <c r="E8" s="79" t="s">
        <v>179</v>
      </c>
      <c r="F8" s="79">
        <f t="shared" si="0"/>
        <v>36000</v>
      </c>
      <c r="H8" s="105" t="s">
        <v>132</v>
      </c>
      <c r="I8" s="106">
        <v>36000</v>
      </c>
      <c r="J8" s="106">
        <v>36000</v>
      </c>
      <c r="K8" s="106">
        <v>36000</v>
      </c>
      <c r="L8" s="105">
        <v>36000</v>
      </c>
    </row>
    <row r="9" spans="1:12">
      <c r="A9" s="112" t="s">
        <v>48</v>
      </c>
      <c r="B9" s="88">
        <v>518837.08333333302</v>
      </c>
      <c r="C9" s="88">
        <v>441152.08333333331</v>
      </c>
      <c r="D9" s="88">
        <v>511152.08333333331</v>
      </c>
      <c r="E9" s="88">
        <v>498173.33333333331</v>
      </c>
      <c r="F9" s="88">
        <f>AVERAGE(I9:L9)</f>
        <v>492328.64250000002</v>
      </c>
      <c r="H9" s="107" t="s">
        <v>48</v>
      </c>
      <c r="I9" s="108">
        <v>518837.08</v>
      </c>
      <c r="J9" s="108">
        <v>441152.08</v>
      </c>
      <c r="K9" s="108">
        <v>511152.08</v>
      </c>
      <c r="L9" s="107">
        <v>498173.33</v>
      </c>
    </row>
    <row r="10" spans="1:12">
      <c r="A10" s="113" t="s">
        <v>167</v>
      </c>
      <c r="B10" s="110">
        <f>B9/1700</f>
        <v>305.19828431372531</v>
      </c>
      <c r="C10" s="110">
        <f>C9/1440</f>
        <v>306.35561342592592</v>
      </c>
      <c r="D10" s="110">
        <f>D9/1650</f>
        <v>309.7891414141414</v>
      </c>
      <c r="E10" s="110">
        <f>E9/1600</f>
        <v>311.35833333333335</v>
      </c>
      <c r="F10" s="111">
        <f>AVERAGE(B10:E10)</f>
        <v>308.17534312178151</v>
      </c>
      <c r="H10" s="109"/>
      <c r="I10" s="108"/>
      <c r="J10" s="108"/>
      <c r="K10" s="108"/>
      <c r="L10" s="108"/>
    </row>
    <row r="11" spans="1:12">
      <c r="H11" s="109"/>
      <c r="I11" s="108"/>
      <c r="J11" s="108"/>
      <c r="K11" s="108"/>
      <c r="L11" s="108"/>
    </row>
  </sheetData>
  <mergeCells count="5">
    <mergeCell ref="H1:L1"/>
    <mergeCell ref="H2:L2"/>
    <mergeCell ref="A1:F1"/>
    <mergeCell ref="B2:F2"/>
    <mergeCell ref="A2:A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HR district </vt:lpstr>
      <vt:lpstr>Calculation</vt:lpstr>
      <vt:lpstr>Training</vt:lpstr>
      <vt:lpstr>Monitoring Block (2020-21) </vt:lpstr>
      <vt:lpstr>HR Block</vt:lpstr>
      <vt:lpstr>Meetings </vt:lpstr>
      <vt:lpstr>Administrative cost</vt:lpstr>
      <vt:lpstr>monitoring district</vt:lpstr>
      <vt:lpstr>Sheet3</vt:lpstr>
      <vt:lpstr>Sheet3!_Hlk112328010</vt:lpstr>
      <vt:lpstr>Sheet3!_Hlk112328087</vt:lpstr>
      <vt:lpstr>Sheet3!_Hlk112328197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Priya Amrit</dc:creator>
  <cp:lastModifiedBy>sarit rout</cp:lastModifiedBy>
  <dcterms:created xsi:type="dcterms:W3CDTF">2022-05-06T08:30:39Z</dcterms:created>
  <dcterms:modified xsi:type="dcterms:W3CDTF">2024-08-22T02:53:23Z</dcterms:modified>
</cp:coreProperties>
</file>